
<file path=[Content_Types].xml><?xml version="1.0" encoding="utf-8"?>
<Types xmlns="http://schemas.openxmlformats.org/package/2006/content-types">
  <Default Extension="bin" ContentType="application/vnd.openxmlformats-officedocument.spreadsheetml.printerSettings"/>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externalLinks/externalLink6.xml" ContentType="application/vnd.openxmlformats-officedocument.spreadsheetml.externalLink+xml"/>
  <Override PartName="/xl/externalLinks/externalLink7.xml" ContentType="application/vnd.openxmlformats-officedocument.spreadsheetml.externalLink+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360" yWindow="90" windowWidth="14355" windowHeight="4680"/>
  </bookViews>
  <sheets>
    <sheet name="Evaluasi RKPD TRI 3" sheetId="4" r:id="rId1"/>
    <sheet name="ev rkpd (2)" sheetId="5" state="hidden" r:id="rId2"/>
    <sheet name="Sheet1" sheetId="1" r:id="rId3"/>
    <sheet name="Sheet2" sheetId="2" r:id="rId4"/>
    <sheet name="Sheet3" sheetId="3" r:id="rId5"/>
    <sheet name="Sheet4" sheetId="6"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s>
  <definedNames>
    <definedName name="_xlnm.Print_Titles" localSheetId="1">'ev rkpd (2)'!$12:$13</definedName>
    <definedName name="_xlnm.Print_Titles" localSheetId="0">'Evaluasi RKPD TRI 3'!$8:$9</definedName>
    <definedName name="_xlnm.Print_Titles" localSheetId="2">Sheet1!$22:$23</definedName>
  </definedNames>
  <calcPr calcId="125725"/>
</workbook>
</file>

<file path=xl/calcChain.xml><?xml version="1.0" encoding="utf-8"?>
<calcChain xmlns="http://schemas.openxmlformats.org/spreadsheetml/2006/main">
  <c r="V1747" i="4"/>
  <c r="T1747"/>
  <c r="R1747"/>
  <c r="P1747"/>
  <c r="N1747"/>
  <c r="L1747"/>
  <c r="K1768"/>
  <c r="L1766"/>
  <c r="K1765"/>
  <c r="K1760"/>
  <c r="K1758"/>
  <c r="Z1748"/>
  <c r="AB1748" s="1"/>
  <c r="AD1748" s="1"/>
  <c r="Y1748"/>
  <c r="AA1748" s="1"/>
  <c r="AC1748" s="1"/>
  <c r="L1746"/>
  <c r="K1708"/>
  <c r="L1709"/>
  <c r="L1561"/>
  <c r="K1413"/>
  <c r="L1330"/>
  <c r="V1329"/>
  <c r="R1329"/>
  <c r="P1329"/>
  <c r="N1329"/>
  <c r="L1329"/>
  <c r="K1251"/>
  <c r="K1235"/>
  <c r="K1222"/>
  <c r="K1213"/>
  <c r="L1152"/>
  <c r="L1137"/>
  <c r="V1151"/>
  <c r="T1151"/>
  <c r="R1151"/>
  <c r="N1151"/>
  <c r="L1151"/>
  <c r="V1149"/>
  <c r="T1149"/>
  <c r="R1149"/>
  <c r="N1149"/>
  <c r="L1149"/>
  <c r="V1146"/>
  <c r="R1146"/>
  <c r="N1146"/>
  <c r="L1146"/>
  <c r="V1144"/>
  <c r="T1144"/>
  <c r="R1144"/>
  <c r="N1144"/>
  <c r="L1144"/>
  <c r="Z1141"/>
  <c r="X1140"/>
  <c r="V1140"/>
  <c r="X1138"/>
  <c r="V1138"/>
  <c r="T1138"/>
  <c r="R1138"/>
  <c r="N1138"/>
  <c r="L1138"/>
  <c r="V1134"/>
  <c r="T1134"/>
  <c r="R1134"/>
  <c r="N1134"/>
  <c r="L1134"/>
  <c r="V1117"/>
  <c r="T1117"/>
  <c r="R1117"/>
  <c r="N1117"/>
  <c r="L1117"/>
  <c r="V1130"/>
  <c r="T1130"/>
  <c r="R1130"/>
  <c r="P1130"/>
  <c r="N1130"/>
  <c r="L1130"/>
  <c r="L1128"/>
  <c r="L1064"/>
  <c r="L1063"/>
  <c r="L1062"/>
  <c r="L1023"/>
  <c r="L1018"/>
  <c r="L1017"/>
  <c r="L1016"/>
  <c r="L1015"/>
  <c r="L1014"/>
  <c r="L1004"/>
  <c r="L1003"/>
  <c r="L1002"/>
  <c r="L1001"/>
  <c r="L1000"/>
  <c r="L999"/>
  <c r="L998"/>
  <c r="L997"/>
  <c r="L996"/>
  <c r="L995"/>
  <c r="L994"/>
  <c r="L993"/>
  <c r="L992"/>
  <c r="L983"/>
  <c r="L966"/>
  <c r="L965"/>
  <c r="L964"/>
  <c r="L963"/>
  <c r="L946"/>
  <c r="L945"/>
  <c r="L944"/>
  <c r="L936"/>
  <c r="L935"/>
  <c r="L934"/>
  <c r="L933"/>
  <c r="L932"/>
  <c r="Y732"/>
  <c r="Y731"/>
  <c r="L721"/>
  <c r="L716"/>
  <c r="L715"/>
  <c r="L714"/>
  <c r="L703"/>
  <c r="L702"/>
  <c r="L701"/>
  <c r="R622"/>
  <c r="V627"/>
  <c r="T627"/>
  <c r="R627"/>
  <c r="P627"/>
  <c r="N627"/>
  <c r="L627"/>
  <c r="L628"/>
  <c r="T663"/>
  <c r="R663"/>
  <c r="Q663"/>
  <c r="K663"/>
  <c r="K654"/>
  <c r="K653"/>
  <c r="O651"/>
  <c r="L621"/>
  <c r="L619"/>
  <c r="L620"/>
  <c r="K606"/>
  <c r="V452"/>
  <c r="V456"/>
  <c r="L363"/>
  <c r="N351"/>
  <c r="L351" s="1"/>
  <c r="N347"/>
  <c r="L347" s="1"/>
  <c r="L297"/>
  <c r="Z342"/>
  <c r="Z341"/>
  <c r="Z340"/>
  <c r="Z339"/>
  <c r="Z338"/>
  <c r="Z337"/>
  <c r="Z336"/>
  <c r="Z335"/>
  <c r="Z334"/>
  <c r="Z333"/>
  <c r="Z332"/>
  <c r="Z331"/>
  <c r="Z330"/>
  <c r="Z329"/>
  <c r="Z328"/>
  <c r="Z327"/>
  <c r="Z326"/>
  <c r="Z325"/>
  <c r="Z324"/>
  <c r="Z323"/>
  <c r="Z322"/>
  <c r="Z321"/>
  <c r="Z320"/>
  <c r="Z319"/>
  <c r="Z318"/>
  <c r="Z317"/>
  <c r="Z316"/>
  <c r="Z315"/>
  <c r="Z314"/>
  <c r="Z313"/>
  <c r="Z312"/>
  <c r="Z311"/>
  <c r="Z310"/>
  <c r="Z309"/>
  <c r="Z307"/>
  <c r="Z305"/>
  <c r="Z304"/>
  <c r="Z303"/>
  <c r="Z302"/>
  <c r="Z301"/>
  <c r="Z300"/>
  <c r="Z299"/>
  <c r="Z298"/>
  <c r="Z297"/>
  <c r="Z296"/>
  <c r="Z295"/>
  <c r="Z294"/>
  <c r="Z293"/>
  <c r="AB293" s="1"/>
  <c r="AD293" s="1"/>
  <c r="L289"/>
  <c r="N289"/>
  <c r="N288"/>
  <c r="L288" s="1"/>
  <c r="N287"/>
  <c r="L287" s="1"/>
  <c r="N286"/>
  <c r="L286" s="1"/>
  <c r="L232"/>
  <c r="Y104"/>
  <c r="Y103"/>
  <c r="Y102"/>
  <c r="Y101"/>
  <c r="Y99"/>
  <c r="Y97"/>
  <c r="Y96"/>
  <c r="Y95"/>
  <c r="Y94"/>
  <c r="Y93"/>
  <c r="Y92"/>
  <c r="Y91"/>
  <c r="Y90"/>
  <c r="Y89"/>
  <c r="Y88"/>
  <c r="Y87"/>
  <c r="Y86"/>
  <c r="Y85"/>
  <c r="Y84"/>
  <c r="Y83"/>
  <c r="Y82"/>
  <c r="Y80"/>
  <c r="Y79"/>
  <c r="Y78"/>
  <c r="Y77"/>
  <c r="Y76"/>
  <c r="Y75"/>
  <c r="Y74"/>
  <c r="Y73"/>
  <c r="Y71"/>
  <c r="Y70"/>
  <c r="Y69"/>
  <c r="Y68"/>
  <c r="Y67"/>
  <c r="Y66"/>
  <c r="Y65"/>
  <c r="Y64"/>
  <c r="Y63"/>
  <c r="Y62"/>
  <c r="Y61"/>
  <c r="Y60"/>
  <c r="Y59"/>
  <c r="Y58"/>
  <c r="Y57"/>
  <c r="Y56"/>
  <c r="Y55"/>
  <c r="Y54"/>
  <c r="Y53"/>
  <c r="Y52"/>
  <c r="Y51"/>
  <c r="Y50"/>
  <c r="Y49"/>
  <c r="Y48"/>
  <c r="Y47"/>
  <c r="Y46"/>
  <c r="Y45"/>
  <c r="Y44"/>
  <c r="Y43"/>
  <c r="Y42"/>
  <c r="Y41"/>
  <c r="Y36"/>
  <c r="Y35"/>
  <c r="Y31"/>
  <c r="Y30"/>
  <c r="Y29"/>
  <c r="Y28"/>
  <c r="Y27"/>
  <c r="Y26"/>
  <c r="Y25"/>
  <c r="Y20"/>
  <c r="M24"/>
  <c r="M23"/>
  <c r="Z2266"/>
  <c r="Z2265" s="1"/>
  <c r="Y2266"/>
  <c r="AA2266" s="1"/>
  <c r="AC2266" s="1"/>
  <c r="L2266"/>
  <c r="L2265" s="1"/>
  <c r="V2265"/>
  <c r="V2261" s="1"/>
  <c r="T2265"/>
  <c r="R2265"/>
  <c r="P2265"/>
  <c r="N2265"/>
  <c r="Z2264"/>
  <c r="AB2264" s="1"/>
  <c r="AD2264" s="1"/>
  <c r="Y2264"/>
  <c r="AA2264" s="1"/>
  <c r="AC2264" s="1"/>
  <c r="Y2263"/>
  <c r="AA2263" s="1"/>
  <c r="AC2263" s="1"/>
  <c r="T2263"/>
  <c r="T2261" s="1"/>
  <c r="L2263"/>
  <c r="Z2262"/>
  <c r="AB2262" s="1"/>
  <c r="Y2262"/>
  <c r="AA2262" s="1"/>
  <c r="AC2262" s="1"/>
  <c r="L2262"/>
  <c r="R2261"/>
  <c r="P2261"/>
  <c r="N2261"/>
  <c r="Y2260"/>
  <c r="AA2260" s="1"/>
  <c r="AC2260" s="1"/>
  <c r="T2260"/>
  <c r="V2260" s="1"/>
  <c r="Z2259"/>
  <c r="AB2259" s="1"/>
  <c r="AD2259" s="1"/>
  <c r="Y2259"/>
  <c r="AA2259" s="1"/>
  <c r="AC2259" s="1"/>
  <c r="Z2258"/>
  <c r="AB2258" s="1"/>
  <c r="AD2258" s="1"/>
  <c r="Y2258"/>
  <c r="AA2258" s="1"/>
  <c r="AC2258" s="1"/>
  <c r="Y2257"/>
  <c r="AA2257" s="1"/>
  <c r="AC2257" s="1"/>
  <c r="T2257"/>
  <c r="V2257" s="1"/>
  <c r="R2256"/>
  <c r="P2256"/>
  <c r="N2256"/>
  <c r="L2256"/>
  <c r="Z2255"/>
  <c r="AB2255" s="1"/>
  <c r="AD2255" s="1"/>
  <c r="Y2255"/>
  <c r="AA2255" s="1"/>
  <c r="AC2255" s="1"/>
  <c r="Y2254"/>
  <c r="AA2254" s="1"/>
  <c r="AC2254" s="1"/>
  <c r="V2254"/>
  <c r="T2254"/>
  <c r="R2254"/>
  <c r="P2254"/>
  <c r="N2254"/>
  <c r="L2254"/>
  <c r="Z2253"/>
  <c r="AB2253" s="1"/>
  <c r="Y2253"/>
  <c r="AA2253" s="1"/>
  <c r="AC2253" s="1"/>
  <c r="L2253"/>
  <c r="Y2252"/>
  <c r="AA2252" s="1"/>
  <c r="AC2252" s="1"/>
  <c r="V2252"/>
  <c r="T2252"/>
  <c r="R2252"/>
  <c r="P2252"/>
  <c r="N2252"/>
  <c r="L2252"/>
  <c r="Z2251"/>
  <c r="AB2251" s="1"/>
  <c r="Y2251"/>
  <c r="AA2251" s="1"/>
  <c r="AC2251" s="1"/>
  <c r="Y2250"/>
  <c r="AA2250" s="1"/>
  <c r="AC2250" s="1"/>
  <c r="V2250"/>
  <c r="T2250"/>
  <c r="R2250"/>
  <c r="P2250"/>
  <c r="N2250"/>
  <c r="L2250"/>
  <c r="Z2249"/>
  <c r="AB2249" s="1"/>
  <c r="AD2249" s="1"/>
  <c r="Y2249"/>
  <c r="AA2249" s="1"/>
  <c r="AC2249" s="1"/>
  <c r="Y2248"/>
  <c r="AA2248" s="1"/>
  <c r="AC2248" s="1"/>
  <c r="V2248"/>
  <c r="T2248"/>
  <c r="R2248"/>
  <c r="P2248"/>
  <c r="N2248"/>
  <c r="L2248"/>
  <c r="Z2247"/>
  <c r="AB2247" s="1"/>
  <c r="Y2247"/>
  <c r="AA2247" s="1"/>
  <c r="AC2247" s="1"/>
  <c r="Y2246"/>
  <c r="AA2246" s="1"/>
  <c r="AC2246" s="1"/>
  <c r="V2246"/>
  <c r="T2246"/>
  <c r="R2246"/>
  <c r="P2246"/>
  <c r="N2246"/>
  <c r="L2246"/>
  <c r="AA2245"/>
  <c r="AC2245" s="1"/>
  <c r="Z2245"/>
  <c r="Y2244"/>
  <c r="AA2244" s="1"/>
  <c r="AC2244" s="1"/>
  <c r="T2244"/>
  <c r="V2244" s="1"/>
  <c r="Y2243"/>
  <c r="AA2243" s="1"/>
  <c r="AC2243" s="1"/>
  <c r="V2243"/>
  <c r="Z2243" s="1"/>
  <c r="AB2243" s="1"/>
  <c r="AD2243" s="1"/>
  <c r="Y2242"/>
  <c r="AA2242" s="1"/>
  <c r="AC2242" s="1"/>
  <c r="T2242"/>
  <c r="V2242" s="1"/>
  <c r="Z2241"/>
  <c r="AB2241" s="1"/>
  <c r="AD2241" s="1"/>
  <c r="Y2241"/>
  <c r="AA2241" s="1"/>
  <c r="AC2241" s="1"/>
  <c r="Z2240"/>
  <c r="AB2240" s="1"/>
  <c r="AD2240" s="1"/>
  <c r="Y2240"/>
  <c r="AA2240" s="1"/>
  <c r="AC2240" s="1"/>
  <c r="Y2239"/>
  <c r="AA2239" s="1"/>
  <c r="AC2239" s="1"/>
  <c r="R2239"/>
  <c r="P2239"/>
  <c r="N2239"/>
  <c r="L2239"/>
  <c r="AD2238"/>
  <c r="AC2238"/>
  <c r="Y2238"/>
  <c r="Y2237"/>
  <c r="AA2237" s="1"/>
  <c r="AC2237" s="1"/>
  <c r="T2237"/>
  <c r="Y2236"/>
  <c r="AA2236" s="1"/>
  <c r="AC2236" s="1"/>
  <c r="V2236"/>
  <c r="T2236"/>
  <c r="Y2235"/>
  <c r="AA2235" s="1"/>
  <c r="AC2235" s="1"/>
  <c r="R2235"/>
  <c r="P2235"/>
  <c r="P2226" s="1"/>
  <c r="Y2234"/>
  <c r="AA2234" s="1"/>
  <c r="AC2234" s="1"/>
  <c r="T2234"/>
  <c r="V2234" s="1"/>
  <c r="Z2233"/>
  <c r="AB2233" s="1"/>
  <c r="AD2233" s="1"/>
  <c r="Y2233"/>
  <c r="AA2233" s="1"/>
  <c r="AC2233" s="1"/>
  <c r="Y2232"/>
  <c r="AA2232" s="1"/>
  <c r="AC2232" s="1"/>
  <c r="R2232"/>
  <c r="Y2231"/>
  <c r="AA2231" s="1"/>
  <c r="AC2231" s="1"/>
  <c r="T2231"/>
  <c r="Y2230"/>
  <c r="AA2230" s="1"/>
  <c r="AC2230" s="1"/>
  <c r="V2230"/>
  <c r="Z2230" s="1"/>
  <c r="AB2230" s="1"/>
  <c r="AD2230" s="1"/>
  <c r="Y2229"/>
  <c r="AA2229" s="1"/>
  <c r="AC2229" s="1"/>
  <c r="T2229"/>
  <c r="V2229" s="1"/>
  <c r="N2229"/>
  <c r="Y2228"/>
  <c r="AA2228" s="1"/>
  <c r="AC2228" s="1"/>
  <c r="T2228"/>
  <c r="V2228" s="1"/>
  <c r="Z2228" s="1"/>
  <c r="AB2228" s="1"/>
  <c r="AD2228" s="1"/>
  <c r="Y2227"/>
  <c r="AA2227" s="1"/>
  <c r="AC2227" s="1"/>
  <c r="T2227"/>
  <c r="V2227" s="1"/>
  <c r="Z2227" s="1"/>
  <c r="Y2226"/>
  <c r="AA2226" s="1"/>
  <c r="AC2226" s="1"/>
  <c r="N2226"/>
  <c r="L2226"/>
  <c r="Y2225"/>
  <c r="Z2222"/>
  <c r="AB2222" s="1"/>
  <c r="AD2222" s="1"/>
  <c r="Y2222"/>
  <c r="AA2222" s="1"/>
  <c r="AC2222" s="1"/>
  <c r="Z2221"/>
  <c r="AB2221" s="1"/>
  <c r="AD2221" s="1"/>
  <c r="Y2221"/>
  <c r="AA2221" s="1"/>
  <c r="AC2221" s="1"/>
  <c r="Z2220"/>
  <c r="AB2220" s="1"/>
  <c r="AD2220" s="1"/>
  <c r="Y2220"/>
  <c r="AA2220" s="1"/>
  <c r="AC2220" s="1"/>
  <c r="Z2219"/>
  <c r="AB2219" s="1"/>
  <c r="Y2219"/>
  <c r="AA2219" s="1"/>
  <c r="AC2219" s="1"/>
  <c r="L2219"/>
  <c r="Z2218"/>
  <c r="AB2218" s="1"/>
  <c r="Y2218"/>
  <c r="AA2218" s="1"/>
  <c r="AC2218" s="1"/>
  <c r="L2218"/>
  <c r="Z2217"/>
  <c r="AB2217" s="1"/>
  <c r="Y2217"/>
  <c r="AA2217" s="1"/>
  <c r="L2217"/>
  <c r="K2217"/>
  <c r="V2216"/>
  <c r="T2216"/>
  <c r="R2216"/>
  <c r="P2216"/>
  <c r="N2216"/>
  <c r="Z2215"/>
  <c r="AB2215" s="1"/>
  <c r="AB2214" s="1"/>
  <c r="Y2215"/>
  <c r="AA2215" s="1"/>
  <c r="K2215"/>
  <c r="Y2214"/>
  <c r="AA2214" s="1"/>
  <c r="AC2214" s="1"/>
  <c r="V2214"/>
  <c r="T2214"/>
  <c r="R2214"/>
  <c r="P2214"/>
  <c r="N2214"/>
  <c r="L2214"/>
  <c r="Z2213"/>
  <c r="AB2213" s="1"/>
  <c r="AB2212" s="1"/>
  <c r="Y2213"/>
  <c r="AA2213" s="1"/>
  <c r="AC2213" s="1"/>
  <c r="Y2212"/>
  <c r="AA2212" s="1"/>
  <c r="AC2212" s="1"/>
  <c r="V2212"/>
  <c r="T2212"/>
  <c r="R2212"/>
  <c r="P2212"/>
  <c r="N2212"/>
  <c r="L2212"/>
  <c r="Z2211"/>
  <c r="AB2211" s="1"/>
  <c r="AD2211" s="1"/>
  <c r="Y2211"/>
  <c r="AA2211" s="1"/>
  <c r="AC2211" s="1"/>
  <c r="Y2210"/>
  <c r="AA2210" s="1"/>
  <c r="AC2210" s="1"/>
  <c r="V2210"/>
  <c r="T2210"/>
  <c r="R2210"/>
  <c r="P2210"/>
  <c r="N2210"/>
  <c r="L2210"/>
  <c r="Z2209"/>
  <c r="AB2209" s="1"/>
  <c r="Y2209"/>
  <c r="AA2209" s="1"/>
  <c r="AC2209" s="1"/>
  <c r="V2208"/>
  <c r="T2208"/>
  <c r="R2208"/>
  <c r="P2208"/>
  <c r="N2208"/>
  <c r="L2208"/>
  <c r="Y2207"/>
  <c r="AA2207" s="1"/>
  <c r="AC2207" s="1"/>
  <c r="V2207"/>
  <c r="Z2207" s="1"/>
  <c r="Y2206"/>
  <c r="AA2206" s="1"/>
  <c r="AC2206" s="1"/>
  <c r="T2206"/>
  <c r="R2206"/>
  <c r="P2206"/>
  <c r="N2206"/>
  <c r="L2206"/>
  <c r="Z2205"/>
  <c r="AB2205" s="1"/>
  <c r="AD2205" s="1"/>
  <c r="Y2205"/>
  <c r="AA2205" s="1"/>
  <c r="AC2205" s="1"/>
  <c r="V2204"/>
  <c r="T2204"/>
  <c r="R2204"/>
  <c r="P2204"/>
  <c r="N2204"/>
  <c r="L2204"/>
  <c r="Z2203"/>
  <c r="AB2203" s="1"/>
  <c r="Y2203"/>
  <c r="AA2203" s="1"/>
  <c r="AC2203" s="1"/>
  <c r="Y2202"/>
  <c r="AA2202" s="1"/>
  <c r="AC2202" s="1"/>
  <c r="V2202"/>
  <c r="T2202"/>
  <c r="R2202"/>
  <c r="P2202"/>
  <c r="N2202"/>
  <c r="L2202"/>
  <c r="Z2201"/>
  <c r="Z2200" s="1"/>
  <c r="Y2201"/>
  <c r="AA2201" s="1"/>
  <c r="AC2201" s="1"/>
  <c r="Y2200"/>
  <c r="AA2200" s="1"/>
  <c r="AC2200" s="1"/>
  <c r="V2200"/>
  <c r="T2200"/>
  <c r="R2200"/>
  <c r="P2200"/>
  <c r="N2200"/>
  <c r="L2200"/>
  <c r="Z2199"/>
  <c r="AB2199" s="1"/>
  <c r="AD2199" s="1"/>
  <c r="Y2199"/>
  <c r="AA2199" s="1"/>
  <c r="AC2199" s="1"/>
  <c r="Z2198"/>
  <c r="AB2198" s="1"/>
  <c r="AD2198" s="1"/>
  <c r="Y2198"/>
  <c r="AA2198" s="1"/>
  <c r="AC2198" s="1"/>
  <c r="Z2197"/>
  <c r="AB2197" s="1"/>
  <c r="Y2197"/>
  <c r="AA2197" s="1"/>
  <c r="AC2197" s="1"/>
  <c r="L2197"/>
  <c r="L2194" s="1"/>
  <c r="Z2196"/>
  <c r="AB2196" s="1"/>
  <c r="Y2196"/>
  <c r="AA2196" s="1"/>
  <c r="AC2196" s="1"/>
  <c r="AA2195"/>
  <c r="AC2195" s="1"/>
  <c r="Z2195"/>
  <c r="Y2194"/>
  <c r="AA2194" s="1"/>
  <c r="AC2194" s="1"/>
  <c r="V2194"/>
  <c r="T2194"/>
  <c r="R2194"/>
  <c r="P2194"/>
  <c r="N2194"/>
  <c r="Z2193"/>
  <c r="Y2193"/>
  <c r="AA2193" s="1"/>
  <c r="AC2193" s="1"/>
  <c r="N2193"/>
  <c r="L2193" s="1"/>
  <c r="Z2192"/>
  <c r="AB2192" s="1"/>
  <c r="AD2192" s="1"/>
  <c r="Y2192"/>
  <c r="AA2192" s="1"/>
  <c r="AC2192" s="1"/>
  <c r="Z2191"/>
  <c r="Y2191"/>
  <c r="AA2191" s="1"/>
  <c r="AC2191" s="1"/>
  <c r="N2191"/>
  <c r="Z2190"/>
  <c r="AB2190" s="1"/>
  <c r="AD2190" s="1"/>
  <c r="Y2190"/>
  <c r="AA2190" s="1"/>
  <c r="AC2190" s="1"/>
  <c r="Z2189"/>
  <c r="AB2189" s="1"/>
  <c r="AD2189" s="1"/>
  <c r="Y2189"/>
  <c r="AA2189" s="1"/>
  <c r="AC2189" s="1"/>
  <c r="Z2188"/>
  <c r="AB2188" s="1"/>
  <c r="AD2188" s="1"/>
  <c r="Y2188"/>
  <c r="AA2188" s="1"/>
  <c r="AC2188" s="1"/>
  <c r="L2188"/>
  <c r="Z2187"/>
  <c r="AB2187" s="1"/>
  <c r="AD2187" s="1"/>
  <c r="Y2187"/>
  <c r="AA2187" s="1"/>
  <c r="AC2187" s="1"/>
  <c r="Z2186"/>
  <c r="Y2186"/>
  <c r="AA2186" s="1"/>
  <c r="AC2186" s="1"/>
  <c r="L2186"/>
  <c r="Z2185"/>
  <c r="AB2185" s="1"/>
  <c r="Y2185"/>
  <c r="AA2185" s="1"/>
  <c r="AC2185" s="1"/>
  <c r="L2185"/>
  <c r="AA2184"/>
  <c r="AC2184" s="1"/>
  <c r="Z2184"/>
  <c r="AB2184" s="1"/>
  <c r="Y2184"/>
  <c r="L2184"/>
  <c r="Y2183"/>
  <c r="AA2183" s="1"/>
  <c r="AC2183" s="1"/>
  <c r="V2183"/>
  <c r="T2183"/>
  <c r="R2183"/>
  <c r="P2183"/>
  <c r="Y2182"/>
  <c r="AB2201" l="1"/>
  <c r="AD2201" s="1"/>
  <c r="U2204"/>
  <c r="Y2204" s="1"/>
  <c r="AA2204" s="1"/>
  <c r="AC2204" s="1"/>
  <c r="AC2215"/>
  <c r="Z627"/>
  <c r="AB627" s="1"/>
  <c r="AD627" s="1"/>
  <c r="Z2252"/>
  <c r="Z2204"/>
  <c r="U2208"/>
  <c r="Y2208" s="1"/>
  <c r="AA2208" s="1"/>
  <c r="AC2208" s="1"/>
  <c r="N2183"/>
  <c r="N2182" s="1"/>
  <c r="V2206"/>
  <c r="AC2217"/>
  <c r="V2256"/>
  <c r="U2256" s="1"/>
  <c r="Y2256" s="1"/>
  <c r="AA2256" s="1"/>
  <c r="AC2256" s="1"/>
  <c r="AD2214"/>
  <c r="AD2218"/>
  <c r="Z2254"/>
  <c r="R2182"/>
  <c r="V2182"/>
  <c r="AD2212"/>
  <c r="Z2214"/>
  <c r="U2216"/>
  <c r="Y2216" s="1"/>
  <c r="AA2216" s="1"/>
  <c r="AC2216" s="1"/>
  <c r="AD2185"/>
  <c r="AD2197"/>
  <c r="R2226"/>
  <c r="R2225" s="1"/>
  <c r="T2182"/>
  <c r="V2231"/>
  <c r="Z2231" s="1"/>
  <c r="AB2231" s="1"/>
  <c r="AD2231" s="1"/>
  <c r="T2232"/>
  <c r="V2232" s="1"/>
  <c r="Z2236"/>
  <c r="AB2236" s="1"/>
  <c r="AD2236" s="1"/>
  <c r="V2237"/>
  <c r="Z2237" s="1"/>
  <c r="AB2237" s="1"/>
  <c r="AD2237" s="1"/>
  <c r="N2225"/>
  <c r="Z2248"/>
  <c r="Z2257"/>
  <c r="AB2257" s="1"/>
  <c r="Z2183"/>
  <c r="Z2260"/>
  <c r="AB2260" s="1"/>
  <c r="AD2260" s="1"/>
  <c r="AB2193"/>
  <c r="AD2193" s="1"/>
  <c r="Z2194"/>
  <c r="P2182"/>
  <c r="Z2210"/>
  <c r="L2216"/>
  <c r="AD2219"/>
  <c r="Z2229"/>
  <c r="AB2229" s="1"/>
  <c r="AD2229" s="1"/>
  <c r="P2225"/>
  <c r="L2261"/>
  <c r="L2225" s="1"/>
  <c r="U2261"/>
  <c r="Y2261" s="1"/>
  <c r="AA2261" s="1"/>
  <c r="AC2261" s="1"/>
  <c r="AD2251"/>
  <c r="AB2250"/>
  <c r="AD2250" s="1"/>
  <c r="AD2209"/>
  <c r="AB2208"/>
  <c r="AD2208" s="1"/>
  <c r="AD2253"/>
  <c r="AB2252"/>
  <c r="AD2252" s="1"/>
  <c r="AB2194"/>
  <c r="AD2194" s="1"/>
  <c r="AD2196"/>
  <c r="Z2206"/>
  <c r="AB2207"/>
  <c r="Z2242"/>
  <c r="V2239"/>
  <c r="AD2247"/>
  <c r="AB2246"/>
  <c r="AD2246" s="1"/>
  <c r="AD2203"/>
  <c r="AB2202"/>
  <c r="AD2202" s="1"/>
  <c r="AB2216"/>
  <c r="AD2216" s="1"/>
  <c r="AD2217"/>
  <c r="AB2191"/>
  <c r="Z2234"/>
  <c r="AB2234" s="1"/>
  <c r="AD2234" s="1"/>
  <c r="Z2244"/>
  <c r="AB2244" s="1"/>
  <c r="AD2244" s="1"/>
  <c r="AD2184"/>
  <c r="AB2186"/>
  <c r="AD2186" s="1"/>
  <c r="L2191"/>
  <c r="L2183" s="1"/>
  <c r="AB2204"/>
  <c r="AD2204" s="1"/>
  <c r="Z2208"/>
  <c r="AB2210"/>
  <c r="AD2210" s="1"/>
  <c r="Z2212"/>
  <c r="AD2215"/>
  <c r="AB2227"/>
  <c r="T2235"/>
  <c r="V2235" s="1"/>
  <c r="Z2246"/>
  <c r="AB2248"/>
  <c r="AD2248" s="1"/>
  <c r="Z2250"/>
  <c r="T2256"/>
  <c r="AD2262"/>
  <c r="Z2263"/>
  <c r="U2265"/>
  <c r="Y2265" s="1"/>
  <c r="AA2265" s="1"/>
  <c r="AC2265" s="1"/>
  <c r="AB2266"/>
  <c r="Z2216"/>
  <c r="Z2202"/>
  <c r="T2239"/>
  <c r="AB2254"/>
  <c r="AD2254" s="1"/>
  <c r="AB2200" l="1"/>
  <c r="AD2200" s="1"/>
  <c r="AC2223"/>
  <c r="AC2224" s="1"/>
  <c r="Z2232"/>
  <c r="AB2232" s="1"/>
  <c r="AD2232" s="1"/>
  <c r="Z2256"/>
  <c r="T2226"/>
  <c r="T2225" s="1"/>
  <c r="V2226"/>
  <c r="V2225" s="1"/>
  <c r="AC2267"/>
  <c r="AC2268" s="1"/>
  <c r="L2182"/>
  <c r="Z2182"/>
  <c r="Z2235"/>
  <c r="AB2235" s="1"/>
  <c r="AD2235" s="1"/>
  <c r="AD2266"/>
  <c r="AB2265"/>
  <c r="AD2265" s="1"/>
  <c r="AB2263"/>
  <c r="Z2261"/>
  <c r="AD2227"/>
  <c r="AD2257"/>
  <c r="AB2256"/>
  <c r="AD2256" s="1"/>
  <c r="Z2239"/>
  <c r="AB2242"/>
  <c r="AD2207"/>
  <c r="AB2206"/>
  <c r="AD2206" s="1"/>
  <c r="AD2191"/>
  <c r="AB2183"/>
  <c r="Z2226" l="1"/>
  <c r="Z2225" s="1"/>
  <c r="AB2226"/>
  <c r="AD2226" s="1"/>
  <c r="AB2182"/>
  <c r="AD2183"/>
  <c r="AD2223" s="1"/>
  <c r="AD2224" s="1"/>
  <c r="AD2263"/>
  <c r="AB2261"/>
  <c r="AD2261" s="1"/>
  <c r="AD2242"/>
  <c r="AB2239"/>
  <c r="AD2239" s="1"/>
  <c r="AD2267" l="1"/>
  <c r="AD2268" s="1"/>
  <c r="AB2225"/>
  <c r="V2372" l="1"/>
  <c r="T2372"/>
  <c r="R2372"/>
  <c r="P2372"/>
  <c r="N2372"/>
  <c r="L2372"/>
  <c r="Z2373"/>
  <c r="AB2373" s="1"/>
  <c r="Y2373"/>
  <c r="AA2373" s="1"/>
  <c r="AC2373" s="1"/>
  <c r="Z2374"/>
  <c r="AB2374" s="1"/>
  <c r="Y2374"/>
  <c r="AA2374" s="1"/>
  <c r="AC2374" s="1"/>
  <c r="Y2372"/>
  <c r="AA2372" s="1"/>
  <c r="AC2372" s="1"/>
  <c r="Z2380"/>
  <c r="AB2380" s="1"/>
  <c r="AD2380" s="1"/>
  <c r="Y2380"/>
  <c r="AA2380" s="1"/>
  <c r="AC2380" s="1"/>
  <c r="Y2349"/>
  <c r="AA2349" s="1"/>
  <c r="AC2349" s="1"/>
  <c r="Z2349"/>
  <c r="AB2349" s="1"/>
  <c r="AD2349" s="1"/>
  <c r="Y2403"/>
  <c r="AA2403" s="1"/>
  <c r="AC2403" s="1"/>
  <c r="V2403"/>
  <c r="T2403"/>
  <c r="R2403"/>
  <c r="P2403"/>
  <c r="L2403"/>
  <c r="Z2405"/>
  <c r="Y2405"/>
  <c r="AA2405" s="1"/>
  <c r="AC2405" s="1"/>
  <c r="N2405"/>
  <c r="Z2404"/>
  <c r="Y2404"/>
  <c r="AA2404" s="1"/>
  <c r="AC2404" s="1"/>
  <c r="N2404"/>
  <c r="V2412"/>
  <c r="T2412"/>
  <c r="R2412"/>
  <c r="P2412"/>
  <c r="L2412"/>
  <c r="Z2413"/>
  <c r="S2413"/>
  <c r="Y2413" s="1"/>
  <c r="AA2413" s="1"/>
  <c r="AC2413" s="1"/>
  <c r="N2413"/>
  <c r="Z2382"/>
  <c r="AB2382" s="1"/>
  <c r="AD2382" s="1"/>
  <c r="Y2382"/>
  <c r="AA2382" s="1"/>
  <c r="AC2382" s="1"/>
  <c r="Z2381"/>
  <c r="AB2381" s="1"/>
  <c r="AD2381" s="1"/>
  <c r="Y2381"/>
  <c r="AA2381" s="1"/>
  <c r="AC2381" s="1"/>
  <c r="Z2379"/>
  <c r="AB2379" s="1"/>
  <c r="AD2379" s="1"/>
  <c r="Y2379"/>
  <c r="AA2379" s="1"/>
  <c r="AC2379" s="1"/>
  <c r="Y2378"/>
  <c r="AA2378" s="1"/>
  <c r="AC2378" s="1"/>
  <c r="Z2377"/>
  <c r="AB2377" s="1"/>
  <c r="AD2377" s="1"/>
  <c r="Y2377"/>
  <c r="AA2377" s="1"/>
  <c r="AC2377" s="1"/>
  <c r="Y2376"/>
  <c r="AA2376" s="1"/>
  <c r="AC2376" s="1"/>
  <c r="Z2376"/>
  <c r="AB2376" s="1"/>
  <c r="R2375"/>
  <c r="P2375"/>
  <c r="N2375"/>
  <c r="L2375"/>
  <c r="Z2371"/>
  <c r="S2371"/>
  <c r="Y2371" s="1"/>
  <c r="AA2371" s="1"/>
  <c r="AC2371" s="1"/>
  <c r="V2370"/>
  <c r="T2370"/>
  <c r="R2370"/>
  <c r="P2370"/>
  <c r="N2370"/>
  <c r="L2370"/>
  <c r="Z2369"/>
  <c r="AB2369" s="1"/>
  <c r="AB2368" s="1"/>
  <c r="Y2369"/>
  <c r="AA2369" s="1"/>
  <c r="AC2369" s="1"/>
  <c r="Y2368"/>
  <c r="AA2368" s="1"/>
  <c r="AC2368" s="1"/>
  <c r="V2368"/>
  <c r="T2368"/>
  <c r="R2368"/>
  <c r="P2368"/>
  <c r="N2368"/>
  <c r="L2368"/>
  <c r="Z2367"/>
  <c r="AB2367" s="1"/>
  <c r="Y2367"/>
  <c r="AA2367" s="1"/>
  <c r="AC2367" s="1"/>
  <c r="Y2366"/>
  <c r="AA2366" s="1"/>
  <c r="AC2366" s="1"/>
  <c r="V2366"/>
  <c r="T2366"/>
  <c r="R2366"/>
  <c r="P2366"/>
  <c r="N2366"/>
  <c r="L2366"/>
  <c r="Z2365"/>
  <c r="AB2365" s="1"/>
  <c r="AD2365" s="1"/>
  <c r="Y2365"/>
  <c r="AA2365" s="1"/>
  <c r="AC2365" s="1"/>
  <c r="V2364"/>
  <c r="T2364"/>
  <c r="R2364"/>
  <c r="P2364"/>
  <c r="N2364"/>
  <c r="L2364"/>
  <c r="Z2363"/>
  <c r="AB2363" s="1"/>
  <c r="AD2363" s="1"/>
  <c r="Y2363"/>
  <c r="AA2363" s="1"/>
  <c r="AC2363" s="1"/>
  <c r="AA2362"/>
  <c r="AC2362" s="1"/>
  <c r="T2362"/>
  <c r="T2359" s="1"/>
  <c r="Y2361"/>
  <c r="AA2361" s="1"/>
  <c r="AC2361" s="1"/>
  <c r="V2361"/>
  <c r="Z2361" s="1"/>
  <c r="Z2360"/>
  <c r="AB2360" s="1"/>
  <c r="AD2360" s="1"/>
  <c r="Y2360"/>
  <c r="AA2360" s="1"/>
  <c r="AC2360" s="1"/>
  <c r="Y2359"/>
  <c r="AA2359" s="1"/>
  <c r="AC2359" s="1"/>
  <c r="R2359"/>
  <c r="P2359"/>
  <c r="N2359"/>
  <c r="L2359"/>
  <c r="Z2358"/>
  <c r="AB2358" s="1"/>
  <c r="AD2358" s="1"/>
  <c r="Y2358"/>
  <c r="AA2358" s="1"/>
  <c r="AC2358" s="1"/>
  <c r="Z2357"/>
  <c r="AB2357" s="1"/>
  <c r="AD2357" s="1"/>
  <c r="Y2357"/>
  <c r="AA2357" s="1"/>
  <c r="AC2357" s="1"/>
  <c r="Z2356"/>
  <c r="AB2356" s="1"/>
  <c r="AD2356" s="1"/>
  <c r="Y2356"/>
  <c r="AA2356" s="1"/>
  <c r="AC2356" s="1"/>
  <c r="Z2355"/>
  <c r="AB2355" s="1"/>
  <c r="AD2355" s="1"/>
  <c r="Y2355"/>
  <c r="AA2355" s="1"/>
  <c r="AC2355" s="1"/>
  <c r="Z2354"/>
  <c r="AB2354" s="1"/>
  <c r="AD2354" s="1"/>
  <c r="Y2354"/>
  <c r="AA2354" s="1"/>
  <c r="AC2354" s="1"/>
  <c r="Z2353"/>
  <c r="AB2353" s="1"/>
  <c r="AD2353" s="1"/>
  <c r="Y2353"/>
  <c r="AA2353" s="1"/>
  <c r="AC2353" s="1"/>
  <c r="Z2352"/>
  <c r="AB2352" s="1"/>
  <c r="AD2352" s="1"/>
  <c r="Y2352"/>
  <c r="AA2352" s="1"/>
  <c r="AC2352" s="1"/>
  <c r="Y2351"/>
  <c r="AA2351" s="1"/>
  <c r="AC2351" s="1"/>
  <c r="Z2351"/>
  <c r="AB2351" s="1"/>
  <c r="AD2351" s="1"/>
  <c r="Z2350"/>
  <c r="Y2350"/>
  <c r="AA2350" s="1"/>
  <c r="AC2350" s="1"/>
  <c r="N2350"/>
  <c r="N2347" s="1"/>
  <c r="Y2348"/>
  <c r="AA2348" s="1"/>
  <c r="AC2348" s="1"/>
  <c r="Z2348"/>
  <c r="AB2348" s="1"/>
  <c r="Y2347"/>
  <c r="AA2347" s="1"/>
  <c r="AC2347" s="1"/>
  <c r="R2347"/>
  <c r="P2347"/>
  <c r="L2347"/>
  <c r="Y2346"/>
  <c r="Z2372" l="1"/>
  <c r="AB2372" s="1"/>
  <c r="AD2372" s="1"/>
  <c r="R2346"/>
  <c r="P2346"/>
  <c r="N2346"/>
  <c r="L2346"/>
  <c r="N2403"/>
  <c r="AB2405"/>
  <c r="AD2405" s="1"/>
  <c r="AB2404"/>
  <c r="AD2404" s="1"/>
  <c r="AB2413"/>
  <c r="AD2413" s="1"/>
  <c r="Z2370"/>
  <c r="U2364"/>
  <c r="Y2364" s="1"/>
  <c r="AA2364" s="1"/>
  <c r="AC2364" s="1"/>
  <c r="Z2368"/>
  <c r="T2347"/>
  <c r="V2362"/>
  <c r="Z2362" s="1"/>
  <c r="AB2362" s="1"/>
  <c r="AD2362" s="1"/>
  <c r="U2370"/>
  <c r="Y2370" s="1"/>
  <c r="AA2370" s="1"/>
  <c r="AC2370" s="1"/>
  <c r="Z2347"/>
  <c r="AD2368"/>
  <c r="Z2364"/>
  <c r="T2375"/>
  <c r="AB2350"/>
  <c r="AD2350" s="1"/>
  <c r="V2375"/>
  <c r="U2375" s="1"/>
  <c r="Y2375" s="1"/>
  <c r="AA2375" s="1"/>
  <c r="AC2375" s="1"/>
  <c r="AD2367"/>
  <c r="AB2366"/>
  <c r="AD2366" s="1"/>
  <c r="AD2348"/>
  <c r="AB2361"/>
  <c r="AD2361" s="1"/>
  <c r="AD2376"/>
  <c r="V2347"/>
  <c r="AB2371"/>
  <c r="AB2364"/>
  <c r="AD2364" s="1"/>
  <c r="Z2366"/>
  <c r="Z2378"/>
  <c r="AC2383" l="1"/>
  <c r="AC2384" s="1"/>
  <c r="V2346"/>
  <c r="V2359"/>
  <c r="Z2359"/>
  <c r="T2346"/>
  <c r="AB2347"/>
  <c r="Z2375"/>
  <c r="AB2378"/>
  <c r="AD2371"/>
  <c r="AB2370"/>
  <c r="AD2370" s="1"/>
  <c r="AB2359"/>
  <c r="AD2359" s="1"/>
  <c r="Z2301"/>
  <c r="AB2301" s="1"/>
  <c r="AD2301" s="1"/>
  <c r="Y2301"/>
  <c r="AA2301" s="1"/>
  <c r="AC2301" s="1"/>
  <c r="Z2300"/>
  <c r="AB2300" s="1"/>
  <c r="AD2300" s="1"/>
  <c r="Y2300"/>
  <c r="AA2300" s="1"/>
  <c r="AC2300" s="1"/>
  <c r="Z2299"/>
  <c r="AB2299" s="1"/>
  <c r="AD2299" s="1"/>
  <c r="Y2299"/>
  <c r="AA2299" s="1"/>
  <c r="AC2299" s="1"/>
  <c r="Y2298"/>
  <c r="AA2298" s="1"/>
  <c r="AC2298" s="1"/>
  <c r="T2298"/>
  <c r="Z2298" s="1"/>
  <c r="AB2298" s="1"/>
  <c r="AD2298" s="1"/>
  <c r="Z2297"/>
  <c r="AB2297" s="1"/>
  <c r="AD2297" s="1"/>
  <c r="Y2297"/>
  <c r="AA2297" s="1"/>
  <c r="AC2297" s="1"/>
  <c r="Y2296"/>
  <c r="AA2296" s="1"/>
  <c r="AC2296" s="1"/>
  <c r="T2296"/>
  <c r="V2296" s="1"/>
  <c r="V2295" s="1"/>
  <c r="R2295"/>
  <c r="P2295"/>
  <c r="N2295"/>
  <c r="L2295"/>
  <c r="Z2294"/>
  <c r="AB2294" s="1"/>
  <c r="AD2294" s="1"/>
  <c r="S2294"/>
  <c r="Y2294" s="1"/>
  <c r="AA2294" s="1"/>
  <c r="AC2294" s="1"/>
  <c r="Z2293"/>
  <c r="AB2293" s="1"/>
  <c r="AD2293" s="1"/>
  <c r="S2293"/>
  <c r="Y2293" s="1"/>
  <c r="AA2293" s="1"/>
  <c r="AC2293" s="1"/>
  <c r="V2292"/>
  <c r="T2292"/>
  <c r="R2292"/>
  <c r="P2292"/>
  <c r="N2292"/>
  <c r="L2292"/>
  <c r="Z2291"/>
  <c r="AB2291" s="1"/>
  <c r="AB2290" s="1"/>
  <c r="Y2291"/>
  <c r="AA2291" s="1"/>
  <c r="AC2291" s="1"/>
  <c r="Y2290"/>
  <c r="AA2290" s="1"/>
  <c r="AC2290" s="1"/>
  <c r="V2290"/>
  <c r="T2290"/>
  <c r="R2290"/>
  <c r="P2290"/>
  <c r="N2290"/>
  <c r="L2290"/>
  <c r="Z2289"/>
  <c r="AB2289" s="1"/>
  <c r="AD2289" s="1"/>
  <c r="Y2289"/>
  <c r="AA2289" s="1"/>
  <c r="AC2289" s="1"/>
  <c r="Y2288"/>
  <c r="AA2288" s="1"/>
  <c r="AC2288" s="1"/>
  <c r="V2288"/>
  <c r="T2288"/>
  <c r="R2288"/>
  <c r="P2288"/>
  <c r="N2288"/>
  <c r="L2288"/>
  <c r="Z2287"/>
  <c r="AB2287" s="1"/>
  <c r="Y2287"/>
  <c r="AA2287" s="1"/>
  <c r="AC2287" s="1"/>
  <c r="V2286"/>
  <c r="T2286"/>
  <c r="R2286"/>
  <c r="P2286"/>
  <c r="N2286"/>
  <c r="L2286"/>
  <c r="Z2285"/>
  <c r="AB2285" s="1"/>
  <c r="AD2285" s="1"/>
  <c r="Y2285"/>
  <c r="AA2285" s="1"/>
  <c r="AC2285" s="1"/>
  <c r="AA2284"/>
  <c r="AC2284" s="1"/>
  <c r="T2284"/>
  <c r="Y2283"/>
  <c r="AA2283" s="1"/>
  <c r="AC2283" s="1"/>
  <c r="V2283"/>
  <c r="Z2283" s="1"/>
  <c r="AB2283" s="1"/>
  <c r="AD2283" s="1"/>
  <c r="Z2282"/>
  <c r="AB2282" s="1"/>
  <c r="Y2282"/>
  <c r="AA2282" s="1"/>
  <c r="AC2282" s="1"/>
  <c r="Y2281"/>
  <c r="AA2281" s="1"/>
  <c r="AC2281" s="1"/>
  <c r="R2281"/>
  <c r="P2281"/>
  <c r="N2281"/>
  <c r="L2281"/>
  <c r="Z2280"/>
  <c r="AB2280" s="1"/>
  <c r="AD2280" s="1"/>
  <c r="Y2280"/>
  <c r="AA2280" s="1"/>
  <c r="AC2280" s="1"/>
  <c r="Z2279"/>
  <c r="AB2279" s="1"/>
  <c r="AD2279" s="1"/>
  <c r="Y2279"/>
  <c r="AA2279" s="1"/>
  <c r="AC2279" s="1"/>
  <c r="Z2278"/>
  <c r="AB2278" s="1"/>
  <c r="AD2278" s="1"/>
  <c r="Y2278"/>
  <c r="AA2278" s="1"/>
  <c r="AC2278" s="1"/>
  <c r="Z2277"/>
  <c r="AB2277" s="1"/>
  <c r="AD2277" s="1"/>
  <c r="Y2277"/>
  <c r="AA2277" s="1"/>
  <c r="AC2277" s="1"/>
  <c r="Z2276"/>
  <c r="AB2276" s="1"/>
  <c r="AD2276" s="1"/>
  <c r="Y2276"/>
  <c r="AA2276" s="1"/>
  <c r="AC2276" s="1"/>
  <c r="Z2275"/>
  <c r="AB2275" s="1"/>
  <c r="AD2275" s="1"/>
  <c r="Y2275"/>
  <c r="AA2275" s="1"/>
  <c r="AC2275" s="1"/>
  <c r="Z2274"/>
  <c r="AB2274" s="1"/>
  <c r="AD2274" s="1"/>
  <c r="Y2274"/>
  <c r="AA2274" s="1"/>
  <c r="AC2274" s="1"/>
  <c r="Y2273"/>
  <c r="AA2273" s="1"/>
  <c r="AC2273" s="1"/>
  <c r="V2273"/>
  <c r="Z2273" s="1"/>
  <c r="AB2273" s="1"/>
  <c r="AD2273" s="1"/>
  <c r="Z2272"/>
  <c r="Y2272"/>
  <c r="AA2272" s="1"/>
  <c r="AC2272" s="1"/>
  <c r="N2272"/>
  <c r="Y2271"/>
  <c r="AA2271" s="1"/>
  <c r="AC2271" s="1"/>
  <c r="T2271"/>
  <c r="V2271" s="1"/>
  <c r="Y2270"/>
  <c r="AA2270" s="1"/>
  <c r="AC2270" s="1"/>
  <c r="R2270"/>
  <c r="P2270"/>
  <c r="L2270"/>
  <c r="Y2269"/>
  <c r="L2175"/>
  <c r="L2179"/>
  <c r="L2176"/>
  <c r="AD2176" s="1"/>
  <c r="L2168"/>
  <c r="AD2168" s="1"/>
  <c r="V2165"/>
  <c r="V2163" s="1"/>
  <c r="T2165"/>
  <c r="T2163" s="1"/>
  <c r="R2165"/>
  <c r="R2163" s="1"/>
  <c r="P2165"/>
  <c r="P2163" s="1"/>
  <c r="N2165"/>
  <c r="N2163" s="1"/>
  <c r="L2165"/>
  <c r="L2163" s="1"/>
  <c r="V2161"/>
  <c r="V2159" s="1"/>
  <c r="T2161"/>
  <c r="T2159" s="1"/>
  <c r="R2161"/>
  <c r="R2159" s="1"/>
  <c r="P2161"/>
  <c r="P2159" s="1"/>
  <c r="N2161"/>
  <c r="N2159" s="1"/>
  <c r="L2161"/>
  <c r="L2159" s="1"/>
  <c r="L2156"/>
  <c r="L2151" s="1"/>
  <c r="L2150"/>
  <c r="AC2175"/>
  <c r="AC2168"/>
  <c r="AC2165"/>
  <c r="AC2150"/>
  <c r="X2178"/>
  <c r="X2170"/>
  <c r="V2170"/>
  <c r="T2170"/>
  <c r="R2170"/>
  <c r="P2170"/>
  <c r="N2170"/>
  <c r="V2167"/>
  <c r="T2167"/>
  <c r="R2167"/>
  <c r="P2167"/>
  <c r="N2167"/>
  <c r="V2157"/>
  <c r="T2157"/>
  <c r="R2157"/>
  <c r="P2157"/>
  <c r="L2157"/>
  <c r="N2157"/>
  <c r="V2151"/>
  <c r="T2151"/>
  <c r="R2151"/>
  <c r="P2151"/>
  <c r="N2151"/>
  <c r="V2138"/>
  <c r="T2138"/>
  <c r="R2138"/>
  <c r="P2138"/>
  <c r="N2138"/>
  <c r="X1860"/>
  <c r="X2133"/>
  <c r="V2133"/>
  <c r="T2133"/>
  <c r="R2133"/>
  <c r="P2133"/>
  <c r="N2133"/>
  <c r="L2133"/>
  <c r="X2123"/>
  <c r="V2123"/>
  <c r="T2123"/>
  <c r="R2123"/>
  <c r="P2123"/>
  <c r="N2123"/>
  <c r="L2123"/>
  <c r="X2121"/>
  <c r="V2121"/>
  <c r="T2121"/>
  <c r="R2121"/>
  <c r="P2121"/>
  <c r="N2121"/>
  <c r="L2121"/>
  <c r="X2119"/>
  <c r="V2119"/>
  <c r="T2119"/>
  <c r="R2119"/>
  <c r="P2119"/>
  <c r="N2119"/>
  <c r="L2119"/>
  <c r="V2117"/>
  <c r="T2117"/>
  <c r="R2117"/>
  <c r="P2117"/>
  <c r="N2117"/>
  <c r="L2117"/>
  <c r="V2114"/>
  <c r="L2114"/>
  <c r="V2111"/>
  <c r="T2111"/>
  <c r="R2111"/>
  <c r="P2111"/>
  <c r="N2111"/>
  <c r="L2111"/>
  <c r="V2109"/>
  <c r="T2109"/>
  <c r="R2109"/>
  <c r="P2109"/>
  <c r="N2109"/>
  <c r="L2109"/>
  <c r="V2103"/>
  <c r="T2103"/>
  <c r="R2103"/>
  <c r="P2103"/>
  <c r="N2103"/>
  <c r="L2103"/>
  <c r="V2101"/>
  <c r="T2101"/>
  <c r="R2101"/>
  <c r="P2101"/>
  <c r="N2101"/>
  <c r="L2101"/>
  <c r="V2089"/>
  <c r="T2089"/>
  <c r="R2089"/>
  <c r="P2089"/>
  <c r="N2089"/>
  <c r="L2089"/>
  <c r="Z2050"/>
  <c r="AB2050" s="1"/>
  <c r="AD2050" s="1"/>
  <c r="Y2050"/>
  <c r="AA2050" s="1"/>
  <c r="AC2050" s="1"/>
  <c r="Z2049"/>
  <c r="AB2049" s="1"/>
  <c r="AD2049" s="1"/>
  <c r="Y2049"/>
  <c r="AA2049" s="1"/>
  <c r="AC2049" s="1"/>
  <c r="Z2048"/>
  <c r="AB2048" s="1"/>
  <c r="AD2048" s="1"/>
  <c r="Y2048"/>
  <c r="AA2048" s="1"/>
  <c r="AC2048" s="1"/>
  <c r="Y2047"/>
  <c r="AA2047" s="1"/>
  <c r="AC2047" s="1"/>
  <c r="T2047"/>
  <c r="Z2046"/>
  <c r="AB2046" s="1"/>
  <c r="AD2046" s="1"/>
  <c r="Y2046"/>
  <c r="AA2046" s="1"/>
  <c r="AC2046" s="1"/>
  <c r="Y2045"/>
  <c r="AA2045" s="1"/>
  <c r="AC2045" s="1"/>
  <c r="T2045"/>
  <c r="V2045" s="1"/>
  <c r="R2044"/>
  <c r="P2044"/>
  <c r="N2044"/>
  <c r="L2044"/>
  <c r="Z2043"/>
  <c r="AB2043" s="1"/>
  <c r="AD2043" s="1"/>
  <c r="S2043"/>
  <c r="Y2043" s="1"/>
  <c r="AA2043" s="1"/>
  <c r="AC2043" s="1"/>
  <c r="Z2042"/>
  <c r="AB2042" s="1"/>
  <c r="S2042"/>
  <c r="Y2042" s="1"/>
  <c r="AA2042" s="1"/>
  <c r="AC2042" s="1"/>
  <c r="V2041"/>
  <c r="T2041"/>
  <c r="R2041"/>
  <c r="P2041"/>
  <c r="N2041"/>
  <c r="L2041"/>
  <c r="Z2040"/>
  <c r="AB2040" s="1"/>
  <c r="AB2039" s="1"/>
  <c r="Y2040"/>
  <c r="AA2040" s="1"/>
  <c r="AC2040" s="1"/>
  <c r="Y2039"/>
  <c r="AA2039" s="1"/>
  <c r="AC2039" s="1"/>
  <c r="V2039"/>
  <c r="T2039"/>
  <c r="R2039"/>
  <c r="P2039"/>
  <c r="N2039"/>
  <c r="L2039"/>
  <c r="Z2038"/>
  <c r="AB2038" s="1"/>
  <c r="Y2038"/>
  <c r="AA2038" s="1"/>
  <c r="AC2038" s="1"/>
  <c r="Y2037"/>
  <c r="AA2037" s="1"/>
  <c r="AC2037" s="1"/>
  <c r="V2037"/>
  <c r="T2037"/>
  <c r="R2037"/>
  <c r="P2037"/>
  <c r="N2037"/>
  <c r="L2037"/>
  <c r="Z2036"/>
  <c r="Z2035" s="1"/>
  <c r="Y2036"/>
  <c r="AA2036" s="1"/>
  <c r="AC2036" s="1"/>
  <c r="V2035"/>
  <c r="T2035"/>
  <c r="R2035"/>
  <c r="P2035"/>
  <c r="N2035"/>
  <c r="L2035"/>
  <c r="Z2034"/>
  <c r="AB2034" s="1"/>
  <c r="AD2034" s="1"/>
  <c r="Y2034"/>
  <c r="AA2034" s="1"/>
  <c r="AC2034" s="1"/>
  <c r="AA2033"/>
  <c r="AC2033" s="1"/>
  <c r="T2033"/>
  <c r="Y2032"/>
  <c r="AA2032" s="1"/>
  <c r="AC2032" s="1"/>
  <c r="V2032"/>
  <c r="Z2032" s="1"/>
  <c r="AB2032" s="1"/>
  <c r="AD2032" s="1"/>
  <c r="Z2031"/>
  <c r="AB2031" s="1"/>
  <c r="Y2031"/>
  <c r="AA2031" s="1"/>
  <c r="AC2031" s="1"/>
  <c r="Y2030"/>
  <c r="AA2030" s="1"/>
  <c r="AC2030" s="1"/>
  <c r="R2030"/>
  <c r="P2030"/>
  <c r="N2030"/>
  <c r="L2030"/>
  <c r="Z2029"/>
  <c r="AB2029" s="1"/>
  <c r="AD2029" s="1"/>
  <c r="Y2029"/>
  <c r="AA2029" s="1"/>
  <c r="AC2029" s="1"/>
  <c r="Z2028"/>
  <c r="AB2028" s="1"/>
  <c r="AD2028" s="1"/>
  <c r="Y2028"/>
  <c r="AA2028" s="1"/>
  <c r="AC2028" s="1"/>
  <c r="Z2027"/>
  <c r="AB2027" s="1"/>
  <c r="AD2027" s="1"/>
  <c r="Y2027"/>
  <c r="AA2027" s="1"/>
  <c r="AC2027" s="1"/>
  <c r="Z2026"/>
  <c r="AB2026" s="1"/>
  <c r="AD2026" s="1"/>
  <c r="Y2026"/>
  <c r="AA2026" s="1"/>
  <c r="AC2026" s="1"/>
  <c r="Z2025"/>
  <c r="AB2025" s="1"/>
  <c r="AD2025" s="1"/>
  <c r="Y2025"/>
  <c r="AA2025" s="1"/>
  <c r="AC2025" s="1"/>
  <c r="Z2024"/>
  <c r="AB2024" s="1"/>
  <c r="AD2024" s="1"/>
  <c r="Y2024"/>
  <c r="AA2024" s="1"/>
  <c r="AC2024" s="1"/>
  <c r="Z2023"/>
  <c r="AB2023" s="1"/>
  <c r="AD2023" s="1"/>
  <c r="Y2023"/>
  <c r="AA2023" s="1"/>
  <c r="AC2023" s="1"/>
  <c r="Y2022"/>
  <c r="AA2022" s="1"/>
  <c r="AC2022" s="1"/>
  <c r="V2022"/>
  <c r="Z2022" s="1"/>
  <c r="AB2022" s="1"/>
  <c r="AD2022" s="1"/>
  <c r="Z2021"/>
  <c r="Y2021"/>
  <c r="AA2021" s="1"/>
  <c r="AC2021" s="1"/>
  <c r="N2021"/>
  <c r="N2019" s="1"/>
  <c r="Y2020"/>
  <c r="AA2020" s="1"/>
  <c r="AC2020" s="1"/>
  <c r="T2020"/>
  <c r="T2019" s="1"/>
  <c r="Y2019"/>
  <c r="AA2019" s="1"/>
  <c r="AC2019" s="1"/>
  <c r="R2019"/>
  <c r="P2019"/>
  <c r="L2019"/>
  <c r="Y2018"/>
  <c r="Z2015"/>
  <c r="AB2015" s="1"/>
  <c r="AD2015" s="1"/>
  <c r="Y2015"/>
  <c r="AA2015" s="1"/>
  <c r="AC2015" s="1"/>
  <c r="Z2014"/>
  <c r="AB2014" s="1"/>
  <c r="AD2014" s="1"/>
  <c r="Y2014"/>
  <c r="AA2014" s="1"/>
  <c r="AC2014" s="1"/>
  <c r="Z2013"/>
  <c r="AB2013" s="1"/>
  <c r="AD2013" s="1"/>
  <c r="Y2013"/>
  <c r="AA2013" s="1"/>
  <c r="AC2013" s="1"/>
  <c r="Y2012"/>
  <c r="AA2012" s="1"/>
  <c r="AC2012" s="1"/>
  <c r="T2012"/>
  <c r="Z2012" s="1"/>
  <c r="AB2012" s="1"/>
  <c r="AD2012" s="1"/>
  <c r="Z2011"/>
  <c r="AB2011" s="1"/>
  <c r="AD2011" s="1"/>
  <c r="Y2011"/>
  <c r="AA2011" s="1"/>
  <c r="AC2011" s="1"/>
  <c r="Y2010"/>
  <c r="AA2010" s="1"/>
  <c r="AC2010" s="1"/>
  <c r="T2010"/>
  <c r="V2010" s="1"/>
  <c r="V2009" s="1"/>
  <c r="R2009"/>
  <c r="P2009"/>
  <c r="N2009"/>
  <c r="L2009"/>
  <c r="Z2008"/>
  <c r="AB2008" s="1"/>
  <c r="AD2008" s="1"/>
  <c r="S2008"/>
  <c r="Y2008" s="1"/>
  <c r="AA2008" s="1"/>
  <c r="AC2008" s="1"/>
  <c r="Z2007"/>
  <c r="AB2007" s="1"/>
  <c r="AD2007" s="1"/>
  <c r="S2007"/>
  <c r="Y2007" s="1"/>
  <c r="AA2007" s="1"/>
  <c r="AC2007" s="1"/>
  <c r="V2006"/>
  <c r="T2006"/>
  <c r="R2006"/>
  <c r="P2006"/>
  <c r="N2006"/>
  <c r="L2006"/>
  <c r="Z2005"/>
  <c r="AB2005" s="1"/>
  <c r="AB2004" s="1"/>
  <c r="Y2005"/>
  <c r="AA2005" s="1"/>
  <c r="AC2005" s="1"/>
  <c r="Y2004"/>
  <c r="AA2004" s="1"/>
  <c r="AC2004" s="1"/>
  <c r="V2004"/>
  <c r="T2004"/>
  <c r="R2004"/>
  <c r="P2004"/>
  <c r="N2004"/>
  <c r="L2004"/>
  <c r="Z2003"/>
  <c r="Z2002" s="1"/>
  <c r="Y2003"/>
  <c r="AA2003" s="1"/>
  <c r="AC2003" s="1"/>
  <c r="Y2002"/>
  <c r="AA2002" s="1"/>
  <c r="AC2002" s="1"/>
  <c r="V2002"/>
  <c r="T2002"/>
  <c r="R2002"/>
  <c r="P2002"/>
  <c r="N2002"/>
  <c r="L2002"/>
  <c r="Z2001"/>
  <c r="AB2001" s="1"/>
  <c r="Y2001"/>
  <c r="AA2001" s="1"/>
  <c r="AC2001" s="1"/>
  <c r="V2000"/>
  <c r="T2000"/>
  <c r="R2000"/>
  <c r="P2000"/>
  <c r="N2000"/>
  <c r="L2000"/>
  <c r="Z1999"/>
  <c r="AB1999" s="1"/>
  <c r="AD1999" s="1"/>
  <c r="Y1999"/>
  <c r="AA1999" s="1"/>
  <c r="AC1999" s="1"/>
  <c r="AA1998"/>
  <c r="AC1998" s="1"/>
  <c r="T1998"/>
  <c r="Y1997"/>
  <c r="AA1997" s="1"/>
  <c r="AC1997" s="1"/>
  <c r="V1997"/>
  <c r="Z1997" s="1"/>
  <c r="AB1997" s="1"/>
  <c r="AD1997" s="1"/>
  <c r="Z1996"/>
  <c r="AB1996" s="1"/>
  <c r="Y1996"/>
  <c r="AA1996" s="1"/>
  <c r="AC1996" s="1"/>
  <c r="Y1995"/>
  <c r="AA1995" s="1"/>
  <c r="AC1995" s="1"/>
  <c r="R1995"/>
  <c r="P1995"/>
  <c r="N1995"/>
  <c r="L1995"/>
  <c r="Z1994"/>
  <c r="AB1994" s="1"/>
  <c r="AD1994" s="1"/>
  <c r="Y1994"/>
  <c r="AA1994" s="1"/>
  <c r="AC1994" s="1"/>
  <c r="Z1993"/>
  <c r="AB1993" s="1"/>
  <c r="AD1993" s="1"/>
  <c r="Y1993"/>
  <c r="AA1993" s="1"/>
  <c r="AC1993" s="1"/>
  <c r="Z1992"/>
  <c r="AB1992" s="1"/>
  <c r="AD1992" s="1"/>
  <c r="Y1992"/>
  <c r="AA1992" s="1"/>
  <c r="AC1992" s="1"/>
  <c r="Z1991"/>
  <c r="AB1991" s="1"/>
  <c r="AD1991" s="1"/>
  <c r="Y1991"/>
  <c r="AA1991" s="1"/>
  <c r="AC1991" s="1"/>
  <c r="Z1990"/>
  <c r="AB1990" s="1"/>
  <c r="AD1990" s="1"/>
  <c r="Y1990"/>
  <c r="AA1990" s="1"/>
  <c r="AC1990" s="1"/>
  <c r="Z1989"/>
  <c r="AB1989" s="1"/>
  <c r="AD1989" s="1"/>
  <c r="Y1989"/>
  <c r="AA1989" s="1"/>
  <c r="AC1989" s="1"/>
  <c r="Z1988"/>
  <c r="AB1988" s="1"/>
  <c r="AD1988" s="1"/>
  <c r="Y1988"/>
  <c r="AA1988" s="1"/>
  <c r="AC1988" s="1"/>
  <c r="Y1987"/>
  <c r="AA1987" s="1"/>
  <c r="AC1987" s="1"/>
  <c r="V1987"/>
  <c r="Z1987" s="1"/>
  <c r="AB1987" s="1"/>
  <c r="AD1987" s="1"/>
  <c r="Z1986"/>
  <c r="Y1986"/>
  <c r="AA1986" s="1"/>
  <c r="AC1986" s="1"/>
  <c r="N1986"/>
  <c r="N1984" s="1"/>
  <c r="Y1985"/>
  <c r="AA1985" s="1"/>
  <c r="AC1985" s="1"/>
  <c r="T1985"/>
  <c r="V1985" s="1"/>
  <c r="Y1984"/>
  <c r="AA1984" s="1"/>
  <c r="AC1984" s="1"/>
  <c r="R1984"/>
  <c r="P1984"/>
  <c r="L1984"/>
  <c r="Y1983"/>
  <c r="Z1980"/>
  <c r="AB1980" s="1"/>
  <c r="AD1980" s="1"/>
  <c r="Y1980"/>
  <c r="AA1980" s="1"/>
  <c r="AC1980" s="1"/>
  <c r="Z1979"/>
  <c r="AB1979" s="1"/>
  <c r="AD1979" s="1"/>
  <c r="Y1979"/>
  <c r="AA1979" s="1"/>
  <c r="AC1979" s="1"/>
  <c r="Z1978"/>
  <c r="AB1978" s="1"/>
  <c r="AD1978" s="1"/>
  <c r="Y1978"/>
  <c r="AA1978" s="1"/>
  <c r="AC1978" s="1"/>
  <c r="Y1977"/>
  <c r="AA1977" s="1"/>
  <c r="AC1977" s="1"/>
  <c r="T1977"/>
  <c r="Z1977" s="1"/>
  <c r="AB1977" s="1"/>
  <c r="AD1977" s="1"/>
  <c r="Z1976"/>
  <c r="AB1976" s="1"/>
  <c r="AD1976" s="1"/>
  <c r="Y1976"/>
  <c r="AA1976" s="1"/>
  <c r="AC1976" s="1"/>
  <c r="Y1975"/>
  <c r="AA1975" s="1"/>
  <c r="AC1975" s="1"/>
  <c r="T1975"/>
  <c r="V1975" s="1"/>
  <c r="V1974" s="1"/>
  <c r="R1974"/>
  <c r="P1974"/>
  <c r="N1974"/>
  <c r="L1974"/>
  <c r="Z1973"/>
  <c r="AB1973" s="1"/>
  <c r="AD1973" s="1"/>
  <c r="S1973"/>
  <c r="Y1973" s="1"/>
  <c r="AA1973" s="1"/>
  <c r="AC1973" s="1"/>
  <c r="Z1972"/>
  <c r="S1972"/>
  <c r="Y1972" s="1"/>
  <c r="AA1972" s="1"/>
  <c r="AC1972" s="1"/>
  <c r="V1971"/>
  <c r="T1971"/>
  <c r="R1971"/>
  <c r="P1971"/>
  <c r="N1971"/>
  <c r="L1971"/>
  <c r="Z1970"/>
  <c r="AB1970" s="1"/>
  <c r="AB1969" s="1"/>
  <c r="Y1970"/>
  <c r="AA1970" s="1"/>
  <c r="AC1970" s="1"/>
  <c r="Y1969"/>
  <c r="AA1969" s="1"/>
  <c r="AC1969" s="1"/>
  <c r="V1969"/>
  <c r="T1969"/>
  <c r="R1969"/>
  <c r="P1969"/>
  <c r="N1969"/>
  <c r="L1969"/>
  <c r="Z1968"/>
  <c r="AB1968" s="1"/>
  <c r="AD1968" s="1"/>
  <c r="Y1968"/>
  <c r="AA1968" s="1"/>
  <c r="AC1968" s="1"/>
  <c r="Y1967"/>
  <c r="AA1967" s="1"/>
  <c r="AC1967" s="1"/>
  <c r="V1967"/>
  <c r="T1967"/>
  <c r="R1967"/>
  <c r="P1967"/>
  <c r="N1967"/>
  <c r="L1967"/>
  <c r="Z1966"/>
  <c r="AB1966" s="1"/>
  <c r="Y1966"/>
  <c r="AA1966" s="1"/>
  <c r="AC1966" s="1"/>
  <c r="V1965"/>
  <c r="T1965"/>
  <c r="R1965"/>
  <c r="P1965"/>
  <c r="N1965"/>
  <c r="L1965"/>
  <c r="Z1964"/>
  <c r="AB1964" s="1"/>
  <c r="AD1964" s="1"/>
  <c r="Y1964"/>
  <c r="AA1964" s="1"/>
  <c r="AC1964" s="1"/>
  <c r="AA1963"/>
  <c r="AC1963" s="1"/>
  <c r="T1963"/>
  <c r="Y1962"/>
  <c r="AA1962" s="1"/>
  <c r="AC1962" s="1"/>
  <c r="V1962"/>
  <c r="Z1962" s="1"/>
  <c r="AB1962" s="1"/>
  <c r="AD1962" s="1"/>
  <c r="Z1961"/>
  <c r="AB1961" s="1"/>
  <c r="Y1961"/>
  <c r="AA1961" s="1"/>
  <c r="AC1961" s="1"/>
  <c r="Y1960"/>
  <c r="AA1960" s="1"/>
  <c r="AC1960" s="1"/>
  <c r="R1960"/>
  <c r="P1960"/>
  <c r="N1960"/>
  <c r="L1960"/>
  <c r="Z1959"/>
  <c r="AB1959" s="1"/>
  <c r="AD1959" s="1"/>
  <c r="Y1959"/>
  <c r="AA1959" s="1"/>
  <c r="AC1959" s="1"/>
  <c r="Z1958"/>
  <c r="AB1958" s="1"/>
  <c r="AD1958" s="1"/>
  <c r="Y1958"/>
  <c r="AA1958" s="1"/>
  <c r="AC1958" s="1"/>
  <c r="Z1957"/>
  <c r="AB1957" s="1"/>
  <c r="AD1957" s="1"/>
  <c r="Y1957"/>
  <c r="AA1957" s="1"/>
  <c r="AC1957" s="1"/>
  <c r="Z1956"/>
  <c r="AB1956" s="1"/>
  <c r="AD1956" s="1"/>
  <c r="Y1956"/>
  <c r="AA1956" s="1"/>
  <c r="AC1956" s="1"/>
  <c r="Z1955"/>
  <c r="AB1955" s="1"/>
  <c r="AD1955" s="1"/>
  <c r="Y1955"/>
  <c r="AA1955" s="1"/>
  <c r="AC1955" s="1"/>
  <c r="Z1954"/>
  <c r="AB1954" s="1"/>
  <c r="AD1954" s="1"/>
  <c r="Y1954"/>
  <c r="AA1954" s="1"/>
  <c r="AC1954" s="1"/>
  <c r="Z1953"/>
  <c r="AB1953" s="1"/>
  <c r="AD1953" s="1"/>
  <c r="Y1953"/>
  <c r="AA1953" s="1"/>
  <c r="AC1953" s="1"/>
  <c r="Y1952"/>
  <c r="AA1952" s="1"/>
  <c r="AC1952" s="1"/>
  <c r="V1952"/>
  <c r="Z1952" s="1"/>
  <c r="AB1952" s="1"/>
  <c r="AD1952" s="1"/>
  <c r="Z1951"/>
  <c r="Y1951"/>
  <c r="AA1951" s="1"/>
  <c r="AC1951" s="1"/>
  <c r="N1951"/>
  <c r="Y1950"/>
  <c r="AA1950" s="1"/>
  <c r="AC1950" s="1"/>
  <c r="T1950"/>
  <c r="V1950" s="1"/>
  <c r="Y1949"/>
  <c r="AA1949" s="1"/>
  <c r="AC1949" s="1"/>
  <c r="R1949"/>
  <c r="P1949"/>
  <c r="L1949"/>
  <c r="Y1948"/>
  <c r="Z1945"/>
  <c r="AB1945" s="1"/>
  <c r="AD1945" s="1"/>
  <c r="Y1945"/>
  <c r="AA1945" s="1"/>
  <c r="AC1945" s="1"/>
  <c r="Z1944"/>
  <c r="AB1944" s="1"/>
  <c r="AD1944" s="1"/>
  <c r="Y1944"/>
  <c r="AA1944" s="1"/>
  <c r="AC1944" s="1"/>
  <c r="Z1943"/>
  <c r="AB1943" s="1"/>
  <c r="AD1943" s="1"/>
  <c r="Y1943"/>
  <c r="AA1943" s="1"/>
  <c r="AC1943" s="1"/>
  <c r="Y1942"/>
  <c r="AA1942" s="1"/>
  <c r="AC1942" s="1"/>
  <c r="T1942"/>
  <c r="Z1941"/>
  <c r="AB1941" s="1"/>
  <c r="AD1941" s="1"/>
  <c r="Y1941"/>
  <c r="AA1941" s="1"/>
  <c r="AC1941" s="1"/>
  <c r="Y1940"/>
  <c r="AA1940" s="1"/>
  <c r="AC1940" s="1"/>
  <c r="T1940"/>
  <c r="V1940" s="1"/>
  <c r="R1939"/>
  <c r="P1939"/>
  <c r="N1939"/>
  <c r="L1939"/>
  <c r="Z1938"/>
  <c r="AB1938" s="1"/>
  <c r="AD1938" s="1"/>
  <c r="S1938"/>
  <c r="Y1938" s="1"/>
  <c r="AA1938" s="1"/>
  <c r="AC1938" s="1"/>
  <c r="Z1937"/>
  <c r="AB1937" s="1"/>
  <c r="AD1937" s="1"/>
  <c r="S1937"/>
  <c r="Y1937" s="1"/>
  <c r="AA1937" s="1"/>
  <c r="AC1937" s="1"/>
  <c r="V1936"/>
  <c r="T1936"/>
  <c r="R1936"/>
  <c r="P1936"/>
  <c r="N1936"/>
  <c r="L1936"/>
  <c r="Z1935"/>
  <c r="AB1935" s="1"/>
  <c r="AB1934" s="1"/>
  <c r="Y1935"/>
  <c r="AA1935" s="1"/>
  <c r="AC1935" s="1"/>
  <c r="Y1934"/>
  <c r="AA1934" s="1"/>
  <c r="AC1934" s="1"/>
  <c r="V1934"/>
  <c r="T1934"/>
  <c r="R1934"/>
  <c r="P1934"/>
  <c r="N1934"/>
  <c r="L1934"/>
  <c r="Z1933"/>
  <c r="AB1933" s="1"/>
  <c r="Y1933"/>
  <c r="AA1933" s="1"/>
  <c r="AC1933" s="1"/>
  <c r="Y1932"/>
  <c r="AA1932" s="1"/>
  <c r="AC1932" s="1"/>
  <c r="V1932"/>
  <c r="T1932"/>
  <c r="R1932"/>
  <c r="P1932"/>
  <c r="N1932"/>
  <c r="L1932"/>
  <c r="Z1931"/>
  <c r="AB1931" s="1"/>
  <c r="AD1931" s="1"/>
  <c r="Y1931"/>
  <c r="AA1931" s="1"/>
  <c r="AC1931" s="1"/>
  <c r="V1930"/>
  <c r="T1930"/>
  <c r="R1930"/>
  <c r="P1930"/>
  <c r="N1930"/>
  <c r="L1930"/>
  <c r="Z1929"/>
  <c r="AB1929" s="1"/>
  <c r="AD1929" s="1"/>
  <c r="Y1929"/>
  <c r="AA1929" s="1"/>
  <c r="AC1929" s="1"/>
  <c r="AA1928"/>
  <c r="AC1928" s="1"/>
  <c r="T1928"/>
  <c r="V1928" s="1"/>
  <c r="Y1927"/>
  <c r="AA1927" s="1"/>
  <c r="AC1927" s="1"/>
  <c r="V1927"/>
  <c r="Z1927" s="1"/>
  <c r="AB1927" s="1"/>
  <c r="AD1927" s="1"/>
  <c r="Z1926"/>
  <c r="AB1926" s="1"/>
  <c r="Y1926"/>
  <c r="AA1926" s="1"/>
  <c r="AC1926" s="1"/>
  <c r="Y1925"/>
  <c r="AA1925" s="1"/>
  <c r="AC1925" s="1"/>
  <c r="R1925"/>
  <c r="P1925"/>
  <c r="N1925"/>
  <c r="L1925"/>
  <c r="Z1924"/>
  <c r="AB1924" s="1"/>
  <c r="AD1924" s="1"/>
  <c r="Y1924"/>
  <c r="AA1924" s="1"/>
  <c r="AC1924" s="1"/>
  <c r="Z1923"/>
  <c r="AB1923" s="1"/>
  <c r="AD1923" s="1"/>
  <c r="Y1923"/>
  <c r="AA1923" s="1"/>
  <c r="AC1923" s="1"/>
  <c r="Z1922"/>
  <c r="AB1922" s="1"/>
  <c r="AD1922" s="1"/>
  <c r="Y1922"/>
  <c r="AA1922" s="1"/>
  <c r="AC1922" s="1"/>
  <c r="Z1921"/>
  <c r="AB1921" s="1"/>
  <c r="AD1921" s="1"/>
  <c r="Y1921"/>
  <c r="AA1921" s="1"/>
  <c r="AC1921" s="1"/>
  <c r="Z1920"/>
  <c r="AB1920" s="1"/>
  <c r="AD1920" s="1"/>
  <c r="Y1920"/>
  <c r="AA1920" s="1"/>
  <c r="AC1920" s="1"/>
  <c r="Z1919"/>
  <c r="AB1919" s="1"/>
  <c r="AD1919" s="1"/>
  <c r="Y1919"/>
  <c r="AA1919" s="1"/>
  <c r="AC1919" s="1"/>
  <c r="Z1918"/>
  <c r="AB1918" s="1"/>
  <c r="AD1918" s="1"/>
  <c r="Y1918"/>
  <c r="AA1918" s="1"/>
  <c r="AC1918" s="1"/>
  <c r="Y1917"/>
  <c r="AA1917" s="1"/>
  <c r="AC1917" s="1"/>
  <c r="V1917"/>
  <c r="Z1917" s="1"/>
  <c r="AB1917" s="1"/>
  <c r="AD1917" s="1"/>
  <c r="Z1916"/>
  <c r="Y1916"/>
  <c r="AA1916" s="1"/>
  <c r="AC1916" s="1"/>
  <c r="N1916"/>
  <c r="Y1915"/>
  <c r="AA1915" s="1"/>
  <c r="AC1915" s="1"/>
  <c r="T1915"/>
  <c r="V1915" s="1"/>
  <c r="Y1914"/>
  <c r="AA1914" s="1"/>
  <c r="AC1914" s="1"/>
  <c r="R1914"/>
  <c r="P1914"/>
  <c r="L1914"/>
  <c r="Y1913"/>
  <c r="Y2424"/>
  <c r="AA2424" s="1"/>
  <c r="AC2424" s="1"/>
  <c r="V2424"/>
  <c r="Z2424" s="1"/>
  <c r="L2424"/>
  <c r="L2423" s="1"/>
  <c r="T2423"/>
  <c r="R2423"/>
  <c r="P2423"/>
  <c r="N2423"/>
  <c r="Y2422"/>
  <c r="AA2422" s="1"/>
  <c r="AC2422" s="1"/>
  <c r="Z2422"/>
  <c r="N2422"/>
  <c r="Y2421"/>
  <c r="AA2421" s="1"/>
  <c r="AC2421" s="1"/>
  <c r="Z2421"/>
  <c r="N2421"/>
  <c r="Y2420"/>
  <c r="AA2420" s="1"/>
  <c r="AC2420" s="1"/>
  <c r="N2420"/>
  <c r="Z2419"/>
  <c r="Y2419"/>
  <c r="AA2419" s="1"/>
  <c r="AC2419" s="1"/>
  <c r="N2419"/>
  <c r="Y2418"/>
  <c r="AA2418" s="1"/>
  <c r="AC2418" s="1"/>
  <c r="N2418"/>
  <c r="R2417"/>
  <c r="P2417"/>
  <c r="L2417"/>
  <c r="Y2416"/>
  <c r="AA2416" s="1"/>
  <c r="AC2416" s="1"/>
  <c r="V2415"/>
  <c r="N2416"/>
  <c r="T2415"/>
  <c r="R2415"/>
  <c r="P2415"/>
  <c r="N2415"/>
  <c r="L2415"/>
  <c r="S2414"/>
  <c r="Y2414" s="1"/>
  <c r="AA2414" s="1"/>
  <c r="AC2414" s="1"/>
  <c r="N2414"/>
  <c r="N2412" s="1"/>
  <c r="Y2411"/>
  <c r="AA2411" s="1"/>
  <c r="AC2411" s="1"/>
  <c r="T2410"/>
  <c r="Y2410"/>
  <c r="AA2410" s="1"/>
  <c r="AC2410" s="1"/>
  <c r="R2410"/>
  <c r="P2410"/>
  <c r="N2410"/>
  <c r="L2410"/>
  <c r="Y2409"/>
  <c r="AA2409" s="1"/>
  <c r="AC2409" s="1"/>
  <c r="Z2409"/>
  <c r="N2409"/>
  <c r="N2408" s="1"/>
  <c r="Y2408"/>
  <c r="AA2408" s="1"/>
  <c r="AC2408" s="1"/>
  <c r="R2408"/>
  <c r="P2408"/>
  <c r="L2408"/>
  <c r="Y2407"/>
  <c r="AA2407" s="1"/>
  <c r="AC2407" s="1"/>
  <c r="Z2407"/>
  <c r="Z2406" s="1"/>
  <c r="N2407"/>
  <c r="N2406" s="1"/>
  <c r="T2406"/>
  <c r="R2406"/>
  <c r="P2406"/>
  <c r="L2406"/>
  <c r="Y2402"/>
  <c r="AA2402" s="1"/>
  <c r="AC2402" s="1"/>
  <c r="Y2401"/>
  <c r="AA2401" s="1"/>
  <c r="AC2401" s="1"/>
  <c r="N2401"/>
  <c r="Y2400"/>
  <c r="AA2400" s="1"/>
  <c r="AC2400" s="1"/>
  <c r="Z2400"/>
  <c r="N2400"/>
  <c r="Y2399"/>
  <c r="AA2399" s="1"/>
  <c r="AC2399" s="1"/>
  <c r="Z2399"/>
  <c r="N2399"/>
  <c r="Y2398"/>
  <c r="AA2398" s="1"/>
  <c r="AC2398" s="1"/>
  <c r="R2398"/>
  <c r="P2398"/>
  <c r="L2398"/>
  <c r="Y2397"/>
  <c r="AA2397" s="1"/>
  <c r="AC2397" s="1"/>
  <c r="Y2396"/>
  <c r="AA2396" s="1"/>
  <c r="AC2396" s="1"/>
  <c r="N2396"/>
  <c r="Y2395"/>
  <c r="AA2395" s="1"/>
  <c r="AC2395" s="1"/>
  <c r="Z2395"/>
  <c r="N2395"/>
  <c r="Y2394"/>
  <c r="AA2394" s="1"/>
  <c r="AC2394" s="1"/>
  <c r="Y2393"/>
  <c r="AA2393" s="1"/>
  <c r="AC2393" s="1"/>
  <c r="N2393"/>
  <c r="Y2392"/>
  <c r="AA2392" s="1"/>
  <c r="AC2392" s="1"/>
  <c r="T2392"/>
  <c r="V2392" s="1"/>
  <c r="Z2392" s="1"/>
  <c r="N2392"/>
  <c r="Y2391"/>
  <c r="AA2391" s="1"/>
  <c r="AC2391" s="1"/>
  <c r="Y2390"/>
  <c r="AA2390" s="1"/>
  <c r="AC2390" s="1"/>
  <c r="N2390"/>
  <c r="Y2389"/>
  <c r="AA2389" s="1"/>
  <c r="AC2389" s="1"/>
  <c r="Z2389"/>
  <c r="N2389"/>
  <c r="Y2388"/>
  <c r="AA2388" s="1"/>
  <c r="AC2388" s="1"/>
  <c r="Z2388"/>
  <c r="N2388"/>
  <c r="Y2387"/>
  <c r="AA2387" s="1"/>
  <c r="AC2387" s="1"/>
  <c r="N2387"/>
  <c r="Y2386"/>
  <c r="AA2386" s="1"/>
  <c r="AC2386" s="1"/>
  <c r="R2386"/>
  <c r="P2386"/>
  <c r="L2386"/>
  <c r="Y2385"/>
  <c r="AB48" i="2"/>
  <c r="AB47" s="1"/>
  <c r="AD47" s="1"/>
  <c r="AA48"/>
  <c r="AC48" s="1"/>
  <c r="Z48"/>
  <c r="Y48"/>
  <c r="Z47"/>
  <c r="Y47"/>
  <c r="AA47" s="1"/>
  <c r="AC47" s="1"/>
  <c r="V47"/>
  <c r="T47"/>
  <c r="R47"/>
  <c r="P47"/>
  <c r="N47"/>
  <c r="L47"/>
  <c r="Z46"/>
  <c r="AB46" s="1"/>
  <c r="Y46"/>
  <c r="AA46" s="1"/>
  <c r="AC46" s="1"/>
  <c r="AA45"/>
  <c r="AC45" s="1"/>
  <c r="Y45"/>
  <c r="V45"/>
  <c r="T45"/>
  <c r="R45"/>
  <c r="P45"/>
  <c r="N45"/>
  <c r="L45"/>
  <c r="AB44"/>
  <c r="AD44" s="1"/>
  <c r="AA44"/>
  <c r="AC44" s="1"/>
  <c r="Z44"/>
  <c r="Y44"/>
  <c r="Z43"/>
  <c r="Y43"/>
  <c r="AA43" s="1"/>
  <c r="AC43" s="1"/>
  <c r="V43"/>
  <c r="T43"/>
  <c r="R43"/>
  <c r="P43"/>
  <c r="N43"/>
  <c r="L43"/>
  <c r="Z42"/>
  <c r="AB42" s="1"/>
  <c r="AD42" s="1"/>
  <c r="Y42"/>
  <c r="AA42" s="1"/>
  <c r="AC42" s="1"/>
  <c r="AA41"/>
  <c r="AC41" s="1"/>
  <c r="T41"/>
  <c r="Z41" s="1"/>
  <c r="AB41" s="1"/>
  <c r="AD41" s="1"/>
  <c r="AD38"/>
  <c r="AB38"/>
  <c r="Y38"/>
  <c r="AA38" s="1"/>
  <c r="AC38" s="1"/>
  <c r="Y37"/>
  <c r="AA37" s="1"/>
  <c r="AC37" s="1"/>
  <c r="AC36"/>
  <c r="AA35"/>
  <c r="AC35" s="1"/>
  <c r="Z35"/>
  <c r="AB35" s="1"/>
  <c r="AD35" s="1"/>
  <c r="Y35"/>
  <c r="AC34"/>
  <c r="AB34"/>
  <c r="AD34" s="1"/>
  <c r="AA34"/>
  <c r="AC33"/>
  <c r="AB33"/>
  <c r="AD33" s="1"/>
  <c r="AA33"/>
  <c r="AB32"/>
  <c r="AD32" s="1"/>
  <c r="Y32"/>
  <c r="AA32" s="1"/>
  <c r="AC32" s="1"/>
  <c r="AD31"/>
  <c r="AB31"/>
  <c r="Y31"/>
  <c r="AA31" s="1"/>
  <c r="AC31" s="1"/>
  <c r="AD30"/>
  <c r="AB30"/>
  <c r="AA30"/>
  <c r="AC30" s="1"/>
  <c r="Y30"/>
  <c r="AB28"/>
  <c r="AD28" s="1"/>
  <c r="AA28"/>
  <c r="AC28" s="1"/>
  <c r="Y28"/>
  <c r="AB27"/>
  <c r="AD27" s="1"/>
  <c r="Z27"/>
  <c r="Y27"/>
  <c r="AA27" s="1"/>
  <c r="AC27" s="1"/>
  <c r="AC26"/>
  <c r="Z26"/>
  <c r="AB26" s="1"/>
  <c r="AD26" s="1"/>
  <c r="Y26"/>
  <c r="T26"/>
  <c r="AB25"/>
  <c r="AD25" s="1"/>
  <c r="Z25"/>
  <c r="Y25"/>
  <c r="AA25" s="1"/>
  <c r="AC25" s="1"/>
  <c r="AD24"/>
  <c r="AB24"/>
  <c r="AA24"/>
  <c r="AC24" s="1"/>
  <c r="Y24"/>
  <c r="AB23"/>
  <c r="AD23" s="1"/>
  <c r="AA23"/>
  <c r="AC23" s="1"/>
  <c r="AB22"/>
  <c r="AD22" s="1"/>
  <c r="AA22"/>
  <c r="AC22" s="1"/>
  <c r="AB21"/>
  <c r="AD21" s="1"/>
  <c r="AA21"/>
  <c r="AC21" s="1"/>
  <c r="Z21"/>
  <c r="AC20"/>
  <c r="AB20"/>
  <c r="AD20" s="1"/>
  <c r="AA20"/>
  <c r="Z20"/>
  <c r="AC19"/>
  <c r="AA19"/>
  <c r="AB18"/>
  <c r="AD18" s="1"/>
  <c r="AA18"/>
  <c r="AC18" s="1"/>
  <c r="Y18"/>
  <c r="AB17"/>
  <c r="AD17" s="1"/>
  <c r="Y17"/>
  <c r="AA17" s="1"/>
  <c r="AC17" s="1"/>
  <c r="Z16"/>
  <c r="AB16" s="1"/>
  <c r="AD16" s="1"/>
  <c r="Y16"/>
  <c r="AA16" s="1"/>
  <c r="AC16" s="1"/>
  <c r="AB15"/>
  <c r="AD15" s="1"/>
  <c r="AA15"/>
  <c r="AC15" s="1"/>
  <c r="Y15"/>
  <c r="AB14"/>
  <c r="AD14" s="1"/>
  <c r="Y14"/>
  <c r="AA14" s="1"/>
  <c r="AC14" s="1"/>
  <c r="AD13"/>
  <c r="AC13"/>
  <c r="Y13"/>
  <c r="AB12"/>
  <c r="AD12" s="1"/>
  <c r="Z12"/>
  <c r="Y12"/>
  <c r="AA12" s="1"/>
  <c r="AC12" s="1"/>
  <c r="AD11"/>
  <c r="AB11"/>
  <c r="AA11"/>
  <c r="AC11" s="1"/>
  <c r="Y11"/>
  <c r="AB10"/>
  <c r="AD10" s="1"/>
  <c r="AA10"/>
  <c r="AC10" s="1"/>
  <c r="Z10"/>
  <c r="Y10"/>
  <c r="Z9"/>
  <c r="AB9" s="1"/>
  <c r="AD9" s="1"/>
  <c r="Y9"/>
  <c r="AA9" s="1"/>
  <c r="AC9" s="1"/>
  <c r="AB8"/>
  <c r="AD8" s="1"/>
  <c r="AA8"/>
  <c r="AC8" s="1"/>
  <c r="Z8"/>
  <c r="Y8"/>
  <c r="Z7"/>
  <c r="AB7" s="1"/>
  <c r="AD7" s="1"/>
  <c r="Y7"/>
  <c r="AA7" s="1"/>
  <c r="AC7" s="1"/>
  <c r="AB6"/>
  <c r="AD6" s="1"/>
  <c r="AA6"/>
  <c r="AC6" s="1"/>
  <c r="Z6"/>
  <c r="Y6"/>
  <c r="Z5"/>
  <c r="AB5" s="1"/>
  <c r="AD5" s="1"/>
  <c r="Y5"/>
  <c r="AA5" s="1"/>
  <c r="AC5" s="1"/>
  <c r="AB4"/>
  <c r="AD4" s="1"/>
  <c r="AA4"/>
  <c r="AC4" s="1"/>
  <c r="Z4"/>
  <c r="Y4"/>
  <c r="AF3"/>
  <c r="AA3"/>
  <c r="AC3" s="1"/>
  <c r="Z3"/>
  <c r="AB3" s="1"/>
  <c r="AD3" s="1"/>
  <c r="Y3"/>
  <c r="AB2"/>
  <c r="AD2" s="1"/>
  <c r="Y2"/>
  <c r="AA2" s="1"/>
  <c r="AC2" s="1"/>
  <c r="AC49" s="1"/>
  <c r="AB1"/>
  <c r="Z1"/>
  <c r="Y1"/>
  <c r="V1"/>
  <c r="T1"/>
  <c r="R1"/>
  <c r="P1"/>
  <c r="N1"/>
  <c r="L1"/>
  <c r="T2082" i="4"/>
  <c r="T2080"/>
  <c r="V2080" s="1"/>
  <c r="V2076"/>
  <c r="T2076"/>
  <c r="R2076"/>
  <c r="P2076"/>
  <c r="N2076"/>
  <c r="L2076"/>
  <c r="Z2078"/>
  <c r="AB2078" s="1"/>
  <c r="AD2078" s="1"/>
  <c r="S2078"/>
  <c r="Y2078" s="1"/>
  <c r="AA2078" s="1"/>
  <c r="AC2078" s="1"/>
  <c r="T2068"/>
  <c r="V2068" s="1"/>
  <c r="V2067"/>
  <c r="Y2066"/>
  <c r="AA2066" s="1"/>
  <c r="AC2066" s="1"/>
  <c r="Z2066"/>
  <c r="AB2066" s="1"/>
  <c r="AD2066" s="1"/>
  <c r="V2057"/>
  <c r="V360"/>
  <c r="P360"/>
  <c r="Y365"/>
  <c r="R2385" l="1"/>
  <c r="Z2346"/>
  <c r="AD2347"/>
  <c r="L2385"/>
  <c r="P2385"/>
  <c r="V2270"/>
  <c r="U2295"/>
  <c r="Y2295" s="1"/>
  <c r="AA2295" s="1"/>
  <c r="AC2295" s="1"/>
  <c r="AD2378"/>
  <c r="AB2375"/>
  <c r="AB2346" s="1"/>
  <c r="U2292"/>
  <c r="Y2292" s="1"/>
  <c r="AA2292" s="1"/>
  <c r="AC2292" s="1"/>
  <c r="AB2272"/>
  <c r="AD2272" s="1"/>
  <c r="Z2292"/>
  <c r="N2270"/>
  <c r="N2269" s="1"/>
  <c r="U2286"/>
  <c r="Y2286" s="1"/>
  <c r="AA2286" s="1"/>
  <c r="AC2286" s="1"/>
  <c r="U2009"/>
  <c r="Y2009" s="1"/>
  <c r="AA2009" s="1"/>
  <c r="AC2009" s="1"/>
  <c r="T2270"/>
  <c r="Z2288"/>
  <c r="P2269"/>
  <c r="AD2290"/>
  <c r="L2269"/>
  <c r="V2020"/>
  <c r="Z2020" s="1"/>
  <c r="AB2020" s="1"/>
  <c r="R2269"/>
  <c r="Z2296"/>
  <c r="AB2296" s="1"/>
  <c r="Z2271"/>
  <c r="Z2270" s="1"/>
  <c r="AD2282"/>
  <c r="AD2287"/>
  <c r="AB2286"/>
  <c r="AD2286" s="1"/>
  <c r="T2281"/>
  <c r="V2284"/>
  <c r="V2281" s="1"/>
  <c r="Z2286"/>
  <c r="AB2288"/>
  <c r="AD2288" s="1"/>
  <c r="Z2290"/>
  <c r="AB2292"/>
  <c r="AD2292" s="1"/>
  <c r="T2295"/>
  <c r="AD2039"/>
  <c r="V1984"/>
  <c r="AD2042"/>
  <c r="AB2041"/>
  <c r="AD2041" s="1"/>
  <c r="T2137"/>
  <c r="N2018"/>
  <c r="N2137"/>
  <c r="V2137"/>
  <c r="R2137"/>
  <c r="P2137"/>
  <c r="T2408"/>
  <c r="Z2411"/>
  <c r="Z2410" s="1"/>
  <c r="T1984"/>
  <c r="U2035"/>
  <c r="Y2035" s="1"/>
  <c r="AA2035" s="1"/>
  <c r="AC2035" s="1"/>
  <c r="Z2041"/>
  <c r="AB2003"/>
  <c r="AD2003" s="1"/>
  <c r="AB2036"/>
  <c r="AD2036" s="1"/>
  <c r="L2170"/>
  <c r="AD2175"/>
  <c r="Z2045"/>
  <c r="AB2045" s="1"/>
  <c r="V2044"/>
  <c r="U2044" s="1"/>
  <c r="Y2044" s="1"/>
  <c r="AA2044" s="1"/>
  <c r="AC2044" s="1"/>
  <c r="R2018"/>
  <c r="L2178"/>
  <c r="U2006"/>
  <c r="Y2006" s="1"/>
  <c r="AA2006" s="1"/>
  <c r="AC2006" s="1"/>
  <c r="AD2179"/>
  <c r="U1971"/>
  <c r="Y1971" s="1"/>
  <c r="AA1971" s="1"/>
  <c r="AC1971" s="1"/>
  <c r="P1983"/>
  <c r="Z2006"/>
  <c r="T2044"/>
  <c r="L2167"/>
  <c r="AD2156"/>
  <c r="AD2150"/>
  <c r="L2138"/>
  <c r="R2088"/>
  <c r="P2088"/>
  <c r="N2088"/>
  <c r="V2088"/>
  <c r="L2088"/>
  <c r="L2018"/>
  <c r="Z1967"/>
  <c r="Z1971"/>
  <c r="P2018"/>
  <c r="AB2021"/>
  <c r="AD2021" s="1"/>
  <c r="V2033"/>
  <c r="V2030" s="1"/>
  <c r="Z2039"/>
  <c r="U2041"/>
  <c r="Y2041" s="1"/>
  <c r="AA2041" s="1"/>
  <c r="AC2041" s="1"/>
  <c r="AD2038"/>
  <c r="AB2037"/>
  <c r="AD2037" s="1"/>
  <c r="AD2031"/>
  <c r="T2030"/>
  <c r="Z2037"/>
  <c r="Z2047"/>
  <c r="AB2047" s="1"/>
  <c r="AD2047" s="1"/>
  <c r="N1983"/>
  <c r="U2000"/>
  <c r="Y2000" s="1"/>
  <c r="AA2000" s="1"/>
  <c r="AC2000" s="1"/>
  <c r="AD2004"/>
  <c r="L1983"/>
  <c r="Z1985"/>
  <c r="AB1985" s="1"/>
  <c r="AB1986"/>
  <c r="AD1986" s="1"/>
  <c r="R1983"/>
  <c r="Z2010"/>
  <c r="AB2010" s="1"/>
  <c r="AD1996"/>
  <c r="AD2001"/>
  <c r="AB2000"/>
  <c r="AD2000" s="1"/>
  <c r="T1995"/>
  <c r="V1998"/>
  <c r="V1995" s="1"/>
  <c r="Z2000"/>
  <c r="Z2004"/>
  <c r="AB2006"/>
  <c r="AD2006" s="1"/>
  <c r="T2009"/>
  <c r="V1949"/>
  <c r="U1974"/>
  <c r="Y1974" s="1"/>
  <c r="AA1974" s="1"/>
  <c r="AC1974" s="1"/>
  <c r="AD1934"/>
  <c r="T1949"/>
  <c r="R1913"/>
  <c r="Z1934"/>
  <c r="AB1951"/>
  <c r="AD1951" s="1"/>
  <c r="P1948"/>
  <c r="AB1936"/>
  <c r="AD1936" s="1"/>
  <c r="L1948"/>
  <c r="R1948"/>
  <c r="N2386"/>
  <c r="N2398"/>
  <c r="P1913"/>
  <c r="U1930"/>
  <c r="Y1930" s="1"/>
  <c r="AA1930" s="1"/>
  <c r="AC1930" s="1"/>
  <c r="Z1936"/>
  <c r="N1949"/>
  <c r="N1948" s="1"/>
  <c r="U1965"/>
  <c r="Y1965" s="1"/>
  <c r="AA1965" s="1"/>
  <c r="AC1965" s="1"/>
  <c r="AD1969"/>
  <c r="AB1972"/>
  <c r="AD1972" s="1"/>
  <c r="Z1950"/>
  <c r="AB1950" s="1"/>
  <c r="Z1975"/>
  <c r="AB1975" s="1"/>
  <c r="AB1916"/>
  <c r="AD1916" s="1"/>
  <c r="AD1961"/>
  <c r="AD1966"/>
  <c r="AB1965"/>
  <c r="AD1965" s="1"/>
  <c r="V1963"/>
  <c r="V1960" s="1"/>
  <c r="Z1965"/>
  <c r="AB1967"/>
  <c r="AD1967" s="1"/>
  <c r="Z1969"/>
  <c r="T1960"/>
  <c r="T1974"/>
  <c r="Z1940"/>
  <c r="AB1940" s="1"/>
  <c r="V1939"/>
  <c r="U1939" s="1"/>
  <c r="Y1939" s="1"/>
  <c r="AA1939" s="1"/>
  <c r="AC1939" s="1"/>
  <c r="Z1915"/>
  <c r="AB1915" s="1"/>
  <c r="V1914"/>
  <c r="N1914"/>
  <c r="N1913" s="1"/>
  <c r="Z1928"/>
  <c r="AB1928" s="1"/>
  <c r="AD1928" s="1"/>
  <c r="T1914"/>
  <c r="L1913"/>
  <c r="Z1930"/>
  <c r="U1936"/>
  <c r="Y1936" s="1"/>
  <c r="AA1936" s="1"/>
  <c r="AC1936" s="1"/>
  <c r="T1939"/>
  <c r="V2406"/>
  <c r="U2406" s="1"/>
  <c r="Y2406" s="1"/>
  <c r="AA2406" s="1"/>
  <c r="AC2406" s="1"/>
  <c r="AD1933"/>
  <c r="AB1932"/>
  <c r="AD1932" s="1"/>
  <c r="Z1914"/>
  <c r="AD1926"/>
  <c r="V1925"/>
  <c r="T1925"/>
  <c r="AB1930"/>
  <c r="AD1930" s="1"/>
  <c r="Z1932"/>
  <c r="Z1942"/>
  <c r="AB1942" s="1"/>
  <c r="AD1942" s="1"/>
  <c r="V2386"/>
  <c r="U2412"/>
  <c r="Y2412" s="1"/>
  <c r="AA2412" s="1"/>
  <c r="AC2412" s="1"/>
  <c r="U2415"/>
  <c r="Y2415" s="1"/>
  <c r="AA2415" s="1"/>
  <c r="AC2415" s="1"/>
  <c r="AB2400"/>
  <c r="AD2400" s="1"/>
  <c r="T2417"/>
  <c r="AB2419"/>
  <c r="AD2419" s="1"/>
  <c r="V2423"/>
  <c r="U2423" s="1"/>
  <c r="Y2423" s="1"/>
  <c r="AA2423" s="1"/>
  <c r="AC2423" s="1"/>
  <c r="AB2424"/>
  <c r="AD2424" s="1"/>
  <c r="Z2423"/>
  <c r="V2398"/>
  <c r="AB2388"/>
  <c r="AD2388" s="1"/>
  <c r="Z2390"/>
  <c r="AB2390" s="1"/>
  <c r="AD2390" s="1"/>
  <c r="Z2393"/>
  <c r="AB2393" s="1"/>
  <c r="AD2393" s="1"/>
  <c r="Z2396"/>
  <c r="AB2396" s="1"/>
  <c r="AD2396" s="1"/>
  <c r="Z2397"/>
  <c r="AB2397" s="1"/>
  <c r="AD2397" s="1"/>
  <c r="Z2416"/>
  <c r="Z2415" s="1"/>
  <c r="V2420"/>
  <c r="Z2420" s="1"/>
  <c r="AB2420" s="1"/>
  <c r="AD2420" s="1"/>
  <c r="AB2421"/>
  <c r="AD2421" s="1"/>
  <c r="AB2422"/>
  <c r="AD2422" s="1"/>
  <c r="AB2407"/>
  <c r="AB2406" s="1"/>
  <c r="AB2389"/>
  <c r="AD2389" s="1"/>
  <c r="AB2392"/>
  <c r="AD2392" s="1"/>
  <c r="AB2395"/>
  <c r="AD2395" s="1"/>
  <c r="AB2399"/>
  <c r="AB2409"/>
  <c r="Z2408"/>
  <c r="Z2387"/>
  <c r="AB2387" s="1"/>
  <c r="Z2391"/>
  <c r="AB2391" s="1"/>
  <c r="AD2391" s="1"/>
  <c r="Z2401"/>
  <c r="Z2402"/>
  <c r="AB2402" s="1"/>
  <c r="AD2402" s="1"/>
  <c r="Z2414"/>
  <c r="V2408"/>
  <c r="N2417"/>
  <c r="T2386"/>
  <c r="Z2394"/>
  <c r="AB2394" s="1"/>
  <c r="AD2394" s="1"/>
  <c r="T2398"/>
  <c r="AB45" i="2"/>
  <c r="AD45" s="1"/>
  <c r="AD46"/>
  <c r="AD49"/>
  <c r="AD50" s="1"/>
  <c r="AB43"/>
  <c r="AD43" s="1"/>
  <c r="Z45"/>
  <c r="T2055" i="4"/>
  <c r="V2055" s="1"/>
  <c r="Y2085"/>
  <c r="AA2085" s="1"/>
  <c r="AC2085" s="1"/>
  <c r="Z2085"/>
  <c r="AB2085" s="1"/>
  <c r="AD2085" s="1"/>
  <c r="Y2084"/>
  <c r="AA2084" s="1"/>
  <c r="AC2084" s="1"/>
  <c r="Z2084"/>
  <c r="Y2083"/>
  <c r="AA2083" s="1"/>
  <c r="AC2083" s="1"/>
  <c r="Z2083"/>
  <c r="Y2082"/>
  <c r="AA2082" s="1"/>
  <c r="AC2082" s="1"/>
  <c r="Z2081"/>
  <c r="Y2081"/>
  <c r="AA2081" s="1"/>
  <c r="AC2081" s="1"/>
  <c r="Y2080"/>
  <c r="AA2080" s="1"/>
  <c r="AC2080" s="1"/>
  <c r="R2079"/>
  <c r="P2079"/>
  <c r="L2079"/>
  <c r="S2077"/>
  <c r="Y2077" s="1"/>
  <c r="AA2077" s="1"/>
  <c r="AC2077" s="1"/>
  <c r="Y2075"/>
  <c r="AA2075" s="1"/>
  <c r="AC2075" s="1"/>
  <c r="V2074"/>
  <c r="Y2074"/>
  <c r="AA2074" s="1"/>
  <c r="AC2074" s="1"/>
  <c r="R2074"/>
  <c r="P2074"/>
  <c r="N2074"/>
  <c r="L2074"/>
  <c r="Y2073"/>
  <c r="AA2073" s="1"/>
  <c r="AC2073" s="1"/>
  <c r="V2072"/>
  <c r="N2072"/>
  <c r="Y2072"/>
  <c r="AA2072" s="1"/>
  <c r="AC2072" s="1"/>
  <c r="R2072"/>
  <c r="P2072"/>
  <c r="L2072"/>
  <c r="Y2071"/>
  <c r="AA2071" s="1"/>
  <c r="AC2071" s="1"/>
  <c r="Z2071"/>
  <c r="Z2070" s="1"/>
  <c r="N2070"/>
  <c r="T2070"/>
  <c r="R2070"/>
  <c r="P2070"/>
  <c r="L2070"/>
  <c r="Y2069"/>
  <c r="AA2069" s="1"/>
  <c r="AC2069" s="1"/>
  <c r="AA2068"/>
  <c r="AC2068" s="1"/>
  <c r="Y2067"/>
  <c r="AA2067" s="1"/>
  <c r="AC2067" s="1"/>
  <c r="Z2067"/>
  <c r="Y2065"/>
  <c r="AA2065" s="1"/>
  <c r="AC2065" s="1"/>
  <c r="R2065"/>
  <c r="P2065"/>
  <c r="L2065"/>
  <c r="Y2064"/>
  <c r="AA2064" s="1"/>
  <c r="AC2064" s="1"/>
  <c r="Y2063"/>
  <c r="AA2063" s="1"/>
  <c r="AC2063" s="1"/>
  <c r="Y2062"/>
  <c r="AA2062" s="1"/>
  <c r="AC2062" s="1"/>
  <c r="Y2061"/>
  <c r="AA2061" s="1"/>
  <c r="AC2061" s="1"/>
  <c r="Y2060"/>
  <c r="AA2060" s="1"/>
  <c r="AC2060" s="1"/>
  <c r="Y2059"/>
  <c r="AA2059" s="1"/>
  <c r="AC2059" s="1"/>
  <c r="Y2058"/>
  <c r="AA2058" s="1"/>
  <c r="AC2058" s="1"/>
  <c r="Y2057"/>
  <c r="AA2057" s="1"/>
  <c r="AC2057" s="1"/>
  <c r="Y2056"/>
  <c r="AA2056" s="1"/>
  <c r="AC2056" s="1"/>
  <c r="N2056"/>
  <c r="Y2055"/>
  <c r="AA2055" s="1"/>
  <c r="AC2055" s="1"/>
  <c r="Y2054"/>
  <c r="AA2054" s="1"/>
  <c r="AC2054" s="1"/>
  <c r="R2054"/>
  <c r="P2054"/>
  <c r="L2054"/>
  <c r="Y2053"/>
  <c r="Y2469"/>
  <c r="AA2469" s="1"/>
  <c r="AC2469" s="1"/>
  <c r="V2469"/>
  <c r="Z2469" s="1"/>
  <c r="L2469"/>
  <c r="L2468" s="1"/>
  <c r="T2468"/>
  <c r="R2468"/>
  <c r="P2468"/>
  <c r="N2468"/>
  <c r="Z2467"/>
  <c r="AB2467" s="1"/>
  <c r="AD2467" s="1"/>
  <c r="Y2467"/>
  <c r="AA2467" s="1"/>
  <c r="AC2467" s="1"/>
  <c r="Y2466"/>
  <c r="AA2466" s="1"/>
  <c r="AC2466" s="1"/>
  <c r="V2466"/>
  <c r="Z2466" s="1"/>
  <c r="AB2466" s="1"/>
  <c r="AD2466" s="1"/>
  <c r="Y2465"/>
  <c r="AA2465" s="1"/>
  <c r="AC2465" s="1"/>
  <c r="V2465"/>
  <c r="Z2465" s="1"/>
  <c r="N2465"/>
  <c r="Y2464"/>
  <c r="AA2464" s="1"/>
  <c r="AC2464" s="1"/>
  <c r="V2464"/>
  <c r="Z2464" s="1"/>
  <c r="N2464"/>
  <c r="Y2463"/>
  <c r="AA2463" s="1"/>
  <c r="AC2463" s="1"/>
  <c r="T2463"/>
  <c r="V2463" s="1"/>
  <c r="N2463"/>
  <c r="Z2462"/>
  <c r="Y2462"/>
  <c r="AA2462" s="1"/>
  <c r="AC2462" s="1"/>
  <c r="N2462"/>
  <c r="Y2461"/>
  <c r="AA2461" s="1"/>
  <c r="AC2461" s="1"/>
  <c r="T2461"/>
  <c r="N2461"/>
  <c r="R2460"/>
  <c r="P2460"/>
  <c r="L2460"/>
  <c r="Z2459"/>
  <c r="AB2459" s="1"/>
  <c r="AD2459" s="1"/>
  <c r="Y2459"/>
  <c r="AA2459" s="1"/>
  <c r="AC2459" s="1"/>
  <c r="Z2458"/>
  <c r="AB2458" s="1"/>
  <c r="AD2458" s="1"/>
  <c r="Y2458"/>
  <c r="AA2458" s="1"/>
  <c r="AC2458" s="1"/>
  <c r="Y2457"/>
  <c r="AA2457" s="1"/>
  <c r="AC2457" s="1"/>
  <c r="V2457"/>
  <c r="V2456" s="1"/>
  <c r="N2457"/>
  <c r="T2456"/>
  <c r="R2456"/>
  <c r="P2456"/>
  <c r="N2456"/>
  <c r="L2456"/>
  <c r="T2455"/>
  <c r="V2455" s="1"/>
  <c r="V2454" s="1"/>
  <c r="S2455"/>
  <c r="Y2455" s="1"/>
  <c r="AA2455" s="1"/>
  <c r="AC2455" s="1"/>
  <c r="N2455"/>
  <c r="N2454" s="1"/>
  <c r="R2454"/>
  <c r="P2454"/>
  <c r="L2454"/>
  <c r="Y2453"/>
  <c r="AA2453" s="1"/>
  <c r="AC2453" s="1"/>
  <c r="T2453"/>
  <c r="V2453" s="1"/>
  <c r="V2452" s="1"/>
  <c r="Y2452" s="1"/>
  <c r="AA2452" s="1"/>
  <c r="AC2452" s="1"/>
  <c r="R2452"/>
  <c r="P2452"/>
  <c r="N2452"/>
  <c r="L2452"/>
  <c r="Y2451"/>
  <c r="AA2451" s="1"/>
  <c r="AC2451" s="1"/>
  <c r="T2451"/>
  <c r="V2451" s="1"/>
  <c r="V2450" s="1"/>
  <c r="Y2450" s="1"/>
  <c r="AA2450" s="1"/>
  <c r="AC2450" s="1"/>
  <c r="N2451"/>
  <c r="N2450" s="1"/>
  <c r="R2450"/>
  <c r="P2450"/>
  <c r="L2450"/>
  <c r="Y2449"/>
  <c r="AA2449" s="1"/>
  <c r="AC2449" s="1"/>
  <c r="V2449"/>
  <c r="Z2449" s="1"/>
  <c r="N2449"/>
  <c r="N2448" s="1"/>
  <c r="T2448"/>
  <c r="R2448"/>
  <c r="P2448"/>
  <c r="L2448"/>
  <c r="Y2447"/>
  <c r="AA2447" s="1"/>
  <c r="AC2447" s="1"/>
  <c r="T2447"/>
  <c r="V2447" s="1"/>
  <c r="Y2446"/>
  <c r="AA2446" s="1"/>
  <c r="AC2446" s="1"/>
  <c r="T2446"/>
  <c r="V2446" s="1"/>
  <c r="N2446"/>
  <c r="Y2445"/>
  <c r="AA2445" s="1"/>
  <c r="AC2445" s="1"/>
  <c r="V2445"/>
  <c r="Z2445" s="1"/>
  <c r="N2445"/>
  <c r="Y2444"/>
  <c r="AA2444" s="1"/>
  <c r="AC2444" s="1"/>
  <c r="V2444"/>
  <c r="Z2444" s="1"/>
  <c r="N2444"/>
  <c r="Y2443"/>
  <c r="AA2443" s="1"/>
  <c r="AC2443" s="1"/>
  <c r="V2443"/>
  <c r="Z2443" s="1"/>
  <c r="N2443"/>
  <c r="R2442"/>
  <c r="P2442"/>
  <c r="L2442"/>
  <c r="Y2441"/>
  <c r="AA2441" s="1"/>
  <c r="AC2441" s="1"/>
  <c r="T2441"/>
  <c r="V2441" s="1"/>
  <c r="Y2440"/>
  <c r="AA2440" s="1"/>
  <c r="AC2440" s="1"/>
  <c r="T2440"/>
  <c r="V2440" s="1"/>
  <c r="N2440"/>
  <c r="Y2439"/>
  <c r="AA2439" s="1"/>
  <c r="AC2439" s="1"/>
  <c r="T2439"/>
  <c r="V2439" s="1"/>
  <c r="N2439"/>
  <c r="Y2438"/>
  <c r="AA2438" s="1"/>
  <c r="AC2438" s="1"/>
  <c r="T2438"/>
  <c r="V2438" s="1"/>
  <c r="N2438"/>
  <c r="Y2437"/>
  <c r="AA2437" s="1"/>
  <c r="AC2437" s="1"/>
  <c r="T2437"/>
  <c r="V2437" s="1"/>
  <c r="N2437"/>
  <c r="Y2436"/>
  <c r="AA2436" s="1"/>
  <c r="AC2436" s="1"/>
  <c r="T2436"/>
  <c r="V2436" s="1"/>
  <c r="N2436"/>
  <c r="Y2435"/>
  <c r="AA2435" s="1"/>
  <c r="AC2435" s="1"/>
  <c r="T2435"/>
  <c r="V2435" s="1"/>
  <c r="N2435"/>
  <c r="Y2434"/>
  <c r="AA2434" s="1"/>
  <c r="AC2434" s="1"/>
  <c r="T2434"/>
  <c r="V2434" s="1"/>
  <c r="N2434"/>
  <c r="Y2433"/>
  <c r="AA2433" s="1"/>
  <c r="AC2433" s="1"/>
  <c r="T2433"/>
  <c r="V2433" s="1"/>
  <c r="N2433"/>
  <c r="Y2432"/>
  <c r="AA2432" s="1"/>
  <c r="AC2432" s="1"/>
  <c r="T2432"/>
  <c r="V2432" s="1"/>
  <c r="N2432"/>
  <c r="Y2431"/>
  <c r="AA2431" s="1"/>
  <c r="AC2431" s="1"/>
  <c r="T2431"/>
  <c r="V2431" s="1"/>
  <c r="N2431"/>
  <c r="Y2430"/>
  <c r="AA2430" s="1"/>
  <c r="AC2430" s="1"/>
  <c r="T2430"/>
  <c r="V2430" s="1"/>
  <c r="N2430"/>
  <c r="Y2429"/>
  <c r="AA2429" s="1"/>
  <c r="AC2429" s="1"/>
  <c r="T2429"/>
  <c r="V2429" s="1"/>
  <c r="N2429"/>
  <c r="R2428"/>
  <c r="P2428"/>
  <c r="L2428"/>
  <c r="V2305"/>
  <c r="U2305"/>
  <c r="T2305"/>
  <c r="R2305"/>
  <c r="Q2305"/>
  <c r="P2305"/>
  <c r="N2305"/>
  <c r="L2305"/>
  <c r="Z1984" l="1"/>
  <c r="V2269"/>
  <c r="Z1949"/>
  <c r="AD2406"/>
  <c r="T2385"/>
  <c r="N2385"/>
  <c r="AC2302"/>
  <c r="AC2303" s="1"/>
  <c r="T2269"/>
  <c r="AD2375"/>
  <c r="AB2411"/>
  <c r="AB2410" s="1"/>
  <c r="AD2410" s="1"/>
  <c r="T2018"/>
  <c r="Z2295"/>
  <c r="AB2271"/>
  <c r="AB2270" s="1"/>
  <c r="V1983"/>
  <c r="Z2019"/>
  <c r="V2019"/>
  <c r="V2018" s="1"/>
  <c r="Z2284"/>
  <c r="AD2296"/>
  <c r="AB2295"/>
  <c r="AD2295" s="1"/>
  <c r="V2410"/>
  <c r="L2137"/>
  <c r="AB2002"/>
  <c r="AD2002" s="1"/>
  <c r="AB2035"/>
  <c r="AD2035" s="1"/>
  <c r="AC2051"/>
  <c r="AC2052" s="1"/>
  <c r="AC2016"/>
  <c r="AC2017" s="1"/>
  <c r="Z2044"/>
  <c r="AD2178"/>
  <c r="Z2009"/>
  <c r="Z2033"/>
  <c r="T1983"/>
  <c r="AD2045"/>
  <c r="AB2044"/>
  <c r="AD2044" s="1"/>
  <c r="AD2020"/>
  <c r="AB2019"/>
  <c r="Z2398"/>
  <c r="T1948"/>
  <c r="V1948"/>
  <c r="AD1985"/>
  <c r="AB1984"/>
  <c r="Z1998"/>
  <c r="AD2010"/>
  <c r="AB2009"/>
  <c r="AD2009" s="1"/>
  <c r="V2417"/>
  <c r="U2417" s="1"/>
  <c r="Y2417" s="1"/>
  <c r="AA2417" s="1"/>
  <c r="AC2417" s="1"/>
  <c r="AB1925"/>
  <c r="AD1925" s="1"/>
  <c r="Z1974"/>
  <c r="AC1981"/>
  <c r="AC1982" s="1"/>
  <c r="Z1925"/>
  <c r="T1913"/>
  <c r="AC1946"/>
  <c r="AC1947" s="1"/>
  <c r="AB1971"/>
  <c r="AD1971" s="1"/>
  <c r="V1913"/>
  <c r="AD1950"/>
  <c r="AB1949"/>
  <c r="Z1963"/>
  <c r="AD1975"/>
  <c r="AB1974"/>
  <c r="AD1974" s="1"/>
  <c r="AB2416"/>
  <c r="AD2416" s="1"/>
  <c r="AD1940"/>
  <c r="AB1939"/>
  <c r="AD1939" s="1"/>
  <c r="AD1915"/>
  <c r="AB1914"/>
  <c r="Z1939"/>
  <c r="AB2423"/>
  <c r="AD2423" s="1"/>
  <c r="AD2407"/>
  <c r="Z2418"/>
  <c r="AB2418" s="1"/>
  <c r="AD2387"/>
  <c r="AB2386"/>
  <c r="AD2409"/>
  <c r="AB2408"/>
  <c r="AD2408" s="1"/>
  <c r="AB2401"/>
  <c r="AD2401" s="1"/>
  <c r="AB2414"/>
  <c r="Z2412"/>
  <c r="Z2403" s="1"/>
  <c r="AD2399"/>
  <c r="Z2386"/>
  <c r="L2053"/>
  <c r="R2053"/>
  <c r="P2053"/>
  <c r="T2079"/>
  <c r="V2079"/>
  <c r="U2079" s="1"/>
  <c r="Y2079" s="1"/>
  <c r="AA2079" s="1"/>
  <c r="AC2079" s="1"/>
  <c r="AB2067"/>
  <c r="AD2067" s="1"/>
  <c r="T2074"/>
  <c r="T2072"/>
  <c r="N2065"/>
  <c r="L2427"/>
  <c r="V2070"/>
  <c r="U2070" s="1"/>
  <c r="Y2070" s="1"/>
  <c r="AA2070" s="1"/>
  <c r="AC2070" s="1"/>
  <c r="AB2083"/>
  <c r="AD2083" s="1"/>
  <c r="R2427"/>
  <c r="Z2073"/>
  <c r="Z2072" s="1"/>
  <c r="Z2060"/>
  <c r="AB2060" s="1"/>
  <c r="AD2060" s="1"/>
  <c r="Z2075"/>
  <c r="AB2075" s="1"/>
  <c r="AB2074" s="1"/>
  <c r="AD2074" s="1"/>
  <c r="P2427"/>
  <c r="V2054"/>
  <c r="Z2055"/>
  <c r="AB2055" s="1"/>
  <c r="Z2057"/>
  <c r="AB2057" s="1"/>
  <c r="AD2057" s="1"/>
  <c r="Z2062"/>
  <c r="AB2062" s="1"/>
  <c r="AD2062" s="1"/>
  <c r="Z2063"/>
  <c r="AB2063" s="1"/>
  <c r="AD2063" s="1"/>
  <c r="Z2058"/>
  <c r="AB2058" s="1"/>
  <c r="AD2058" s="1"/>
  <c r="Z2059"/>
  <c r="AB2059" s="1"/>
  <c r="AD2059" s="1"/>
  <c r="Z2064"/>
  <c r="AB2064" s="1"/>
  <c r="AD2064" s="1"/>
  <c r="Z2077"/>
  <c r="AB2084"/>
  <c r="AD2084" s="1"/>
  <c r="Z2061"/>
  <c r="AB2061" s="1"/>
  <c r="AD2061" s="1"/>
  <c r="V2065"/>
  <c r="Z2068"/>
  <c r="AB2068" s="1"/>
  <c r="AD2068" s="1"/>
  <c r="Z2069"/>
  <c r="AB2069" s="1"/>
  <c r="AD2069" s="1"/>
  <c r="AB2071"/>
  <c r="AD2071" s="1"/>
  <c r="U2076"/>
  <c r="Y2076" s="1"/>
  <c r="AA2076" s="1"/>
  <c r="AC2076" s="1"/>
  <c r="N2079"/>
  <c r="Z2082"/>
  <c r="AB2082" s="1"/>
  <c r="AD2082" s="1"/>
  <c r="N2054"/>
  <c r="Z2056"/>
  <c r="AB2056" s="1"/>
  <c r="AD2056" s="1"/>
  <c r="T2054"/>
  <c r="T2065"/>
  <c r="AB2081"/>
  <c r="AD2081" s="1"/>
  <c r="V2448"/>
  <c r="U2448" s="1"/>
  <c r="Y2448" s="1"/>
  <c r="AA2448" s="1"/>
  <c r="AC2448" s="1"/>
  <c r="U2456"/>
  <c r="Y2456" s="1"/>
  <c r="AA2456" s="1"/>
  <c r="AC2456" s="1"/>
  <c r="T2452"/>
  <c r="AB2445"/>
  <c r="AD2445" s="1"/>
  <c r="V2468"/>
  <c r="U2468" s="1"/>
  <c r="Y2468" s="1"/>
  <c r="AA2468" s="1"/>
  <c r="AC2468" s="1"/>
  <c r="Z2434"/>
  <c r="AB2434" s="1"/>
  <c r="AD2434" s="1"/>
  <c r="Z2446"/>
  <c r="AB2446" s="1"/>
  <c r="AD2446" s="1"/>
  <c r="Z2453"/>
  <c r="Z2452" s="1"/>
  <c r="AB2464"/>
  <c r="AD2464" s="1"/>
  <c r="Z2447"/>
  <c r="AB2447" s="1"/>
  <c r="AD2447" s="1"/>
  <c r="T2454"/>
  <c r="AB2465"/>
  <c r="AD2465" s="1"/>
  <c r="AB2469"/>
  <c r="AD2469" s="1"/>
  <c r="Z2468"/>
  <c r="V2428"/>
  <c r="Z2430"/>
  <c r="AB2430" s="1"/>
  <c r="AD2430" s="1"/>
  <c r="Z2435"/>
  <c r="AB2435" s="1"/>
  <c r="AD2435" s="1"/>
  <c r="Z2436"/>
  <c r="AB2436" s="1"/>
  <c r="AD2436" s="1"/>
  <c r="Z2438"/>
  <c r="AB2438" s="1"/>
  <c r="AD2438" s="1"/>
  <c r="AB2444"/>
  <c r="AD2444" s="1"/>
  <c r="V2442"/>
  <c r="Y2442" s="1"/>
  <c r="AA2442" s="1"/>
  <c r="AC2442" s="1"/>
  <c r="N2442"/>
  <c r="AB2443"/>
  <c r="AD2443" s="1"/>
  <c r="U2454"/>
  <c r="Y2454" s="1"/>
  <c r="AA2454" s="1"/>
  <c r="AC2454" s="1"/>
  <c r="Z2457"/>
  <c r="Z2456" s="1"/>
  <c r="N2460"/>
  <c r="Z2463"/>
  <c r="AB2463" s="1"/>
  <c r="AD2463" s="1"/>
  <c r="Z2431"/>
  <c r="AB2431" s="1"/>
  <c r="AD2431" s="1"/>
  <c r="Z2432"/>
  <c r="AB2432" s="1"/>
  <c r="AD2432" s="1"/>
  <c r="Z2439"/>
  <c r="AB2439" s="1"/>
  <c r="AD2439" s="1"/>
  <c r="Z2440"/>
  <c r="AB2440" s="1"/>
  <c r="AD2440" s="1"/>
  <c r="Z2441"/>
  <c r="AB2441" s="1"/>
  <c r="AD2441" s="1"/>
  <c r="T2442"/>
  <c r="Z2455"/>
  <c r="Z2454" s="1"/>
  <c r="T2460"/>
  <c r="V2461"/>
  <c r="V2460" s="1"/>
  <c r="U2460" s="1"/>
  <c r="Y2460" s="1"/>
  <c r="AA2460" s="1"/>
  <c r="AC2460" s="1"/>
  <c r="Z2448"/>
  <c r="AB2449"/>
  <c r="N2428"/>
  <c r="Z2429"/>
  <c r="Z2433"/>
  <c r="AB2433" s="1"/>
  <c r="AD2433" s="1"/>
  <c r="Z2437"/>
  <c r="AB2437" s="1"/>
  <c r="AD2437" s="1"/>
  <c r="Z2451"/>
  <c r="Z2450" s="1"/>
  <c r="T2428"/>
  <c r="T2450"/>
  <c r="AB2462"/>
  <c r="AD2462" s="1"/>
  <c r="AB2177"/>
  <c r="AD2177" s="1"/>
  <c r="Y2177"/>
  <c r="AA2177" s="1"/>
  <c r="AC2177" s="1"/>
  <c r="Y2176"/>
  <c r="AA2176" s="1"/>
  <c r="AC2176" s="1"/>
  <c r="Z2174"/>
  <c r="AB2174" s="1"/>
  <c r="AD2174" s="1"/>
  <c r="Y2174"/>
  <c r="AA2174" s="1"/>
  <c r="AC2174" s="1"/>
  <c r="AB2173"/>
  <c r="AD2173" s="1"/>
  <c r="AA2173"/>
  <c r="AC2173" s="1"/>
  <c r="AB2172"/>
  <c r="AD2172" s="1"/>
  <c r="AA2172"/>
  <c r="AC2172" s="1"/>
  <c r="AB2171"/>
  <c r="AD2171" s="1"/>
  <c r="Y2171"/>
  <c r="AA2171" s="1"/>
  <c r="AC2171" s="1"/>
  <c r="AB2170"/>
  <c r="AD2170" s="1"/>
  <c r="Y2170"/>
  <c r="AA2170" s="1"/>
  <c r="AC2170" s="1"/>
  <c r="AB2169"/>
  <c r="AD2169" s="1"/>
  <c r="Y2169"/>
  <c r="AA2169" s="1"/>
  <c r="AC2169" s="1"/>
  <c r="AB2167"/>
  <c r="AD2167" s="1"/>
  <c r="Y2167"/>
  <c r="AA2167" s="1"/>
  <c r="AC2167" s="1"/>
  <c r="Z2166"/>
  <c r="AB2166" s="1"/>
  <c r="AD2166" s="1"/>
  <c r="Y2166"/>
  <c r="AA2166" s="1"/>
  <c r="AC2166" s="1"/>
  <c r="Y2165"/>
  <c r="Z2165"/>
  <c r="AB2165" s="1"/>
  <c r="AD2165" s="1"/>
  <c r="Z2164"/>
  <c r="AB2164" s="1"/>
  <c r="AD2164" s="1"/>
  <c r="Y2164"/>
  <c r="AA2164" s="1"/>
  <c r="AC2164" s="1"/>
  <c r="AB2163"/>
  <c r="AD2163" s="1"/>
  <c r="Y2163"/>
  <c r="AA2163" s="1"/>
  <c r="AC2163" s="1"/>
  <c r="AB2162"/>
  <c r="AD2162" s="1"/>
  <c r="AA2162"/>
  <c r="AC2162" s="1"/>
  <c r="AB2161"/>
  <c r="AA2161"/>
  <c r="AC2161" s="1"/>
  <c r="AA2160"/>
  <c r="AC2160" s="1"/>
  <c r="Z2160"/>
  <c r="AA2159"/>
  <c r="AC2159" s="1"/>
  <c r="Z2158"/>
  <c r="Y2158"/>
  <c r="AA2158" s="1"/>
  <c r="AC2158" s="1"/>
  <c r="Y2157"/>
  <c r="AA2157" s="1"/>
  <c r="AC2157" s="1"/>
  <c r="AA2156"/>
  <c r="AC2156" s="1"/>
  <c r="AB2155"/>
  <c r="AD2155" s="1"/>
  <c r="Y2155"/>
  <c r="AA2155" s="1"/>
  <c r="AC2155" s="1"/>
  <c r="AB2154"/>
  <c r="AD2154" s="1"/>
  <c r="Y2154"/>
  <c r="AA2154" s="1"/>
  <c r="AC2154" s="1"/>
  <c r="Z2153"/>
  <c r="Y2153"/>
  <c r="AA2153" s="1"/>
  <c r="AC2153" s="1"/>
  <c r="AB2152"/>
  <c r="Y2152"/>
  <c r="AA2152" s="1"/>
  <c r="AC2152" s="1"/>
  <c r="Y2151"/>
  <c r="AA2151" s="1"/>
  <c r="AC2151" s="1"/>
  <c r="Y2150"/>
  <c r="Z2149"/>
  <c r="AB2149" s="1"/>
  <c r="AD2149" s="1"/>
  <c r="Y2149"/>
  <c r="AA2149" s="1"/>
  <c r="AC2149" s="1"/>
  <c r="AB2148"/>
  <c r="AD2148" s="1"/>
  <c r="Y2148"/>
  <c r="AA2148" s="1"/>
  <c r="AC2148" s="1"/>
  <c r="Z2147"/>
  <c r="AB2147" s="1"/>
  <c r="AD2147" s="1"/>
  <c r="Y2147"/>
  <c r="AA2147" s="1"/>
  <c r="AC2147" s="1"/>
  <c r="Z2146"/>
  <c r="AB2146" s="1"/>
  <c r="AD2146" s="1"/>
  <c r="Y2146"/>
  <c r="AA2146" s="1"/>
  <c r="AC2146" s="1"/>
  <c r="Z2145"/>
  <c r="AB2145" s="1"/>
  <c r="AD2145" s="1"/>
  <c r="Y2145"/>
  <c r="AA2145" s="1"/>
  <c r="AC2145" s="1"/>
  <c r="Z2144"/>
  <c r="AB2144" s="1"/>
  <c r="AD2144" s="1"/>
  <c r="Y2144"/>
  <c r="AA2144" s="1"/>
  <c r="AC2144" s="1"/>
  <c r="Z2143"/>
  <c r="AB2143" s="1"/>
  <c r="AD2143" s="1"/>
  <c r="Y2143"/>
  <c r="AA2143" s="1"/>
  <c r="AC2143" s="1"/>
  <c r="Z2142"/>
  <c r="AB2142" s="1"/>
  <c r="AD2142" s="1"/>
  <c r="Y2142"/>
  <c r="AA2142" s="1"/>
  <c r="AC2142" s="1"/>
  <c r="Z2141"/>
  <c r="AB2141" s="1"/>
  <c r="AD2141" s="1"/>
  <c r="Y2141"/>
  <c r="AA2141" s="1"/>
  <c r="AC2141" s="1"/>
  <c r="Z2140"/>
  <c r="AB2140" s="1"/>
  <c r="AD2140" s="1"/>
  <c r="Y2140"/>
  <c r="AA2140" s="1"/>
  <c r="AC2140" s="1"/>
  <c r="Z2139"/>
  <c r="Y2139"/>
  <c r="AA2139" s="1"/>
  <c r="AC2139" s="1"/>
  <c r="Y2138"/>
  <c r="AA2138" s="1"/>
  <c r="AC2138" s="1"/>
  <c r="AB2398" l="1"/>
  <c r="AD2398" s="1"/>
  <c r="AD2384"/>
  <c r="AD2383"/>
  <c r="V2385"/>
  <c r="AC2425"/>
  <c r="AC2426" s="1"/>
  <c r="AD2271"/>
  <c r="AD2270"/>
  <c r="AB2284"/>
  <c r="Z2281"/>
  <c r="Z2269" s="1"/>
  <c r="AC2180"/>
  <c r="AC2181" s="1"/>
  <c r="AB2158"/>
  <c r="Z2157"/>
  <c r="AB2139"/>
  <c r="Z2138"/>
  <c r="AD2152"/>
  <c r="AB2160"/>
  <c r="AD2160" s="1"/>
  <c r="Z2159"/>
  <c r="AB2153"/>
  <c r="AD2153" s="1"/>
  <c r="Z2151"/>
  <c r="AD2161"/>
  <c r="AB2033"/>
  <c r="Z2030"/>
  <c r="Z2018" s="1"/>
  <c r="AB2415"/>
  <c r="AD2415" s="1"/>
  <c r="AD2019"/>
  <c r="AD1984"/>
  <c r="AB1998"/>
  <c r="Z1995"/>
  <c r="Z1983" s="1"/>
  <c r="Z1913"/>
  <c r="AB1963"/>
  <c r="Z1960"/>
  <c r="Z1948" s="1"/>
  <c r="AD1949"/>
  <c r="AD1914"/>
  <c r="AD1946" s="1"/>
  <c r="AD1947" s="1"/>
  <c r="AB1913"/>
  <c r="Z2417"/>
  <c r="Z2385" s="1"/>
  <c r="AD2414"/>
  <c r="AB2412"/>
  <c r="AD2412" s="1"/>
  <c r="AD2386"/>
  <c r="AD2418"/>
  <c r="AB2417"/>
  <c r="AD2417" s="1"/>
  <c r="AC2086"/>
  <c r="AC2087" s="1"/>
  <c r="N2053"/>
  <c r="T2053"/>
  <c r="V2053"/>
  <c r="AB2077"/>
  <c r="AB2076" s="1"/>
  <c r="AD2076" s="1"/>
  <c r="Z2076"/>
  <c r="Z2080"/>
  <c r="AB2080" s="1"/>
  <c r="AD2080" s="1"/>
  <c r="AB2073"/>
  <c r="AB2072" s="1"/>
  <c r="AD2072" s="1"/>
  <c r="AB2070"/>
  <c r="AD2070" s="1"/>
  <c r="Z2074"/>
  <c r="Z2065"/>
  <c r="Y2428"/>
  <c r="AA2428" s="1"/>
  <c r="AC2428" s="1"/>
  <c r="AC2470" s="1"/>
  <c r="AC2471" s="1"/>
  <c r="V2427"/>
  <c r="T2427"/>
  <c r="N2427"/>
  <c r="Z2054"/>
  <c r="AB2065"/>
  <c r="AD2065" s="1"/>
  <c r="AD2055"/>
  <c r="Z2461"/>
  <c r="AB2461" s="1"/>
  <c r="AB2453"/>
  <c r="AB2452" s="1"/>
  <c r="AD2452" s="1"/>
  <c r="AB2455"/>
  <c r="AD2455" s="1"/>
  <c r="Z2442"/>
  <c r="AB2442"/>
  <c r="AD2442" s="1"/>
  <c r="AB2468"/>
  <c r="AD2468" s="1"/>
  <c r="AB2457"/>
  <c r="AD2449"/>
  <c r="AB2448"/>
  <c r="AD2448" s="1"/>
  <c r="AB2451"/>
  <c r="Z2428"/>
  <c r="AB2429"/>
  <c r="Z2134"/>
  <c r="AB2134" s="1"/>
  <c r="AD2134" s="1"/>
  <c r="Y2134"/>
  <c r="AA2134" s="1"/>
  <c r="AC2134" s="1"/>
  <c r="Y2133"/>
  <c r="AA2133" s="1"/>
  <c r="AC2133" s="1"/>
  <c r="Z2133"/>
  <c r="AB2133" s="1"/>
  <c r="AD2133" s="1"/>
  <c r="Z2132"/>
  <c r="AB2132" s="1"/>
  <c r="AD2132" s="1"/>
  <c r="Y2132"/>
  <c r="AA2132" s="1"/>
  <c r="AC2132" s="1"/>
  <c r="Z2131"/>
  <c r="AB2131" s="1"/>
  <c r="AD2131" s="1"/>
  <c r="Y2131"/>
  <c r="AA2131" s="1"/>
  <c r="AC2131" s="1"/>
  <c r="Z2130"/>
  <c r="AB2130" s="1"/>
  <c r="AD2130" s="1"/>
  <c r="Y2130"/>
  <c r="AA2130" s="1"/>
  <c r="AC2130" s="1"/>
  <c r="Z2129"/>
  <c r="AB2129" s="1"/>
  <c r="AD2129" s="1"/>
  <c r="Y2129"/>
  <c r="AA2129" s="1"/>
  <c r="AC2129" s="1"/>
  <c r="Z2128"/>
  <c r="AB2128" s="1"/>
  <c r="AD2128" s="1"/>
  <c r="Y2128"/>
  <c r="AA2128" s="1"/>
  <c r="AC2128" s="1"/>
  <c r="Z2127"/>
  <c r="AB2127" s="1"/>
  <c r="AD2127" s="1"/>
  <c r="Y2127"/>
  <c r="AA2127" s="1"/>
  <c r="AC2127" s="1"/>
  <c r="Z2126"/>
  <c r="AB2126" s="1"/>
  <c r="AD2126" s="1"/>
  <c r="Y2126"/>
  <c r="AA2126" s="1"/>
  <c r="AC2126" s="1"/>
  <c r="Z2125"/>
  <c r="AB2125" s="1"/>
  <c r="AD2125" s="1"/>
  <c r="Y2125"/>
  <c r="AA2125" s="1"/>
  <c r="AC2125" s="1"/>
  <c r="Z2124"/>
  <c r="AB2124" s="1"/>
  <c r="AD2124" s="1"/>
  <c r="Y2124"/>
  <c r="AA2124" s="1"/>
  <c r="AC2124" s="1"/>
  <c r="Y2123"/>
  <c r="AA2123" s="1"/>
  <c r="AC2123" s="1"/>
  <c r="Z2122"/>
  <c r="AB2122" s="1"/>
  <c r="AD2122" s="1"/>
  <c r="Y2122"/>
  <c r="AA2122" s="1"/>
  <c r="AC2122" s="1"/>
  <c r="Y2121"/>
  <c r="AA2121" s="1"/>
  <c r="AC2121" s="1"/>
  <c r="Z2120"/>
  <c r="AB2120" s="1"/>
  <c r="AD2120" s="1"/>
  <c r="Y2120"/>
  <c r="AA2120" s="1"/>
  <c r="AC2120" s="1"/>
  <c r="Y2119"/>
  <c r="AA2119" s="1"/>
  <c r="AC2119" s="1"/>
  <c r="Z2119"/>
  <c r="AB2119" s="1"/>
  <c r="AD2119" s="1"/>
  <c r="Z2118"/>
  <c r="AB2118" s="1"/>
  <c r="AD2118" s="1"/>
  <c r="Y2118"/>
  <c r="AA2118" s="1"/>
  <c r="AC2118" s="1"/>
  <c r="Y2117"/>
  <c r="AA2117" s="1"/>
  <c r="AC2117" s="1"/>
  <c r="Z2117"/>
  <c r="AB2117" s="1"/>
  <c r="AD2117" s="1"/>
  <c r="Z2116"/>
  <c r="AB2116" s="1"/>
  <c r="AD2116" s="1"/>
  <c r="Y2116"/>
  <c r="AA2116" s="1"/>
  <c r="AC2116" s="1"/>
  <c r="Z2115"/>
  <c r="AB2115" s="1"/>
  <c r="AD2115" s="1"/>
  <c r="Y2115"/>
  <c r="AA2115" s="1"/>
  <c r="AC2115" s="1"/>
  <c r="Y2114"/>
  <c r="AA2114" s="1"/>
  <c r="AC2114" s="1"/>
  <c r="T2114"/>
  <c r="T2088" s="1"/>
  <c r="Z2113"/>
  <c r="AB2113" s="1"/>
  <c r="AD2113" s="1"/>
  <c r="Y2113"/>
  <c r="AA2113" s="1"/>
  <c r="AC2113" s="1"/>
  <c r="Z2112"/>
  <c r="AB2112" s="1"/>
  <c r="AD2112" s="1"/>
  <c r="Y2112"/>
  <c r="AA2112" s="1"/>
  <c r="AC2112" s="1"/>
  <c r="Y2111"/>
  <c r="AA2111" s="1"/>
  <c r="AC2111" s="1"/>
  <c r="Z2110"/>
  <c r="AB2110" s="1"/>
  <c r="AD2110" s="1"/>
  <c r="Y2110"/>
  <c r="AA2110" s="1"/>
  <c r="AC2110" s="1"/>
  <c r="Y2109"/>
  <c r="AA2109" s="1"/>
  <c r="AC2109" s="1"/>
  <c r="Z2109"/>
  <c r="AB2109" s="1"/>
  <c r="AD2109" s="1"/>
  <c r="Z2108"/>
  <c r="AB2108" s="1"/>
  <c r="AD2108" s="1"/>
  <c r="Y2108"/>
  <c r="AA2108" s="1"/>
  <c r="AC2108" s="1"/>
  <c r="Z2107"/>
  <c r="AB2107" s="1"/>
  <c r="AD2107" s="1"/>
  <c r="Y2107"/>
  <c r="AA2107" s="1"/>
  <c r="AC2107" s="1"/>
  <c r="Z2106"/>
  <c r="AB2106" s="1"/>
  <c r="AD2106" s="1"/>
  <c r="Y2106"/>
  <c r="AA2106" s="1"/>
  <c r="AC2106" s="1"/>
  <c r="Z2105"/>
  <c r="AB2105" s="1"/>
  <c r="AD2105" s="1"/>
  <c r="Y2105"/>
  <c r="AA2105" s="1"/>
  <c r="AC2105" s="1"/>
  <c r="Z2104"/>
  <c r="AB2104" s="1"/>
  <c r="AD2104" s="1"/>
  <c r="Y2104"/>
  <c r="AA2104" s="1"/>
  <c r="AC2104" s="1"/>
  <c r="Y2103"/>
  <c r="AA2103" s="1"/>
  <c r="AC2103" s="1"/>
  <c r="Z2102"/>
  <c r="AB2102" s="1"/>
  <c r="AD2102" s="1"/>
  <c r="Y2102"/>
  <c r="AA2102" s="1"/>
  <c r="AC2102" s="1"/>
  <c r="Z2101"/>
  <c r="AB2101" s="1"/>
  <c r="AD2101" s="1"/>
  <c r="Y2101"/>
  <c r="AA2101" s="1"/>
  <c r="AC2101" s="1"/>
  <c r="Z2100"/>
  <c r="AB2100" s="1"/>
  <c r="AD2100" s="1"/>
  <c r="Y2100"/>
  <c r="AA2100" s="1"/>
  <c r="AC2100" s="1"/>
  <c r="Z2099"/>
  <c r="AB2099" s="1"/>
  <c r="AD2099" s="1"/>
  <c r="Y2099"/>
  <c r="AA2099" s="1"/>
  <c r="AC2099" s="1"/>
  <c r="Z2098"/>
  <c r="AB2098" s="1"/>
  <c r="AD2098" s="1"/>
  <c r="Y2098"/>
  <c r="AA2098" s="1"/>
  <c r="AC2098" s="1"/>
  <c r="Z2097"/>
  <c r="AB2097" s="1"/>
  <c r="AD2097" s="1"/>
  <c r="Y2097"/>
  <c r="AA2097" s="1"/>
  <c r="AC2097" s="1"/>
  <c r="Z2096"/>
  <c r="AB2096" s="1"/>
  <c r="AD2096" s="1"/>
  <c r="Y2096"/>
  <c r="AA2096" s="1"/>
  <c r="AC2096" s="1"/>
  <c r="Z2095"/>
  <c r="AB2095" s="1"/>
  <c r="AD2095" s="1"/>
  <c r="Y2095"/>
  <c r="AA2095" s="1"/>
  <c r="AC2095" s="1"/>
  <c r="Z2094"/>
  <c r="AB2094" s="1"/>
  <c r="AD2094" s="1"/>
  <c r="Y2094"/>
  <c r="AA2094" s="1"/>
  <c r="AC2094" s="1"/>
  <c r="Z2093"/>
  <c r="AB2093" s="1"/>
  <c r="AD2093" s="1"/>
  <c r="Y2093"/>
  <c r="AA2093" s="1"/>
  <c r="AC2093" s="1"/>
  <c r="Z2092"/>
  <c r="AB2092" s="1"/>
  <c r="AD2092" s="1"/>
  <c r="Y2092"/>
  <c r="AA2092" s="1"/>
  <c r="AC2092" s="1"/>
  <c r="Z2091"/>
  <c r="AB2091" s="1"/>
  <c r="AD2091" s="1"/>
  <c r="Y2091"/>
  <c r="AA2091" s="1"/>
  <c r="AC2091" s="1"/>
  <c r="Z2090"/>
  <c r="AB2090" s="1"/>
  <c r="AD2090" s="1"/>
  <c r="Y2090"/>
  <c r="AA2090" s="1"/>
  <c r="AC2090" s="1"/>
  <c r="Y2089"/>
  <c r="AA2089" s="1"/>
  <c r="AC2089" s="1"/>
  <c r="AB2403" l="1"/>
  <c r="AD2403" s="1"/>
  <c r="AD2425" s="1"/>
  <c r="AD2426" s="1"/>
  <c r="AD2284"/>
  <c r="AB2281"/>
  <c r="AB2159"/>
  <c r="AD2159" s="1"/>
  <c r="AC2135"/>
  <c r="AC2136" s="1"/>
  <c r="Z2137"/>
  <c r="AD2158"/>
  <c r="AB2157"/>
  <c r="AD2157" s="1"/>
  <c r="AD2139"/>
  <c r="AB2138"/>
  <c r="AB2151"/>
  <c r="AD2151" s="1"/>
  <c r="AD2033"/>
  <c r="AB2030"/>
  <c r="AD1998"/>
  <c r="AB1995"/>
  <c r="AD1963"/>
  <c r="AB1960"/>
  <c r="AD2077"/>
  <c r="Z2079"/>
  <c r="Z2053" s="1"/>
  <c r="AB2079"/>
  <c r="AD2079" s="1"/>
  <c r="AD2073"/>
  <c r="AB2454"/>
  <c r="AD2454" s="1"/>
  <c r="AB2054"/>
  <c r="AB2460"/>
  <c r="AD2460" s="1"/>
  <c r="AD2461"/>
  <c r="Z2460"/>
  <c r="Z2427" s="1"/>
  <c r="AD2457"/>
  <c r="AB2456"/>
  <c r="AD2456" s="1"/>
  <c r="AD2429"/>
  <c r="AB2428"/>
  <c r="AD2451"/>
  <c r="AB2450"/>
  <c r="AD2450" s="1"/>
  <c r="Z2114"/>
  <c r="AB2114" s="1"/>
  <c r="AD2114" s="1"/>
  <c r="Z2103"/>
  <c r="AB2103" s="1"/>
  <c r="AD2103" s="1"/>
  <c r="Z2111"/>
  <c r="AB2111" s="1"/>
  <c r="AD2111" s="1"/>
  <c r="Z2121"/>
  <c r="AB2121" s="1"/>
  <c r="AD2121" s="1"/>
  <c r="Z2123"/>
  <c r="AB2123" s="1"/>
  <c r="AD2123" s="1"/>
  <c r="Z2089"/>
  <c r="AB2385" l="1"/>
  <c r="AD2281"/>
  <c r="AD2302" s="1"/>
  <c r="AD2303" s="1"/>
  <c r="AB2269"/>
  <c r="AD2138"/>
  <c r="AD2180" s="1"/>
  <c r="AD2181" s="1"/>
  <c r="AB2137"/>
  <c r="AB2089"/>
  <c r="Z2088"/>
  <c r="AD2030"/>
  <c r="AD2051" s="1"/>
  <c r="AD2052" s="1"/>
  <c r="AB2018"/>
  <c r="AD1995"/>
  <c r="AD2016" s="1"/>
  <c r="AD2017" s="1"/>
  <c r="AB1983"/>
  <c r="AD1960"/>
  <c r="AD1981" s="1"/>
  <c r="AD1982" s="1"/>
  <c r="AB1948"/>
  <c r="AD2428"/>
  <c r="AD2470" s="1"/>
  <c r="AD2471" s="1"/>
  <c r="AB2427"/>
  <c r="AD2054"/>
  <c r="AD2086" s="1"/>
  <c r="AD2087" s="1"/>
  <c r="AB2053"/>
  <c r="AB2088" l="1"/>
  <c r="AD2089"/>
  <c r="AD2135" s="1"/>
  <c r="AD2136" s="1"/>
  <c r="Y2427"/>
  <c r="Z2343"/>
  <c r="AB2343" s="1"/>
  <c r="U2343"/>
  <c r="V2342"/>
  <c r="T2342"/>
  <c r="R2342"/>
  <c r="P2342"/>
  <c r="N2342"/>
  <c r="L2342"/>
  <c r="Z2341"/>
  <c r="AB2341" s="1"/>
  <c r="AD2341" s="1"/>
  <c r="Q2341"/>
  <c r="Z2340"/>
  <c r="AB2340" s="1"/>
  <c r="AD2340" s="1"/>
  <c r="Q2340"/>
  <c r="Z2339"/>
  <c r="AB2339" s="1"/>
  <c r="AD2339" s="1"/>
  <c r="Z2338"/>
  <c r="AB2338" s="1"/>
  <c r="AD2338" s="1"/>
  <c r="S2338"/>
  <c r="Z2337"/>
  <c r="AB2337" s="1"/>
  <c r="AD2337" s="1"/>
  <c r="S2337"/>
  <c r="Q2337"/>
  <c r="Z2336"/>
  <c r="AB2336" s="1"/>
  <c r="AD2336" s="1"/>
  <c r="V2335"/>
  <c r="T2335"/>
  <c r="R2335"/>
  <c r="P2335"/>
  <c r="N2335"/>
  <c r="L2335"/>
  <c r="Z2334"/>
  <c r="AB2334" s="1"/>
  <c r="U2334"/>
  <c r="V2333"/>
  <c r="T2333"/>
  <c r="R2333"/>
  <c r="P2333"/>
  <c r="N2333"/>
  <c r="L2333"/>
  <c r="Z2332"/>
  <c r="Z2331" s="1"/>
  <c r="U2332"/>
  <c r="Y2332" s="1"/>
  <c r="AA2332" s="1"/>
  <c r="AC2332" s="1"/>
  <c r="V2331"/>
  <c r="T2331"/>
  <c r="R2331"/>
  <c r="P2331"/>
  <c r="N2331"/>
  <c r="L2331"/>
  <c r="Z2330"/>
  <c r="Z2329" s="1"/>
  <c r="Y2330"/>
  <c r="AA2330" s="1"/>
  <c r="AC2330" s="1"/>
  <c r="V2329"/>
  <c r="R2329"/>
  <c r="P2329"/>
  <c r="N2329"/>
  <c r="L2329"/>
  <c r="Z2328"/>
  <c r="AB2328" s="1"/>
  <c r="AD2328" s="1"/>
  <c r="Z2327"/>
  <c r="AB2327" s="1"/>
  <c r="AD2327" s="1"/>
  <c r="Z2326"/>
  <c r="AB2326" s="1"/>
  <c r="AD2326" s="1"/>
  <c r="Z2325"/>
  <c r="AB2325" s="1"/>
  <c r="AD2325" s="1"/>
  <c r="Q2325"/>
  <c r="Z2324"/>
  <c r="AB2324" s="1"/>
  <c r="AD2324" s="1"/>
  <c r="U2324"/>
  <c r="S2324"/>
  <c r="Q2324"/>
  <c r="Z2323"/>
  <c r="AB2323" s="1"/>
  <c r="AD2323" s="1"/>
  <c r="Z2322"/>
  <c r="AB2322" s="1"/>
  <c r="AD2322" s="1"/>
  <c r="Y2322"/>
  <c r="AA2322" s="1"/>
  <c r="AC2322" s="1"/>
  <c r="V2321"/>
  <c r="T2321"/>
  <c r="R2321"/>
  <c r="P2321"/>
  <c r="N2321"/>
  <c r="L2321"/>
  <c r="Z2320"/>
  <c r="AB2320" s="1"/>
  <c r="AD2320" s="1"/>
  <c r="S2320"/>
  <c r="Y2320" s="1"/>
  <c r="AA2320" s="1"/>
  <c r="AC2320" s="1"/>
  <c r="Z2319"/>
  <c r="AB2319" s="1"/>
  <c r="AD2319" s="1"/>
  <c r="S2319"/>
  <c r="Z2318"/>
  <c r="AB2318" s="1"/>
  <c r="AD2318" s="1"/>
  <c r="Y2318"/>
  <c r="AA2318" s="1"/>
  <c r="AC2318" s="1"/>
  <c r="Z2317"/>
  <c r="AB2317" s="1"/>
  <c r="AD2317" s="1"/>
  <c r="Y2317"/>
  <c r="AA2317" s="1"/>
  <c r="AC2317" s="1"/>
  <c r="Z2316"/>
  <c r="AB2316" s="1"/>
  <c r="AD2316" s="1"/>
  <c r="Y2316"/>
  <c r="AA2316" s="1"/>
  <c r="AC2316" s="1"/>
  <c r="Z2315"/>
  <c r="AB2315" s="1"/>
  <c r="AD2315" s="1"/>
  <c r="Y2315"/>
  <c r="AA2315" s="1"/>
  <c r="AC2315" s="1"/>
  <c r="Z2314"/>
  <c r="AB2314" s="1"/>
  <c r="AD2314" s="1"/>
  <c r="Y2314"/>
  <c r="AA2314" s="1"/>
  <c r="AC2314" s="1"/>
  <c r="Z2313"/>
  <c r="AB2313" s="1"/>
  <c r="AD2313" s="1"/>
  <c r="Z2312"/>
  <c r="AB2312" s="1"/>
  <c r="AD2312" s="1"/>
  <c r="Y2312"/>
  <c r="AA2312" s="1"/>
  <c r="AC2312" s="1"/>
  <c r="Z2311"/>
  <c r="AB2311" s="1"/>
  <c r="AD2311" s="1"/>
  <c r="Y2311"/>
  <c r="AA2311" s="1"/>
  <c r="AC2311" s="1"/>
  <c r="Z2310"/>
  <c r="AB2310" s="1"/>
  <c r="AD2310" s="1"/>
  <c r="Y2310"/>
  <c r="AA2310" s="1"/>
  <c r="AC2310" s="1"/>
  <c r="Z2309"/>
  <c r="AB2309" s="1"/>
  <c r="AD2309" s="1"/>
  <c r="Y2309"/>
  <c r="AA2309" s="1"/>
  <c r="AC2309" s="1"/>
  <c r="Z2308"/>
  <c r="AB2308" s="1"/>
  <c r="AD2308" s="1"/>
  <c r="Y2308"/>
  <c r="AA2308" s="1"/>
  <c r="AC2308" s="1"/>
  <c r="Z2307"/>
  <c r="Y2307"/>
  <c r="AA2307" s="1"/>
  <c r="AC2307" s="1"/>
  <c r="Z2306"/>
  <c r="AB2306" s="1"/>
  <c r="AD2306" s="1"/>
  <c r="Y2306"/>
  <c r="AA2306" s="1"/>
  <c r="AC2306" s="1"/>
  <c r="Y2304"/>
  <c r="Y2137"/>
  <c r="Y2088"/>
  <c r="Z1561"/>
  <c r="R1449"/>
  <c r="T1449"/>
  <c r="V1449"/>
  <c r="R1443"/>
  <c r="V1443"/>
  <c r="L2304" l="1"/>
  <c r="T2304"/>
  <c r="R2304"/>
  <c r="P2304"/>
  <c r="N2304"/>
  <c r="V2304"/>
  <c r="Y2319"/>
  <c r="AA2319" s="1"/>
  <c r="AC2319" s="1"/>
  <c r="Y2305"/>
  <c r="AA2305" s="1"/>
  <c r="AC2305" s="1"/>
  <c r="AB2307"/>
  <c r="AD2307" s="1"/>
  <c r="Z2305"/>
  <c r="Y2343"/>
  <c r="AA2343" s="1"/>
  <c r="AC2343" s="1"/>
  <c r="Y2339"/>
  <c r="AA2339" s="1"/>
  <c r="AC2339" s="1"/>
  <c r="Y2340"/>
  <c r="AA2340" s="1"/>
  <c r="AC2340" s="1"/>
  <c r="Y2336"/>
  <c r="AA2336" s="1"/>
  <c r="AC2336" s="1"/>
  <c r="Y2329"/>
  <c r="AA2329" s="1"/>
  <c r="AC2329" s="1"/>
  <c r="U2331"/>
  <c r="Y2331" s="1"/>
  <c r="AA2331" s="1"/>
  <c r="AC2331" s="1"/>
  <c r="Y2326"/>
  <c r="AA2326" s="1"/>
  <c r="AC2326" s="1"/>
  <c r="AD2334"/>
  <c r="AB2333"/>
  <c r="AD2333" s="1"/>
  <c r="Z2333"/>
  <c r="Y2323"/>
  <c r="AA2323" s="1"/>
  <c r="AC2323" s="1"/>
  <c r="AB2330"/>
  <c r="AB2329" s="1"/>
  <c r="AD2329" s="1"/>
  <c r="Y2334"/>
  <c r="AA2334" s="1"/>
  <c r="AC2334" s="1"/>
  <c r="Z2335"/>
  <c r="Z2321"/>
  <c r="Y2327"/>
  <c r="AA2327" s="1"/>
  <c r="AC2327" s="1"/>
  <c r="Y2337"/>
  <c r="AA2337" s="1"/>
  <c r="AC2337" s="1"/>
  <c r="Y2324"/>
  <c r="AA2324" s="1"/>
  <c r="AC2324" s="1"/>
  <c r="AB2332"/>
  <c r="AB2331" s="1"/>
  <c r="AD2331" s="1"/>
  <c r="U2333"/>
  <c r="Y2341"/>
  <c r="AA2341" s="1"/>
  <c r="AC2341" s="1"/>
  <c r="Y2325"/>
  <c r="AA2325" s="1"/>
  <c r="AC2325" s="1"/>
  <c r="Y2328"/>
  <c r="AA2328" s="1"/>
  <c r="AC2328" s="1"/>
  <c r="Y2338"/>
  <c r="AA2338" s="1"/>
  <c r="AC2338" s="1"/>
  <c r="Z2342"/>
  <c r="AB2342"/>
  <c r="AD2342" s="1"/>
  <c r="AD2343"/>
  <c r="AB2335"/>
  <c r="AD2335" s="1"/>
  <c r="AB2321"/>
  <c r="AD2321" s="1"/>
  <c r="Z1444"/>
  <c r="Z1445"/>
  <c r="Z1446"/>
  <c r="Z1447"/>
  <c r="V1440"/>
  <c r="V1421"/>
  <c r="V1572"/>
  <c r="T1572"/>
  <c r="V1570"/>
  <c r="V1565"/>
  <c r="T1565"/>
  <c r="V1553"/>
  <c r="V1909"/>
  <c r="T1909"/>
  <c r="R1909"/>
  <c r="P1909"/>
  <c r="N1909"/>
  <c r="V1907"/>
  <c r="T1907"/>
  <c r="R1907"/>
  <c r="P1907"/>
  <c r="N1907"/>
  <c r="V1905"/>
  <c r="T1905"/>
  <c r="R1905"/>
  <c r="P1905"/>
  <c r="N1905"/>
  <c r="V1899"/>
  <c r="T1899"/>
  <c r="R1899"/>
  <c r="P1899"/>
  <c r="N1899"/>
  <c r="L1899"/>
  <c r="V1897"/>
  <c r="T1897"/>
  <c r="R1897"/>
  <c r="P1897"/>
  <c r="N1897"/>
  <c r="Y1892"/>
  <c r="AA1892" s="1"/>
  <c r="AC1892" s="1"/>
  <c r="V1892"/>
  <c r="T1892"/>
  <c r="R1892"/>
  <c r="P1892"/>
  <c r="N1892"/>
  <c r="V1889"/>
  <c r="T1889"/>
  <c r="R1889"/>
  <c r="P1889"/>
  <c r="N1889"/>
  <c r="L1889"/>
  <c r="V1887"/>
  <c r="T1887"/>
  <c r="R1887"/>
  <c r="P1887"/>
  <c r="N1887"/>
  <c r="V1884"/>
  <c r="T1884"/>
  <c r="R1884"/>
  <c r="P1884"/>
  <c r="N1884"/>
  <c r="L1884"/>
  <c r="Z1875"/>
  <c r="AB1875" s="1"/>
  <c r="V1874"/>
  <c r="T1874"/>
  <c r="R1874"/>
  <c r="P1874"/>
  <c r="N1874"/>
  <c r="L1874"/>
  <c r="AC1874"/>
  <c r="Z1863"/>
  <c r="AB1863" s="1"/>
  <c r="AD1863" s="1"/>
  <c r="Z1862"/>
  <c r="AB1862" s="1"/>
  <c r="V1861"/>
  <c r="T1861"/>
  <c r="R1861"/>
  <c r="P1861"/>
  <c r="N1861"/>
  <c r="L1861"/>
  <c r="Z1910"/>
  <c r="AB1910" s="1"/>
  <c r="AD1910" s="1"/>
  <c r="Y1910"/>
  <c r="AA1910" s="1"/>
  <c r="AC1910" s="1"/>
  <c r="Y1909"/>
  <c r="AA1909" s="1"/>
  <c r="AC1909" s="1"/>
  <c r="L1909"/>
  <c r="Z1908"/>
  <c r="AB1908" s="1"/>
  <c r="AB1907" s="1"/>
  <c r="Y1908"/>
  <c r="AA1908" s="1"/>
  <c r="AC1908" s="1"/>
  <c r="Y1907"/>
  <c r="AA1907" s="1"/>
  <c r="AC1907" s="1"/>
  <c r="L1907"/>
  <c r="Z1906"/>
  <c r="AB1906" s="1"/>
  <c r="AD1906" s="1"/>
  <c r="Y1906"/>
  <c r="AA1906" s="1"/>
  <c r="AC1906" s="1"/>
  <c r="Y1905"/>
  <c r="AA1905" s="1"/>
  <c r="AC1905" s="1"/>
  <c r="L1905"/>
  <c r="Z1904"/>
  <c r="AB1904" s="1"/>
  <c r="AD1904" s="1"/>
  <c r="Y1904"/>
  <c r="AA1904" s="1"/>
  <c r="AC1904" s="1"/>
  <c r="Z1903"/>
  <c r="AB1903" s="1"/>
  <c r="AD1903" s="1"/>
  <c r="Y1903"/>
  <c r="AA1903" s="1"/>
  <c r="AC1903" s="1"/>
  <c r="Z1902"/>
  <c r="AB1902" s="1"/>
  <c r="AD1902" s="1"/>
  <c r="Y1902"/>
  <c r="AA1902" s="1"/>
  <c r="AC1902" s="1"/>
  <c r="Z1901"/>
  <c r="AB1901" s="1"/>
  <c r="AD1901" s="1"/>
  <c r="Y1901"/>
  <c r="AA1901" s="1"/>
  <c r="AC1901" s="1"/>
  <c r="Z1900"/>
  <c r="AB1900" s="1"/>
  <c r="Y1900"/>
  <c r="AA1900" s="1"/>
  <c r="AC1900" s="1"/>
  <c r="Y1899"/>
  <c r="AA1899" s="1"/>
  <c r="AC1899" s="1"/>
  <c r="Z1898"/>
  <c r="AB1898" s="1"/>
  <c r="AD1898" s="1"/>
  <c r="Y1898"/>
  <c r="AA1898" s="1"/>
  <c r="AC1898" s="1"/>
  <c r="Y1897"/>
  <c r="AA1897" s="1"/>
  <c r="AC1897" s="1"/>
  <c r="L1897"/>
  <c r="Z1893"/>
  <c r="AB1893" s="1"/>
  <c r="AB1892" s="1"/>
  <c r="Y1893"/>
  <c r="AA1893" s="1"/>
  <c r="AC1893" s="1"/>
  <c r="L1892"/>
  <c r="Z1891"/>
  <c r="AB1891" s="1"/>
  <c r="AD1891" s="1"/>
  <c r="Y1891"/>
  <c r="AA1891" s="1"/>
  <c r="AC1891" s="1"/>
  <c r="Z1890"/>
  <c r="AB1890" s="1"/>
  <c r="Y1890"/>
  <c r="AA1890" s="1"/>
  <c r="AC1890" s="1"/>
  <c r="Y1889"/>
  <c r="AA1889" s="1"/>
  <c r="AC1889" s="1"/>
  <c r="Z1888"/>
  <c r="AB1888" s="1"/>
  <c r="AD1888" s="1"/>
  <c r="Y1888"/>
  <c r="AA1888" s="1"/>
  <c r="AC1888" s="1"/>
  <c r="Y1887"/>
  <c r="AA1887" s="1"/>
  <c r="AC1887" s="1"/>
  <c r="L1887"/>
  <c r="Z1886"/>
  <c r="AB1886" s="1"/>
  <c r="AD1886" s="1"/>
  <c r="Y1886"/>
  <c r="AA1886" s="1"/>
  <c r="AC1886" s="1"/>
  <c r="Z1885"/>
  <c r="AB1885" s="1"/>
  <c r="AD1885" s="1"/>
  <c r="Y1885"/>
  <c r="AA1885" s="1"/>
  <c r="AC1885" s="1"/>
  <c r="Y1884"/>
  <c r="AA1884" s="1"/>
  <c r="AC1884" s="1"/>
  <c r="Z1883"/>
  <c r="AB1883" s="1"/>
  <c r="Y1883"/>
  <c r="AA1883" s="1"/>
  <c r="AC1883" s="1"/>
  <c r="Y1882"/>
  <c r="AA1882" s="1"/>
  <c r="AC1882" s="1"/>
  <c r="T1882"/>
  <c r="R1882"/>
  <c r="P1882"/>
  <c r="N1882"/>
  <c r="L1882"/>
  <c r="Z1881"/>
  <c r="AB1881" s="1"/>
  <c r="Y1881"/>
  <c r="AA1881" s="1"/>
  <c r="AC1881" s="1"/>
  <c r="Y1880"/>
  <c r="AA1880" s="1"/>
  <c r="AC1880" s="1"/>
  <c r="T1880"/>
  <c r="R1880"/>
  <c r="P1880"/>
  <c r="N1880"/>
  <c r="L1880"/>
  <c r="Z1879"/>
  <c r="AB1879" s="1"/>
  <c r="Y1879"/>
  <c r="AA1879" s="1"/>
  <c r="AC1879" s="1"/>
  <c r="Z1878"/>
  <c r="AB1878" s="1"/>
  <c r="AD1878" s="1"/>
  <c r="Y1878"/>
  <c r="AA1878" s="1"/>
  <c r="AC1878" s="1"/>
  <c r="Z1877"/>
  <c r="AB1877" s="1"/>
  <c r="AD1877" s="1"/>
  <c r="Y1877"/>
  <c r="AA1877" s="1"/>
  <c r="AC1877" s="1"/>
  <c r="Z1876"/>
  <c r="AB1876" s="1"/>
  <c r="AD1876" s="1"/>
  <c r="Y1876"/>
  <c r="AA1876" s="1"/>
  <c r="AC1876" s="1"/>
  <c r="Y1875"/>
  <c r="AA1875" s="1"/>
  <c r="AC1875" s="1"/>
  <c r="Y1874"/>
  <c r="AA1874" s="1"/>
  <c r="Z1873"/>
  <c r="AB1873" s="1"/>
  <c r="AD1873" s="1"/>
  <c r="Y1873"/>
  <c r="AA1873" s="1"/>
  <c r="AC1873" s="1"/>
  <c r="Z1872"/>
  <c r="AB1872" s="1"/>
  <c r="AD1872" s="1"/>
  <c r="Y1872"/>
  <c r="AA1872" s="1"/>
  <c r="AC1872" s="1"/>
  <c r="Z1871"/>
  <c r="AB1871" s="1"/>
  <c r="AD1871" s="1"/>
  <c r="Y1871"/>
  <c r="AA1871" s="1"/>
  <c r="AC1871" s="1"/>
  <c r="Z1870"/>
  <c r="AB1870" s="1"/>
  <c r="AD1870" s="1"/>
  <c r="Y1870"/>
  <c r="AA1870" s="1"/>
  <c r="AC1870" s="1"/>
  <c r="Z1869"/>
  <c r="AB1869" s="1"/>
  <c r="AD1869" s="1"/>
  <c r="Y1869"/>
  <c r="AA1869" s="1"/>
  <c r="AC1869" s="1"/>
  <c r="Z1868"/>
  <c r="AB1868" s="1"/>
  <c r="AD1868" s="1"/>
  <c r="Y1868"/>
  <c r="AA1868" s="1"/>
  <c r="AC1868" s="1"/>
  <c r="Z1867"/>
  <c r="Y1867"/>
  <c r="AA1867" s="1"/>
  <c r="AC1867" s="1"/>
  <c r="Z1866"/>
  <c r="AB1866" s="1"/>
  <c r="AD1866" s="1"/>
  <c r="Y1866"/>
  <c r="AA1866" s="1"/>
  <c r="AC1866" s="1"/>
  <c r="Z1865"/>
  <c r="AB1865" s="1"/>
  <c r="AD1865" s="1"/>
  <c r="Y1865"/>
  <c r="AA1865" s="1"/>
  <c r="AC1865" s="1"/>
  <c r="Z1864"/>
  <c r="AB1864" s="1"/>
  <c r="AD1864" s="1"/>
  <c r="Y1864"/>
  <c r="AA1864" s="1"/>
  <c r="AC1864" s="1"/>
  <c r="Y1863"/>
  <c r="AA1863" s="1"/>
  <c r="AC1863" s="1"/>
  <c r="Y1862"/>
  <c r="AA1862" s="1"/>
  <c r="AC1862" s="1"/>
  <c r="Y1861"/>
  <c r="AA1861" s="1"/>
  <c r="AC1861" s="1"/>
  <c r="Z2304" l="1"/>
  <c r="N1860"/>
  <c r="V1860"/>
  <c r="L1860"/>
  <c r="T1860"/>
  <c r="P1860"/>
  <c r="R1860"/>
  <c r="AB2305"/>
  <c r="AD2332"/>
  <c r="Y2342"/>
  <c r="AA2342" s="1"/>
  <c r="AC2342" s="1"/>
  <c r="Y2333"/>
  <c r="AA2333" s="1"/>
  <c r="AC2333" s="1"/>
  <c r="Y2321"/>
  <c r="AA2321" s="1"/>
  <c r="AC2321" s="1"/>
  <c r="AD2330"/>
  <c r="Y2335"/>
  <c r="AA2335" s="1"/>
  <c r="AC2335" s="1"/>
  <c r="AC1911"/>
  <c r="AC1912" s="1"/>
  <c r="V1552"/>
  <c r="AB1899"/>
  <c r="AD1899" s="1"/>
  <c r="Z1909"/>
  <c r="AB1909"/>
  <c r="AD1909" s="1"/>
  <c r="Z1907"/>
  <c r="Z1905"/>
  <c r="Z1899"/>
  <c r="AB1905"/>
  <c r="AD1905" s="1"/>
  <c r="Z1897"/>
  <c r="AB1897"/>
  <c r="AD1897" s="1"/>
  <c r="Z1892"/>
  <c r="AB1889"/>
  <c r="AD1889" s="1"/>
  <c r="Z1889"/>
  <c r="Z1887"/>
  <c r="AB1887"/>
  <c r="AD1887" s="1"/>
  <c r="Z1884"/>
  <c r="AB1884"/>
  <c r="AD1884" s="1"/>
  <c r="AB1874"/>
  <c r="AD1874" s="1"/>
  <c r="Z1874"/>
  <c r="AB1867"/>
  <c r="AD1867" s="1"/>
  <c r="Z1861"/>
  <c r="AD1862"/>
  <c r="AD1875"/>
  <c r="AB1882"/>
  <c r="AD1882" s="1"/>
  <c r="AD1883"/>
  <c r="AD1900"/>
  <c r="AD1907"/>
  <c r="AD1908"/>
  <c r="AD1881"/>
  <c r="AB1880"/>
  <c r="AD1880" s="1"/>
  <c r="AD1890"/>
  <c r="AD1893"/>
  <c r="AD1892"/>
  <c r="Z1880"/>
  <c r="Z1882"/>
  <c r="AC2344" l="1"/>
  <c r="AC2345" s="1"/>
  <c r="AD2305"/>
  <c r="AD2344" s="1"/>
  <c r="AD2345" s="1"/>
  <c r="AB2304"/>
  <c r="Z1860"/>
  <c r="AB1861"/>
  <c r="AD1861" l="1"/>
  <c r="AD1911" s="1"/>
  <c r="AD1912" s="1"/>
  <c r="AB1860"/>
  <c r="Y1860"/>
  <c r="V575"/>
  <c r="V573"/>
  <c r="V571"/>
  <c r="V569"/>
  <c r="V563"/>
  <c r="V560"/>
  <c r="V542"/>
  <c r="V625"/>
  <c r="V622"/>
  <c r="V618"/>
  <c r="V617"/>
  <c r="Z630"/>
  <c r="AB630" s="1"/>
  <c r="AD630" s="1"/>
  <c r="Y630"/>
  <c r="AC630" s="1"/>
  <c r="Z629"/>
  <c r="AB629" s="1"/>
  <c r="AD629" s="1"/>
  <c r="Y629"/>
  <c r="AC629" s="1"/>
  <c r="Z628"/>
  <c r="AB628" s="1"/>
  <c r="Y628"/>
  <c r="AA628" s="1"/>
  <c r="AC628" s="1"/>
  <c r="Y627"/>
  <c r="AA627" s="1"/>
  <c r="AC627" s="1"/>
  <c r="Z626"/>
  <c r="AB626" s="1"/>
  <c r="AD626" s="1"/>
  <c r="Y626"/>
  <c r="AA626" s="1"/>
  <c r="AC626" s="1"/>
  <c r="Y625"/>
  <c r="AA625" s="1"/>
  <c r="AC625" s="1"/>
  <c r="T625"/>
  <c r="Z624"/>
  <c r="AB624" s="1"/>
  <c r="AD624" s="1"/>
  <c r="Y624"/>
  <c r="AA624" s="1"/>
  <c r="AC624" s="1"/>
  <c r="Z623"/>
  <c r="AB623" s="1"/>
  <c r="AD623" s="1"/>
  <c r="Y623"/>
  <c r="AA623" s="1"/>
  <c r="AC623" s="1"/>
  <c r="Y622"/>
  <c r="AA622" s="1"/>
  <c r="AC622" s="1"/>
  <c r="T622"/>
  <c r="P622"/>
  <c r="N622"/>
  <c r="L622"/>
  <c r="Z621"/>
  <c r="AB621" s="1"/>
  <c r="AD621" s="1"/>
  <c r="Y621"/>
  <c r="AA621" s="1"/>
  <c r="AC621" s="1"/>
  <c r="Z620"/>
  <c r="AB620" s="1"/>
  <c r="AD620" s="1"/>
  <c r="Y620"/>
  <c r="AA620" s="1"/>
  <c r="AC620" s="1"/>
  <c r="Z619"/>
  <c r="AB619" s="1"/>
  <c r="AD619" s="1"/>
  <c r="Y619"/>
  <c r="AA619" s="1"/>
  <c r="AC619" s="1"/>
  <c r="T618"/>
  <c r="R618"/>
  <c r="P618"/>
  <c r="N618"/>
  <c r="L618"/>
  <c r="T579"/>
  <c r="S579"/>
  <c r="Q579"/>
  <c r="P579"/>
  <c r="O579"/>
  <c r="N579"/>
  <c r="Z578"/>
  <c r="AB578" s="1"/>
  <c r="AD578" s="1"/>
  <c r="Y578"/>
  <c r="Y579" s="1"/>
  <c r="AA579" s="1"/>
  <c r="AC579" s="1"/>
  <c r="Z577"/>
  <c r="AB577" s="1"/>
  <c r="AD577" s="1"/>
  <c r="Y577"/>
  <c r="AA577" s="1"/>
  <c r="AC577" s="1"/>
  <c r="Z576"/>
  <c r="AB576" s="1"/>
  <c r="AD576" s="1"/>
  <c r="Y576"/>
  <c r="AA576" s="1"/>
  <c r="AC576" s="1"/>
  <c r="Y575"/>
  <c r="AA575" s="1"/>
  <c r="AC575" s="1"/>
  <c r="T575"/>
  <c r="P575"/>
  <c r="L575"/>
  <c r="Z574"/>
  <c r="AB574" s="1"/>
  <c r="AD574" s="1"/>
  <c r="Y574"/>
  <c r="AA574" s="1"/>
  <c r="AC574" s="1"/>
  <c r="Y573"/>
  <c r="AA573" s="1"/>
  <c r="AC573" s="1"/>
  <c r="T573"/>
  <c r="Z572"/>
  <c r="AB572" s="1"/>
  <c r="AD572" s="1"/>
  <c r="Y572"/>
  <c r="AA572" s="1"/>
  <c r="AC572" s="1"/>
  <c r="T571"/>
  <c r="R571"/>
  <c r="Q571"/>
  <c r="Y571" s="1"/>
  <c r="AA571" s="1"/>
  <c r="AC571" s="1"/>
  <c r="P571"/>
  <c r="N571"/>
  <c r="L571"/>
  <c r="Z570"/>
  <c r="AB570" s="1"/>
  <c r="AD570" s="1"/>
  <c r="Y570"/>
  <c r="AA570" s="1"/>
  <c r="AC570" s="1"/>
  <c r="Y569"/>
  <c r="AA569" s="1"/>
  <c r="AC569" s="1"/>
  <c r="T569"/>
  <c r="L569"/>
  <c r="Z568"/>
  <c r="AB568" s="1"/>
  <c r="AD568" s="1"/>
  <c r="Y568"/>
  <c r="AA568" s="1"/>
  <c r="AC568" s="1"/>
  <c r="Z567"/>
  <c r="AB567" s="1"/>
  <c r="AD567" s="1"/>
  <c r="Y567"/>
  <c r="AA567" s="1"/>
  <c r="AC567" s="1"/>
  <c r="Z566"/>
  <c r="AB566" s="1"/>
  <c r="AD566" s="1"/>
  <c r="Y566"/>
  <c r="AA566" s="1"/>
  <c r="AC566" s="1"/>
  <c r="Z565"/>
  <c r="AB565" s="1"/>
  <c r="AD565" s="1"/>
  <c r="Y565"/>
  <c r="AA565" s="1"/>
  <c r="AC565" s="1"/>
  <c r="Z564"/>
  <c r="AB564" s="1"/>
  <c r="AD564" s="1"/>
  <c r="Y564"/>
  <c r="AA564" s="1"/>
  <c r="AC564" s="1"/>
  <c r="Y563"/>
  <c r="AA563" s="1"/>
  <c r="AC563" s="1"/>
  <c r="T563"/>
  <c r="P563"/>
  <c r="O563"/>
  <c r="M563"/>
  <c r="L563"/>
  <c r="Z562"/>
  <c r="AB562" s="1"/>
  <c r="AD562" s="1"/>
  <c r="Y562"/>
  <c r="AA562" s="1"/>
  <c r="AC562" s="1"/>
  <c r="Z561"/>
  <c r="AB561" s="1"/>
  <c r="AD561" s="1"/>
  <c r="Y561"/>
  <c r="AA561" s="1"/>
  <c r="AC561" s="1"/>
  <c r="Y560"/>
  <c r="AA560" s="1"/>
  <c r="AC560" s="1"/>
  <c r="T560"/>
  <c r="P560"/>
  <c r="L560"/>
  <c r="Z559"/>
  <c r="AB559" s="1"/>
  <c r="AD559" s="1"/>
  <c r="Y559"/>
  <c r="AA559" s="1"/>
  <c r="AC559" s="1"/>
  <c r="Z558"/>
  <c r="AB558" s="1"/>
  <c r="AD558" s="1"/>
  <c r="Y558"/>
  <c r="AA558" s="1"/>
  <c r="AC558" s="1"/>
  <c r="Z557"/>
  <c r="AB557" s="1"/>
  <c r="AD557" s="1"/>
  <c r="Y557"/>
  <c r="AA557" s="1"/>
  <c r="AC557" s="1"/>
  <c r="Z556"/>
  <c r="AB556" s="1"/>
  <c r="AD556" s="1"/>
  <c r="Y556"/>
  <c r="AA556" s="1"/>
  <c r="AC556" s="1"/>
  <c r="Z555"/>
  <c r="AB555" s="1"/>
  <c r="AD555" s="1"/>
  <c r="Y555"/>
  <c r="AA555" s="1"/>
  <c r="AC555" s="1"/>
  <c r="Z554"/>
  <c r="AB554" s="1"/>
  <c r="AD554" s="1"/>
  <c r="Y554"/>
  <c r="AA554" s="1"/>
  <c r="AC554" s="1"/>
  <c r="Y553"/>
  <c r="AA553" s="1"/>
  <c r="AC553" s="1"/>
  <c r="P553"/>
  <c r="L553"/>
  <c r="Z552"/>
  <c r="AB552" s="1"/>
  <c r="AD552" s="1"/>
  <c r="Y552"/>
  <c r="AA552" s="1"/>
  <c r="AC552" s="1"/>
  <c r="Z551"/>
  <c r="AB551" s="1"/>
  <c r="AD551" s="1"/>
  <c r="Y551"/>
  <c r="AA551" s="1"/>
  <c r="AC551" s="1"/>
  <c r="Z550"/>
  <c r="AB550" s="1"/>
  <c r="AD550" s="1"/>
  <c r="Y550"/>
  <c r="AA550" s="1"/>
  <c r="AC550" s="1"/>
  <c r="Z549"/>
  <c r="AB549" s="1"/>
  <c r="AD549" s="1"/>
  <c r="Y549"/>
  <c r="AA549" s="1"/>
  <c r="AC549" s="1"/>
  <c r="Z548"/>
  <c r="AB548" s="1"/>
  <c r="AD548" s="1"/>
  <c r="Y548"/>
  <c r="AA548" s="1"/>
  <c r="AC548" s="1"/>
  <c r="Z547"/>
  <c r="AB547" s="1"/>
  <c r="AD547" s="1"/>
  <c r="Y547"/>
  <c r="AA547" s="1"/>
  <c r="AC547" s="1"/>
  <c r="Z546"/>
  <c r="AB546" s="1"/>
  <c r="AD546" s="1"/>
  <c r="Y546"/>
  <c r="AA546" s="1"/>
  <c r="AC546" s="1"/>
  <c r="Z545"/>
  <c r="AB545" s="1"/>
  <c r="AD545" s="1"/>
  <c r="Y545"/>
  <c r="AA545" s="1"/>
  <c r="AC545" s="1"/>
  <c r="Z544"/>
  <c r="AB544" s="1"/>
  <c r="AD544" s="1"/>
  <c r="Y544"/>
  <c r="AA544" s="1"/>
  <c r="AC544" s="1"/>
  <c r="Z543"/>
  <c r="AB543" s="1"/>
  <c r="AD543" s="1"/>
  <c r="Y543"/>
  <c r="AA543" s="1"/>
  <c r="AC543" s="1"/>
  <c r="Y542"/>
  <c r="AA542" s="1"/>
  <c r="AC542" s="1"/>
  <c r="T542"/>
  <c r="P542"/>
  <c r="L542"/>
  <c r="Z575" l="1"/>
  <c r="AB575" s="1"/>
  <c r="AD575" s="1"/>
  <c r="Z569"/>
  <c r="AB569" s="1"/>
  <c r="AD569" s="1"/>
  <c r="AA630"/>
  <c r="Z542"/>
  <c r="AB542" s="1"/>
  <c r="AD542" s="1"/>
  <c r="AA578"/>
  <c r="AC578" s="1"/>
  <c r="AC580" s="1"/>
  <c r="Z622"/>
  <c r="AB622" s="1"/>
  <c r="AD622" s="1"/>
  <c r="Z625"/>
  <c r="AB625" s="1"/>
  <c r="AD625" s="1"/>
  <c r="Z560"/>
  <c r="AB560" s="1"/>
  <c r="AD560" s="1"/>
  <c r="Z573"/>
  <c r="AB573" s="1"/>
  <c r="AD573" s="1"/>
  <c r="Z571"/>
  <c r="AB571" s="1"/>
  <c r="AD571" s="1"/>
  <c r="V553"/>
  <c r="V541" s="1"/>
  <c r="Z563"/>
  <c r="AB563" s="1"/>
  <c r="AD563" s="1"/>
  <c r="Z618"/>
  <c r="AB618" s="1"/>
  <c r="AD618" s="1"/>
  <c r="AD628"/>
  <c r="Q618"/>
  <c r="Y618" s="1"/>
  <c r="AA618" s="1"/>
  <c r="AC618" s="1"/>
  <c r="T553"/>
  <c r="V210"/>
  <c r="T210"/>
  <c r="Z212"/>
  <c r="V842"/>
  <c r="V847"/>
  <c r="V835"/>
  <c r="V816"/>
  <c r="V814"/>
  <c r="V812"/>
  <c r="V811"/>
  <c r="U811"/>
  <c r="V810"/>
  <c r="U810"/>
  <c r="V809"/>
  <c r="V784"/>
  <c r="AD631" l="1"/>
  <c r="V808"/>
  <c r="V783" s="1"/>
  <c r="V834"/>
  <c r="Z553"/>
  <c r="AB553" s="1"/>
  <c r="AD553" s="1"/>
  <c r="AD580" s="1"/>
  <c r="V1061" l="1"/>
  <c r="V1060" s="1"/>
  <c r="V1834" l="1"/>
  <c r="V1819"/>
  <c r="V1846"/>
  <c r="V1844"/>
  <c r="T1844"/>
  <c r="V1818" l="1"/>
  <c r="V1068"/>
  <c r="T1068"/>
  <c r="V1074"/>
  <c r="V1371"/>
  <c r="V1370" s="1"/>
  <c r="V1368"/>
  <c r="V1367"/>
  <c r="V1365"/>
  <c r="V1364"/>
  <c r="V1363"/>
  <c r="V1362"/>
  <c r="V1361"/>
  <c r="V1067" l="1"/>
  <c r="V1359"/>
  <c r="V1366"/>
  <c r="V1170"/>
  <c r="V1358" l="1"/>
  <c r="V478"/>
  <c r="V208"/>
  <c r="Z207"/>
  <c r="V206"/>
  <c r="V205" l="1"/>
  <c r="T617"/>
  <c r="Y587"/>
  <c r="V612"/>
  <c r="V609"/>
  <c r="V438"/>
  <c r="V418"/>
  <c r="V412"/>
  <c r="V401"/>
  <c r="V396"/>
  <c r="V882"/>
  <c r="V903"/>
  <c r="V1056"/>
  <c r="V937"/>
  <c r="V943"/>
  <c r="V940"/>
  <c r="V928"/>
  <c r="V926"/>
  <c r="V901"/>
  <c r="V898"/>
  <c r="V895"/>
  <c r="V885"/>
  <c r="V880"/>
  <c r="V878"/>
  <c r="V874"/>
  <c r="V859"/>
  <c r="V858" l="1"/>
  <c r="V532"/>
  <c r="Y535"/>
  <c r="V524"/>
  <c r="T499"/>
  <c r="V538"/>
  <c r="V537" s="1"/>
  <c r="T531"/>
  <c r="V531" s="1"/>
  <c r="V530" s="1"/>
  <c r="V528"/>
  <c r="Z523"/>
  <c r="T522"/>
  <c r="V522" s="1"/>
  <c r="V521"/>
  <c r="T517"/>
  <c r="T514"/>
  <c r="Z512"/>
  <c r="V511" l="1"/>
  <c r="V510" s="1"/>
  <c r="V1377"/>
  <c r="V1375" s="1"/>
  <c r="V1374" s="1"/>
  <c r="T608"/>
  <c r="V608" s="1"/>
  <c r="V606" s="1"/>
  <c r="V602"/>
  <c r="V597" s="1"/>
  <c r="T598"/>
  <c r="V593"/>
  <c r="V591"/>
  <c r="V590"/>
  <c r="V587"/>
  <c r="V586"/>
  <c r="Z585"/>
  <c r="Z586" l="1"/>
  <c r="V584"/>
  <c r="V583" s="1"/>
  <c r="Y942"/>
  <c r="V933"/>
  <c r="V931" s="1"/>
  <c r="V925"/>
  <c r="V921" s="1"/>
  <c r="V915"/>
  <c r="Z911"/>
  <c r="Z920"/>
  <c r="Z919"/>
  <c r="Z918"/>
  <c r="Z917"/>
  <c r="Z916"/>
  <c r="Z914"/>
  <c r="Z913"/>
  <c r="Z912"/>
  <c r="Z910"/>
  <c r="Z909"/>
  <c r="Z1332"/>
  <c r="AB1332" s="1"/>
  <c r="Y1332"/>
  <c r="AA1332" s="1"/>
  <c r="AC1332" s="1"/>
  <c r="V1331"/>
  <c r="U1331"/>
  <c r="T1331"/>
  <c r="R1331"/>
  <c r="Q1331"/>
  <c r="P1331"/>
  <c r="N1331"/>
  <c r="L1331"/>
  <c r="Y1330"/>
  <c r="AA1330" s="1"/>
  <c r="AC1330" s="1"/>
  <c r="U1329"/>
  <c r="Y1329" s="1"/>
  <c r="AA1329" s="1"/>
  <c r="AC1329" s="1"/>
  <c r="Y1328"/>
  <c r="AA1328" s="1"/>
  <c r="AC1328" s="1"/>
  <c r="N1328"/>
  <c r="N1327" s="1"/>
  <c r="V1327"/>
  <c r="U1327"/>
  <c r="Y1327" s="1"/>
  <c r="AA1327" s="1"/>
  <c r="AC1327" s="1"/>
  <c r="R1327"/>
  <c r="P1327"/>
  <c r="L1327"/>
  <c r="Z1326"/>
  <c r="AB1326" s="1"/>
  <c r="AD1326" s="1"/>
  <c r="Y1326"/>
  <c r="AA1326" s="1"/>
  <c r="AC1326" s="1"/>
  <c r="Z1325"/>
  <c r="AB1325" s="1"/>
  <c r="AD1325" s="1"/>
  <c r="Y1325"/>
  <c r="AA1325" s="1"/>
  <c r="AC1325" s="1"/>
  <c r="Z1324"/>
  <c r="AB1324" s="1"/>
  <c r="AD1324" s="1"/>
  <c r="Y1324"/>
  <c r="AA1324" s="1"/>
  <c r="AC1324" s="1"/>
  <c r="Z1323"/>
  <c r="AB1323" s="1"/>
  <c r="Y1323"/>
  <c r="AA1323" s="1"/>
  <c r="AC1323" s="1"/>
  <c r="Z1322"/>
  <c r="AB1322" s="1"/>
  <c r="Y1322"/>
  <c r="AA1322" s="1"/>
  <c r="K1322"/>
  <c r="Z1321"/>
  <c r="AB1321" s="1"/>
  <c r="Y1321"/>
  <c r="AA1321" s="1"/>
  <c r="K1321"/>
  <c r="Z1320"/>
  <c r="AB1320" s="1"/>
  <c r="Y1320"/>
  <c r="AA1320" s="1"/>
  <c r="AC1320" s="1"/>
  <c r="Y1319"/>
  <c r="AA1319" s="1"/>
  <c r="AC1319" s="1"/>
  <c r="V1319"/>
  <c r="T1319"/>
  <c r="R1319"/>
  <c r="P1319"/>
  <c r="N1319"/>
  <c r="L1319"/>
  <c r="Z1318"/>
  <c r="Z1317" s="1"/>
  <c r="Y1318"/>
  <c r="AA1318" s="1"/>
  <c r="AC1318" s="1"/>
  <c r="N1318"/>
  <c r="N1317" s="1"/>
  <c r="V1317"/>
  <c r="U1317"/>
  <c r="Y1317" s="1"/>
  <c r="AA1317" s="1"/>
  <c r="AC1317" s="1"/>
  <c r="T1317"/>
  <c r="R1317"/>
  <c r="P1317"/>
  <c r="L1317"/>
  <c r="Z1316"/>
  <c r="AB1316" s="1"/>
  <c r="AD1316" s="1"/>
  <c r="S1316"/>
  <c r="Y1316" s="1"/>
  <c r="AA1316" s="1"/>
  <c r="AC1316" s="1"/>
  <c r="Z1315"/>
  <c r="AB1315" s="1"/>
  <c r="AD1315" s="1"/>
  <c r="Y1315"/>
  <c r="AA1315" s="1"/>
  <c r="AC1315" s="1"/>
  <c r="Z1314"/>
  <c r="AB1314" s="1"/>
  <c r="AD1314" s="1"/>
  <c r="Y1314"/>
  <c r="AA1314" s="1"/>
  <c r="AC1314" s="1"/>
  <c r="Z1313"/>
  <c r="AB1313" s="1"/>
  <c r="AD1313" s="1"/>
  <c r="Y1313"/>
  <c r="AA1313" s="1"/>
  <c r="AC1313" s="1"/>
  <c r="Z1312"/>
  <c r="AB1312" s="1"/>
  <c r="AD1312" s="1"/>
  <c r="Y1312"/>
  <c r="AA1312" s="1"/>
  <c r="AC1312" s="1"/>
  <c r="Z1311"/>
  <c r="AB1311" s="1"/>
  <c r="AD1311" s="1"/>
  <c r="Y1311"/>
  <c r="AA1311" s="1"/>
  <c r="AC1311" s="1"/>
  <c r="Z1310"/>
  <c r="AB1310" s="1"/>
  <c r="AD1310" s="1"/>
  <c r="Y1310"/>
  <c r="AA1310" s="1"/>
  <c r="AC1310" s="1"/>
  <c r="Z1309"/>
  <c r="AB1309" s="1"/>
  <c r="AD1309" s="1"/>
  <c r="Y1309"/>
  <c r="AA1309" s="1"/>
  <c r="AC1309" s="1"/>
  <c r="Z1308"/>
  <c r="AB1308" s="1"/>
  <c r="Y1308"/>
  <c r="AA1308" s="1"/>
  <c r="AC1308" s="1"/>
  <c r="Z1307"/>
  <c r="AB1307" s="1"/>
  <c r="Y1307"/>
  <c r="AA1307" s="1"/>
  <c r="AC1307" s="1"/>
  <c r="Z1306"/>
  <c r="AB1306" s="1"/>
  <c r="Y1306"/>
  <c r="AA1306" s="1"/>
  <c r="AC1306" s="1"/>
  <c r="Z1305"/>
  <c r="AB1305" s="1"/>
  <c r="Y1305"/>
  <c r="AA1305" s="1"/>
  <c r="AC1305" s="1"/>
  <c r="Z1304"/>
  <c r="AB1304" s="1"/>
  <c r="Y1304"/>
  <c r="AA1304" s="1"/>
  <c r="AC1304" s="1"/>
  <c r="Z1303"/>
  <c r="AB1303" s="1"/>
  <c r="Y1303"/>
  <c r="AA1303" s="1"/>
  <c r="AC1303" s="1"/>
  <c r="Z1302"/>
  <c r="AB1302" s="1"/>
  <c r="Y1302"/>
  <c r="AA1302" s="1"/>
  <c r="AC1302" s="1"/>
  <c r="Z1301"/>
  <c r="AB1301" s="1"/>
  <c r="Y1301"/>
  <c r="AA1301" s="1"/>
  <c r="AC1301" s="1"/>
  <c r="Z1300"/>
  <c r="AB1300" s="1"/>
  <c r="Y1300"/>
  <c r="AA1300" s="1"/>
  <c r="AC1300" s="1"/>
  <c r="Z1299"/>
  <c r="AB1299" s="1"/>
  <c r="Y1299"/>
  <c r="AA1299" s="1"/>
  <c r="AC1299" s="1"/>
  <c r="Z1298"/>
  <c r="Y1298"/>
  <c r="Z1297"/>
  <c r="AB1297" s="1"/>
  <c r="Y1297"/>
  <c r="AA1297" s="1"/>
  <c r="AC1297" s="1"/>
  <c r="Z1296"/>
  <c r="AB1296" s="1"/>
  <c r="Y1296"/>
  <c r="AA1296" s="1"/>
  <c r="AC1296" s="1"/>
  <c r="Z1295"/>
  <c r="AB1295" s="1"/>
  <c r="Y1295"/>
  <c r="AA1295" s="1"/>
  <c r="AC1295" s="1"/>
  <c r="Z1294"/>
  <c r="AB1294" s="1"/>
  <c r="Y1294"/>
  <c r="AA1294" s="1"/>
  <c r="AC1294" s="1"/>
  <c r="Z1293"/>
  <c r="AB1293" s="1"/>
  <c r="Y1293"/>
  <c r="AA1293" s="1"/>
  <c r="AC1293" s="1"/>
  <c r="Z1292"/>
  <c r="AB1292" s="1"/>
  <c r="Y1292"/>
  <c r="AA1292" s="1"/>
  <c r="AC1292" s="1"/>
  <c r="Z1291"/>
  <c r="AB1291" s="1"/>
  <c r="Y1291"/>
  <c r="AA1291" s="1"/>
  <c r="AC1291" s="1"/>
  <c r="Y1290"/>
  <c r="AA1290" s="1"/>
  <c r="V1290"/>
  <c r="T1290"/>
  <c r="R1290"/>
  <c r="P1290"/>
  <c r="N1290"/>
  <c r="L1290"/>
  <c r="Z1289"/>
  <c r="AB1289" s="1"/>
  <c r="AD1289" s="1"/>
  <c r="Y1289"/>
  <c r="AA1289" s="1"/>
  <c r="AC1289" s="1"/>
  <c r="V1288"/>
  <c r="U1288"/>
  <c r="Y1288" s="1"/>
  <c r="AA1288" s="1"/>
  <c r="AC1288" s="1"/>
  <c r="T1288"/>
  <c r="R1288"/>
  <c r="P1288"/>
  <c r="N1288"/>
  <c r="L1288"/>
  <c r="Z1287"/>
  <c r="AB1287" s="1"/>
  <c r="AD1287" s="1"/>
  <c r="Y1287"/>
  <c r="AA1287" s="1"/>
  <c r="AC1287" s="1"/>
  <c r="Z1286"/>
  <c r="AB1286" s="1"/>
  <c r="AD1286" s="1"/>
  <c r="Y1286"/>
  <c r="AA1286" s="1"/>
  <c r="AC1286" s="1"/>
  <c r="Z1285"/>
  <c r="AB1285" s="1"/>
  <c r="AD1285" s="1"/>
  <c r="Y1285"/>
  <c r="AA1285" s="1"/>
  <c r="AC1285" s="1"/>
  <c r="Z1284"/>
  <c r="AB1284" s="1"/>
  <c r="AD1284" s="1"/>
  <c r="Y1284"/>
  <c r="AA1284" s="1"/>
  <c r="AC1284" s="1"/>
  <c r="Y1283"/>
  <c r="AA1283" s="1"/>
  <c r="AC1283" s="1"/>
  <c r="V1283"/>
  <c r="T1283"/>
  <c r="P1283"/>
  <c r="N1283"/>
  <c r="L1283"/>
  <c r="Z1282"/>
  <c r="AB1282" s="1"/>
  <c r="AD1282" s="1"/>
  <c r="Y1282"/>
  <c r="AA1282" s="1"/>
  <c r="AC1282" s="1"/>
  <c r="Z1281"/>
  <c r="AB1281" s="1"/>
  <c r="AD1281" s="1"/>
  <c r="Y1281"/>
  <c r="AA1281" s="1"/>
  <c r="AC1281" s="1"/>
  <c r="Z1280"/>
  <c r="AB1280" s="1"/>
  <c r="AD1280" s="1"/>
  <c r="Y1280"/>
  <c r="AA1280" s="1"/>
  <c r="AC1280" s="1"/>
  <c r="Z1279"/>
  <c r="AB1279" s="1"/>
  <c r="AD1279" s="1"/>
  <c r="Y1279"/>
  <c r="AA1279" s="1"/>
  <c r="AC1279" s="1"/>
  <c r="Z1278"/>
  <c r="AB1278" s="1"/>
  <c r="AD1278" s="1"/>
  <c r="Y1278"/>
  <c r="AA1278" s="1"/>
  <c r="AC1278" s="1"/>
  <c r="Z1277"/>
  <c r="AB1277" s="1"/>
  <c r="AD1277" s="1"/>
  <c r="Y1277"/>
  <c r="AA1277" s="1"/>
  <c r="AC1277" s="1"/>
  <c r="Z1276"/>
  <c r="AB1276" s="1"/>
  <c r="AD1276" s="1"/>
  <c r="Y1276"/>
  <c r="AA1276" s="1"/>
  <c r="AC1276" s="1"/>
  <c r="Z1275"/>
  <c r="AB1275" s="1"/>
  <c r="AD1275" s="1"/>
  <c r="Y1275"/>
  <c r="AA1275" s="1"/>
  <c r="AC1275" s="1"/>
  <c r="Z1274"/>
  <c r="AB1274" s="1"/>
  <c r="AD1274" s="1"/>
  <c r="Y1274"/>
  <c r="AA1274" s="1"/>
  <c r="AC1274" s="1"/>
  <c r="Z1273"/>
  <c r="AB1273" s="1"/>
  <c r="AD1273" s="1"/>
  <c r="Y1273"/>
  <c r="AA1273" s="1"/>
  <c r="AC1273" s="1"/>
  <c r="Z1272"/>
  <c r="AB1272" s="1"/>
  <c r="AD1272" s="1"/>
  <c r="Y1272"/>
  <c r="AA1272" s="1"/>
  <c r="AC1272" s="1"/>
  <c r="Z1271"/>
  <c r="AB1271" s="1"/>
  <c r="AD1271" s="1"/>
  <c r="Y1271"/>
  <c r="AA1271" s="1"/>
  <c r="AC1271" s="1"/>
  <c r="Y1270"/>
  <c r="AA1270" s="1"/>
  <c r="AC1270" s="1"/>
  <c r="V1270"/>
  <c r="T1270"/>
  <c r="R1270"/>
  <c r="P1270"/>
  <c r="N1270"/>
  <c r="L1270"/>
  <c r="Z1815"/>
  <c r="AB1815" s="1"/>
  <c r="AD1815" s="1"/>
  <c r="Y1815"/>
  <c r="AA1815" s="1"/>
  <c r="AC1815" s="1"/>
  <c r="Z1814"/>
  <c r="AB1814" s="1"/>
  <c r="AD1814" s="1"/>
  <c r="Y1814"/>
  <c r="AA1814" s="1"/>
  <c r="AC1814" s="1"/>
  <c r="Z1813"/>
  <c r="Y1813"/>
  <c r="AA1813" s="1"/>
  <c r="AC1813" s="1"/>
  <c r="N1813"/>
  <c r="T1812"/>
  <c r="R1812"/>
  <c r="P1812"/>
  <c r="N1812"/>
  <c r="L1812"/>
  <c r="Y1811"/>
  <c r="AA1811" s="1"/>
  <c r="AC1811" s="1"/>
  <c r="Z1811" s="1"/>
  <c r="AB1811" s="1"/>
  <c r="AD1811" s="1"/>
  <c r="Y1810"/>
  <c r="AA1810" s="1"/>
  <c r="Z1810" s="1"/>
  <c r="AB1810" s="1"/>
  <c r="AD1810" s="1"/>
  <c r="K1810"/>
  <c r="Z1809"/>
  <c r="AB1809" s="1"/>
  <c r="Y1809"/>
  <c r="AA1809" s="1"/>
  <c r="Z1808"/>
  <c r="AB1808" s="1"/>
  <c r="Y1808"/>
  <c r="AA1808" s="1"/>
  <c r="Y1807"/>
  <c r="T1807"/>
  <c r="R1807"/>
  <c r="P1807"/>
  <c r="N1807"/>
  <c r="L1807"/>
  <c r="Z1806" s="1"/>
  <c r="U1806"/>
  <c r="Y1806" s="1"/>
  <c r="N1806"/>
  <c r="N1802" s="1"/>
  <c r="M1806"/>
  <c r="K1806"/>
  <c r="Z1805"/>
  <c r="AB1805" s="1"/>
  <c r="Y1805"/>
  <c r="AA1805" s="1"/>
  <c r="AC1805" s="1"/>
  <c r="Z1804"/>
  <c r="AB1804" s="1"/>
  <c r="Y1804"/>
  <c r="M1804"/>
  <c r="Z1803"/>
  <c r="AB1803" s="1"/>
  <c r="Y1803"/>
  <c r="AA1803" s="1"/>
  <c r="AC1803" s="1"/>
  <c r="T1802"/>
  <c r="R1802"/>
  <c r="P1802"/>
  <c r="M1802"/>
  <c r="AA1802" s="1"/>
  <c r="AC1802" s="1"/>
  <c r="L1802"/>
  <c r="Y1801"/>
  <c r="AA1801" s="1"/>
  <c r="AC1801" s="1"/>
  <c r="Z1801" s="1"/>
  <c r="AB1801" s="1"/>
  <c r="AD1801" s="1"/>
  <c r="Y1800"/>
  <c r="AA1800" s="1"/>
  <c r="AC1800" s="1"/>
  <c r="Z1800" s="1"/>
  <c r="AB1800" s="1"/>
  <c r="AD1800" s="1"/>
  <c r="Y1799"/>
  <c r="AA1799" s="1"/>
  <c r="AC1799" s="1"/>
  <c r="Z1799" s="1"/>
  <c r="AB1799" s="1"/>
  <c r="AD1799" s="1"/>
  <c r="Y1798"/>
  <c r="AA1798" s="1"/>
  <c r="AC1798" s="1"/>
  <c r="Z1798" s="1"/>
  <c r="N1798"/>
  <c r="Z1797"/>
  <c r="AB1797" s="1"/>
  <c r="Y1797"/>
  <c r="AA1797" s="1"/>
  <c r="Z1796"/>
  <c r="AB1796" s="1"/>
  <c r="Y1796"/>
  <c r="AA1796" s="1"/>
  <c r="Y1795"/>
  <c r="AA1795" s="1"/>
  <c r="AC1795" s="1"/>
  <c r="N1795"/>
  <c r="Z1794"/>
  <c r="AB1794" s="1"/>
  <c r="Y1794"/>
  <c r="AA1794" s="1"/>
  <c r="U1793"/>
  <c r="Y1793" s="1"/>
  <c r="AA1793" s="1"/>
  <c r="K1793"/>
  <c r="Y1792"/>
  <c r="AA1792" s="1"/>
  <c r="AC1792" s="1"/>
  <c r="N1792"/>
  <c r="Z1791"/>
  <c r="AB1791" s="1"/>
  <c r="Y1791"/>
  <c r="AA1791" s="1"/>
  <c r="S1790"/>
  <c r="U1790" s="1"/>
  <c r="N1790"/>
  <c r="Z1789"/>
  <c r="AB1789" s="1"/>
  <c r="Y1789"/>
  <c r="AA1789" s="1"/>
  <c r="Z1788"/>
  <c r="AB1788" s="1"/>
  <c r="Y1788"/>
  <c r="AA1788" s="1"/>
  <c r="U1787"/>
  <c r="Y1787" s="1"/>
  <c r="AA1787" s="1"/>
  <c r="N1787"/>
  <c r="K1787"/>
  <c r="Z1786"/>
  <c r="AB1786" s="1"/>
  <c r="Y1786"/>
  <c r="AA1786" s="1"/>
  <c r="AC1786" s="1"/>
  <c r="Y1785"/>
  <c r="AA1785" s="1"/>
  <c r="AC1785" s="1"/>
  <c r="N1785"/>
  <c r="Z1784"/>
  <c r="AB1784" s="1"/>
  <c r="Y1784"/>
  <c r="AA1784" s="1"/>
  <c r="AC1784" s="1"/>
  <c r="AA1783"/>
  <c r="AC1783" s="1"/>
  <c r="Z1783"/>
  <c r="AB1783" s="1"/>
  <c r="Z1782"/>
  <c r="AB1782" s="1"/>
  <c r="Y1782"/>
  <c r="AA1782" s="1"/>
  <c r="AC1782" s="1"/>
  <c r="Z1781"/>
  <c r="AB1781" s="1"/>
  <c r="Y1781"/>
  <c r="AA1781" s="1"/>
  <c r="AC1781" s="1"/>
  <c r="Z1780"/>
  <c r="AB1780" s="1"/>
  <c r="Y1780"/>
  <c r="AA1780" s="1"/>
  <c r="AC1780" s="1"/>
  <c r="Y1779"/>
  <c r="AA1779" s="1"/>
  <c r="AC1779" s="1"/>
  <c r="R1779"/>
  <c r="P1779"/>
  <c r="L1779"/>
  <c r="V1777" s="1"/>
  <c r="U1778"/>
  <c r="Y1778" s="1"/>
  <c r="AA1778" s="1"/>
  <c r="AC1778" s="1"/>
  <c r="N1778"/>
  <c r="N1777" s="1"/>
  <c r="U1777"/>
  <c r="Y1777" s="1"/>
  <c r="T1777"/>
  <c r="R1777"/>
  <c r="P1777"/>
  <c r="M1777"/>
  <c r="L1777"/>
  <c r="U1776"/>
  <c r="Y1776" s="1"/>
  <c r="AA1776" s="1"/>
  <c r="AC1776" s="1"/>
  <c r="T1776"/>
  <c r="Z1776" s="1"/>
  <c r="N1776"/>
  <c r="N1775" s="1"/>
  <c r="Y1775"/>
  <c r="U1775"/>
  <c r="R1775"/>
  <c r="P1775"/>
  <c r="M1775"/>
  <c r="L1775"/>
  <c r="Y1774"/>
  <c r="AA1774" s="1"/>
  <c r="AC1774" s="1"/>
  <c r="Z1774" s="1"/>
  <c r="N1774"/>
  <c r="Y1773"/>
  <c r="AA1773" s="1"/>
  <c r="N1773"/>
  <c r="K1773"/>
  <c r="U1772"/>
  <c r="Y1772" s="1"/>
  <c r="T1772"/>
  <c r="R1772"/>
  <c r="P1772"/>
  <c r="M1772"/>
  <c r="L1772"/>
  <c r="Y1771"/>
  <c r="AA1771" s="1"/>
  <c r="AC1771" s="1"/>
  <c r="N1771"/>
  <c r="Y1770"/>
  <c r="AA1770" s="1"/>
  <c r="AC1770" s="1"/>
  <c r="U1769"/>
  <c r="Y1769" s="1"/>
  <c r="AA1769" s="1"/>
  <c r="N1769"/>
  <c r="N1767" s="1"/>
  <c r="K1769"/>
  <c r="Y1768"/>
  <c r="AA1768" s="1"/>
  <c r="AC1768" s="1"/>
  <c r="U1767"/>
  <c r="Y1767" s="1"/>
  <c r="R1767"/>
  <c r="P1767"/>
  <c r="M1767"/>
  <c r="L1767"/>
  <c r="U1766"/>
  <c r="Y1766" s="1"/>
  <c r="AA1766" s="1"/>
  <c r="AC1766" s="1"/>
  <c r="N1766"/>
  <c r="Y1765"/>
  <c r="N1765"/>
  <c r="M1765"/>
  <c r="S1764"/>
  <c r="Y1764" s="1"/>
  <c r="AA1764" s="1"/>
  <c r="AC1764" s="1"/>
  <c r="N1764"/>
  <c r="S1763"/>
  <c r="N1763"/>
  <c r="Z1762"/>
  <c r="AB1762" s="1"/>
  <c r="U1762"/>
  <c r="Y1762" s="1"/>
  <c r="M1762"/>
  <c r="U1761"/>
  <c r="Y1761" s="1"/>
  <c r="R1761"/>
  <c r="P1761"/>
  <c r="M1761"/>
  <c r="L1761"/>
  <c r="Z1760" s="1"/>
  <c r="U1760"/>
  <c r="Y1760" s="1"/>
  <c r="AA1760" s="1"/>
  <c r="AC1760" s="1"/>
  <c r="N1760"/>
  <c r="N1759" s="1"/>
  <c r="T1759"/>
  <c r="S1759"/>
  <c r="Y1759" s="1"/>
  <c r="AA1759" s="1"/>
  <c r="AC1759" s="1"/>
  <c r="R1759"/>
  <c r="P1759"/>
  <c r="L1759"/>
  <c r="Y1758"/>
  <c r="AA1758" s="1"/>
  <c r="Z1758" s="1"/>
  <c r="N1758"/>
  <c r="U1757"/>
  <c r="Y1757" s="1"/>
  <c r="AA1757" s="1"/>
  <c r="AC1757" s="1"/>
  <c r="N1757"/>
  <c r="AC1755"/>
  <c r="T1755"/>
  <c r="R1755"/>
  <c r="P1755"/>
  <c r="L1755"/>
  <c r="Y1754"/>
  <c r="AA1754" s="1"/>
  <c r="AC1754" s="1"/>
  <c r="N1754"/>
  <c r="S1753"/>
  <c r="U1753" s="1"/>
  <c r="N1753"/>
  <c r="K1753"/>
  <c r="Y1752"/>
  <c r="AA1752" s="1"/>
  <c r="AC1752" s="1"/>
  <c r="N1752"/>
  <c r="S1751"/>
  <c r="Y1751" s="1"/>
  <c r="AA1751" s="1"/>
  <c r="N1751"/>
  <c r="K1751"/>
  <c r="U1750"/>
  <c r="Y1750" s="1"/>
  <c r="R1750"/>
  <c r="P1750"/>
  <c r="M1750"/>
  <c r="L1750"/>
  <c r="Y1749"/>
  <c r="AA1749" s="1"/>
  <c r="AC1749" s="1"/>
  <c r="Z1749" s="1"/>
  <c r="AB1749" s="1"/>
  <c r="U1747"/>
  <c r="Y1747" s="1"/>
  <c r="M1747"/>
  <c r="Y1746"/>
  <c r="AA1746" s="1"/>
  <c r="AC1746" s="1"/>
  <c r="U1745"/>
  <c r="Y1745" s="1"/>
  <c r="AA1745" s="1"/>
  <c r="AC1745" s="1"/>
  <c r="Y1744"/>
  <c r="AA1744" s="1"/>
  <c r="AC1744" s="1"/>
  <c r="S1743"/>
  <c r="Y1743" s="1"/>
  <c r="AA1743" s="1"/>
  <c r="AC1743" s="1"/>
  <c r="N1742"/>
  <c r="M1742"/>
  <c r="AA1742" s="1"/>
  <c r="K1742"/>
  <c r="Y1741"/>
  <c r="AA1741" s="1"/>
  <c r="AC1741" s="1"/>
  <c r="N1741"/>
  <c r="S1740"/>
  <c r="U1740" s="1"/>
  <c r="M1740"/>
  <c r="K1740"/>
  <c r="Z1739"/>
  <c r="AB1739" s="1"/>
  <c r="Y1739"/>
  <c r="AA1739" s="1"/>
  <c r="AC1739" s="1"/>
  <c r="U1738"/>
  <c r="Y1738" s="1"/>
  <c r="R1738"/>
  <c r="P1738"/>
  <c r="M1738"/>
  <c r="L1738"/>
  <c r="Y1737"/>
  <c r="AA1737" s="1"/>
  <c r="AC1737" s="1"/>
  <c r="N1737"/>
  <c r="Y1736"/>
  <c r="AA1736" s="1"/>
  <c r="AC1736" s="1"/>
  <c r="N1736"/>
  <c r="Y1735"/>
  <c r="AA1735" s="1"/>
  <c r="AC1735" s="1"/>
  <c r="N1735"/>
  <c r="U1734"/>
  <c r="Y1734" s="1"/>
  <c r="AA1734" s="1"/>
  <c r="AC1734" s="1"/>
  <c r="N1734"/>
  <c r="Y1733"/>
  <c r="AA1733" s="1"/>
  <c r="N1733"/>
  <c r="K1733"/>
  <c r="U1732"/>
  <c r="Y1732" s="1"/>
  <c r="R1732"/>
  <c r="P1732"/>
  <c r="M1732"/>
  <c r="L1732"/>
  <c r="Y1731"/>
  <c r="AA1731" s="1"/>
  <c r="AC1731" s="1"/>
  <c r="Y1730"/>
  <c r="AA1730" s="1"/>
  <c r="AC1730" s="1"/>
  <c r="T1730"/>
  <c r="R1730"/>
  <c r="P1730"/>
  <c r="L1730"/>
  <c r="Z1729"/>
  <c r="V1728" s="1"/>
  <c r="U1729"/>
  <c r="Y1729" s="1"/>
  <c r="N1729"/>
  <c r="M1729"/>
  <c r="U1728"/>
  <c r="Y1728" s="1"/>
  <c r="T1728"/>
  <c r="R1728"/>
  <c r="P1728"/>
  <c r="M1728"/>
  <c r="L1728"/>
  <c r="V1726" s="1"/>
  <c r="U1727"/>
  <c r="Y1727" s="1"/>
  <c r="N1727"/>
  <c r="M1727"/>
  <c r="K1727"/>
  <c r="Y1726"/>
  <c r="T1726"/>
  <c r="R1726"/>
  <c r="P1726"/>
  <c r="M1726"/>
  <c r="L1726"/>
  <c r="Z1725" s="1"/>
  <c r="AB1725" s="1"/>
  <c r="AD1725" s="1"/>
  <c r="U1725"/>
  <c r="Y1725" s="1"/>
  <c r="AA1725" s="1"/>
  <c r="AC1725" s="1"/>
  <c r="Y1724"/>
  <c r="AA1724" s="1"/>
  <c r="AC1724" s="1"/>
  <c r="T1724"/>
  <c r="R1724"/>
  <c r="P1724"/>
  <c r="N1724"/>
  <c r="L1724"/>
  <c r="Y1723"/>
  <c r="AA1723" s="1"/>
  <c r="AC1723" s="1"/>
  <c r="Z1723" s="1"/>
  <c r="AB1723" s="1"/>
  <c r="AD1723" s="1"/>
  <c r="Z1722" s="1"/>
  <c r="U1722"/>
  <c r="Y1722" s="1"/>
  <c r="N1722"/>
  <c r="M1722"/>
  <c r="Z1721" s="1"/>
  <c r="U1721"/>
  <c r="Y1721" s="1"/>
  <c r="N1721"/>
  <c r="M1721"/>
  <c r="Z1720" s="1"/>
  <c r="U1720"/>
  <c r="Y1720" s="1"/>
  <c r="N1720"/>
  <c r="M1720"/>
  <c r="Y1719"/>
  <c r="T1719"/>
  <c r="R1719"/>
  <c r="P1719"/>
  <c r="M1719"/>
  <c r="L1719"/>
  <c r="Y1718"/>
  <c r="AA1718" s="1"/>
  <c r="AC1718" s="1"/>
  <c r="S1717"/>
  <c r="U1717" s="1"/>
  <c r="N1717"/>
  <c r="K1717"/>
  <c r="U1716"/>
  <c r="Y1716" s="1"/>
  <c r="AA1716" s="1"/>
  <c r="N1716"/>
  <c r="K1716"/>
  <c r="Y1715"/>
  <c r="AA1715" s="1"/>
  <c r="K1715"/>
  <c r="Y1714"/>
  <c r="AA1714" s="1"/>
  <c r="AC1714" s="1"/>
  <c r="U1714"/>
  <c r="Y1713"/>
  <c r="N1713"/>
  <c r="M1713"/>
  <c r="Y1712"/>
  <c r="AA1712" s="1"/>
  <c r="AC1712" s="1"/>
  <c r="Y1711"/>
  <c r="AA1711" s="1"/>
  <c r="AC1711" s="1"/>
  <c r="N1711"/>
  <c r="Y1710"/>
  <c r="R1710"/>
  <c r="P1710"/>
  <c r="L1710"/>
  <c r="U1709"/>
  <c r="Y1709" s="1"/>
  <c r="AA1709" s="1"/>
  <c r="AC1709" s="1"/>
  <c r="Z1708" s="1"/>
  <c r="U1708"/>
  <c r="Y1708" s="1"/>
  <c r="AA1708" s="1"/>
  <c r="N1708"/>
  <c r="Y1707"/>
  <c r="AA1707" s="1"/>
  <c r="AC1707" s="1"/>
  <c r="T1707"/>
  <c r="R1707"/>
  <c r="P1707"/>
  <c r="L1707"/>
  <c r="AA1706"/>
  <c r="AC1706" s="1"/>
  <c r="Z1706" s="1"/>
  <c r="N1706"/>
  <c r="Y1705"/>
  <c r="AA1705" s="1"/>
  <c r="AC1705" s="1"/>
  <c r="Z1705" s="1"/>
  <c r="N1705"/>
  <c r="U1704"/>
  <c r="Y1704" s="1"/>
  <c r="T1704"/>
  <c r="R1704"/>
  <c r="P1704"/>
  <c r="M1704"/>
  <c r="L1704"/>
  <c r="Z1703" s="1"/>
  <c r="U1703"/>
  <c r="Y1703" s="1"/>
  <c r="AA1703" s="1"/>
  <c r="AC1703" s="1"/>
  <c r="N1703"/>
  <c r="U1702"/>
  <c r="Y1702" s="1"/>
  <c r="R1702"/>
  <c r="Z1702" s="1"/>
  <c r="P1702"/>
  <c r="M1702"/>
  <c r="L1702"/>
  <c r="Y1701"/>
  <c r="AA1701" s="1"/>
  <c r="AC1701" s="1"/>
  <c r="Z1701" s="1"/>
  <c r="N1701"/>
  <c r="N1700" s="1"/>
  <c r="T1700"/>
  <c r="S1700"/>
  <c r="Y1700" s="1"/>
  <c r="AA1700" s="1"/>
  <c r="AC1700" s="1"/>
  <c r="R1700"/>
  <c r="P1700"/>
  <c r="L1700"/>
  <c r="Z1699"/>
  <c r="AB1699" s="1"/>
  <c r="Y1699"/>
  <c r="AA1699" s="1"/>
  <c r="Y1698"/>
  <c r="AA1698" s="1"/>
  <c r="Z1698" s="1"/>
  <c r="N1698"/>
  <c r="K1698"/>
  <c r="Y1697"/>
  <c r="AA1697" s="1"/>
  <c r="AC1697" s="1"/>
  <c r="Z1697" s="1"/>
  <c r="N1697"/>
  <c r="Z1696" s="1"/>
  <c r="AB1696" s="1"/>
  <c r="AD1696" s="1"/>
  <c r="U1696"/>
  <c r="Y1696" s="1"/>
  <c r="AA1696" s="1"/>
  <c r="AC1696" s="1"/>
  <c r="Z1695" s="1"/>
  <c r="U1695"/>
  <c r="Y1695" s="1"/>
  <c r="N1695"/>
  <c r="M1695"/>
  <c r="K1695"/>
  <c r="Z1694"/>
  <c r="AB1694" s="1"/>
  <c r="S1694"/>
  <c r="U1694" s="1"/>
  <c r="M1694"/>
  <c r="Y1693"/>
  <c r="AA1693" s="1"/>
  <c r="T1693"/>
  <c r="R1693"/>
  <c r="P1693"/>
  <c r="L1693"/>
  <c r="K1693"/>
  <c r="Y1692"/>
  <c r="AA1692" s="1"/>
  <c r="AC1692" s="1"/>
  <c r="Z1692" s="1"/>
  <c r="AB1692" s="1"/>
  <c r="AD1692" s="1"/>
  <c r="Z1691" s="1"/>
  <c r="U1691"/>
  <c r="Y1691" s="1"/>
  <c r="AA1691" s="1"/>
  <c r="AC1691" s="1"/>
  <c r="N1691"/>
  <c r="N1689" s="1"/>
  <c r="Z1690"/>
  <c r="AB1690" s="1"/>
  <c r="Y1690"/>
  <c r="M1690"/>
  <c r="Y1689"/>
  <c r="AA1689" s="1"/>
  <c r="AC1689" s="1"/>
  <c r="T1689"/>
  <c r="S1689"/>
  <c r="R1689"/>
  <c r="P1689"/>
  <c r="L1689"/>
  <c r="Z1688" s="1"/>
  <c r="AB1688" s="1"/>
  <c r="AD1688" s="1"/>
  <c r="U1688"/>
  <c r="Y1688" s="1"/>
  <c r="AA1688" s="1"/>
  <c r="AC1688" s="1"/>
  <c r="AA1687"/>
  <c r="AC1687" s="1"/>
  <c r="Z1687" s="1"/>
  <c r="N1687"/>
  <c r="N1686" s="1"/>
  <c r="Y1686"/>
  <c r="AA1686" s="1"/>
  <c r="AC1686" s="1"/>
  <c r="T1686"/>
  <c r="R1686"/>
  <c r="P1686"/>
  <c r="L1686"/>
  <c r="Y1685"/>
  <c r="AA1685" s="1"/>
  <c r="AC1685" s="1"/>
  <c r="Y1684"/>
  <c r="AA1684" s="1"/>
  <c r="AC1684" s="1"/>
  <c r="N1684"/>
  <c r="N1683" s="1"/>
  <c r="U1683"/>
  <c r="Y1683" s="1"/>
  <c r="R1683"/>
  <c r="P1683"/>
  <c r="M1683"/>
  <c r="L1683"/>
  <c r="U1682"/>
  <c r="Y1682" s="1"/>
  <c r="AA1682" s="1"/>
  <c r="AC1682" s="1"/>
  <c r="N1682"/>
  <c r="Y1681"/>
  <c r="AA1681" s="1"/>
  <c r="N1681"/>
  <c r="K1681"/>
  <c r="Y1680"/>
  <c r="AA1680" s="1"/>
  <c r="AC1680" s="1"/>
  <c r="N1680"/>
  <c r="Y1679"/>
  <c r="AA1679" s="1"/>
  <c r="K1679"/>
  <c r="U1678"/>
  <c r="Y1678" s="1"/>
  <c r="AA1678" s="1"/>
  <c r="AC1678" s="1"/>
  <c r="N1678"/>
  <c r="U1677"/>
  <c r="Y1677" s="1"/>
  <c r="AA1677" s="1"/>
  <c r="AC1677" s="1"/>
  <c r="N1677"/>
  <c r="S1676"/>
  <c r="U1676" s="1"/>
  <c r="U1675"/>
  <c r="Y1675" s="1"/>
  <c r="AA1675" s="1"/>
  <c r="AC1675" s="1"/>
  <c r="S1674"/>
  <c r="Y1674" s="1"/>
  <c r="AA1674" s="1"/>
  <c r="AC1674" s="1"/>
  <c r="N1674"/>
  <c r="S1673"/>
  <c r="N1673"/>
  <c r="Y1672"/>
  <c r="AA1672" s="1"/>
  <c r="AC1672" s="1"/>
  <c r="N1672"/>
  <c r="S1671"/>
  <c r="Y1670"/>
  <c r="AA1670" s="1"/>
  <c r="AC1670" s="1"/>
  <c r="Z1670" s="1"/>
  <c r="AB1670" s="1"/>
  <c r="AD1670" s="1"/>
  <c r="S1670"/>
  <c r="U1669"/>
  <c r="Y1669" s="1"/>
  <c r="R1669"/>
  <c r="P1669"/>
  <c r="M1669"/>
  <c r="L1669"/>
  <c r="Y1668"/>
  <c r="AA1668" s="1"/>
  <c r="AC1668" s="1"/>
  <c r="Z1668" s="1"/>
  <c r="AB1668" s="1"/>
  <c r="AD1668" s="1"/>
  <c r="Y1667"/>
  <c r="AA1667" s="1"/>
  <c r="AC1667" s="1"/>
  <c r="Z1667" s="1"/>
  <c r="AB1667" s="1"/>
  <c r="AD1667" s="1"/>
  <c r="AA1666"/>
  <c r="AC1666" s="1"/>
  <c r="Z1666" s="1"/>
  <c r="AB1666" s="1"/>
  <c r="AD1666" s="1"/>
  <c r="Y1665"/>
  <c r="AA1665" s="1"/>
  <c r="AC1665" s="1"/>
  <c r="Z1665" s="1"/>
  <c r="N1665"/>
  <c r="Y1664"/>
  <c r="AA1664" s="1"/>
  <c r="Z1664" s="1"/>
  <c r="N1664"/>
  <c r="K1664"/>
  <c r="Y1663"/>
  <c r="AA1663" s="1"/>
  <c r="Z1663" s="1"/>
  <c r="N1663"/>
  <c r="K1663"/>
  <c r="Y1662"/>
  <c r="AA1662" s="1"/>
  <c r="Z1662" s="1"/>
  <c r="N1662"/>
  <c r="K1662"/>
  <c r="Y1661"/>
  <c r="AA1661" s="1"/>
  <c r="AC1661" s="1"/>
  <c r="Z1661" s="1"/>
  <c r="N1661"/>
  <c r="Y1660"/>
  <c r="AA1660" s="1"/>
  <c r="AC1660" s="1"/>
  <c r="Z1660" s="1"/>
  <c r="N1660"/>
  <c r="Y1659"/>
  <c r="AA1659" s="1"/>
  <c r="AC1659" s="1"/>
  <c r="N1659"/>
  <c r="Y1658"/>
  <c r="AA1658" s="1"/>
  <c r="Z1658" s="1"/>
  <c r="N1658"/>
  <c r="K1658"/>
  <c r="Y1657"/>
  <c r="AA1657" s="1"/>
  <c r="N1657"/>
  <c r="K1657"/>
  <c r="Y1656"/>
  <c r="AA1656" s="1"/>
  <c r="AC1656" s="1"/>
  <c r="N1656"/>
  <c r="U1655"/>
  <c r="Y1655" s="1"/>
  <c r="AA1655" s="1"/>
  <c r="N1655"/>
  <c r="K1655"/>
  <c r="Y1654"/>
  <c r="AA1654" s="1"/>
  <c r="Z1654" s="1"/>
  <c r="N1654"/>
  <c r="K1654"/>
  <c r="U1653"/>
  <c r="Y1653" s="1"/>
  <c r="R1653"/>
  <c r="P1653"/>
  <c r="M1653"/>
  <c r="L1653"/>
  <c r="AA1726" l="1"/>
  <c r="AC1726" s="1"/>
  <c r="N1719"/>
  <c r="AC1321"/>
  <c r="AA1728"/>
  <c r="AC1728" s="1"/>
  <c r="N1772"/>
  <c r="AA1710"/>
  <c r="AC1710" s="1"/>
  <c r="Z1283"/>
  <c r="AB1283" s="1"/>
  <c r="AD1283" s="1"/>
  <c r="AB1701"/>
  <c r="AD1701" s="1"/>
  <c r="N1704"/>
  <c r="AA1690"/>
  <c r="AC1690" s="1"/>
  <c r="AA1727"/>
  <c r="AC1727" s="1"/>
  <c r="N1738"/>
  <c r="N1761"/>
  <c r="AA1702"/>
  <c r="AC1702" s="1"/>
  <c r="AA1720"/>
  <c r="AC1720" s="1"/>
  <c r="AC1751"/>
  <c r="AC1758"/>
  <c r="AB1664"/>
  <c r="AD1664" s="1"/>
  <c r="AB1705"/>
  <c r="AD1705" s="1"/>
  <c r="AB1720"/>
  <c r="AD1720" s="1"/>
  <c r="N1732"/>
  <c r="AC1810"/>
  <c r="AB1318"/>
  <c r="AD1318" s="1"/>
  <c r="Z1741"/>
  <c r="AB1741" s="1"/>
  <c r="AD1741" s="1"/>
  <c r="N1779"/>
  <c r="AC1655"/>
  <c r="AC1657"/>
  <c r="AC1658"/>
  <c r="AA1695"/>
  <c r="AC1695" s="1"/>
  <c r="AC1698"/>
  <c r="AA1729"/>
  <c r="AC1729" s="1"/>
  <c r="AA1765"/>
  <c r="AC1765" s="1"/>
  <c r="AA1775"/>
  <c r="AC1775" s="1"/>
  <c r="AC1787"/>
  <c r="Z1812"/>
  <c r="AB1812" s="1"/>
  <c r="AD1812" s="1"/>
  <c r="Z1319"/>
  <c r="Y1331"/>
  <c r="AA1331" s="1"/>
  <c r="AC1331" s="1"/>
  <c r="AC1654"/>
  <c r="Z1270"/>
  <c r="AB1270" s="1"/>
  <c r="AD1270" s="1"/>
  <c r="P1652"/>
  <c r="AC1715"/>
  <c r="AA1721"/>
  <c r="AC1721" s="1"/>
  <c r="AA1722"/>
  <c r="AC1722" s="1"/>
  <c r="AC1733"/>
  <c r="AB1760"/>
  <c r="AD1760" s="1"/>
  <c r="AC1769"/>
  <c r="AA1772"/>
  <c r="AC1772" s="1"/>
  <c r="AC1773"/>
  <c r="AA1804"/>
  <c r="AC1804" s="1"/>
  <c r="AA1806"/>
  <c r="AC1806" s="1"/>
  <c r="V1707"/>
  <c r="Z1707" s="1"/>
  <c r="AB1663"/>
  <c r="AD1663" s="1"/>
  <c r="Z1672"/>
  <c r="AB1672" s="1"/>
  <c r="AD1672" s="1"/>
  <c r="T1683"/>
  <c r="V1702"/>
  <c r="V1807"/>
  <c r="Z1807" s="1"/>
  <c r="AB1807" s="1"/>
  <c r="AD1807" s="1"/>
  <c r="V1683" s="1"/>
  <c r="V1772"/>
  <c r="Z1772" s="1"/>
  <c r="V1759"/>
  <c r="Z1759" s="1"/>
  <c r="AB1759" s="1"/>
  <c r="AD1759" s="1"/>
  <c r="AA1762"/>
  <c r="AC1762" s="1"/>
  <c r="AA1653"/>
  <c r="AC1653" s="1"/>
  <c r="AC1662"/>
  <c r="AC1708"/>
  <c r="Z1709"/>
  <c r="AB1709" s="1"/>
  <c r="AD1709" s="1"/>
  <c r="Y1717"/>
  <c r="AA1717" s="1"/>
  <c r="AC1717" s="1"/>
  <c r="V1724"/>
  <c r="Z1724" s="1"/>
  <c r="AB1724" s="1"/>
  <c r="AD1724" s="1"/>
  <c r="AA1747"/>
  <c r="AC1747" s="1"/>
  <c r="Y1753"/>
  <c r="AA1753" s="1"/>
  <c r="AC1753" s="1"/>
  <c r="AB1774"/>
  <c r="AD1774" s="1"/>
  <c r="Z1777"/>
  <c r="AB1777" s="1"/>
  <c r="AD1777" s="1"/>
  <c r="AB1806"/>
  <c r="AD1806" s="1"/>
  <c r="AB1813"/>
  <c r="AD1813" s="1"/>
  <c r="Z1288"/>
  <c r="AB1288" s="1"/>
  <c r="AD1288" s="1"/>
  <c r="AC1322"/>
  <c r="AB1662"/>
  <c r="AD1662" s="1"/>
  <c r="AA1669"/>
  <c r="AC1669" s="1"/>
  <c r="AC1693"/>
  <c r="N1710"/>
  <c r="Z1728"/>
  <c r="AC1793"/>
  <c r="AC1663"/>
  <c r="AC1664"/>
  <c r="AC1679"/>
  <c r="AC1681"/>
  <c r="Z1693"/>
  <c r="Z1718" s="1"/>
  <c r="AB1718" s="1"/>
  <c r="AD1718" s="1"/>
  <c r="AA1719"/>
  <c r="AC1719" s="1"/>
  <c r="Z1726"/>
  <c r="AA1738"/>
  <c r="AC1738" s="1"/>
  <c r="AC1742"/>
  <c r="AA1750"/>
  <c r="AC1750" s="1"/>
  <c r="Z1755"/>
  <c r="AA1761"/>
  <c r="AC1761" s="1"/>
  <c r="AA1767"/>
  <c r="AC1767" s="1"/>
  <c r="AA1777"/>
  <c r="AC1777" s="1"/>
  <c r="AB1798"/>
  <c r="AD1798" s="1"/>
  <c r="Z1290"/>
  <c r="AB1290" s="1"/>
  <c r="AD1290" s="1"/>
  <c r="Z915"/>
  <c r="V908"/>
  <c r="V907" s="1"/>
  <c r="Z1770"/>
  <c r="AB1770" s="1"/>
  <c r="AD1770" s="1"/>
  <c r="Y1790"/>
  <c r="AA1790" s="1"/>
  <c r="AC1790" s="1"/>
  <c r="AD1332"/>
  <c r="AB1331"/>
  <c r="AD1331" s="1"/>
  <c r="AB1319"/>
  <c r="AD1319" s="1"/>
  <c r="Z1331"/>
  <c r="T1653"/>
  <c r="AB1721"/>
  <c r="AD1721" s="1"/>
  <c r="AB1758"/>
  <c r="AD1758" s="1"/>
  <c r="Z1765"/>
  <c r="AB1765" s="1"/>
  <c r="AD1765" s="1"/>
  <c r="Z1676"/>
  <c r="AB1676" s="1"/>
  <c r="AD1676" s="1"/>
  <c r="Z1685"/>
  <c r="AB1685" s="1"/>
  <c r="AD1685" s="1"/>
  <c r="V1689"/>
  <c r="Z1689" s="1"/>
  <c r="AB1689" s="1"/>
  <c r="AD1689" s="1"/>
  <c r="AB1697"/>
  <c r="AD1697" s="1"/>
  <c r="Z1727"/>
  <c r="AB1727" s="1"/>
  <c r="AD1727" s="1"/>
  <c r="T1732"/>
  <c r="Z1732" s="1"/>
  <c r="Z1733"/>
  <c r="AB1733" s="1"/>
  <c r="AD1733" s="1"/>
  <c r="Z1736"/>
  <c r="AB1736" s="1"/>
  <c r="AD1736" s="1"/>
  <c r="Z1740"/>
  <c r="AB1740" s="1"/>
  <c r="AD1740" s="1"/>
  <c r="AB1658"/>
  <c r="AD1658" s="1"/>
  <c r="T1767"/>
  <c r="AB1698"/>
  <c r="AD1698" s="1"/>
  <c r="V1704"/>
  <c r="Z1704" s="1"/>
  <c r="Z1743"/>
  <c r="AB1743" s="1"/>
  <c r="AD1743" s="1"/>
  <c r="V1812"/>
  <c r="Z1656"/>
  <c r="AB1656" s="1"/>
  <c r="AD1656" s="1"/>
  <c r="Z1657" s="1"/>
  <c r="AB1657" s="1"/>
  <c r="AD1657" s="1"/>
  <c r="AB1665"/>
  <c r="AD1665" s="1"/>
  <c r="Z1674" s="1"/>
  <c r="AB1674" s="1"/>
  <c r="AD1674" s="1"/>
  <c r="Z1678"/>
  <c r="AB1678" s="1"/>
  <c r="AD1678" s="1"/>
  <c r="Z1681" s="1"/>
  <c r="AB1681" s="1"/>
  <c r="AD1681" s="1"/>
  <c r="V1693"/>
  <c r="AB1722"/>
  <c r="AD1722" s="1"/>
  <c r="Z1742" s="1"/>
  <c r="AB1742" s="1"/>
  <c r="AD1742" s="1"/>
  <c r="Z1744"/>
  <c r="AB1744" s="1"/>
  <c r="AD1744" s="1"/>
  <c r="Z1747"/>
  <c r="AB1747" s="1"/>
  <c r="V1755"/>
  <c r="Z1763" s="1"/>
  <c r="AB1763" s="1"/>
  <c r="AD1763" s="1"/>
  <c r="Z1773"/>
  <c r="AB1773" s="1"/>
  <c r="AD1773" s="1"/>
  <c r="Z1790" s="1"/>
  <c r="AB1790" s="1"/>
  <c r="AD1790" s="1"/>
  <c r="Z1793"/>
  <c r="AB1793" s="1"/>
  <c r="AD1793" s="1"/>
  <c r="Z1795"/>
  <c r="AB1795" s="1"/>
  <c r="AD1795" s="1"/>
  <c r="N1669"/>
  <c r="N1702"/>
  <c r="AB1702" s="1"/>
  <c r="AD1702" s="1"/>
  <c r="AB1703"/>
  <c r="AD1703" s="1"/>
  <c r="N1653"/>
  <c r="AB1654"/>
  <c r="AD1654" s="1"/>
  <c r="T1710"/>
  <c r="N1726"/>
  <c r="T1669"/>
  <c r="N1707"/>
  <c r="AB1708"/>
  <c r="AD1708" s="1"/>
  <c r="Z1712" s="1"/>
  <c r="AB1712" s="1"/>
  <c r="AD1712" s="1"/>
  <c r="N1728"/>
  <c r="AB1729"/>
  <c r="AD1729" s="1"/>
  <c r="V1730"/>
  <c r="Z1731"/>
  <c r="AB1731" s="1"/>
  <c r="AD1731" s="1"/>
  <c r="AB1660"/>
  <c r="AD1660" s="1"/>
  <c r="AB1661"/>
  <c r="AD1661" s="1"/>
  <c r="Z1679"/>
  <c r="AB1679" s="1"/>
  <c r="AD1679" s="1"/>
  <c r="AA1683"/>
  <c r="AC1683" s="1"/>
  <c r="Y1694"/>
  <c r="AA1694" s="1"/>
  <c r="AC1694" s="1"/>
  <c r="AC1716"/>
  <c r="AA1732"/>
  <c r="AC1732" s="1"/>
  <c r="Y1676"/>
  <c r="AA1676" s="1"/>
  <c r="AC1676" s="1"/>
  <c r="V1686"/>
  <c r="Z1686" s="1"/>
  <c r="AB1686" s="1"/>
  <c r="AD1686" s="1"/>
  <c r="AB1687"/>
  <c r="AD1687" s="1"/>
  <c r="V1700"/>
  <c r="Z1700" s="1"/>
  <c r="AB1700" s="1"/>
  <c r="AD1700" s="1"/>
  <c r="AA1704"/>
  <c r="AC1704" s="1"/>
  <c r="AB1706"/>
  <c r="AD1706" s="1"/>
  <c r="Z1714"/>
  <c r="AB1714" s="1"/>
  <c r="AD1714" s="1"/>
  <c r="Z1716"/>
  <c r="AB1716" s="1"/>
  <c r="AD1716" s="1"/>
  <c r="Z1730"/>
  <c r="AB1730" s="1"/>
  <c r="AD1730" s="1"/>
  <c r="AB1776"/>
  <c r="AD1776" s="1"/>
  <c r="Z1680" s="1"/>
  <c r="AB1680" s="1"/>
  <c r="AD1680" s="1"/>
  <c r="N1693"/>
  <c r="AB1695"/>
  <c r="AD1695" s="1"/>
  <c r="Z1715"/>
  <c r="AB1715" s="1"/>
  <c r="AD1715" s="1"/>
  <c r="Z1673"/>
  <c r="AB1673" s="1"/>
  <c r="AD1673" s="1"/>
  <c r="AB1691"/>
  <c r="AD1691" s="1"/>
  <c r="AA1713"/>
  <c r="AC1713" s="1"/>
  <c r="Z1717"/>
  <c r="AB1717" s="1"/>
  <c r="AD1717" s="1"/>
  <c r="Z1734"/>
  <c r="AB1734" s="1"/>
  <c r="AD1734" s="1"/>
  <c r="T1750"/>
  <c r="Z1757"/>
  <c r="AB1757" s="1"/>
  <c r="AD1757" s="1"/>
  <c r="U1763"/>
  <c r="Y1763" s="1"/>
  <c r="AA1763" s="1"/>
  <c r="AC1763" s="1"/>
  <c r="Z1769" s="1"/>
  <c r="AB1769" s="1"/>
  <c r="AD1769" s="1"/>
  <c r="Z1778"/>
  <c r="AB1778" s="1"/>
  <c r="AD1778" s="1"/>
  <c r="V1802"/>
  <c r="Z1802" s="1"/>
  <c r="AB1802" s="1"/>
  <c r="AD1802" s="1"/>
  <c r="Z1659"/>
  <c r="AB1659" s="1"/>
  <c r="AD1659" s="1"/>
  <c r="U1671"/>
  <c r="Y1671" s="1"/>
  <c r="AA1671" s="1"/>
  <c r="AC1671" s="1"/>
  <c r="U1673"/>
  <c r="Y1673" s="1"/>
  <c r="AA1673" s="1"/>
  <c r="AC1673" s="1"/>
  <c r="Z1675" s="1"/>
  <c r="AB1675" s="1"/>
  <c r="AD1675" s="1"/>
  <c r="Z1677" s="1"/>
  <c r="AB1677" s="1"/>
  <c r="AD1677" s="1"/>
  <c r="Z1682" s="1"/>
  <c r="AB1682" s="1"/>
  <c r="AD1682" s="1"/>
  <c r="Z1713"/>
  <c r="AB1713" s="1"/>
  <c r="AD1713" s="1"/>
  <c r="V1719"/>
  <c r="Z1719" s="1"/>
  <c r="AB1719" s="1"/>
  <c r="AD1719" s="1"/>
  <c r="Z1735"/>
  <c r="AB1735" s="1"/>
  <c r="AD1735" s="1"/>
  <c r="V1732" s="1"/>
  <c r="T1738"/>
  <c r="Y1740"/>
  <c r="AA1740" s="1"/>
  <c r="AC1740" s="1"/>
  <c r="Z1746" s="1"/>
  <c r="AB1746" s="1"/>
  <c r="AD1746" s="1"/>
  <c r="Z1751"/>
  <c r="AB1751" s="1"/>
  <c r="AD1751" s="1"/>
  <c r="Z1754" s="1"/>
  <c r="AB1754" s="1"/>
  <c r="AD1754" s="1"/>
  <c r="N1755"/>
  <c r="Z1766" s="1"/>
  <c r="AB1766" s="1"/>
  <c r="AD1766" s="1"/>
  <c r="Z1768"/>
  <c r="AB1768" s="1"/>
  <c r="AD1768" s="1"/>
  <c r="Z1771"/>
  <c r="AB1771" s="1"/>
  <c r="AD1771" s="1"/>
  <c r="V1775" s="1"/>
  <c r="Z1775" s="1"/>
  <c r="AB1775" s="1"/>
  <c r="AD1775" s="1"/>
  <c r="Z1785" s="1"/>
  <c r="AB1785" s="1"/>
  <c r="AD1785" s="1"/>
  <c r="Z1787" s="1"/>
  <c r="AB1787" s="1"/>
  <c r="AD1787" s="1"/>
  <c r="Z1792" s="1"/>
  <c r="AB1792" s="1"/>
  <c r="AD1792" s="1"/>
  <c r="N1750"/>
  <c r="T1761"/>
  <c r="T1779"/>
  <c r="AB1704" l="1"/>
  <c r="AD1704" s="1"/>
  <c r="AB1772"/>
  <c r="AD1772" s="1"/>
  <c r="AB1732"/>
  <c r="AD1732" s="1"/>
  <c r="AB1317"/>
  <c r="AD1317" s="1"/>
  <c r="AB1728"/>
  <c r="AD1728" s="1"/>
  <c r="AB1755"/>
  <c r="AD1755" s="1"/>
  <c r="AB1693"/>
  <c r="AD1693" s="1"/>
  <c r="V1653"/>
  <c r="Z1653" s="1"/>
  <c r="AB1653" s="1"/>
  <c r="AD1653" s="1"/>
  <c r="Z1683"/>
  <c r="AB1683" s="1"/>
  <c r="AD1683" s="1"/>
  <c r="Z1684"/>
  <c r="AB1684" s="1"/>
  <c r="AD1684" s="1"/>
  <c r="AB1707"/>
  <c r="AD1707" s="1"/>
  <c r="AB1726"/>
  <c r="AD1726" s="1"/>
  <c r="V1761"/>
  <c r="Z1761" s="1"/>
  <c r="AB1761" s="1"/>
  <c r="AD1761" s="1"/>
  <c r="AC1816"/>
  <c r="AC1817" s="1"/>
  <c r="V1738"/>
  <c r="Z1738" s="1"/>
  <c r="AB1738" s="1"/>
  <c r="AD1738" s="1"/>
  <c r="Z1764"/>
  <c r="AB1764" s="1"/>
  <c r="AD1764" s="1"/>
  <c r="V1750"/>
  <c r="Z1750" s="1"/>
  <c r="AB1750" s="1"/>
  <c r="AD1750" s="1"/>
  <c r="V1710"/>
  <c r="Z1710" s="1"/>
  <c r="AB1710" s="1"/>
  <c r="AD1710" s="1"/>
  <c r="Z1671"/>
  <c r="AB1671" s="1"/>
  <c r="AD1671" s="1"/>
  <c r="V1669"/>
  <c r="Z1669" s="1"/>
  <c r="AB1669" s="1"/>
  <c r="AD1669" s="1"/>
  <c r="Z1737"/>
  <c r="AB1737" s="1"/>
  <c r="AD1737" s="1"/>
  <c r="V1779"/>
  <c r="Z1779" s="1"/>
  <c r="AB1779" s="1"/>
  <c r="AD1779" s="1"/>
  <c r="V1767"/>
  <c r="Z1767" s="1"/>
  <c r="AB1767" s="1"/>
  <c r="AD1767" s="1"/>
  <c r="Z1745"/>
  <c r="AB1745" s="1"/>
  <c r="AD1745" s="1"/>
  <c r="Z1655"/>
  <c r="AB1655" s="1"/>
  <c r="AD1655" s="1"/>
  <c r="Z1711"/>
  <c r="AB1711" s="1"/>
  <c r="AD1711" s="1"/>
  <c r="V1652" l="1"/>
  <c r="X754" l="1"/>
  <c r="V754"/>
  <c r="T754"/>
  <c r="R754"/>
  <c r="P754"/>
  <c r="N754"/>
  <c r="L754"/>
  <c r="Y780"/>
  <c r="AA780" s="1"/>
  <c r="AC780" s="1"/>
  <c r="Z779"/>
  <c r="AB779" s="1"/>
  <c r="AD779" s="1"/>
  <c r="Y779"/>
  <c r="AA779" s="1"/>
  <c r="AC779" s="1"/>
  <c r="Y778"/>
  <c r="AA778" s="1"/>
  <c r="AC778" s="1"/>
  <c r="Y777"/>
  <c r="AA777" s="1"/>
  <c r="AC777" s="1"/>
  <c r="Z776"/>
  <c r="AB776" s="1"/>
  <c r="AD776" s="1"/>
  <c r="Y776"/>
  <c r="AA776" s="1"/>
  <c r="AC776" s="1"/>
  <c r="Z775"/>
  <c r="AB775" s="1"/>
  <c r="AD775" s="1"/>
  <c r="Y775"/>
  <c r="AA775" s="1"/>
  <c r="AC775" s="1"/>
  <c r="Z774"/>
  <c r="AB774" s="1"/>
  <c r="Y774"/>
  <c r="AA774" s="1"/>
  <c r="AC774" s="1"/>
  <c r="Z773"/>
  <c r="AB773" s="1"/>
  <c r="Y773"/>
  <c r="AA773" s="1"/>
  <c r="AC773" s="1"/>
  <c r="Z772"/>
  <c r="AB772" s="1"/>
  <c r="AD772" s="1"/>
  <c r="Y772"/>
  <c r="AA772" s="1"/>
  <c r="AC772" s="1"/>
  <c r="Z771"/>
  <c r="AB771" s="1"/>
  <c r="AD771" s="1"/>
  <c r="Y771"/>
  <c r="AA771" s="1"/>
  <c r="AC771" s="1"/>
  <c r="Z770"/>
  <c r="AB770" s="1"/>
  <c r="AD770" s="1"/>
  <c r="Y770"/>
  <c r="AA770" s="1"/>
  <c r="AC770" s="1"/>
  <c r="Z769"/>
  <c r="AB769" s="1"/>
  <c r="AD769" s="1"/>
  <c r="Y769"/>
  <c r="AA769" s="1"/>
  <c r="AC769" s="1"/>
  <c r="Z768"/>
  <c r="AB768" s="1"/>
  <c r="AD768" s="1"/>
  <c r="Y768"/>
  <c r="AA768" s="1"/>
  <c r="AC768" s="1"/>
  <c r="Z767"/>
  <c r="AB767" s="1"/>
  <c r="AD767" s="1"/>
  <c r="Y767"/>
  <c r="AA767" s="1"/>
  <c r="AC767" s="1"/>
  <c r="Z766"/>
  <c r="AB766" s="1"/>
  <c r="AD766" s="1"/>
  <c r="Y766"/>
  <c r="AA766" s="1"/>
  <c r="AC766" s="1"/>
  <c r="Z765"/>
  <c r="AB765" s="1"/>
  <c r="Y765"/>
  <c r="AA765" s="1"/>
  <c r="AC765" s="1"/>
  <c r="Z764"/>
  <c r="AB764" s="1"/>
  <c r="AD764" s="1"/>
  <c r="Y764"/>
  <c r="AA764" s="1"/>
  <c r="AC764" s="1"/>
  <c r="Z763"/>
  <c r="AB763" s="1"/>
  <c r="AD763" s="1"/>
  <c r="Y763"/>
  <c r="AA763" s="1"/>
  <c r="AC763" s="1"/>
  <c r="Z762"/>
  <c r="AB762" s="1"/>
  <c r="AD762" s="1"/>
  <c r="Y762"/>
  <c r="AA762" s="1"/>
  <c r="AC762" s="1"/>
  <c r="Z761"/>
  <c r="AB761" s="1"/>
  <c r="AD761" s="1"/>
  <c r="Y761"/>
  <c r="AA761" s="1"/>
  <c r="AC761" s="1"/>
  <c r="Y760"/>
  <c r="AA760" s="1"/>
  <c r="AC760" s="1"/>
  <c r="Y759"/>
  <c r="AA759" s="1"/>
  <c r="AC759" s="1"/>
  <c r="Z758"/>
  <c r="AB758" s="1"/>
  <c r="Y758"/>
  <c r="AA758" s="1"/>
  <c r="AC758" s="1"/>
  <c r="Z757"/>
  <c r="AB757" s="1"/>
  <c r="AD757" s="1"/>
  <c r="Y757"/>
  <c r="AA757" s="1"/>
  <c r="AC757" s="1"/>
  <c r="Y756"/>
  <c r="AA756" s="1"/>
  <c r="AC756" s="1"/>
  <c r="Z755"/>
  <c r="AB755" s="1"/>
  <c r="AD755" s="1"/>
  <c r="Y755"/>
  <c r="AA755" s="1"/>
  <c r="AC755" s="1"/>
  <c r="L784"/>
  <c r="N784"/>
  <c r="P784"/>
  <c r="R784"/>
  <c r="T784"/>
  <c r="Y784"/>
  <c r="AA784" s="1"/>
  <c r="AC784" s="1"/>
  <c r="K785"/>
  <c r="M785"/>
  <c r="Y785"/>
  <c r="Z785"/>
  <c r="AB785" s="1"/>
  <c r="AD785" s="1"/>
  <c r="K786"/>
  <c r="M786"/>
  <c r="Y786"/>
  <c r="Z786"/>
  <c r="AB786" s="1"/>
  <c r="AD786" s="1"/>
  <c r="K787"/>
  <c r="M787"/>
  <c r="Y787"/>
  <c r="Z787"/>
  <c r="K788"/>
  <c r="M788"/>
  <c r="Y788"/>
  <c r="Z788"/>
  <c r="AB788" s="1"/>
  <c r="AD788" s="1"/>
  <c r="K789"/>
  <c r="M789"/>
  <c r="Y789"/>
  <c r="Z789"/>
  <c r="AB789" s="1"/>
  <c r="AD789" s="1"/>
  <c r="Z753"/>
  <c r="Z750"/>
  <c r="Z751"/>
  <c r="Z739"/>
  <c r="Z738"/>
  <c r="Z737"/>
  <c r="AA789" l="1"/>
  <c r="AC789" s="1"/>
  <c r="AA788"/>
  <c r="AC788" s="1"/>
  <c r="AB754"/>
  <c r="Z754"/>
  <c r="AA786"/>
  <c r="AC786" s="1"/>
  <c r="AA785"/>
  <c r="AC785" s="1"/>
  <c r="Z784"/>
  <c r="Y1636" l="1"/>
  <c r="AA1636" s="1"/>
  <c r="AC1636" s="1"/>
  <c r="T1636"/>
  <c r="V1636" s="1"/>
  <c r="Z1636" s="1"/>
  <c r="AB1636" s="1"/>
  <c r="AD1636" s="1"/>
  <c r="Y1635"/>
  <c r="AA1635" s="1"/>
  <c r="AC1635" s="1"/>
  <c r="T1635"/>
  <c r="V1635" s="1"/>
  <c r="Z1635" s="1"/>
  <c r="Y1634"/>
  <c r="AA1634" s="1"/>
  <c r="AC1634" s="1"/>
  <c r="T1634"/>
  <c r="V1634" s="1"/>
  <c r="Y1633"/>
  <c r="AA1633" s="1"/>
  <c r="AC1633" s="1"/>
  <c r="T1633"/>
  <c r="V1633" s="1"/>
  <c r="R1632"/>
  <c r="P1632"/>
  <c r="N1632"/>
  <c r="L1632"/>
  <c r="Y1631"/>
  <c r="AA1631" s="1"/>
  <c r="AC1631" s="1"/>
  <c r="T1631"/>
  <c r="V1631" s="1"/>
  <c r="V1630" s="1"/>
  <c r="Y1630"/>
  <c r="AA1630" s="1"/>
  <c r="AC1630" s="1"/>
  <c r="R1630"/>
  <c r="P1630"/>
  <c r="N1630"/>
  <c r="L1630"/>
  <c r="U1629"/>
  <c r="Y1629" s="1"/>
  <c r="AA1629" s="1"/>
  <c r="T1629"/>
  <c r="K1629"/>
  <c r="T1628"/>
  <c r="V1628" s="1"/>
  <c r="S1628"/>
  <c r="K1628"/>
  <c r="U1627"/>
  <c r="Y1627" s="1"/>
  <c r="AA1627" s="1"/>
  <c r="AC1627" s="1"/>
  <c r="T1627"/>
  <c r="V1627" s="1"/>
  <c r="T1626"/>
  <c r="S1626"/>
  <c r="U1625"/>
  <c r="Y1625" s="1"/>
  <c r="AA1625" s="1"/>
  <c r="AC1625" s="1"/>
  <c r="T1625"/>
  <c r="T1624"/>
  <c r="V1624" s="1"/>
  <c r="S1624"/>
  <c r="U1624" s="1"/>
  <c r="Y1623"/>
  <c r="AA1623" s="1"/>
  <c r="AC1623" s="1"/>
  <c r="V1623"/>
  <c r="Z1623" s="1"/>
  <c r="AB1623" s="1"/>
  <c r="AD1623" s="1"/>
  <c r="Y1622"/>
  <c r="AA1622" s="1"/>
  <c r="AC1622" s="1"/>
  <c r="T1622"/>
  <c r="U1621"/>
  <c r="Y1621" s="1"/>
  <c r="AA1621" s="1"/>
  <c r="AC1621" s="1"/>
  <c r="T1621"/>
  <c r="V1621" s="1"/>
  <c r="Y1620"/>
  <c r="AA1620" s="1"/>
  <c r="AC1620" s="1"/>
  <c r="T1620"/>
  <c r="T1619"/>
  <c r="S1619"/>
  <c r="Y1619" s="1"/>
  <c r="AA1619" s="1"/>
  <c r="AC1619" s="1"/>
  <c r="Y1618"/>
  <c r="AA1618" s="1"/>
  <c r="AC1618" s="1"/>
  <c r="T1618"/>
  <c r="V1618" s="1"/>
  <c r="Y1617"/>
  <c r="AA1617" s="1"/>
  <c r="AC1617" s="1"/>
  <c r="T1617"/>
  <c r="Y1616"/>
  <c r="AA1616" s="1"/>
  <c r="AC1616" s="1"/>
  <c r="T1616"/>
  <c r="Y1615"/>
  <c r="AA1615" s="1"/>
  <c r="AC1615" s="1"/>
  <c r="T1615"/>
  <c r="Y1614"/>
  <c r="AA1614" s="1"/>
  <c r="AC1614" s="1"/>
  <c r="T1614"/>
  <c r="Y1613"/>
  <c r="AA1613" s="1"/>
  <c r="AC1613" s="1"/>
  <c r="T1613"/>
  <c r="R1612"/>
  <c r="Q1612"/>
  <c r="Y1612" s="1"/>
  <c r="P1612"/>
  <c r="O1612"/>
  <c r="N1612"/>
  <c r="M1612"/>
  <c r="L1612"/>
  <c r="K1612"/>
  <c r="Z1611"/>
  <c r="AB1611" s="1"/>
  <c r="AD1611" s="1"/>
  <c r="Y1611"/>
  <c r="AA1611" s="1"/>
  <c r="AC1611" s="1"/>
  <c r="Y1610"/>
  <c r="AA1610" s="1"/>
  <c r="AC1610" s="1"/>
  <c r="V1610"/>
  <c r="V1609" s="1"/>
  <c r="Y1609"/>
  <c r="AA1609" s="1"/>
  <c r="AC1609" s="1"/>
  <c r="T1609"/>
  <c r="R1609"/>
  <c r="P1609"/>
  <c r="N1609"/>
  <c r="L1609"/>
  <c r="Y1608"/>
  <c r="AA1608" s="1"/>
  <c r="AC1608" s="1"/>
  <c r="T1608"/>
  <c r="V1608" s="1"/>
  <c r="Y1607"/>
  <c r="AA1607" s="1"/>
  <c r="AC1607" s="1"/>
  <c r="T1607"/>
  <c r="V1607" s="1"/>
  <c r="Z1606"/>
  <c r="AB1606" s="1"/>
  <c r="AD1606" s="1"/>
  <c r="Y1606"/>
  <c r="AA1606" s="1"/>
  <c r="AC1606" s="1"/>
  <c r="Z1605"/>
  <c r="AB1605" s="1"/>
  <c r="AD1605" s="1"/>
  <c r="Y1605"/>
  <c r="AA1605" s="1"/>
  <c r="AC1605" s="1"/>
  <c r="Y1604"/>
  <c r="AA1604" s="1"/>
  <c r="AC1604" s="1"/>
  <c r="V1604"/>
  <c r="Z1604" s="1"/>
  <c r="Y1603"/>
  <c r="AA1603" s="1"/>
  <c r="AC1603" s="1"/>
  <c r="R1603"/>
  <c r="P1603"/>
  <c r="N1603"/>
  <c r="L1603"/>
  <c r="Y1602"/>
  <c r="AA1602" s="1"/>
  <c r="AC1602" s="1"/>
  <c r="T1602"/>
  <c r="V1602" s="1"/>
  <c r="Z1602" s="1"/>
  <c r="AB1602" s="1"/>
  <c r="AD1602" s="1"/>
  <c r="Y1601"/>
  <c r="AA1601" s="1"/>
  <c r="AC1601" s="1"/>
  <c r="T1601"/>
  <c r="V1601" s="1"/>
  <c r="Z1601" s="1"/>
  <c r="AB1601" s="1"/>
  <c r="AD1601" s="1"/>
  <c r="Y1600"/>
  <c r="AA1600" s="1"/>
  <c r="AC1600" s="1"/>
  <c r="T1600"/>
  <c r="V1600" s="1"/>
  <c r="Z1600" s="1"/>
  <c r="AB1600" s="1"/>
  <c r="AD1600" s="1"/>
  <c r="Y1599"/>
  <c r="AA1599" s="1"/>
  <c r="AC1599" s="1"/>
  <c r="T1599"/>
  <c r="V1599" s="1"/>
  <c r="Z1599" s="1"/>
  <c r="AB1599" s="1"/>
  <c r="AD1599" s="1"/>
  <c r="Y1598"/>
  <c r="AA1598" s="1"/>
  <c r="AC1598" s="1"/>
  <c r="T1598"/>
  <c r="V1598" s="1"/>
  <c r="Z1598" s="1"/>
  <c r="AB1598" s="1"/>
  <c r="AD1598" s="1"/>
  <c r="Y1597"/>
  <c r="AA1597" s="1"/>
  <c r="AC1597" s="1"/>
  <c r="T1597"/>
  <c r="V1597" s="1"/>
  <c r="Z1597" s="1"/>
  <c r="AB1597" s="1"/>
  <c r="AD1597" s="1"/>
  <c r="Y1596"/>
  <c r="AA1596" s="1"/>
  <c r="AC1596" s="1"/>
  <c r="T1596"/>
  <c r="Y1595"/>
  <c r="AA1595" s="1"/>
  <c r="AC1595" s="1"/>
  <c r="T1595"/>
  <c r="V1595" s="1"/>
  <c r="Z1595" s="1"/>
  <c r="AB1595" s="1"/>
  <c r="AD1595" s="1"/>
  <c r="Y1594"/>
  <c r="AA1594" s="1"/>
  <c r="AC1594" s="1"/>
  <c r="T1594"/>
  <c r="V1594" s="1"/>
  <c r="Z1594" s="1"/>
  <c r="AB1594" s="1"/>
  <c r="AD1594" s="1"/>
  <c r="Y1593"/>
  <c r="AA1593" s="1"/>
  <c r="AC1593" s="1"/>
  <c r="T1593"/>
  <c r="V1593" s="1"/>
  <c r="Z1593" s="1"/>
  <c r="AB1593" s="1"/>
  <c r="AD1593" s="1"/>
  <c r="Y1592"/>
  <c r="AA1592" s="1"/>
  <c r="AC1592" s="1"/>
  <c r="T1592"/>
  <c r="V1592" s="1"/>
  <c r="Z1592" s="1"/>
  <c r="AB1592" s="1"/>
  <c r="AD1592" s="1"/>
  <c r="Y1591"/>
  <c r="AA1591" s="1"/>
  <c r="AC1591" s="1"/>
  <c r="T1591"/>
  <c r="V1591" s="1"/>
  <c r="Z1591" s="1"/>
  <c r="L1590"/>
  <c r="N1590"/>
  <c r="P1590"/>
  <c r="R1590"/>
  <c r="Y1590"/>
  <c r="AA1590" s="1"/>
  <c r="AC1590" s="1"/>
  <c r="V1632" l="1"/>
  <c r="T1630"/>
  <c r="V1603"/>
  <c r="Z1631"/>
  <c r="Z1630" s="1"/>
  <c r="AB1630" s="1"/>
  <c r="AD1630" s="1"/>
  <c r="AA1612"/>
  <c r="AC1612" s="1"/>
  <c r="V1596"/>
  <c r="Z1596" s="1"/>
  <c r="AB1596" s="1"/>
  <c r="AD1596" s="1"/>
  <c r="V1613"/>
  <c r="Z1613" s="1"/>
  <c r="AB1613" s="1"/>
  <c r="AD1613" s="1"/>
  <c r="V1614"/>
  <c r="Z1614" s="1"/>
  <c r="AB1614" s="1"/>
  <c r="AD1614" s="1"/>
  <c r="V1615"/>
  <c r="Z1615" s="1"/>
  <c r="AB1615" s="1"/>
  <c r="AD1615" s="1"/>
  <c r="V1616"/>
  <c r="Z1616" s="1"/>
  <c r="AB1616" s="1"/>
  <c r="AD1616" s="1"/>
  <c r="V1617"/>
  <c r="Z1617" s="1"/>
  <c r="AB1617" s="1"/>
  <c r="AD1617" s="1"/>
  <c r="T1632"/>
  <c r="S1632" s="1"/>
  <c r="Y1632" s="1"/>
  <c r="AA1632" s="1"/>
  <c r="AC1632" s="1"/>
  <c r="Z1633"/>
  <c r="AB1633" s="1"/>
  <c r="AD1633" s="1"/>
  <c r="Z1634"/>
  <c r="AB1634" s="1"/>
  <c r="AD1634" s="1"/>
  <c r="T1590"/>
  <c r="Z1628"/>
  <c r="AB1628" s="1"/>
  <c r="AD1628" s="1"/>
  <c r="AC1629"/>
  <c r="T1612"/>
  <c r="Z1609"/>
  <c r="AB1609" s="1"/>
  <c r="AD1609" s="1"/>
  <c r="Z1621"/>
  <c r="AB1621" s="1"/>
  <c r="AD1621" s="1"/>
  <c r="V1622"/>
  <c r="Z1622" s="1"/>
  <c r="AB1622" s="1"/>
  <c r="AD1622" s="1"/>
  <c r="Y1624"/>
  <c r="AA1624" s="1"/>
  <c r="AC1624" s="1"/>
  <c r="V1626"/>
  <c r="Z1626" s="1"/>
  <c r="AB1626" s="1"/>
  <c r="AD1626" s="1"/>
  <c r="AB1635"/>
  <c r="AD1635" s="1"/>
  <c r="AB1591"/>
  <c r="AD1591" s="1"/>
  <c r="AB1604"/>
  <c r="Z1618"/>
  <c r="Z1607"/>
  <c r="AB1607" s="1"/>
  <c r="AD1607" s="1"/>
  <c r="Z1608"/>
  <c r="AB1608" s="1"/>
  <c r="AD1608" s="1"/>
  <c r="V1619"/>
  <c r="Z1619" s="1"/>
  <c r="AB1619" s="1"/>
  <c r="AD1619" s="1"/>
  <c r="V1620"/>
  <c r="Z1620" s="1"/>
  <c r="AB1620" s="1"/>
  <c r="AD1620" s="1"/>
  <c r="Z1624"/>
  <c r="AB1624" s="1"/>
  <c r="AD1624" s="1"/>
  <c r="U1626"/>
  <c r="Y1626" s="1"/>
  <c r="AA1626" s="1"/>
  <c r="AC1626" s="1"/>
  <c r="Z1627"/>
  <c r="AB1627" s="1"/>
  <c r="AD1627" s="1"/>
  <c r="U1628"/>
  <c r="Y1628" s="1"/>
  <c r="AA1628" s="1"/>
  <c r="AC1628" s="1"/>
  <c r="Z1610"/>
  <c r="AB1610" s="1"/>
  <c r="AD1610" s="1"/>
  <c r="V1625"/>
  <c r="Z1625" s="1"/>
  <c r="AB1625" s="1"/>
  <c r="AD1625" s="1"/>
  <c r="V1629"/>
  <c r="Z1629" s="1"/>
  <c r="AB1629" s="1"/>
  <c r="AD1629" s="1"/>
  <c r="T1603"/>
  <c r="Z1377"/>
  <c r="Z1379"/>
  <c r="Z1378"/>
  <c r="AB1631" l="1"/>
  <c r="AD1631" s="1"/>
  <c r="V1590"/>
  <c r="Z1632"/>
  <c r="AB1632" s="1"/>
  <c r="AD1632" s="1"/>
  <c r="Z1590"/>
  <c r="Z1603"/>
  <c r="AB1603"/>
  <c r="AD1603" s="1"/>
  <c r="AD1604"/>
  <c r="V1612"/>
  <c r="AB1618"/>
  <c r="AD1618" s="1"/>
  <c r="Z1612"/>
  <c r="AB1612" s="1"/>
  <c r="AD1612" s="1"/>
  <c r="AB1590"/>
  <c r="AD1590" s="1"/>
  <c r="Z1376"/>
  <c r="V367"/>
  <c r="V365"/>
  <c r="V362"/>
  <c r="V353" s="1"/>
  <c r="V348"/>
  <c r="V1589" l="1"/>
  <c r="V346"/>
  <c r="V343"/>
  <c r="V292"/>
  <c r="R292"/>
  <c r="P292"/>
  <c r="N292"/>
  <c r="AB342"/>
  <c r="AD342" s="1"/>
  <c r="Y342"/>
  <c r="AA342" s="1"/>
  <c r="AC342" s="1"/>
  <c r="AB341"/>
  <c r="AD341" s="1"/>
  <c r="Y341"/>
  <c r="AA341" s="1"/>
  <c r="AC341" s="1"/>
  <c r="AB340"/>
  <c r="AD340" s="1"/>
  <c r="Y340"/>
  <c r="AA340" s="1"/>
  <c r="AC340" s="1"/>
  <c r="AB339"/>
  <c r="AD339" s="1"/>
  <c r="Y339"/>
  <c r="AA339" s="1"/>
  <c r="AC339" s="1"/>
  <c r="AB338"/>
  <c r="AD338" s="1"/>
  <c r="Y338"/>
  <c r="AA338" s="1"/>
  <c r="AC338" s="1"/>
  <c r="AB337"/>
  <c r="AD337" s="1"/>
  <c r="Y337"/>
  <c r="AA337" s="1"/>
  <c r="AC337" s="1"/>
  <c r="AB336"/>
  <c r="AD336" s="1"/>
  <c r="Y336"/>
  <c r="AA336" s="1"/>
  <c r="AC336" s="1"/>
  <c r="AB335"/>
  <c r="AD335" s="1"/>
  <c r="Y335"/>
  <c r="AA335" s="1"/>
  <c r="AC335" s="1"/>
  <c r="AB334"/>
  <c r="AD334" s="1"/>
  <c r="Y334"/>
  <c r="AA334" s="1"/>
  <c r="AC334" s="1"/>
  <c r="AB333"/>
  <c r="AD333" s="1"/>
  <c r="Y333"/>
  <c r="AA333" s="1"/>
  <c r="AC333" s="1"/>
  <c r="AB332"/>
  <c r="AD332" s="1"/>
  <c r="Y332"/>
  <c r="AA332" s="1"/>
  <c r="AC332" s="1"/>
  <c r="AB331"/>
  <c r="AD331" s="1"/>
  <c r="Y331"/>
  <c r="AA331" s="1"/>
  <c r="AC331" s="1"/>
  <c r="AB330"/>
  <c r="AD330" s="1"/>
  <c r="Y330"/>
  <c r="AA330" s="1"/>
  <c r="AC330" s="1"/>
  <c r="AB329"/>
  <c r="AD329" s="1"/>
  <c r="Y329"/>
  <c r="AA329" s="1"/>
  <c r="AC329" s="1"/>
  <c r="AB328"/>
  <c r="AD328" s="1"/>
  <c r="Y328"/>
  <c r="AA328" s="1"/>
  <c r="AC328" s="1"/>
  <c r="AB327"/>
  <c r="AD327" s="1"/>
  <c r="Y327"/>
  <c r="AA327" s="1"/>
  <c r="AC327" s="1"/>
  <c r="AB326"/>
  <c r="AD326" s="1"/>
  <c r="Y326"/>
  <c r="AA326" s="1"/>
  <c r="AC326" s="1"/>
  <c r="AB325"/>
  <c r="AD325" s="1"/>
  <c r="Y325"/>
  <c r="AA325" s="1"/>
  <c r="AC325" s="1"/>
  <c r="AB324"/>
  <c r="AD324" s="1"/>
  <c r="Y324"/>
  <c r="AA324" s="1"/>
  <c r="AC324" s="1"/>
  <c r="AB323"/>
  <c r="AD323" s="1"/>
  <c r="Y323"/>
  <c r="AA323" s="1"/>
  <c r="AC323" s="1"/>
  <c r="AB322"/>
  <c r="AD322" s="1"/>
  <c r="Y322"/>
  <c r="AA322" s="1"/>
  <c r="AC322" s="1"/>
  <c r="AB321"/>
  <c r="AD321" s="1"/>
  <c r="Y321"/>
  <c r="AA321" s="1"/>
  <c r="AC321" s="1"/>
  <c r="AB320"/>
  <c r="AD320" s="1"/>
  <c r="Y320"/>
  <c r="AA320" s="1"/>
  <c r="AC320" s="1"/>
  <c r="AB319"/>
  <c r="AD319" s="1"/>
  <c r="Y319"/>
  <c r="AA319" s="1"/>
  <c r="AC319" s="1"/>
  <c r="AB318"/>
  <c r="AD318" s="1"/>
  <c r="Y318"/>
  <c r="AA318" s="1"/>
  <c r="AC318" s="1"/>
  <c r="V290"/>
  <c r="V285" l="1"/>
  <c r="X280"/>
  <c r="V280"/>
  <c r="T280"/>
  <c r="R280"/>
  <c r="P280"/>
  <c r="Z279"/>
  <c r="Y279"/>
  <c r="AA279" s="1"/>
  <c r="AC279" s="1"/>
  <c r="V276"/>
  <c r="T276"/>
  <c r="R276"/>
  <c r="P276"/>
  <c r="N276"/>
  <c r="Z275"/>
  <c r="AB275" s="1"/>
  <c r="AD275" s="1"/>
  <c r="Y275"/>
  <c r="AA275" s="1"/>
  <c r="AC275" s="1"/>
  <c r="Z274"/>
  <c r="AB274" s="1"/>
  <c r="AD274" s="1"/>
  <c r="Y274"/>
  <c r="AA274" s="1"/>
  <c r="AC274" s="1"/>
  <c r="Z273"/>
  <c r="Y273"/>
  <c r="AA273" s="1"/>
  <c r="AC273" s="1"/>
  <c r="V268"/>
  <c r="T268"/>
  <c r="R268"/>
  <c r="P268"/>
  <c r="N268"/>
  <c r="L268"/>
  <c r="X264"/>
  <c r="V264"/>
  <c r="T264"/>
  <c r="V260"/>
  <c r="T260"/>
  <c r="R260"/>
  <c r="V258"/>
  <c r="T258"/>
  <c r="Z257"/>
  <c r="AB257" s="1"/>
  <c r="AD257" s="1"/>
  <c r="Y257"/>
  <c r="AA257" s="1"/>
  <c r="AC257" s="1"/>
  <c r="Z256"/>
  <c r="AB256" s="1"/>
  <c r="AD256" s="1"/>
  <c r="Y256"/>
  <c r="AA256" s="1"/>
  <c r="AC256" s="1"/>
  <c r="Z255"/>
  <c r="AB255" s="1"/>
  <c r="AD255" s="1"/>
  <c r="Y255"/>
  <c r="AA255" s="1"/>
  <c r="AC255" s="1"/>
  <c r="Z254"/>
  <c r="AB254" s="1"/>
  <c r="AD254" s="1"/>
  <c r="Y254"/>
  <c r="AA254" s="1"/>
  <c r="AC254" s="1"/>
  <c r="Z253"/>
  <c r="AB253" s="1"/>
  <c r="AD253" s="1"/>
  <c r="Y253"/>
  <c r="AA253" s="1"/>
  <c r="AC253" s="1"/>
  <c r="Z252"/>
  <c r="AB252" s="1"/>
  <c r="AD252" s="1"/>
  <c r="Y252"/>
  <c r="AA252" s="1"/>
  <c r="AC252" s="1"/>
  <c r="Z251"/>
  <c r="AB251" s="1"/>
  <c r="AD251" s="1"/>
  <c r="Y251"/>
  <c r="AA251" s="1"/>
  <c r="AC251" s="1"/>
  <c r="Z250"/>
  <c r="AB250" s="1"/>
  <c r="AD250" s="1"/>
  <c r="Y250"/>
  <c r="AA250" s="1"/>
  <c r="AC250" s="1"/>
  <c r="Z249"/>
  <c r="AB249" s="1"/>
  <c r="AD249" s="1"/>
  <c r="Y249"/>
  <c r="AA249" s="1"/>
  <c r="AC249" s="1"/>
  <c r="Z248"/>
  <c r="AB248" s="1"/>
  <c r="AD248" s="1"/>
  <c r="Y248"/>
  <c r="AA248" s="1"/>
  <c r="AC248" s="1"/>
  <c r="Z247"/>
  <c r="AB247" s="1"/>
  <c r="AD247" s="1"/>
  <c r="Y247"/>
  <c r="AA247" s="1"/>
  <c r="AC247" s="1"/>
  <c r="Z246"/>
  <c r="AB246" s="1"/>
  <c r="AD246" s="1"/>
  <c r="Y246"/>
  <c r="AA246" s="1"/>
  <c r="AC246" s="1"/>
  <c r="Z245"/>
  <c r="AB245" s="1"/>
  <c r="AD245" s="1"/>
  <c r="Y245"/>
  <c r="AA245" s="1"/>
  <c r="AC245" s="1"/>
  <c r="Z244"/>
  <c r="AB244" s="1"/>
  <c r="AD244" s="1"/>
  <c r="Y244"/>
  <c r="AA244" s="1"/>
  <c r="AC244" s="1"/>
  <c r="Z243"/>
  <c r="AB243" s="1"/>
  <c r="Y243"/>
  <c r="AA243" s="1"/>
  <c r="AC243" s="1"/>
  <c r="Z242"/>
  <c r="AB242" s="1"/>
  <c r="AD242" s="1"/>
  <c r="Y242"/>
  <c r="AA242" s="1"/>
  <c r="AC242" s="1"/>
  <c r="V234"/>
  <c r="T234"/>
  <c r="R234"/>
  <c r="P234"/>
  <c r="N234"/>
  <c r="L234"/>
  <c r="AB279" l="1"/>
  <c r="AB273"/>
  <c r="AD243"/>
  <c r="AD279" l="1"/>
  <c r="AD273"/>
  <c r="V222" l="1"/>
  <c r="V221" l="1"/>
  <c r="V736" l="1"/>
  <c r="V735" l="1"/>
  <c r="Y691"/>
  <c r="AA732"/>
  <c r="AC732" s="1"/>
  <c r="Z732"/>
  <c r="AB732" s="1"/>
  <c r="AD732" s="1"/>
  <c r="AA731"/>
  <c r="AC731" s="1"/>
  <c r="V731"/>
  <c r="T731"/>
  <c r="R731"/>
  <c r="P731"/>
  <c r="N731"/>
  <c r="L731"/>
  <c r="Z730"/>
  <c r="AB730" s="1"/>
  <c r="AD730" s="1"/>
  <c r="Y730"/>
  <c r="AA730" s="1"/>
  <c r="AC730" s="1"/>
  <c r="Y729"/>
  <c r="AA729" s="1"/>
  <c r="AC729" s="1"/>
  <c r="V729"/>
  <c r="T729"/>
  <c r="R729"/>
  <c r="P729"/>
  <c r="L729"/>
  <c r="Z728"/>
  <c r="AB728" s="1"/>
  <c r="AD728" s="1"/>
  <c r="Y728"/>
  <c r="AA728" s="1"/>
  <c r="AC728" s="1"/>
  <c r="Z727"/>
  <c r="AB727" s="1"/>
  <c r="Y727"/>
  <c r="AA727" s="1"/>
  <c r="AC727" s="1"/>
  <c r="L727"/>
  <c r="L722" s="1"/>
  <c r="Z726"/>
  <c r="AB726" s="1"/>
  <c r="AD726" s="1"/>
  <c r="Y726"/>
  <c r="AA726" s="1"/>
  <c r="AC726" s="1"/>
  <c r="Z725"/>
  <c r="AB725" s="1"/>
  <c r="AD725" s="1"/>
  <c r="Y725"/>
  <c r="AA725" s="1"/>
  <c r="O725"/>
  <c r="K725"/>
  <c r="Z724"/>
  <c r="AB724" s="1"/>
  <c r="AD724" s="1"/>
  <c r="Y724"/>
  <c r="AA724" s="1"/>
  <c r="K724"/>
  <c r="Z723"/>
  <c r="AB723" s="1"/>
  <c r="AD723" s="1"/>
  <c r="Y723"/>
  <c r="AA723" s="1"/>
  <c r="AC723" s="1"/>
  <c r="V722"/>
  <c r="T722"/>
  <c r="R722"/>
  <c r="P722"/>
  <c r="Z721"/>
  <c r="AB721" s="1"/>
  <c r="Y721"/>
  <c r="AA721" s="1"/>
  <c r="AC721" s="1"/>
  <c r="Z720"/>
  <c r="AB720" s="1"/>
  <c r="Y720"/>
  <c r="AA720" s="1"/>
  <c r="L720"/>
  <c r="K720"/>
  <c r="Z719"/>
  <c r="AB719" s="1"/>
  <c r="AD719" s="1"/>
  <c r="Y719"/>
  <c r="AA719" s="1"/>
  <c r="AC719" s="1"/>
  <c r="Z718"/>
  <c r="AB718" s="1"/>
  <c r="AD718" s="1"/>
  <c r="Y718"/>
  <c r="AA718" s="1"/>
  <c r="AC718" s="1"/>
  <c r="Z717"/>
  <c r="AB717" s="1"/>
  <c r="AD717" s="1"/>
  <c r="Y717"/>
  <c r="AA717" s="1"/>
  <c r="AC717" s="1"/>
  <c r="Z716"/>
  <c r="AB716" s="1"/>
  <c r="AD716" s="1"/>
  <c r="Y716"/>
  <c r="AA716" s="1"/>
  <c r="AC716" s="1"/>
  <c r="Z715"/>
  <c r="AB715" s="1"/>
  <c r="AD715" s="1"/>
  <c r="Y715"/>
  <c r="AA715" s="1"/>
  <c r="AC715" s="1"/>
  <c r="AA714"/>
  <c r="Z714"/>
  <c r="AB714" s="1"/>
  <c r="AD714" s="1"/>
  <c r="K714"/>
  <c r="V713"/>
  <c r="T713"/>
  <c r="R713"/>
  <c r="P713"/>
  <c r="M713"/>
  <c r="Z712"/>
  <c r="AB712" s="1"/>
  <c r="AD712" s="1"/>
  <c r="Y712"/>
  <c r="AA712" s="1"/>
  <c r="O712"/>
  <c r="K712"/>
  <c r="V711"/>
  <c r="T711"/>
  <c r="R711"/>
  <c r="P711"/>
  <c r="L711"/>
  <c r="Z710"/>
  <c r="AB710" s="1"/>
  <c r="AD710" s="1"/>
  <c r="Y710"/>
  <c r="AA710" s="1"/>
  <c r="AC710" s="1"/>
  <c r="V709"/>
  <c r="Y709" s="1"/>
  <c r="AA709" s="1"/>
  <c r="AC709" s="1"/>
  <c r="T709"/>
  <c r="T705" s="1"/>
  <c r="Y705" s="1"/>
  <c r="AA705" s="1"/>
  <c r="AC705" s="1"/>
  <c r="R709"/>
  <c r="P709"/>
  <c r="L709"/>
  <c r="Z708"/>
  <c r="AB708" s="1"/>
  <c r="AD708" s="1"/>
  <c r="Y708"/>
  <c r="AA708" s="1"/>
  <c r="AC708" s="1"/>
  <c r="Z707"/>
  <c r="AB707" s="1"/>
  <c r="AD707" s="1"/>
  <c r="Y707"/>
  <c r="AA707" s="1"/>
  <c r="AC707" s="1"/>
  <c r="Z706"/>
  <c r="AB706" s="1"/>
  <c r="AD706" s="1"/>
  <c r="Y706"/>
  <c r="AA706" s="1"/>
  <c r="AC706" s="1"/>
  <c r="V705"/>
  <c r="R705"/>
  <c r="P705"/>
  <c r="N705"/>
  <c r="L705"/>
  <c r="Z704"/>
  <c r="AB704" s="1"/>
  <c r="AD704" s="1"/>
  <c r="Y704"/>
  <c r="M704"/>
  <c r="Z703"/>
  <c r="AB703" s="1"/>
  <c r="AD703" s="1"/>
  <c r="O703"/>
  <c r="Z702"/>
  <c r="AB702" s="1"/>
  <c r="AD702" s="1"/>
  <c r="S702"/>
  <c r="Y702" s="1"/>
  <c r="AA702" s="1"/>
  <c r="AC702" s="1"/>
  <c r="Z701"/>
  <c r="AB701" s="1"/>
  <c r="AD701" s="1"/>
  <c r="Q701"/>
  <c r="Y701" s="1"/>
  <c r="AA701" s="1"/>
  <c r="AC701" s="1"/>
  <c r="Z700"/>
  <c r="AB700" s="1"/>
  <c r="AD700" s="1"/>
  <c r="Y700"/>
  <c r="AA700" s="1"/>
  <c r="AC700" s="1"/>
  <c r="Z699"/>
  <c r="AB699" s="1"/>
  <c r="AD699" s="1"/>
  <c r="Y699"/>
  <c r="AA699" s="1"/>
  <c r="AC699" s="1"/>
  <c r="Z698"/>
  <c r="AB698" s="1"/>
  <c r="AD698" s="1"/>
  <c r="Y698"/>
  <c r="AA698" s="1"/>
  <c r="AC698" s="1"/>
  <c r="Z697"/>
  <c r="AB697" s="1"/>
  <c r="AD697" s="1"/>
  <c r="Y697"/>
  <c r="AA697" s="1"/>
  <c r="AC697" s="1"/>
  <c r="Z696"/>
  <c r="AB696" s="1"/>
  <c r="AD696" s="1"/>
  <c r="Y696"/>
  <c r="AA696" s="1"/>
  <c r="AC696" s="1"/>
  <c r="Z695"/>
  <c r="AB695" s="1"/>
  <c r="AD695" s="1"/>
  <c r="Y695"/>
  <c r="AA695" s="1"/>
  <c r="AC695" s="1"/>
  <c r="Z694"/>
  <c r="AB694" s="1"/>
  <c r="AD694" s="1"/>
  <c r="Y694"/>
  <c r="AA694" s="1"/>
  <c r="AC694" s="1"/>
  <c r="Z693"/>
  <c r="AB693" s="1"/>
  <c r="Y693"/>
  <c r="AA693" s="1"/>
  <c r="AC693" s="1"/>
  <c r="L693"/>
  <c r="Z692"/>
  <c r="AB692" s="1"/>
  <c r="Y692"/>
  <c r="AA692" s="1"/>
  <c r="AC692" s="1"/>
  <c r="L692"/>
  <c r="V691"/>
  <c r="T691"/>
  <c r="R691"/>
  <c r="P691"/>
  <c r="V690" l="1"/>
  <c r="L713"/>
  <c r="AC720"/>
  <c r="AD721"/>
  <c r="L691"/>
  <c r="AC724"/>
  <c r="AC712"/>
  <c r="Z691"/>
  <c r="AB691" s="1"/>
  <c r="AD693"/>
  <c r="S713"/>
  <c r="AC714"/>
  <c r="AD692"/>
  <c r="U711"/>
  <c r="Y711" s="1"/>
  <c r="AA711" s="1"/>
  <c r="AC711" s="1"/>
  <c r="AC725"/>
  <c r="AA704"/>
  <c r="AC704" s="1"/>
  <c r="U713"/>
  <c r="AD720"/>
  <c r="AD727"/>
  <c r="Z731"/>
  <c r="AB731" s="1"/>
  <c r="AD731" s="1"/>
  <c r="Z729"/>
  <c r="AB729" s="1"/>
  <c r="AD729" s="1"/>
  <c r="Z722"/>
  <c r="AB722" s="1"/>
  <c r="AD722" s="1"/>
  <c r="Z711"/>
  <c r="AB711" s="1"/>
  <c r="AD711" s="1"/>
  <c r="Z705"/>
  <c r="AB705" s="1"/>
  <c r="AD705" s="1"/>
  <c r="AA691"/>
  <c r="AC691" s="1"/>
  <c r="Z709"/>
  <c r="AB709" s="1"/>
  <c r="AD709" s="1"/>
  <c r="Q722"/>
  <c r="Y722" s="1"/>
  <c r="AA722" s="1"/>
  <c r="AC722" s="1"/>
  <c r="S703"/>
  <c r="Y703" s="1"/>
  <c r="AA703" s="1"/>
  <c r="AC703" s="1"/>
  <c r="Z713"/>
  <c r="AB713" s="1"/>
  <c r="AD713" l="1"/>
  <c r="AD691"/>
  <c r="Y713"/>
  <c r="AA713" s="1"/>
  <c r="AC713" s="1"/>
  <c r="AC733" s="1"/>
  <c r="Z687" l="1"/>
  <c r="AB687" s="1"/>
  <c r="AD687" s="1"/>
  <c r="Y687"/>
  <c r="AA687" s="1"/>
  <c r="AC687" s="1"/>
  <c r="Y686"/>
  <c r="AA686" s="1"/>
  <c r="AC686" s="1"/>
  <c r="V686"/>
  <c r="T686"/>
  <c r="R686"/>
  <c r="P686"/>
  <c r="N686"/>
  <c r="L686"/>
  <c r="Z685"/>
  <c r="AB685" s="1"/>
  <c r="AD685" s="1"/>
  <c r="Y685"/>
  <c r="AA685" s="1"/>
  <c r="AC685" s="1"/>
  <c r="Y684"/>
  <c r="AA684" s="1"/>
  <c r="AC684" s="1"/>
  <c r="V684"/>
  <c r="T684"/>
  <c r="R684"/>
  <c r="P684"/>
  <c r="N684"/>
  <c r="L684"/>
  <c r="Z683"/>
  <c r="AB683" s="1"/>
  <c r="AD683" s="1"/>
  <c r="Y683"/>
  <c r="AA683" s="1"/>
  <c r="AC683" s="1"/>
  <c r="Z682"/>
  <c r="AB682" s="1"/>
  <c r="AD682" s="1"/>
  <c r="Y682"/>
  <c r="Z681"/>
  <c r="AB681" s="1"/>
  <c r="AD681" s="1"/>
  <c r="Y681"/>
  <c r="Z680"/>
  <c r="AB680" s="1"/>
  <c r="AD680" s="1"/>
  <c r="Y680"/>
  <c r="AA680" s="1"/>
  <c r="AC680" s="1"/>
  <c r="Z679"/>
  <c r="AB679" s="1"/>
  <c r="AD679" s="1"/>
  <c r="Y679"/>
  <c r="AA679" s="1"/>
  <c r="AC679" s="1"/>
  <c r="Z678"/>
  <c r="AB678" s="1"/>
  <c r="AD678" s="1"/>
  <c r="Y678"/>
  <c r="AA678" s="1"/>
  <c r="AC678" s="1"/>
  <c r="Y677"/>
  <c r="AA677" s="1"/>
  <c r="AC677" s="1"/>
  <c r="V677"/>
  <c r="T677"/>
  <c r="R677"/>
  <c r="P677"/>
  <c r="N677"/>
  <c r="L677"/>
  <c r="Z474"/>
  <c r="AB474" s="1"/>
  <c r="AD474" s="1"/>
  <c r="Y474"/>
  <c r="Z473"/>
  <c r="AB473" s="1"/>
  <c r="AD473" s="1"/>
  <c r="Y473"/>
  <c r="AA473" s="1"/>
  <c r="AC473" s="1"/>
  <c r="AC472"/>
  <c r="Z472"/>
  <c r="AB472" s="1"/>
  <c r="AD472" s="1"/>
  <c r="Y472"/>
  <c r="Y471"/>
  <c r="AA471" s="1"/>
  <c r="AC471" s="1"/>
  <c r="V471"/>
  <c r="T471"/>
  <c r="R471"/>
  <c r="P471"/>
  <c r="L471"/>
  <c r="AC470"/>
  <c r="Z470"/>
  <c r="AB470" s="1"/>
  <c r="AD470" s="1"/>
  <c r="Y470"/>
  <c r="Z469"/>
  <c r="AB469" s="1"/>
  <c r="Y469"/>
  <c r="AA469" s="1"/>
  <c r="AC469" s="1"/>
  <c r="O469"/>
  <c r="L469"/>
  <c r="L459" s="1"/>
  <c r="Z468"/>
  <c r="AB468" s="1"/>
  <c r="AD468" s="1"/>
  <c r="Y468"/>
  <c r="AA468" s="1"/>
  <c r="AC468" s="1"/>
  <c r="Z467"/>
  <c r="AB467" s="1"/>
  <c r="AD467" s="1"/>
  <c r="Y467"/>
  <c r="AA467" s="1"/>
  <c r="AC467" s="1"/>
  <c r="AC466"/>
  <c r="Z466"/>
  <c r="AB466" s="1"/>
  <c r="AD466" s="1"/>
  <c r="Y466"/>
  <c r="AA466" s="1"/>
  <c r="Z465"/>
  <c r="AB465" s="1"/>
  <c r="AD465" s="1"/>
  <c r="Y465"/>
  <c r="AA465" s="1"/>
  <c r="AC465" s="1"/>
  <c r="Z464"/>
  <c r="AB464" s="1"/>
  <c r="AD464" s="1"/>
  <c r="Y464"/>
  <c r="AA464" s="1"/>
  <c r="AC464" s="1"/>
  <c r="Z463"/>
  <c r="AB463" s="1"/>
  <c r="AD463" s="1"/>
  <c r="Y463"/>
  <c r="AA463" s="1"/>
  <c r="AC463" s="1"/>
  <c r="AC462"/>
  <c r="Z462"/>
  <c r="AB462" s="1"/>
  <c r="AD462" s="1"/>
  <c r="Y462"/>
  <c r="Z461"/>
  <c r="AB461" s="1"/>
  <c r="AD461" s="1"/>
  <c r="Y461"/>
  <c r="AA461" s="1"/>
  <c r="AC461" s="1"/>
  <c r="Z460"/>
  <c r="AB460" s="1"/>
  <c r="AD460" s="1"/>
  <c r="Y460"/>
  <c r="AA460" s="1"/>
  <c r="AC460" s="1"/>
  <c r="Y459"/>
  <c r="AA459" s="1"/>
  <c r="AC459" s="1"/>
  <c r="V459"/>
  <c r="T459"/>
  <c r="R459"/>
  <c r="P459"/>
  <c r="N459"/>
  <c r="AC458"/>
  <c r="Z458"/>
  <c r="AB458" s="1"/>
  <c r="Y458"/>
  <c r="L458"/>
  <c r="Z457"/>
  <c r="AB457" s="1"/>
  <c r="Y457"/>
  <c r="AA457" s="1"/>
  <c r="AC457" s="1"/>
  <c r="L457"/>
  <c r="AC456"/>
  <c r="Z456"/>
  <c r="AB456" s="1"/>
  <c r="AD456" s="1"/>
  <c r="Y456"/>
  <c r="Y455"/>
  <c r="AA455" s="1"/>
  <c r="AC455" s="1"/>
  <c r="V455"/>
  <c r="T455"/>
  <c r="R455"/>
  <c r="P455"/>
  <c r="AC454"/>
  <c r="Z454"/>
  <c r="AB454" s="1"/>
  <c r="AD454" s="1"/>
  <c r="Y454"/>
  <c r="V453"/>
  <c r="U453"/>
  <c r="Y453" s="1"/>
  <c r="AA453" s="1"/>
  <c r="AC453" s="1"/>
  <c r="T453"/>
  <c r="R453"/>
  <c r="P453"/>
  <c r="L453"/>
  <c r="Z452"/>
  <c r="AB452" s="1"/>
  <c r="AD452" s="1"/>
  <c r="Y452"/>
  <c r="AA452" s="1"/>
  <c r="AC452" s="1"/>
  <c r="O452"/>
  <c r="Y451"/>
  <c r="AA451" s="1"/>
  <c r="AC451" s="1"/>
  <c r="V451"/>
  <c r="T451"/>
  <c r="R451"/>
  <c r="P451"/>
  <c r="L451"/>
  <c r="Z450"/>
  <c r="AB450" s="1"/>
  <c r="AD450" s="1"/>
  <c r="Y450"/>
  <c r="AA450" s="1"/>
  <c r="AC450" s="1"/>
  <c r="Z449"/>
  <c r="AB449" s="1"/>
  <c r="AD449" s="1"/>
  <c r="Y449"/>
  <c r="AA449" s="1"/>
  <c r="AC449" s="1"/>
  <c r="Z448"/>
  <c r="AB448" s="1"/>
  <c r="AD448" s="1"/>
  <c r="Y448"/>
  <c r="AA448" s="1"/>
  <c r="AC448" s="1"/>
  <c r="Z447"/>
  <c r="AB447" s="1"/>
  <c r="AD447" s="1"/>
  <c r="Y447"/>
  <c r="AA447" s="1"/>
  <c r="AC447" s="1"/>
  <c r="Z446"/>
  <c r="AB446" s="1"/>
  <c r="AD446" s="1"/>
  <c r="Y446"/>
  <c r="AA446" s="1"/>
  <c r="AC446" s="1"/>
  <c r="Y445"/>
  <c r="AA445" s="1"/>
  <c r="AC445" s="1"/>
  <c r="V445"/>
  <c r="T445"/>
  <c r="R445"/>
  <c r="P445"/>
  <c r="N445"/>
  <c r="L445"/>
  <c r="Z444"/>
  <c r="AB444" s="1"/>
  <c r="AD444" s="1"/>
  <c r="Y444"/>
  <c r="AA444" s="1"/>
  <c r="AC444" s="1"/>
  <c r="Z443"/>
  <c r="AB443" s="1"/>
  <c r="AD443" s="1"/>
  <c r="Y443"/>
  <c r="AA443" s="1"/>
  <c r="AC443" s="1"/>
  <c r="Z442"/>
  <c r="AB442" s="1"/>
  <c r="AD442" s="1"/>
  <c r="Y442"/>
  <c r="AA442" s="1"/>
  <c r="AC442" s="1"/>
  <c r="Z441"/>
  <c r="AB441" s="1"/>
  <c r="AD441" s="1"/>
  <c r="Y441"/>
  <c r="AA441" s="1"/>
  <c r="AC441" s="1"/>
  <c r="Z440"/>
  <c r="AB440" s="1"/>
  <c r="AD440" s="1"/>
  <c r="Y440"/>
  <c r="AA440" s="1"/>
  <c r="AC440" s="1"/>
  <c r="Z439"/>
  <c r="AB439" s="1"/>
  <c r="AD439" s="1"/>
  <c r="Y439"/>
  <c r="AA439" s="1"/>
  <c r="AC439" s="1"/>
  <c r="Y438"/>
  <c r="AA438" s="1"/>
  <c r="AC438" s="1"/>
  <c r="T438"/>
  <c r="R438"/>
  <c r="P438"/>
  <c r="N438"/>
  <c r="L438"/>
  <c r="Z437"/>
  <c r="AB437" s="1"/>
  <c r="AD437" s="1"/>
  <c r="Y437"/>
  <c r="AA437" s="1"/>
  <c r="AC437" s="1"/>
  <c r="Z436"/>
  <c r="AB436" s="1"/>
  <c r="AD436" s="1"/>
  <c r="Y436"/>
  <c r="AA436" s="1"/>
  <c r="AC436" s="1"/>
  <c r="Z435"/>
  <c r="AB435" s="1"/>
  <c r="AD435" s="1"/>
  <c r="Y435"/>
  <c r="AA435" s="1"/>
  <c r="AC435" s="1"/>
  <c r="Z434"/>
  <c r="AB434" s="1"/>
  <c r="AD434" s="1"/>
  <c r="Y434"/>
  <c r="AA434" s="1"/>
  <c r="AC434" s="1"/>
  <c r="Z433"/>
  <c r="AB433" s="1"/>
  <c r="AD433" s="1"/>
  <c r="Y433"/>
  <c r="AA433" s="1"/>
  <c r="AC433" s="1"/>
  <c r="Z432"/>
  <c r="AB432" s="1"/>
  <c r="AD432" s="1"/>
  <c r="Y432"/>
  <c r="AA432" s="1"/>
  <c r="AC432" s="1"/>
  <c r="Z431"/>
  <c r="AB431" s="1"/>
  <c r="AD431" s="1"/>
  <c r="Y431"/>
  <c r="AA431" s="1"/>
  <c r="AC431" s="1"/>
  <c r="Z430"/>
  <c r="AB430" s="1"/>
  <c r="AD430" s="1"/>
  <c r="Y430"/>
  <c r="AA430" s="1"/>
  <c r="AC430" s="1"/>
  <c r="Z429"/>
  <c r="AB429" s="1"/>
  <c r="Y429"/>
  <c r="AA429" s="1"/>
  <c r="AC429" s="1"/>
  <c r="Z428"/>
  <c r="AB428" s="1"/>
  <c r="AD428" s="1"/>
  <c r="Y428"/>
  <c r="AA428" s="1"/>
  <c r="AC428" s="1"/>
  <c r="Y427"/>
  <c r="AA427" s="1"/>
  <c r="AC427" s="1"/>
  <c r="V427"/>
  <c r="T427"/>
  <c r="R427"/>
  <c r="P427"/>
  <c r="N427"/>
  <c r="L427"/>
  <c r="V426" l="1"/>
  <c r="V676"/>
  <c r="AD458"/>
  <c r="Z453"/>
  <c r="AB453" s="1"/>
  <c r="AD453" s="1"/>
  <c r="AD457"/>
  <c r="Z451"/>
  <c r="AB451" s="1"/>
  <c r="AD451" s="1"/>
  <c r="AD469"/>
  <c r="Z427"/>
  <c r="Z445"/>
  <c r="Z455"/>
  <c r="AB455" s="1"/>
  <c r="L455"/>
  <c r="Z459"/>
  <c r="AB459" s="1"/>
  <c r="AD459" s="1"/>
  <c r="Z677"/>
  <c r="AB677" s="1"/>
  <c r="AD677" s="1"/>
  <c r="Z684"/>
  <c r="AB684" s="1"/>
  <c r="AD684" s="1"/>
  <c r="Z471"/>
  <c r="AB471" s="1"/>
  <c r="AD471" s="1"/>
  <c r="Z686"/>
  <c r="AB686" s="1"/>
  <c r="AD686" s="1"/>
  <c r="Z438"/>
  <c r="AD429"/>
  <c r="AB427"/>
  <c r="AD427" s="1"/>
  <c r="AB438"/>
  <c r="AD438" s="1"/>
  <c r="AB445"/>
  <c r="AD445" s="1"/>
  <c r="AD455" l="1"/>
  <c r="Y502"/>
  <c r="Y503"/>
  <c r="Y479"/>
  <c r="Z420" l="1"/>
  <c r="Z400"/>
  <c r="Y376"/>
  <c r="V1051" l="1"/>
  <c r="V1045"/>
  <c r="Z1039"/>
  <c r="Z1031"/>
  <c r="V1028" l="1"/>
  <c r="V1027" s="1"/>
  <c r="V1185"/>
  <c r="V1182"/>
  <c r="V1177"/>
  <c r="T1170"/>
  <c r="V1169" l="1"/>
  <c r="Z393"/>
  <c r="Z392"/>
  <c r="V388"/>
  <c r="V375"/>
  <c r="Z376"/>
  <c r="V374" l="1"/>
  <c r="V220" s="1"/>
  <c r="V1343"/>
  <c r="V1336"/>
  <c r="V980"/>
  <c r="Y986"/>
  <c r="Z986"/>
  <c r="Y985"/>
  <c r="Z985"/>
  <c r="Y983"/>
  <c r="Z983"/>
  <c r="Z982"/>
  <c r="Z979"/>
  <c r="Z978"/>
  <c r="Z974"/>
  <c r="V973"/>
  <c r="V971"/>
  <c r="V969"/>
  <c r="V962"/>
  <c r="V950"/>
  <c r="V949" s="1"/>
  <c r="V1335" l="1"/>
  <c r="V1164"/>
  <c r="V1159"/>
  <c r="V1153"/>
  <c r="Z1139"/>
  <c r="Z1138" s="1"/>
  <c r="V1111" l="1"/>
  <c r="V1109"/>
  <c r="V1105"/>
  <c r="V1091"/>
  <c r="V1081"/>
  <c r="V1080" s="1"/>
  <c r="V1090" l="1"/>
  <c r="V201" l="1"/>
  <c r="U201"/>
  <c r="V196"/>
  <c r="U196"/>
  <c r="V192"/>
  <c r="U192"/>
  <c r="V190"/>
  <c r="U190"/>
  <c r="U185"/>
  <c r="V185"/>
  <c r="U177"/>
  <c r="U171"/>
  <c r="U163"/>
  <c r="U155"/>
  <c r="V163"/>
  <c r="U145"/>
  <c r="U139"/>
  <c r="U134"/>
  <c r="V112"/>
  <c r="V1262" l="1"/>
  <c r="T1262"/>
  <c r="V1248"/>
  <c r="T1248"/>
  <c r="R1248"/>
  <c r="V1219"/>
  <c r="T1219"/>
  <c r="Y1219"/>
  <c r="Y1220"/>
  <c r="Y1221"/>
  <c r="Y1222"/>
  <c r="V1213"/>
  <c r="T1213"/>
  <c r="V1207"/>
  <c r="V1195"/>
  <c r="V1020" l="1"/>
  <c r="V1013"/>
  <c r="V1010"/>
  <c r="V1005"/>
  <c r="V98" l="1"/>
  <c r="V81"/>
  <c r="V72"/>
  <c r="V67"/>
  <c r="V37"/>
  <c r="P34"/>
  <c r="V13"/>
  <c r="V30"/>
  <c r="V34"/>
  <c r="V12" l="1"/>
  <c r="V1269"/>
  <c r="V1116" l="1"/>
  <c r="V1545"/>
  <c r="V1538"/>
  <c r="V1512"/>
  <c r="T1510"/>
  <c r="V1510"/>
  <c r="V1508"/>
  <c r="V1505"/>
  <c r="V1497"/>
  <c r="V1484"/>
  <c r="V1483" l="1"/>
  <c r="V1482" s="1"/>
  <c r="V663" l="1"/>
  <c r="V650"/>
  <c r="V645"/>
  <c r="V634"/>
  <c r="V633" l="1"/>
  <c r="Z1157" l="1"/>
  <c r="AB1157" s="1"/>
  <c r="AD1157" s="1"/>
  <c r="Y1157"/>
  <c r="AA1157" s="1"/>
  <c r="AC1157" s="1"/>
  <c r="Y271" l="1"/>
  <c r="AA271" s="1"/>
  <c r="AC271" s="1"/>
  <c r="Z271"/>
  <c r="AB271" s="1"/>
  <c r="AD271" s="1"/>
  <c r="Y293"/>
  <c r="AA293" s="1"/>
  <c r="AC293" s="1"/>
  <c r="Y299"/>
  <c r="L365"/>
  <c r="AA366"/>
  <c r="AC366" s="1"/>
  <c r="AA365"/>
  <c r="AC365" s="1"/>
  <c r="Z366"/>
  <c r="Z365" s="1"/>
  <c r="AB365" s="1"/>
  <c r="T365"/>
  <c r="R365"/>
  <c r="P365"/>
  <c r="P362"/>
  <c r="P343"/>
  <c r="P367"/>
  <c r="P353"/>
  <c r="P348"/>
  <c r="P346"/>
  <c r="P290"/>
  <c r="P285"/>
  <c r="P264"/>
  <c r="P260"/>
  <c r="P258"/>
  <c r="P222"/>
  <c r="AC1114"/>
  <c r="T1111"/>
  <c r="R1111"/>
  <c r="N1111"/>
  <c r="L1111"/>
  <c r="Z1112"/>
  <c r="AB1112" s="1"/>
  <c r="AD1112" s="1"/>
  <c r="Y1112"/>
  <c r="AA1112" s="1"/>
  <c r="AC1112" s="1"/>
  <c r="Y1111"/>
  <c r="AA1111" s="1"/>
  <c r="AC1111" s="1"/>
  <c r="Z1110"/>
  <c r="AB1110" s="1"/>
  <c r="Y1110"/>
  <c r="AA1110" s="1"/>
  <c r="AC1110" s="1"/>
  <c r="Y1109"/>
  <c r="AA1109" s="1"/>
  <c r="AC1109" s="1"/>
  <c r="T1109"/>
  <c r="R1109"/>
  <c r="P1109"/>
  <c r="N1109"/>
  <c r="L1110"/>
  <c r="L1109" s="1"/>
  <c r="AB1445"/>
  <c r="Y1445"/>
  <c r="AA1445" s="1"/>
  <c r="AC1445" s="1"/>
  <c r="K1536"/>
  <c r="Z1109" l="1"/>
  <c r="AB1109" s="1"/>
  <c r="AD1109" s="1"/>
  <c r="P221"/>
  <c r="AD1110"/>
  <c r="AB366"/>
  <c r="AD366" s="1"/>
  <c r="AD365"/>
  <c r="Z1111"/>
  <c r="AB1111" s="1"/>
  <c r="AD1111" s="1"/>
  <c r="Z1442"/>
  <c r="AB1442" s="1"/>
  <c r="Y1442"/>
  <c r="AA1442" s="1"/>
  <c r="AC1442" s="1"/>
  <c r="Z1441"/>
  <c r="AB1441" s="1"/>
  <c r="AD1441" s="1"/>
  <c r="Y1441"/>
  <c r="AA1441" s="1"/>
  <c r="AC1441" s="1"/>
  <c r="AA1462"/>
  <c r="AC1462" s="1"/>
  <c r="Z1462"/>
  <c r="AB1462" s="1"/>
  <c r="Z1460"/>
  <c r="AB1460" s="1"/>
  <c r="Y1460"/>
  <c r="AA1460" s="1"/>
  <c r="AC1460" s="1"/>
  <c r="Z1465"/>
  <c r="AB1465" s="1"/>
  <c r="AD1465" s="1"/>
  <c r="Y1465"/>
  <c r="AA1465" s="1"/>
  <c r="AC1465" s="1"/>
  <c r="T1443"/>
  <c r="Z1443" s="1"/>
  <c r="L1443"/>
  <c r="AB1444"/>
  <c r="AD1444" s="1"/>
  <c r="Y1444"/>
  <c r="AA1444" s="1"/>
  <c r="AC1444" s="1"/>
  <c r="Y1443"/>
  <c r="AA1443" s="1"/>
  <c r="AC1443" s="1"/>
  <c r="X1443"/>
  <c r="P1443"/>
  <c r="N1443"/>
  <c r="P1456"/>
  <c r="P1475"/>
  <c r="P1473"/>
  <c r="P1470"/>
  <c r="P1454"/>
  <c r="P1452"/>
  <c r="P1449"/>
  <c r="P1436"/>
  <c r="P1421"/>
  <c r="T1546"/>
  <c r="T1545" s="1"/>
  <c r="P1643"/>
  <c r="P1640"/>
  <c r="T943"/>
  <c r="R943"/>
  <c r="N943"/>
  <c r="L943"/>
  <c r="T940"/>
  <c r="L940"/>
  <c r="N940"/>
  <c r="T937"/>
  <c r="R937"/>
  <c r="N937"/>
  <c r="T931"/>
  <c r="R931"/>
  <c r="N931"/>
  <c r="L931"/>
  <c r="T928"/>
  <c r="R928"/>
  <c r="N928"/>
  <c r="L921"/>
  <c r="N921"/>
  <c r="R921"/>
  <c r="T921"/>
  <c r="T908"/>
  <c r="R908"/>
  <c r="N908"/>
  <c r="P943"/>
  <c r="P940"/>
  <c r="P937"/>
  <c r="P931"/>
  <c r="T804"/>
  <c r="R804"/>
  <c r="P804"/>
  <c r="N804"/>
  <c r="P908"/>
  <c r="T926"/>
  <c r="R926"/>
  <c r="P926"/>
  <c r="Q926"/>
  <c r="Z927"/>
  <c r="Y927"/>
  <c r="AA927" s="1"/>
  <c r="AC927" s="1"/>
  <c r="N927"/>
  <c r="N926" s="1"/>
  <c r="L927"/>
  <c r="L926" s="1"/>
  <c r="Z936"/>
  <c r="AB936" s="1"/>
  <c r="AD936" s="1"/>
  <c r="Y936"/>
  <c r="AA936" s="1"/>
  <c r="AC936" s="1"/>
  <c r="P1061"/>
  <c r="P928"/>
  <c r="P921"/>
  <c r="T855"/>
  <c r="T308"/>
  <c r="Z308" s="1"/>
  <c r="T306"/>
  <c r="Z306" s="1"/>
  <c r="T292" l="1"/>
  <c r="AB1443"/>
  <c r="AD1443" s="1"/>
  <c r="AB927"/>
  <c r="AD927" s="1"/>
  <c r="Z926"/>
  <c r="AB926" s="1"/>
  <c r="AD926" s="1"/>
  <c r="Y926"/>
  <c r="AA926" s="1"/>
  <c r="AC926" s="1"/>
  <c r="P1572"/>
  <c r="P1565"/>
  <c r="Z1256"/>
  <c r="Z1255"/>
  <c r="Z1266"/>
  <c r="Z1265"/>
  <c r="Z1264"/>
  <c r="Z1263"/>
  <c r="AB1263" s="1"/>
  <c r="R1262"/>
  <c r="R1219"/>
  <c r="L1219"/>
  <c r="N1219"/>
  <c r="P1219"/>
  <c r="P1195"/>
  <c r="P1262"/>
  <c r="L1254"/>
  <c r="N1254"/>
  <c r="P1254"/>
  <c r="L1248"/>
  <c r="N1248"/>
  <c r="P1248"/>
  <c r="L1244"/>
  <c r="N1244"/>
  <c r="P1244"/>
  <c r="P1213"/>
  <c r="P1207"/>
  <c r="P1177"/>
  <c r="P1170"/>
  <c r="P1051"/>
  <c r="P1045"/>
  <c r="P1111"/>
  <c r="P1091"/>
  <c r="P1081"/>
  <c r="P1080" s="1"/>
  <c r="P1105"/>
  <c r="P1497"/>
  <c r="P1505"/>
  <c r="P1512"/>
  <c r="P1538"/>
  <c r="P1545"/>
  <c r="Y1509"/>
  <c r="P1846"/>
  <c r="P1834"/>
  <c r="P1819"/>
  <c r="T1643"/>
  <c r="R1643"/>
  <c r="Z1646"/>
  <c r="Z1645"/>
  <c r="Y1645"/>
  <c r="P1164"/>
  <c r="P1159"/>
  <c r="P1153"/>
  <c r="P1134"/>
  <c r="P1375"/>
  <c r="P1374" s="1"/>
  <c r="T1336"/>
  <c r="R1336"/>
  <c r="T980"/>
  <c r="R980"/>
  <c r="T973"/>
  <c r="R973"/>
  <c r="R962"/>
  <c r="R950"/>
  <c r="P1366"/>
  <c r="P1359"/>
  <c r="P1343"/>
  <c r="P1336"/>
  <c r="P980"/>
  <c r="P973"/>
  <c r="P971"/>
  <c r="P962"/>
  <c r="P950"/>
  <c r="P907"/>
  <c r="P854"/>
  <c r="T854"/>
  <c r="Z854" s="1"/>
  <c r="Z855"/>
  <c r="AD854"/>
  <c r="Y854"/>
  <c r="AA854" s="1"/>
  <c r="AC854" s="1"/>
  <c r="P835"/>
  <c r="P821"/>
  <c r="P816"/>
  <c r="Z748"/>
  <c r="Z747"/>
  <c r="Z741"/>
  <c r="P749"/>
  <c r="P752"/>
  <c r="P736"/>
  <c r="P650"/>
  <c r="P645"/>
  <c r="P634"/>
  <c r="L886"/>
  <c r="K375"/>
  <c r="K394"/>
  <c r="K398"/>
  <c r="P690" l="1"/>
  <c r="P1818"/>
  <c r="P617"/>
  <c r="Z1643"/>
  <c r="Z1262"/>
  <c r="P1194"/>
  <c r="P1639"/>
  <c r="P541"/>
  <c r="T418"/>
  <c r="T412"/>
  <c r="T396"/>
  <c r="T388"/>
  <c r="T375"/>
  <c r="P396"/>
  <c r="P375"/>
  <c r="P412"/>
  <c r="P401"/>
  <c r="P388"/>
  <c r="R418"/>
  <c r="P418"/>
  <c r="R401"/>
  <c r="R396"/>
  <c r="R388"/>
  <c r="P210"/>
  <c r="Y214"/>
  <c r="AA214" s="1"/>
  <c r="AC214" s="1"/>
  <c r="Z214"/>
  <c r="AB214" s="1"/>
  <c r="AD214" s="1"/>
  <c r="Y215"/>
  <c r="Z215"/>
  <c r="Y216"/>
  <c r="Z216"/>
  <c r="Y217"/>
  <c r="Z217"/>
  <c r="Z396" l="1"/>
  <c r="P676"/>
  <c r="T374"/>
  <c r="P196" l="1"/>
  <c r="P192"/>
  <c r="P185"/>
  <c r="P177"/>
  <c r="P171"/>
  <c r="P163"/>
  <c r="P155"/>
  <c r="P151"/>
  <c r="P145"/>
  <c r="P139"/>
  <c r="P134"/>
  <c r="P112"/>
  <c r="P201"/>
  <c r="P190"/>
  <c r="P131"/>
  <c r="P129"/>
  <c r="Z1575"/>
  <c r="Z1564"/>
  <c r="Z1558"/>
  <c r="Z1557"/>
  <c r="Z1555"/>
  <c r="Z1554"/>
  <c r="P1484"/>
  <c r="Z1560"/>
  <c r="Z1556"/>
  <c r="Z1479"/>
  <c r="L1640"/>
  <c r="N1640"/>
  <c r="Z1647"/>
  <c r="Z1644"/>
  <c r="P1335" l="1"/>
  <c r="P111"/>
  <c r="Y1432"/>
  <c r="Y1431"/>
  <c r="Z1362"/>
  <c r="Z1361"/>
  <c r="Z1119"/>
  <c r="Z1118"/>
  <c r="P1149"/>
  <c r="P1146"/>
  <c r="P1144"/>
  <c r="P1140"/>
  <c r="P1138"/>
  <c r="Z1137"/>
  <c r="P1068"/>
  <c r="Z1076"/>
  <c r="Z1077"/>
  <c r="Z1075"/>
  <c r="Z1071"/>
  <c r="N749"/>
  <c r="N736"/>
  <c r="T749"/>
  <c r="R749"/>
  <c r="L749"/>
  <c r="AC987"/>
  <c r="AB987"/>
  <c r="AD987" s="1"/>
  <c r="AA986"/>
  <c r="AC986" s="1"/>
  <c r="AB986"/>
  <c r="AD986" s="1"/>
  <c r="AC985"/>
  <c r="AB985"/>
  <c r="AD985" s="1"/>
  <c r="AB983"/>
  <c r="AD983" s="1"/>
  <c r="N980"/>
  <c r="L980"/>
  <c r="AC984"/>
  <c r="AC983"/>
  <c r="AC982"/>
  <c r="AB982"/>
  <c r="AD982" s="1"/>
  <c r="AB979"/>
  <c r="AD979" s="1"/>
  <c r="AB978"/>
  <c r="AD978" s="1"/>
  <c r="Z977"/>
  <c r="AB977" s="1"/>
  <c r="AD977" s="1"/>
  <c r="Z975"/>
  <c r="AB975" s="1"/>
  <c r="AD975" s="1"/>
  <c r="AB974"/>
  <c r="AD974" s="1"/>
  <c r="S971"/>
  <c r="Y971" s="1"/>
  <c r="AA971" s="1"/>
  <c r="AC971" s="1"/>
  <c r="T971"/>
  <c r="Z971" s="1"/>
  <c r="Y980"/>
  <c r="AA980" s="1"/>
  <c r="AC980" s="1"/>
  <c r="Y979"/>
  <c r="AA979" s="1"/>
  <c r="AC979" s="1"/>
  <c r="Y978"/>
  <c r="AA978" s="1"/>
  <c r="AC978" s="1"/>
  <c r="Y977"/>
  <c r="AA977" s="1"/>
  <c r="AC977" s="1"/>
  <c r="Z976"/>
  <c r="AB976" s="1"/>
  <c r="Y976"/>
  <c r="AA976" s="1"/>
  <c r="AC976" s="1"/>
  <c r="L976"/>
  <c r="Y975"/>
  <c r="AA975" s="1"/>
  <c r="AC975" s="1"/>
  <c r="Y974"/>
  <c r="AA974" s="1"/>
  <c r="AC974" s="1"/>
  <c r="Z973"/>
  <c r="AB973" s="1"/>
  <c r="AD973" s="1"/>
  <c r="Y973"/>
  <c r="AA973" s="1"/>
  <c r="AC973" s="1"/>
  <c r="Z972"/>
  <c r="AB972" s="1"/>
  <c r="AD972" s="1"/>
  <c r="Y972"/>
  <c r="AA972" s="1"/>
  <c r="AC972" s="1"/>
  <c r="T1343"/>
  <c r="Z1856"/>
  <c r="Y1856"/>
  <c r="Z1855"/>
  <c r="Y1855"/>
  <c r="Z1854"/>
  <c r="Y1854"/>
  <c r="Z1853"/>
  <c r="Y1853"/>
  <c r="Z1852"/>
  <c r="Y1852"/>
  <c r="Z1851"/>
  <c r="Y1851"/>
  <c r="Z1850"/>
  <c r="Y1850"/>
  <c r="Z1849"/>
  <c r="Y1849"/>
  <c r="Z1848"/>
  <c r="Y1848"/>
  <c r="Z1847"/>
  <c r="Y1847"/>
  <c r="Z1846"/>
  <c r="Y1846"/>
  <c r="Y1845"/>
  <c r="Z1844"/>
  <c r="Z1843"/>
  <c r="Y1843"/>
  <c r="Z1842"/>
  <c r="Y1842"/>
  <c r="Z1841"/>
  <c r="Y1841"/>
  <c r="Z1840"/>
  <c r="Y1840"/>
  <c r="Z1839"/>
  <c r="Y1839"/>
  <c r="Z1838"/>
  <c r="Y1838"/>
  <c r="Z1837"/>
  <c r="Y1837"/>
  <c r="Z1836"/>
  <c r="Y1836"/>
  <c r="Z1835"/>
  <c r="Y1835"/>
  <c r="Z1834"/>
  <c r="Y1834"/>
  <c r="Z1833"/>
  <c r="Y1833"/>
  <c r="Z1832"/>
  <c r="Y1832"/>
  <c r="Z1831"/>
  <c r="Y1831"/>
  <c r="Z1830"/>
  <c r="Y1830"/>
  <c r="Z1829"/>
  <c r="Y1829"/>
  <c r="Z1828"/>
  <c r="Y1828"/>
  <c r="Z1827"/>
  <c r="Y1827"/>
  <c r="Z1826"/>
  <c r="Y1826"/>
  <c r="Z1825"/>
  <c r="Y1825"/>
  <c r="Z1824"/>
  <c r="Y1824"/>
  <c r="Z1823"/>
  <c r="Y1823"/>
  <c r="Z1822"/>
  <c r="Y1822"/>
  <c r="Z1821"/>
  <c r="Y1821"/>
  <c r="Z1820"/>
  <c r="Y1820"/>
  <c r="Y1818"/>
  <c r="Y1652"/>
  <c r="Z1648"/>
  <c r="Y1648"/>
  <c r="Y1647"/>
  <c r="Y1646"/>
  <c r="Y1644"/>
  <c r="Y1643"/>
  <c r="Z1642"/>
  <c r="Y1642"/>
  <c r="Z1641"/>
  <c r="Y1641"/>
  <c r="Z1586"/>
  <c r="Z1585"/>
  <c r="Z1584"/>
  <c r="Z1583"/>
  <c r="Z1582"/>
  <c r="Z1581"/>
  <c r="Z1580"/>
  <c r="Z1579"/>
  <c r="Z1578"/>
  <c r="Z1577"/>
  <c r="Z1576"/>
  <c r="Z1574"/>
  <c r="Z1573"/>
  <c r="Y1573"/>
  <c r="Y1572"/>
  <c r="Z1571"/>
  <c r="Z1568"/>
  <c r="Y1568"/>
  <c r="Z1567"/>
  <c r="Y1564"/>
  <c r="Y1563"/>
  <c r="Y1562"/>
  <c r="Y1561"/>
  <c r="Y1560"/>
  <c r="Y1559"/>
  <c r="Y1558"/>
  <c r="Y1557"/>
  <c r="Y1556"/>
  <c r="Y1555"/>
  <c r="Y1554"/>
  <c r="Z1549"/>
  <c r="Y1549"/>
  <c r="Z1548"/>
  <c r="Y1548"/>
  <c r="Z1547"/>
  <c r="Y1547"/>
  <c r="Z1546"/>
  <c r="Y1546"/>
  <c r="Y1545"/>
  <c r="Z1544"/>
  <c r="Y1544"/>
  <c r="Z1543"/>
  <c r="Y1543"/>
  <c r="Z1542"/>
  <c r="Y1542"/>
  <c r="Z1541"/>
  <c r="Y1541"/>
  <c r="Z1540"/>
  <c r="Y1540"/>
  <c r="Z1539"/>
  <c r="Y1539"/>
  <c r="Y1538"/>
  <c r="Z1537"/>
  <c r="Y1537"/>
  <c r="Z1536"/>
  <c r="Y1536"/>
  <c r="Z1535"/>
  <c r="Y1535"/>
  <c r="Z1534"/>
  <c r="Y1534"/>
  <c r="Z1533"/>
  <c r="Y1533"/>
  <c r="Z1532"/>
  <c r="Y1532"/>
  <c r="Z1531"/>
  <c r="Y1531"/>
  <c r="Z1530"/>
  <c r="Y1530"/>
  <c r="Z1529"/>
  <c r="Y1529"/>
  <c r="Z1528"/>
  <c r="Y1528"/>
  <c r="Z1527"/>
  <c r="Y1527"/>
  <c r="Z1526"/>
  <c r="Y1526"/>
  <c r="Z1525"/>
  <c r="Y1525"/>
  <c r="Z1524"/>
  <c r="Y1524"/>
  <c r="Z1523"/>
  <c r="Y1523"/>
  <c r="Z1522"/>
  <c r="Y1522"/>
  <c r="Z1521"/>
  <c r="Y1521"/>
  <c r="Z1520"/>
  <c r="Y1520"/>
  <c r="Z1519"/>
  <c r="Y1519"/>
  <c r="Z1518"/>
  <c r="Y1518"/>
  <c r="Z1517"/>
  <c r="Y1517"/>
  <c r="Z1516"/>
  <c r="Y1516"/>
  <c r="Z1515"/>
  <c r="Y1515"/>
  <c r="Z1514"/>
  <c r="Y1514"/>
  <c r="Z1513"/>
  <c r="Y1513"/>
  <c r="Y1512"/>
  <c r="Z1511"/>
  <c r="Y1511"/>
  <c r="Z1510"/>
  <c r="Y1510"/>
  <c r="Z1509"/>
  <c r="Y1508"/>
  <c r="Z1507"/>
  <c r="Y1507"/>
  <c r="Z1506"/>
  <c r="Y1506"/>
  <c r="Y1505"/>
  <c r="Z1504"/>
  <c r="Y1504"/>
  <c r="Z1503"/>
  <c r="Y1503"/>
  <c r="Z1502"/>
  <c r="Z1501"/>
  <c r="Y1501"/>
  <c r="Z1500"/>
  <c r="Y1500"/>
  <c r="Z1499"/>
  <c r="Y1499"/>
  <c r="Z1498"/>
  <c r="Y1498"/>
  <c r="Y1497"/>
  <c r="Z1496"/>
  <c r="Y1496"/>
  <c r="Z1495"/>
  <c r="Y1495"/>
  <c r="Z1494"/>
  <c r="Y1494"/>
  <c r="Z1493"/>
  <c r="Y1493"/>
  <c r="Z1492"/>
  <c r="Y1492"/>
  <c r="Z1491"/>
  <c r="Y1491"/>
  <c r="Z1490"/>
  <c r="Y1490"/>
  <c r="Z1489"/>
  <c r="Y1489"/>
  <c r="Z1488"/>
  <c r="Y1488"/>
  <c r="Z1487"/>
  <c r="Y1487"/>
  <c r="Z1486"/>
  <c r="Y1486"/>
  <c r="Z1485"/>
  <c r="Y1485"/>
  <c r="Y1484"/>
  <c r="Y1479"/>
  <c r="Y1478"/>
  <c r="Z1477"/>
  <c r="Y1477"/>
  <c r="Z1476"/>
  <c r="Y1476"/>
  <c r="Y1475"/>
  <c r="Z1474"/>
  <c r="Y1474"/>
  <c r="Y1473"/>
  <c r="Z1472"/>
  <c r="Y1472"/>
  <c r="Z1471"/>
  <c r="Y1471"/>
  <c r="Y1470"/>
  <c r="Z1469"/>
  <c r="Y1469"/>
  <c r="Z1468"/>
  <c r="Y1468"/>
  <c r="Z1467"/>
  <c r="Y1467"/>
  <c r="Z1466"/>
  <c r="Y1466"/>
  <c r="Z1464"/>
  <c r="Y1464"/>
  <c r="Z1463"/>
  <c r="Y1463"/>
  <c r="Z1461"/>
  <c r="Y1461"/>
  <c r="Z1459"/>
  <c r="Y1459"/>
  <c r="Z1458"/>
  <c r="Y1458"/>
  <c r="Z1457"/>
  <c r="Y1457"/>
  <c r="Y1456"/>
  <c r="Z1455"/>
  <c r="Y1455"/>
  <c r="Y1454"/>
  <c r="Z1453"/>
  <c r="Y1453"/>
  <c r="Y1452"/>
  <c r="Z1451"/>
  <c r="Y1451"/>
  <c r="Z1450"/>
  <c r="Y1450"/>
  <c r="Y1449"/>
  <c r="Z1448"/>
  <c r="Y1448"/>
  <c r="Y1447"/>
  <c r="Y1446"/>
  <c r="Y1440"/>
  <c r="Z1439"/>
  <c r="Y1439"/>
  <c r="Z1438"/>
  <c r="Y1438"/>
  <c r="Z1437"/>
  <c r="Y1437"/>
  <c r="Y1436"/>
  <c r="Z1435"/>
  <c r="Y1435"/>
  <c r="Z1434"/>
  <c r="Y1434"/>
  <c r="Z1433"/>
  <c r="Y1433"/>
  <c r="Z1432"/>
  <c r="Z1431"/>
  <c r="Z1430"/>
  <c r="Y1430"/>
  <c r="Z1429"/>
  <c r="Y1429"/>
  <c r="Z1428"/>
  <c r="Y1428"/>
  <c r="Z1427"/>
  <c r="Y1427"/>
  <c r="Z1426"/>
  <c r="Y1426"/>
  <c r="Z1425"/>
  <c r="Y1425"/>
  <c r="Z1424"/>
  <c r="Y1424"/>
  <c r="Z1423"/>
  <c r="Y1423"/>
  <c r="Z1422"/>
  <c r="Y1422"/>
  <c r="Y1421"/>
  <c r="Z1411"/>
  <c r="Y1411"/>
  <c r="Z1405"/>
  <c r="Y1405"/>
  <c r="Z1404"/>
  <c r="Y1404"/>
  <c r="Z1403"/>
  <c r="Y1403"/>
  <c r="Z1400"/>
  <c r="Y1400"/>
  <c r="Y1379"/>
  <c r="Y1378"/>
  <c r="Y1377"/>
  <c r="Y1376"/>
  <c r="Y1375"/>
  <c r="Z1371"/>
  <c r="Y1371"/>
  <c r="Y1370"/>
  <c r="Z1369"/>
  <c r="Y1369"/>
  <c r="Z1368"/>
  <c r="Y1368"/>
  <c r="Z1367"/>
  <c r="Y1367"/>
  <c r="Y1366"/>
  <c r="Z1365"/>
  <c r="Y1365"/>
  <c r="Z1364"/>
  <c r="Y1364"/>
  <c r="Z1363"/>
  <c r="Y1363"/>
  <c r="Y1362"/>
  <c r="Y1361"/>
  <c r="Z1360"/>
  <c r="Y1360"/>
  <c r="Y1359"/>
  <c r="T1375"/>
  <c r="T1374" s="1"/>
  <c r="N1359"/>
  <c r="Z1355"/>
  <c r="Y1355"/>
  <c r="Z1354"/>
  <c r="Y1354"/>
  <c r="Z1353"/>
  <c r="Y1353"/>
  <c r="Z1352"/>
  <c r="Y1352"/>
  <c r="Z1351"/>
  <c r="Y1351"/>
  <c r="Z1350"/>
  <c r="Y1350"/>
  <c r="Z1349"/>
  <c r="Y1349"/>
  <c r="Z1348"/>
  <c r="Y1348"/>
  <c r="Z1347"/>
  <c r="Y1347"/>
  <c r="Z1346"/>
  <c r="Y1346"/>
  <c r="Z1345"/>
  <c r="Y1345"/>
  <c r="Z1344"/>
  <c r="Y1344"/>
  <c r="Y1343"/>
  <c r="Z1342"/>
  <c r="Y1342"/>
  <c r="Z1341"/>
  <c r="Y1341"/>
  <c r="Z1340"/>
  <c r="Y1340"/>
  <c r="Z1339"/>
  <c r="Y1339"/>
  <c r="Z1338"/>
  <c r="Y1338"/>
  <c r="Z1337"/>
  <c r="Y1336"/>
  <c r="Y1335"/>
  <c r="Z1261"/>
  <c r="Z1260"/>
  <c r="Z1259"/>
  <c r="Z1258"/>
  <c r="Z1257"/>
  <c r="Z1253"/>
  <c r="Z1252"/>
  <c r="Z1251"/>
  <c r="Z1250"/>
  <c r="Z1249"/>
  <c r="Z1248"/>
  <c r="Z1247"/>
  <c r="Z1246"/>
  <c r="Z1245"/>
  <c r="Z1243"/>
  <c r="Z1242"/>
  <c r="Z1241"/>
  <c r="Z1240"/>
  <c r="Z1239"/>
  <c r="Z1238"/>
  <c r="Z1237"/>
  <c r="Z1236"/>
  <c r="Z1235"/>
  <c r="Z1234"/>
  <c r="Z1233"/>
  <c r="Z1232"/>
  <c r="Z1231"/>
  <c r="Z1230"/>
  <c r="Y1230"/>
  <c r="Z1229"/>
  <c r="Y1229"/>
  <c r="Z1228"/>
  <c r="Y1228"/>
  <c r="Z1227"/>
  <c r="Y1227"/>
  <c r="Z1226"/>
  <c r="Y1226"/>
  <c r="Z1225"/>
  <c r="Y1225"/>
  <c r="Z1224"/>
  <c r="Y1224"/>
  <c r="Z1223"/>
  <c r="Y1223"/>
  <c r="Z1222"/>
  <c r="Z1221"/>
  <c r="Z1220"/>
  <c r="Z1218"/>
  <c r="Z1217"/>
  <c r="Z1216"/>
  <c r="Z1215"/>
  <c r="Z1214"/>
  <c r="Y1214"/>
  <c r="Y1213"/>
  <c r="Z1212"/>
  <c r="Z1211"/>
  <c r="Z1210"/>
  <c r="Z1209"/>
  <c r="Z1208"/>
  <c r="Y1207"/>
  <c r="Z1206"/>
  <c r="Y1206"/>
  <c r="Z1205"/>
  <c r="Y1205"/>
  <c r="Z1204"/>
  <c r="Y1204"/>
  <c r="Z1203"/>
  <c r="Y1203"/>
  <c r="Z1202"/>
  <c r="Y1202"/>
  <c r="Z1201"/>
  <c r="Y1201"/>
  <c r="Z1200"/>
  <c r="Y1200"/>
  <c r="Z1199"/>
  <c r="Y1199"/>
  <c r="Z1198"/>
  <c r="Y1198"/>
  <c r="Z1197"/>
  <c r="Y1197"/>
  <c r="Z1196"/>
  <c r="Y1196"/>
  <c r="Y1195"/>
  <c r="Z1190"/>
  <c r="Y1190"/>
  <c r="Z1189"/>
  <c r="Y1189"/>
  <c r="Z1188"/>
  <c r="Y1188"/>
  <c r="Z1187"/>
  <c r="Y1187"/>
  <c r="Z1186"/>
  <c r="Y1186"/>
  <c r="Y1185"/>
  <c r="Z1184"/>
  <c r="Y1184"/>
  <c r="Z1183"/>
  <c r="Y1183"/>
  <c r="Y1182"/>
  <c r="Z1181"/>
  <c r="Y1181"/>
  <c r="Z1180"/>
  <c r="Y1180"/>
  <c r="Z1179"/>
  <c r="Y1179"/>
  <c r="Z1178"/>
  <c r="Z1176"/>
  <c r="Y1176"/>
  <c r="Z1175"/>
  <c r="Y1175"/>
  <c r="Z1174"/>
  <c r="Y1174"/>
  <c r="Z1173"/>
  <c r="Y1173"/>
  <c r="Z1172"/>
  <c r="Y1172"/>
  <c r="Z1171"/>
  <c r="Y1171"/>
  <c r="Y1170"/>
  <c r="Z1166"/>
  <c r="Z1165"/>
  <c r="Y1165"/>
  <c r="Y1164"/>
  <c r="Z1163"/>
  <c r="Y1163"/>
  <c r="Z1162"/>
  <c r="Y1162"/>
  <c r="Z1161"/>
  <c r="Z1160"/>
  <c r="Y1160"/>
  <c r="Y1159"/>
  <c r="Z1158"/>
  <c r="Y1158"/>
  <c r="Z1156"/>
  <c r="Z1155"/>
  <c r="Z1154"/>
  <c r="Y1154"/>
  <c r="Y1153"/>
  <c r="Z1152"/>
  <c r="Z1151" s="1"/>
  <c r="Y1152"/>
  <c r="Z1150"/>
  <c r="Z1149" s="1"/>
  <c r="Y1150"/>
  <c r="Y1149"/>
  <c r="Z1148"/>
  <c r="Y1148"/>
  <c r="Y1147"/>
  <c r="Y1146"/>
  <c r="Z1145"/>
  <c r="Z1144" s="1"/>
  <c r="Y1145"/>
  <c r="Y1144"/>
  <c r="Z1143"/>
  <c r="Y1143"/>
  <c r="Z1142"/>
  <c r="Z1140" s="1"/>
  <c r="Y1142"/>
  <c r="Y1141"/>
  <c r="Y1140"/>
  <c r="Y1139"/>
  <c r="Y1138"/>
  <c r="Y1137"/>
  <c r="Z1136"/>
  <c r="Y1136"/>
  <c r="Z1135"/>
  <c r="Z1134" s="1"/>
  <c r="Y1135"/>
  <c r="Y1134"/>
  <c r="Z1132"/>
  <c r="Z1131"/>
  <c r="Y1131"/>
  <c r="Y1130"/>
  <c r="Z1129"/>
  <c r="Y1129"/>
  <c r="Z1128"/>
  <c r="Y1128"/>
  <c r="Z1127"/>
  <c r="Y1127"/>
  <c r="Z1126"/>
  <c r="Y1126"/>
  <c r="Z1125"/>
  <c r="Y1125"/>
  <c r="Z1124"/>
  <c r="Y1124"/>
  <c r="Z1123"/>
  <c r="Y1123"/>
  <c r="Z1122"/>
  <c r="Y1122"/>
  <c r="Z1121"/>
  <c r="Y1121"/>
  <c r="Z1120"/>
  <c r="Y1120"/>
  <c r="Y1119"/>
  <c r="Y1118"/>
  <c r="Y1117"/>
  <c r="Z1108"/>
  <c r="Y1108"/>
  <c r="Z1106"/>
  <c r="Y1106"/>
  <c r="Z1104"/>
  <c r="Y1104"/>
  <c r="Z1103"/>
  <c r="Y1103"/>
  <c r="Z1102"/>
  <c r="Y1102"/>
  <c r="Z1101"/>
  <c r="Y1101"/>
  <c r="Z1100"/>
  <c r="Y1100"/>
  <c r="Z1099"/>
  <c r="Y1099"/>
  <c r="Z1098"/>
  <c r="Y1098"/>
  <c r="Z1097"/>
  <c r="Y1097"/>
  <c r="Z1096"/>
  <c r="Y1096"/>
  <c r="Z1095"/>
  <c r="Y1095"/>
  <c r="Z1094"/>
  <c r="Y1094"/>
  <c r="Z1093"/>
  <c r="Y1093"/>
  <c r="Z1092"/>
  <c r="Y1092"/>
  <c r="Y1091"/>
  <c r="Z1087"/>
  <c r="Y1087"/>
  <c r="Z1086"/>
  <c r="Y1086"/>
  <c r="Z1085"/>
  <c r="Y1085"/>
  <c r="Z1084"/>
  <c r="Y1084"/>
  <c r="Z1083"/>
  <c r="Y1083"/>
  <c r="Z1082"/>
  <c r="Y1082"/>
  <c r="Z1064"/>
  <c r="Y1064"/>
  <c r="Z1063"/>
  <c r="Y1063"/>
  <c r="Z1062"/>
  <c r="Y1062"/>
  <c r="Y1061"/>
  <c r="Z1057"/>
  <c r="Y1057"/>
  <c r="Y1056"/>
  <c r="Z1055"/>
  <c r="Y1055"/>
  <c r="Z1054"/>
  <c r="Y1054"/>
  <c r="Z1053"/>
  <c r="Y1053"/>
  <c r="Z1052"/>
  <c r="Y1052"/>
  <c r="Y1051"/>
  <c r="Z1050"/>
  <c r="Y1050"/>
  <c r="Z1049"/>
  <c r="Y1049"/>
  <c r="Z1048"/>
  <c r="Y1048"/>
  <c r="Z1047"/>
  <c r="Y1047"/>
  <c r="Z1046"/>
  <c r="Y1046"/>
  <c r="Y1045"/>
  <c r="Z1044"/>
  <c r="Y1044"/>
  <c r="Y1043"/>
  <c r="Y1042"/>
  <c r="Y1041"/>
  <c r="Z1040"/>
  <c r="Y1040"/>
  <c r="Y1039"/>
  <c r="Z1038"/>
  <c r="Y1038"/>
  <c r="Z1037"/>
  <c r="Y1037"/>
  <c r="Z1036"/>
  <c r="Y1036"/>
  <c r="Z1035"/>
  <c r="Y1035"/>
  <c r="Z1034"/>
  <c r="Y1034"/>
  <c r="Z1033"/>
  <c r="Y1033"/>
  <c r="Z1032"/>
  <c r="Y1032"/>
  <c r="Y1031"/>
  <c r="Z1030"/>
  <c r="Y1030"/>
  <c r="Z1029"/>
  <c r="Y1029"/>
  <c r="Y1028"/>
  <c r="Z1024"/>
  <c r="Z1023"/>
  <c r="Z1022"/>
  <c r="Z1021"/>
  <c r="Y1020"/>
  <c r="Z1019"/>
  <c r="Y1019"/>
  <c r="Z1018"/>
  <c r="Y1018"/>
  <c r="Z1017"/>
  <c r="Z1016"/>
  <c r="Z1015"/>
  <c r="Z1014"/>
  <c r="Z1012"/>
  <c r="Z1011"/>
  <c r="Y1010"/>
  <c r="Z1009"/>
  <c r="Z1008"/>
  <c r="Z1007"/>
  <c r="Z1006"/>
  <c r="Y1005"/>
  <c r="Z1004"/>
  <c r="Z1003"/>
  <c r="Z1002"/>
  <c r="Z1001"/>
  <c r="Z1000"/>
  <c r="Z999"/>
  <c r="Z998"/>
  <c r="Z997"/>
  <c r="Z996"/>
  <c r="Z995"/>
  <c r="Z994"/>
  <c r="Z993"/>
  <c r="Y991"/>
  <c r="Y990"/>
  <c r="Z970"/>
  <c r="Y970"/>
  <c r="Y969"/>
  <c r="Z968"/>
  <c r="Y968"/>
  <c r="Z967"/>
  <c r="Y967"/>
  <c r="Z966"/>
  <c r="Y966"/>
  <c r="Z965"/>
  <c r="Y965"/>
  <c r="Z964"/>
  <c r="Y964"/>
  <c r="Z963"/>
  <c r="Y963"/>
  <c r="Z961"/>
  <c r="Y961"/>
  <c r="Z960"/>
  <c r="Y960"/>
  <c r="Z959"/>
  <c r="Y959"/>
  <c r="Z958"/>
  <c r="Y958"/>
  <c r="Z957"/>
  <c r="Y957"/>
  <c r="Z956"/>
  <c r="Y956"/>
  <c r="Z955"/>
  <c r="Y955"/>
  <c r="Z954"/>
  <c r="Y954"/>
  <c r="Z953"/>
  <c r="Y953"/>
  <c r="Z952"/>
  <c r="Y952"/>
  <c r="Z951"/>
  <c r="Y951"/>
  <c r="Y950"/>
  <c r="Z946"/>
  <c r="Y946"/>
  <c r="Z945"/>
  <c r="Y945"/>
  <c r="Z944"/>
  <c r="Y944"/>
  <c r="Y943"/>
  <c r="Z942"/>
  <c r="Y941"/>
  <c r="Y940"/>
  <c r="Z939"/>
  <c r="Y939"/>
  <c r="Z938"/>
  <c r="Y938"/>
  <c r="Y937"/>
  <c r="Z935"/>
  <c r="Y935"/>
  <c r="Z934"/>
  <c r="Y934"/>
  <c r="Z933"/>
  <c r="Y933"/>
  <c r="Z932"/>
  <c r="Y932"/>
  <c r="Y931"/>
  <c r="Z930"/>
  <c r="Y930"/>
  <c r="Z929"/>
  <c r="Y929"/>
  <c r="AA929" s="1"/>
  <c r="Y928"/>
  <c r="Z925"/>
  <c r="Y925"/>
  <c r="Z924"/>
  <c r="Y924"/>
  <c r="Z923"/>
  <c r="Z922"/>
  <c r="Y922"/>
  <c r="Y921"/>
  <c r="Y920"/>
  <c r="Y919"/>
  <c r="Y918"/>
  <c r="Y917"/>
  <c r="Y916"/>
  <c r="Y915"/>
  <c r="Y914"/>
  <c r="Y913"/>
  <c r="Y912"/>
  <c r="Y911"/>
  <c r="Y910"/>
  <c r="Y909"/>
  <c r="Y908"/>
  <c r="Y904"/>
  <c r="Y903"/>
  <c r="Y902"/>
  <c r="Y901"/>
  <c r="Z900"/>
  <c r="Y900"/>
  <c r="Z899"/>
  <c r="Y899"/>
  <c r="Z897"/>
  <c r="Y897"/>
  <c r="Z896"/>
  <c r="Y896"/>
  <c r="Y895"/>
  <c r="Z894"/>
  <c r="Y894"/>
  <c r="Z893"/>
  <c r="Y893"/>
  <c r="Z892"/>
  <c r="Y892"/>
  <c r="Z891"/>
  <c r="Y891"/>
  <c r="Z890"/>
  <c r="Y890"/>
  <c r="Z889"/>
  <c r="Y889"/>
  <c r="Z888"/>
  <c r="Y888"/>
  <c r="Z887"/>
  <c r="Y887"/>
  <c r="Z886"/>
  <c r="Y886"/>
  <c r="Y885"/>
  <c r="Z884"/>
  <c r="Y884"/>
  <c r="Z883"/>
  <c r="Y883"/>
  <c r="Z881"/>
  <c r="Y881"/>
  <c r="Z879"/>
  <c r="Y879"/>
  <c r="Z877"/>
  <c r="Y877"/>
  <c r="Z876"/>
  <c r="Y876"/>
  <c r="Z875"/>
  <c r="Y875"/>
  <c r="Z873"/>
  <c r="Y873"/>
  <c r="Z872"/>
  <c r="Y872"/>
  <c r="Z871"/>
  <c r="Y871"/>
  <c r="Z870"/>
  <c r="Y870"/>
  <c r="Z869"/>
  <c r="Y869"/>
  <c r="Z868"/>
  <c r="Y868"/>
  <c r="Z867"/>
  <c r="Y867"/>
  <c r="Z866"/>
  <c r="Y866"/>
  <c r="Z865"/>
  <c r="Y865"/>
  <c r="Z864"/>
  <c r="Y864"/>
  <c r="Z863"/>
  <c r="Y863"/>
  <c r="Z862"/>
  <c r="Y862"/>
  <c r="Z861"/>
  <c r="Y861"/>
  <c r="Z860"/>
  <c r="Y860"/>
  <c r="Z853"/>
  <c r="Y853"/>
  <c r="Z852"/>
  <c r="Y852"/>
  <c r="Z851"/>
  <c r="Y851"/>
  <c r="Z850"/>
  <c r="Y850"/>
  <c r="Z849"/>
  <c r="Y849"/>
  <c r="Z848"/>
  <c r="Y848"/>
  <c r="Y847"/>
  <c r="Z846"/>
  <c r="Y846"/>
  <c r="Z845"/>
  <c r="Y845"/>
  <c r="Z844"/>
  <c r="Y844"/>
  <c r="Z843"/>
  <c r="Y843"/>
  <c r="Y842"/>
  <c r="Z841"/>
  <c r="Y841"/>
  <c r="Z840"/>
  <c r="Y840"/>
  <c r="Z839"/>
  <c r="Y839"/>
  <c r="Z838"/>
  <c r="Y838"/>
  <c r="Z837"/>
  <c r="Y837"/>
  <c r="Z836"/>
  <c r="Y836"/>
  <c r="Y835"/>
  <c r="Z831"/>
  <c r="Y831"/>
  <c r="Z830"/>
  <c r="Y830"/>
  <c r="Z828"/>
  <c r="Y828"/>
  <c r="Z827"/>
  <c r="Y827"/>
  <c r="Z826"/>
  <c r="Y826"/>
  <c r="Z825"/>
  <c r="Y825"/>
  <c r="Z824"/>
  <c r="Y824"/>
  <c r="Z823"/>
  <c r="Y823"/>
  <c r="Z822"/>
  <c r="Y822"/>
  <c r="Y821"/>
  <c r="Z820"/>
  <c r="Y820"/>
  <c r="Z819"/>
  <c r="Y819"/>
  <c r="Z818"/>
  <c r="Y818"/>
  <c r="Z817"/>
  <c r="Y817"/>
  <c r="Y816"/>
  <c r="Z815"/>
  <c r="Y815"/>
  <c r="Y814"/>
  <c r="Z813"/>
  <c r="Y813"/>
  <c r="Y812"/>
  <c r="Z811"/>
  <c r="Y811"/>
  <c r="Z810"/>
  <c r="Y810"/>
  <c r="Z809"/>
  <c r="Y809"/>
  <c r="Z807"/>
  <c r="Y807"/>
  <c r="Z806"/>
  <c r="Y806"/>
  <c r="Z805"/>
  <c r="Y805"/>
  <c r="Z803"/>
  <c r="Y803"/>
  <c r="Z802"/>
  <c r="Y802"/>
  <c r="Z801"/>
  <c r="Y801"/>
  <c r="Z800"/>
  <c r="Y800"/>
  <c r="Z799"/>
  <c r="Y799"/>
  <c r="Z798"/>
  <c r="Y798"/>
  <c r="Z797"/>
  <c r="Y797"/>
  <c r="Z796"/>
  <c r="Y796"/>
  <c r="Z795"/>
  <c r="Y795"/>
  <c r="Z794"/>
  <c r="Y794"/>
  <c r="Z793"/>
  <c r="Y793"/>
  <c r="Z792"/>
  <c r="Y792"/>
  <c r="Z791"/>
  <c r="Y791"/>
  <c r="Z790"/>
  <c r="Y790"/>
  <c r="Y754"/>
  <c r="Y753"/>
  <c r="Y751"/>
  <c r="Y750"/>
  <c r="Y748"/>
  <c r="Y747"/>
  <c r="Z746"/>
  <c r="Y746"/>
  <c r="Z745"/>
  <c r="Y745"/>
  <c r="Z744"/>
  <c r="Y744"/>
  <c r="Z743"/>
  <c r="Y743"/>
  <c r="Z742"/>
  <c r="Y742"/>
  <c r="Y741"/>
  <c r="Z740"/>
  <c r="Y740"/>
  <c r="Y739"/>
  <c r="Y738"/>
  <c r="Y737"/>
  <c r="Y736"/>
  <c r="Y690"/>
  <c r="Z673"/>
  <c r="Y673"/>
  <c r="Z672"/>
  <c r="Y672"/>
  <c r="Z671"/>
  <c r="Y671"/>
  <c r="Z670"/>
  <c r="Y670"/>
  <c r="Z669"/>
  <c r="Y669"/>
  <c r="Z668"/>
  <c r="Y668"/>
  <c r="Z667"/>
  <c r="Y667"/>
  <c r="Z666"/>
  <c r="Y666"/>
  <c r="Z665"/>
  <c r="Y665"/>
  <c r="Z664"/>
  <c r="Y664"/>
  <c r="Y663"/>
  <c r="Z662"/>
  <c r="Y662"/>
  <c r="Z661"/>
  <c r="Y661"/>
  <c r="Z660"/>
  <c r="Y660"/>
  <c r="Z659"/>
  <c r="Y659"/>
  <c r="Z658"/>
  <c r="Y658"/>
  <c r="Z657"/>
  <c r="Y657"/>
  <c r="Z656"/>
  <c r="Y656"/>
  <c r="Z655"/>
  <c r="Y655"/>
  <c r="Z654"/>
  <c r="Y654"/>
  <c r="Z653"/>
  <c r="Y653"/>
  <c r="Z652"/>
  <c r="Y652"/>
  <c r="Z651"/>
  <c r="Y651"/>
  <c r="Y650"/>
  <c r="Z649"/>
  <c r="Y649"/>
  <c r="Z648"/>
  <c r="Y648"/>
  <c r="Z647"/>
  <c r="Y647"/>
  <c r="Z646"/>
  <c r="Y646"/>
  <c r="Y645"/>
  <c r="Z644"/>
  <c r="Y644"/>
  <c r="Z643"/>
  <c r="Y643"/>
  <c r="Z642"/>
  <c r="Y642"/>
  <c r="Z641"/>
  <c r="Y641"/>
  <c r="Z640"/>
  <c r="Y640"/>
  <c r="Z639"/>
  <c r="Y639"/>
  <c r="Z638"/>
  <c r="Y638"/>
  <c r="Z637"/>
  <c r="Y637"/>
  <c r="Z636"/>
  <c r="Y636"/>
  <c r="Z635"/>
  <c r="Y635"/>
  <c r="Y634"/>
  <c r="Y599"/>
  <c r="Z614"/>
  <c r="Y614"/>
  <c r="Z613"/>
  <c r="Y613"/>
  <c r="Y612"/>
  <c r="Z611"/>
  <c r="Y611"/>
  <c r="Z610"/>
  <c r="Y610"/>
  <c r="Y609"/>
  <c r="Z608"/>
  <c r="Y608"/>
  <c r="Z607"/>
  <c r="Y607"/>
  <c r="Y606"/>
  <c r="Z605"/>
  <c r="Y605"/>
  <c r="Z603"/>
  <c r="Y603"/>
  <c r="Z602"/>
  <c r="Y602"/>
  <c r="Z601"/>
  <c r="Y601"/>
  <c r="Z600"/>
  <c r="Y600"/>
  <c r="Z599"/>
  <c r="Z598"/>
  <c r="Y598"/>
  <c r="Y597"/>
  <c r="Z596"/>
  <c r="Y596"/>
  <c r="Z595"/>
  <c r="Y595"/>
  <c r="Z594"/>
  <c r="Y594"/>
  <c r="Z593"/>
  <c r="Y593"/>
  <c r="Z592"/>
  <c r="Y592"/>
  <c r="Z591"/>
  <c r="Y591"/>
  <c r="Z590"/>
  <c r="Y590"/>
  <c r="Z589"/>
  <c r="Y589"/>
  <c r="Z588"/>
  <c r="Y588"/>
  <c r="Z587"/>
  <c r="Y586"/>
  <c r="Y585"/>
  <c r="Y584"/>
  <c r="Y583"/>
  <c r="R541"/>
  <c r="N541"/>
  <c r="Z538"/>
  <c r="Y538"/>
  <c r="Y537"/>
  <c r="Z535"/>
  <c r="Z534"/>
  <c r="Z533"/>
  <c r="Y533"/>
  <c r="Y532"/>
  <c r="Z531"/>
  <c r="Y531"/>
  <c r="Y530"/>
  <c r="Z529"/>
  <c r="Y529"/>
  <c r="Y528"/>
  <c r="Z527"/>
  <c r="Y527"/>
  <c r="Z526"/>
  <c r="Y526"/>
  <c r="Z525"/>
  <c r="Y525"/>
  <c r="Y524"/>
  <c r="Y523"/>
  <c r="Z522"/>
  <c r="Y522"/>
  <c r="Z521"/>
  <c r="Y521"/>
  <c r="Z520"/>
  <c r="Y520"/>
  <c r="Z519"/>
  <c r="Y519"/>
  <c r="Z518"/>
  <c r="Y518"/>
  <c r="Z517"/>
  <c r="Y517"/>
  <c r="Z516"/>
  <c r="Y516"/>
  <c r="Z515"/>
  <c r="Y515"/>
  <c r="Z514"/>
  <c r="Y514"/>
  <c r="Z513"/>
  <c r="Y513"/>
  <c r="Y512"/>
  <c r="Y511"/>
  <c r="R478"/>
  <c r="P478"/>
  <c r="N478"/>
  <c r="L478"/>
  <c r="L422"/>
  <c r="S418"/>
  <c r="Z1117" l="1"/>
  <c r="Z1219"/>
  <c r="Z736"/>
  <c r="Z1512"/>
  <c r="Z962"/>
  <c r="Z1484"/>
  <c r="Z1538"/>
  <c r="Z1130"/>
  <c r="Z1497"/>
  <c r="Z1505"/>
  <c r="Z1545"/>
  <c r="Z1572"/>
  <c r="Z1359"/>
  <c r="Z969"/>
  <c r="Z1074"/>
  <c r="Z980"/>
  <c r="AB980" s="1"/>
  <c r="AD980" s="1"/>
  <c r="AD976"/>
  <c r="AB971"/>
  <c r="AD971" s="1"/>
  <c r="T1335"/>
  <c r="Z422" l="1"/>
  <c r="Y422"/>
  <c r="Z421"/>
  <c r="Y421"/>
  <c r="Y420"/>
  <c r="Z419"/>
  <c r="Y419"/>
  <c r="Z417"/>
  <c r="Y417"/>
  <c r="Z416"/>
  <c r="Y416"/>
  <c r="Z415"/>
  <c r="Y415"/>
  <c r="Z414"/>
  <c r="Y414"/>
  <c r="Z413"/>
  <c r="Y413"/>
  <c r="Z411"/>
  <c r="Y411"/>
  <c r="Z410"/>
  <c r="Y410"/>
  <c r="Z409"/>
  <c r="Y409"/>
  <c r="Z408"/>
  <c r="Y408"/>
  <c r="Z407"/>
  <c r="Y407"/>
  <c r="Z406"/>
  <c r="Y406"/>
  <c r="Z405"/>
  <c r="Y405"/>
  <c r="Z404"/>
  <c r="Y404"/>
  <c r="Z403"/>
  <c r="Y403"/>
  <c r="Z402"/>
  <c r="Y402"/>
  <c r="Z399"/>
  <c r="Y399"/>
  <c r="Z398"/>
  <c r="Y398"/>
  <c r="Z397"/>
  <c r="Y397"/>
  <c r="Z395"/>
  <c r="Y395"/>
  <c r="Z394"/>
  <c r="Y394"/>
  <c r="Y393"/>
  <c r="Y392"/>
  <c r="Z391"/>
  <c r="Y391"/>
  <c r="Z390"/>
  <c r="Y390"/>
  <c r="Z389"/>
  <c r="Y389"/>
  <c r="Y388"/>
  <c r="Z387"/>
  <c r="Y387"/>
  <c r="Y386"/>
  <c r="Y385"/>
  <c r="Y384"/>
  <c r="Y383"/>
  <c r="Y382"/>
  <c r="Y381"/>
  <c r="Y380"/>
  <c r="Y379"/>
  <c r="Y378"/>
  <c r="Y377"/>
  <c r="Y375"/>
  <c r="T343"/>
  <c r="S268"/>
  <c r="Q268"/>
  <c r="Z370"/>
  <c r="Y370"/>
  <c r="Z369"/>
  <c r="Y369"/>
  <c r="Z368"/>
  <c r="Y368"/>
  <c r="Y367"/>
  <c r="Z364"/>
  <c r="Y364"/>
  <c r="Z363"/>
  <c r="Y363"/>
  <c r="Y362"/>
  <c r="Y361"/>
  <c r="Y360"/>
  <c r="Z359"/>
  <c r="Y359"/>
  <c r="Z358"/>
  <c r="Y358"/>
  <c r="Z357"/>
  <c r="Y357"/>
  <c r="Z356"/>
  <c r="Y356"/>
  <c r="Z355"/>
  <c r="Y355"/>
  <c r="Z354"/>
  <c r="Y354"/>
  <c r="Y353"/>
  <c r="Z352"/>
  <c r="Y352"/>
  <c r="Z351"/>
  <c r="Y351"/>
  <c r="Z350"/>
  <c r="Y350"/>
  <c r="Z349"/>
  <c r="Y349"/>
  <c r="Y348"/>
  <c r="Z347"/>
  <c r="Y347"/>
  <c r="Y346"/>
  <c r="Z345"/>
  <c r="Y345"/>
  <c r="Z344"/>
  <c r="Y344"/>
  <c r="Y343"/>
  <c r="Y317"/>
  <c r="Y316"/>
  <c r="Y315"/>
  <c r="Y314"/>
  <c r="Y313"/>
  <c r="Y312"/>
  <c r="Y311"/>
  <c r="Y310"/>
  <c r="Y309"/>
  <c r="Y308"/>
  <c r="Y307"/>
  <c r="Y306"/>
  <c r="Y305"/>
  <c r="Y304"/>
  <c r="Y303"/>
  <c r="Y302"/>
  <c r="Y301"/>
  <c r="Y300"/>
  <c r="Y298"/>
  <c r="Y297"/>
  <c r="Y296"/>
  <c r="Y295"/>
  <c r="Y294"/>
  <c r="Y292"/>
  <c r="Z291"/>
  <c r="Y291"/>
  <c r="Y290"/>
  <c r="Z289"/>
  <c r="Y289"/>
  <c r="Z288"/>
  <c r="Y288"/>
  <c r="Z287"/>
  <c r="Y287"/>
  <c r="Z286"/>
  <c r="Y286"/>
  <c r="Y285"/>
  <c r="Z284"/>
  <c r="Y284"/>
  <c r="Z283"/>
  <c r="Y283"/>
  <c r="Z282"/>
  <c r="Y282"/>
  <c r="Z281"/>
  <c r="Y281"/>
  <c r="Z278"/>
  <c r="Y278"/>
  <c r="Z277"/>
  <c r="Y277"/>
  <c r="Y276"/>
  <c r="Z272"/>
  <c r="Y272"/>
  <c r="Z270"/>
  <c r="Y270"/>
  <c r="Z269"/>
  <c r="Y269"/>
  <c r="Z267"/>
  <c r="Y267"/>
  <c r="Z266"/>
  <c r="Y266"/>
  <c r="Z265"/>
  <c r="Y265"/>
  <c r="Z263"/>
  <c r="Y263"/>
  <c r="Z262"/>
  <c r="Y262"/>
  <c r="Z261"/>
  <c r="Y261"/>
  <c r="Z260"/>
  <c r="Y260"/>
  <c r="Z259"/>
  <c r="Y259"/>
  <c r="Y258"/>
  <c r="Z241"/>
  <c r="Y241"/>
  <c r="Z240"/>
  <c r="Y240"/>
  <c r="Z239"/>
  <c r="Y239"/>
  <c r="Z238"/>
  <c r="Y238"/>
  <c r="Z237"/>
  <c r="Y237"/>
  <c r="Z236"/>
  <c r="Y236"/>
  <c r="Z235"/>
  <c r="Y235"/>
  <c r="Z233"/>
  <c r="Y233"/>
  <c r="Z232"/>
  <c r="Y232"/>
  <c r="Z231"/>
  <c r="Y231"/>
  <c r="Z230"/>
  <c r="Y230"/>
  <c r="Z229"/>
  <c r="Y229"/>
  <c r="Z228"/>
  <c r="Y228"/>
  <c r="Z227"/>
  <c r="Y227"/>
  <c r="Z226"/>
  <c r="Y226"/>
  <c r="Z225"/>
  <c r="Y225"/>
  <c r="Z224"/>
  <c r="AB224" s="1"/>
  <c r="Y224"/>
  <c r="Z223"/>
  <c r="Y223"/>
  <c r="Y222"/>
  <c r="Z213"/>
  <c r="Y213"/>
  <c r="Z211"/>
  <c r="Y211"/>
  <c r="Z209"/>
  <c r="Y209"/>
  <c r="Z208"/>
  <c r="Y207"/>
  <c r="Y206"/>
  <c r="Y202"/>
  <c r="Y200"/>
  <c r="Y199"/>
  <c r="Y198"/>
  <c r="Y197"/>
  <c r="Y195"/>
  <c r="Z194"/>
  <c r="Y194"/>
  <c r="Y193"/>
  <c r="Y191"/>
  <c r="Y189"/>
  <c r="Y188"/>
  <c r="Y187"/>
  <c r="Y186"/>
  <c r="Z184"/>
  <c r="Y184"/>
  <c r="Z183"/>
  <c r="Y183"/>
  <c r="Y182"/>
  <c r="Y181"/>
  <c r="Y180"/>
  <c r="Y179"/>
  <c r="Z178"/>
  <c r="Y178"/>
  <c r="Y176"/>
  <c r="Y175"/>
  <c r="Y174"/>
  <c r="Y173"/>
  <c r="Y172"/>
  <c r="Y170"/>
  <c r="Y169"/>
  <c r="Y168"/>
  <c r="Y167"/>
  <c r="Y166"/>
  <c r="Y165"/>
  <c r="Y164"/>
  <c r="Y162"/>
  <c r="Y161"/>
  <c r="Y160"/>
  <c r="Y159"/>
  <c r="Y158"/>
  <c r="Y157"/>
  <c r="Y156"/>
  <c r="Y154"/>
  <c r="Y153"/>
  <c r="Y152"/>
  <c r="Y150"/>
  <c r="Z149"/>
  <c r="Y149"/>
  <c r="Y148"/>
  <c r="Y147"/>
  <c r="Y146"/>
  <c r="Y144"/>
  <c r="Y143"/>
  <c r="Y142"/>
  <c r="Y141"/>
  <c r="Y140"/>
  <c r="Y138"/>
  <c r="Y137"/>
  <c r="Y136"/>
  <c r="Z135"/>
  <c r="Y135"/>
  <c r="Y133"/>
  <c r="Z132"/>
  <c r="Y132"/>
  <c r="Z130"/>
  <c r="Y130"/>
  <c r="Y128"/>
  <c r="Y127"/>
  <c r="Y126"/>
  <c r="Y125"/>
  <c r="Y124"/>
  <c r="Y123"/>
  <c r="Y122"/>
  <c r="Y121"/>
  <c r="Z120"/>
  <c r="Y120"/>
  <c r="Z119"/>
  <c r="Y119"/>
  <c r="Z118"/>
  <c r="Y118"/>
  <c r="Z117"/>
  <c r="Y117"/>
  <c r="Y116"/>
  <c r="Y115"/>
  <c r="Y114"/>
  <c r="Y113"/>
  <c r="Z104"/>
  <c r="Z103"/>
  <c r="Z102"/>
  <c r="Z101"/>
  <c r="Z100"/>
  <c r="Z99"/>
  <c r="Z83"/>
  <c r="Z82"/>
  <c r="Z80"/>
  <c r="Z79"/>
  <c r="Z78"/>
  <c r="Z77"/>
  <c r="Z76"/>
  <c r="Z75"/>
  <c r="Z74"/>
  <c r="Z73"/>
  <c r="Z71"/>
  <c r="Z70"/>
  <c r="Z69"/>
  <c r="Z68"/>
  <c r="Z65"/>
  <c r="Z63"/>
  <c r="Z61"/>
  <c r="Z60"/>
  <c r="Z59"/>
  <c r="Z58"/>
  <c r="Z57"/>
  <c r="Z56"/>
  <c r="Z55"/>
  <c r="Z54"/>
  <c r="Z53"/>
  <c r="Z52"/>
  <c r="Z51"/>
  <c r="Z50"/>
  <c r="Z49"/>
  <c r="Z48"/>
  <c r="Z47"/>
  <c r="Z46"/>
  <c r="Z44"/>
  <c r="Z43"/>
  <c r="Z42"/>
  <c r="Z41"/>
  <c r="Z36"/>
  <c r="Z35"/>
  <c r="Z31"/>
  <c r="Z29"/>
  <c r="Z28"/>
  <c r="Z27"/>
  <c r="Z25"/>
  <c r="Z20"/>
  <c r="Z14"/>
  <c r="T1207"/>
  <c r="T1195"/>
  <c r="T1185"/>
  <c r="T1164"/>
  <c r="T1159"/>
  <c r="T1147"/>
  <c r="T1146" s="1"/>
  <c r="T1153"/>
  <c r="T1081"/>
  <c r="T1080" s="1"/>
  <c r="T1074"/>
  <c r="T1041"/>
  <c r="T1028"/>
  <c r="T1020"/>
  <c r="Y1023"/>
  <c r="Y1022"/>
  <c r="Y1021"/>
  <c r="T1013"/>
  <c r="Y1016"/>
  <c r="Y1015"/>
  <c r="Y1014"/>
  <c r="T1010"/>
  <c r="Y1012"/>
  <c r="Y1011"/>
  <c r="T1005"/>
  <c r="Y1009"/>
  <c r="Y1006"/>
  <c r="T991"/>
  <c r="Y1004"/>
  <c r="Y1003"/>
  <c r="Y1002"/>
  <c r="Y1001"/>
  <c r="Y1000"/>
  <c r="Y999"/>
  <c r="Y998"/>
  <c r="Y997"/>
  <c r="Y996"/>
  <c r="Y995"/>
  <c r="Y994"/>
  <c r="Y993"/>
  <c r="Y992"/>
  <c r="Z268" l="1"/>
  <c r="Z276"/>
  <c r="Z292"/>
  <c r="Z234"/>
  <c r="Y268"/>
  <c r="T1067"/>
  <c r="T990"/>
  <c r="Z1147"/>
  <c r="Z1146" s="1"/>
  <c r="T962"/>
  <c r="T950"/>
  <c r="Z943"/>
  <c r="T898"/>
  <c r="T895"/>
  <c r="Z895" s="1"/>
  <c r="T885"/>
  <c r="T874"/>
  <c r="T859"/>
  <c r="T835"/>
  <c r="T821"/>
  <c r="T816"/>
  <c r="T808"/>
  <c r="T736"/>
  <c r="T735" l="1"/>
  <c r="Z950"/>
  <c r="T1116"/>
  <c r="T1370"/>
  <c r="T1366"/>
  <c r="T1359"/>
  <c r="T650"/>
  <c r="T645"/>
  <c r="T634"/>
  <c r="T597"/>
  <c r="T584"/>
  <c r="T532"/>
  <c r="T524"/>
  <c r="T222"/>
  <c r="T34"/>
  <c r="R34"/>
  <c r="T30"/>
  <c r="T633" l="1"/>
  <c r="T1358"/>
  <c r="T583"/>
  <c r="Z34"/>
  <c r="T13"/>
  <c r="AB1469" l="1"/>
  <c r="AD1469" s="1"/>
  <c r="AA1469"/>
  <c r="AC1469" s="1"/>
  <c r="T1475"/>
  <c r="T1436"/>
  <c r="T1421"/>
  <c r="T1538"/>
  <c r="R1512"/>
  <c r="L1497"/>
  <c r="N1497"/>
  <c r="R1497"/>
  <c r="T1497"/>
  <c r="T1512"/>
  <c r="T1508"/>
  <c r="T1505"/>
  <c r="T1484"/>
  <c r="T1483" l="1"/>
  <c r="T842"/>
  <c r="R835"/>
  <c r="T847"/>
  <c r="Q829"/>
  <c r="S829"/>
  <c r="T829"/>
  <c r="T814"/>
  <c r="T812"/>
  <c r="T1107"/>
  <c r="S1107"/>
  <c r="Y1107" s="1"/>
  <c r="T1105"/>
  <c r="T1091"/>
  <c r="T783" l="1"/>
  <c r="Y829"/>
  <c r="T834"/>
  <c r="Z835"/>
  <c r="T1090"/>
  <c r="L1061"/>
  <c r="L1060" s="1"/>
  <c r="N1061"/>
  <c r="N1060" s="1"/>
  <c r="P1060"/>
  <c r="R1061"/>
  <c r="T1061"/>
  <c r="T1060" s="1"/>
  <c r="T969"/>
  <c r="T949" s="1"/>
  <c r="S962"/>
  <c r="Y962" s="1"/>
  <c r="T676" l="1"/>
  <c r="Z1061"/>
  <c r="R1060"/>
  <c r="Z1060" s="1"/>
  <c r="T206"/>
  <c r="T205" s="1"/>
  <c r="B1854" l="1"/>
  <c r="Z1845"/>
  <c r="R1819"/>
  <c r="N1819"/>
  <c r="N1818" s="1"/>
  <c r="T1819"/>
  <c r="T1818" s="1"/>
  <c r="Z1819" l="1"/>
  <c r="T1652"/>
  <c r="R1818"/>
  <c r="Z1818" s="1"/>
  <c r="Y1819"/>
  <c r="T1570" l="1"/>
  <c r="Z1563" l="1"/>
  <c r="Z1562"/>
  <c r="T1559"/>
  <c r="T1553" l="1"/>
  <c r="T904"/>
  <c r="Z904" s="1"/>
  <c r="T902"/>
  <c r="Z902" s="1"/>
  <c r="T1552" l="1"/>
  <c r="T1482" s="1"/>
  <c r="P895"/>
  <c r="R885"/>
  <c r="Z885" s="1"/>
  <c r="P885"/>
  <c r="T880"/>
  <c r="S880"/>
  <c r="T878"/>
  <c r="S878"/>
  <c r="Y878" s="1"/>
  <c r="Y874"/>
  <c r="S859"/>
  <c r="T858" l="1"/>
  <c r="T1182"/>
  <c r="T1177" s="1"/>
  <c r="T1169" s="1"/>
  <c r="T1051"/>
  <c r="T1045"/>
  <c r="T367"/>
  <c r="AB370"/>
  <c r="AD370" s="1"/>
  <c r="AA370"/>
  <c r="AC370" s="1"/>
  <c r="T362"/>
  <c r="Z362" s="1"/>
  <c r="L362"/>
  <c r="L361"/>
  <c r="T348"/>
  <c r="T346"/>
  <c r="T290"/>
  <c r="T285"/>
  <c r="Y264"/>
  <c r="T1027" l="1"/>
  <c r="T202" l="1"/>
  <c r="T201" s="1"/>
  <c r="S201"/>
  <c r="T200"/>
  <c r="Z200" s="1"/>
  <c r="T199"/>
  <c r="Z199" s="1"/>
  <c r="T198"/>
  <c r="Z198" s="1"/>
  <c r="T197"/>
  <c r="S196"/>
  <c r="T195"/>
  <c r="Z195" s="1"/>
  <c r="T193"/>
  <c r="Z193" s="1"/>
  <c r="S192"/>
  <c r="Y192" s="1"/>
  <c r="T191"/>
  <c r="S190"/>
  <c r="T189"/>
  <c r="Z189" s="1"/>
  <c r="T188"/>
  <c r="Z188" s="1"/>
  <c r="T187"/>
  <c r="Z187" s="1"/>
  <c r="T186"/>
  <c r="Z186" s="1"/>
  <c r="S185"/>
  <c r="T182"/>
  <c r="Z182" s="1"/>
  <c r="T181"/>
  <c r="Z181" s="1"/>
  <c r="T180"/>
  <c r="Z180" s="1"/>
  <c r="T179"/>
  <c r="Z179" s="1"/>
  <c r="S177"/>
  <c r="T176"/>
  <c r="Z176" s="1"/>
  <c r="T175"/>
  <c r="Z175" s="1"/>
  <c r="T174"/>
  <c r="Z174" s="1"/>
  <c r="T173"/>
  <c r="Z173" s="1"/>
  <c r="T172"/>
  <c r="Z172" s="1"/>
  <c r="S171"/>
  <c r="Y171" s="1"/>
  <c r="T170"/>
  <c r="Z170" s="1"/>
  <c r="T169"/>
  <c r="Z169" s="1"/>
  <c r="T168"/>
  <c r="Z168" s="1"/>
  <c r="T167"/>
  <c r="Z167" s="1"/>
  <c r="T166"/>
  <c r="Z166" s="1"/>
  <c r="T165"/>
  <c r="Z165" s="1"/>
  <c r="T164"/>
  <c r="Z164" s="1"/>
  <c r="S163"/>
  <c r="T162"/>
  <c r="Z162" s="1"/>
  <c r="T161"/>
  <c r="Z161" s="1"/>
  <c r="T160"/>
  <c r="Z160" s="1"/>
  <c r="T159"/>
  <c r="Z159" s="1"/>
  <c r="T158"/>
  <c r="Z158" s="1"/>
  <c r="T157"/>
  <c r="Z157" s="1"/>
  <c r="T156"/>
  <c r="Z156" s="1"/>
  <c r="S155"/>
  <c r="T154"/>
  <c r="Z154" s="1"/>
  <c r="T153"/>
  <c r="Z153" s="1"/>
  <c r="T152"/>
  <c r="Z152" s="1"/>
  <c r="S151"/>
  <c r="T150"/>
  <c r="Z150" s="1"/>
  <c r="T148"/>
  <c r="Z148" s="1"/>
  <c r="T147"/>
  <c r="Z147" s="1"/>
  <c r="T146"/>
  <c r="Z146" s="1"/>
  <c r="S145"/>
  <c r="T144"/>
  <c r="Z144" s="1"/>
  <c r="T143"/>
  <c r="Z143" s="1"/>
  <c r="T142"/>
  <c r="Z142" s="1"/>
  <c r="T141"/>
  <c r="Z141" s="1"/>
  <c r="T140"/>
  <c r="Z140" s="1"/>
  <c r="S139"/>
  <c r="T138"/>
  <c r="Z138" s="1"/>
  <c r="T137"/>
  <c r="Z137" s="1"/>
  <c r="T136"/>
  <c r="Z136" s="1"/>
  <c r="S134"/>
  <c r="T133"/>
  <c r="S131"/>
  <c r="T129"/>
  <c r="T128"/>
  <c r="Z128" s="1"/>
  <c r="T127"/>
  <c r="Z127" s="1"/>
  <c r="T126"/>
  <c r="Z126" s="1"/>
  <c r="T125"/>
  <c r="Z125" s="1"/>
  <c r="T124"/>
  <c r="Z124" s="1"/>
  <c r="T123"/>
  <c r="Z123" s="1"/>
  <c r="T122"/>
  <c r="Z122" s="1"/>
  <c r="T121"/>
  <c r="Z121" s="1"/>
  <c r="T116"/>
  <c r="Z116" s="1"/>
  <c r="T115"/>
  <c r="Z115" s="1"/>
  <c r="T114"/>
  <c r="Z114" s="1"/>
  <c r="T113"/>
  <c r="Z113" s="1"/>
  <c r="S112"/>
  <c r="Z197" l="1"/>
  <c r="T196"/>
  <c r="Z202"/>
  <c r="T131"/>
  <c r="Z133"/>
  <c r="T190"/>
  <c r="Z191"/>
  <c r="T192"/>
  <c r="T112"/>
  <c r="T145"/>
  <c r="T177"/>
  <c r="T185"/>
  <c r="T134"/>
  <c r="T139"/>
  <c r="T151"/>
  <c r="T163"/>
  <c r="T171"/>
  <c r="T155"/>
  <c r="T111" l="1"/>
  <c r="T426" l="1"/>
  <c r="T1589" l="1"/>
  <c r="T690" l="1"/>
  <c r="AB1132"/>
  <c r="AD1132" s="1"/>
  <c r="AA1132"/>
  <c r="AC1132" s="1"/>
  <c r="AD104" l="1"/>
  <c r="AA104"/>
  <c r="T492"/>
  <c r="T490"/>
  <c r="T489"/>
  <c r="T488"/>
  <c r="T487"/>
  <c r="T486"/>
  <c r="T485"/>
  <c r="T484"/>
  <c r="T483"/>
  <c r="T481"/>
  <c r="T480"/>
  <c r="T506"/>
  <c r="T504"/>
  <c r="T503"/>
  <c r="Z503" s="1"/>
  <c r="T493"/>
  <c r="T541" l="1"/>
  <c r="Z541" s="1"/>
  <c r="T502"/>
  <c r="T478" l="1"/>
  <c r="Z478" s="1"/>
  <c r="S1074"/>
  <c r="S1068"/>
  <c r="T98"/>
  <c r="S98"/>
  <c r="Y98" s="1"/>
  <c r="T81"/>
  <c r="T72"/>
  <c r="T67"/>
  <c r="T37"/>
  <c r="T12" l="1"/>
  <c r="AB369"/>
  <c r="AA369"/>
  <c r="AC369" s="1"/>
  <c r="AB368"/>
  <c r="AA368"/>
  <c r="AC368" s="1"/>
  <c r="AA367"/>
  <c r="AC367" s="1"/>
  <c r="AB364"/>
  <c r="AD364" s="1"/>
  <c r="AA364"/>
  <c r="AC364" s="1"/>
  <c r="AB363"/>
  <c r="AA363"/>
  <c r="AC363" s="1"/>
  <c r="AA362"/>
  <c r="AC362" s="1"/>
  <c r="AA361"/>
  <c r="AC361" s="1"/>
  <c r="AA360"/>
  <c r="AC360" s="1"/>
  <c r="R353"/>
  <c r="N353"/>
  <c r="L353"/>
  <c r="AB359"/>
  <c r="AD359" s="1"/>
  <c r="AA359"/>
  <c r="AC359" s="1"/>
  <c r="AB358"/>
  <c r="AD358" s="1"/>
  <c r="AA358"/>
  <c r="AC358" s="1"/>
  <c r="AB357"/>
  <c r="AD357" s="1"/>
  <c r="AA357"/>
  <c r="AC357" s="1"/>
  <c r="AB356"/>
  <c r="AD356" s="1"/>
  <c r="AA356"/>
  <c r="AC356" s="1"/>
  <c r="AB355"/>
  <c r="AD355" s="1"/>
  <c r="AA355"/>
  <c r="AC355" s="1"/>
  <c r="AB354"/>
  <c r="AD354" s="1"/>
  <c r="AA354"/>
  <c r="AC354" s="1"/>
  <c r="AA353"/>
  <c r="AC353" s="1"/>
  <c r="AB352"/>
  <c r="AD352" s="1"/>
  <c r="AA352"/>
  <c r="AC352" s="1"/>
  <c r="AB351"/>
  <c r="AD351" s="1"/>
  <c r="AA351"/>
  <c r="AC351" s="1"/>
  <c r="AB350"/>
  <c r="AA350"/>
  <c r="AC350" s="1"/>
  <c r="AB349"/>
  <c r="AD349" s="1"/>
  <c r="AA349"/>
  <c r="AC349" s="1"/>
  <c r="AA348"/>
  <c r="AC348" s="1"/>
  <c r="AB347"/>
  <c r="AD347" s="1"/>
  <c r="AA347"/>
  <c r="AC347" s="1"/>
  <c r="AA346"/>
  <c r="AC346" s="1"/>
  <c r="L350"/>
  <c r="L345"/>
  <c r="L343" s="1"/>
  <c r="AB345"/>
  <c r="AA345"/>
  <c r="AC345" s="1"/>
  <c r="AB344"/>
  <c r="AD344" s="1"/>
  <c r="AA344"/>
  <c r="AC344" s="1"/>
  <c r="AA343"/>
  <c r="AC343" s="1"/>
  <c r="N343"/>
  <c r="L317"/>
  <c r="L316"/>
  <c r="L315"/>
  <c r="L314"/>
  <c r="AB317"/>
  <c r="AA317"/>
  <c r="AC317" s="1"/>
  <c r="AB316"/>
  <c r="AA316"/>
  <c r="AC316" s="1"/>
  <c r="AB315"/>
  <c r="AA315"/>
  <c r="AC315" s="1"/>
  <c r="AB314"/>
  <c r="AA314"/>
  <c r="AC314" s="1"/>
  <c r="AB313"/>
  <c r="AD313" s="1"/>
  <c r="AA313"/>
  <c r="AC313" s="1"/>
  <c r="AB312"/>
  <c r="AD312" s="1"/>
  <c r="AA312"/>
  <c r="AC312" s="1"/>
  <c r="AB311"/>
  <c r="AD311" s="1"/>
  <c r="AA311"/>
  <c r="AC311" s="1"/>
  <c r="AB310"/>
  <c r="AD310" s="1"/>
  <c r="AA310"/>
  <c r="AC310" s="1"/>
  <c r="AB309"/>
  <c r="AD309" s="1"/>
  <c r="AA309"/>
  <c r="AC309" s="1"/>
  <c r="AB308"/>
  <c r="AD308" s="1"/>
  <c r="AA308"/>
  <c r="AC308" s="1"/>
  <c r="AB307"/>
  <c r="AD307" s="1"/>
  <c r="AA307"/>
  <c r="AC307" s="1"/>
  <c r="AB306"/>
  <c r="AD306" s="1"/>
  <c r="AA306"/>
  <c r="AC306" s="1"/>
  <c r="AB305"/>
  <c r="AD305" s="1"/>
  <c r="AA305"/>
  <c r="AC305" s="1"/>
  <c r="AB304"/>
  <c r="AD304" s="1"/>
  <c r="AA304"/>
  <c r="AC304" s="1"/>
  <c r="AB303"/>
  <c r="AD303" s="1"/>
  <c r="AA303"/>
  <c r="AC303" s="1"/>
  <c r="AB302"/>
  <c r="AD302" s="1"/>
  <c r="AA302"/>
  <c r="AC302" s="1"/>
  <c r="AB301"/>
  <c r="AD301" s="1"/>
  <c r="AA301"/>
  <c r="AC301" s="1"/>
  <c r="AB300"/>
  <c r="AD300" s="1"/>
  <c r="AA300"/>
  <c r="AC300" s="1"/>
  <c r="AB299"/>
  <c r="AD299" s="1"/>
  <c r="AA299"/>
  <c r="AC299" s="1"/>
  <c r="AB298"/>
  <c r="AD298" s="1"/>
  <c r="AA298"/>
  <c r="AC298" s="1"/>
  <c r="AB297"/>
  <c r="AA297"/>
  <c r="AC297" s="1"/>
  <c r="AB296"/>
  <c r="AA296"/>
  <c r="AC296" s="1"/>
  <c r="AB295"/>
  <c r="AA295"/>
  <c r="AC295" s="1"/>
  <c r="AB294"/>
  <c r="AA294"/>
  <c r="AC294" s="1"/>
  <c r="AA292"/>
  <c r="AC292" s="1"/>
  <c r="L296"/>
  <c r="L295"/>
  <c r="AB291"/>
  <c r="AA291"/>
  <c r="AC291" s="1"/>
  <c r="AA290"/>
  <c r="AC290" s="1"/>
  <c r="L291"/>
  <c r="AB289"/>
  <c r="AD289" s="1"/>
  <c r="AA289"/>
  <c r="AC289" s="1"/>
  <c r="AB288"/>
  <c r="AD288" s="1"/>
  <c r="AA288"/>
  <c r="AC288" s="1"/>
  <c r="AB287"/>
  <c r="AD287" s="1"/>
  <c r="AA287"/>
  <c r="AC287" s="1"/>
  <c r="AB286"/>
  <c r="AD286" s="1"/>
  <c r="AA286"/>
  <c r="AC286" s="1"/>
  <c r="AB284"/>
  <c r="AA284"/>
  <c r="AC284" s="1"/>
  <c r="AB283"/>
  <c r="AA283"/>
  <c r="AC283" s="1"/>
  <c r="AB282"/>
  <c r="AA282"/>
  <c r="AC282" s="1"/>
  <c r="AB281"/>
  <c r="AD281" s="1"/>
  <c r="AA281"/>
  <c r="AC281" s="1"/>
  <c r="L284"/>
  <c r="L283"/>
  <c r="L282"/>
  <c r="AB278"/>
  <c r="AD278" s="1"/>
  <c r="AA278"/>
  <c r="AC278" s="1"/>
  <c r="AB277"/>
  <c r="AA277"/>
  <c r="AC277" s="1"/>
  <c r="AA276"/>
  <c r="AC276" s="1"/>
  <c r="L277"/>
  <c r="L276" s="1"/>
  <c r="AB272"/>
  <c r="AD272" s="1"/>
  <c r="AA272"/>
  <c r="AC272" s="1"/>
  <c r="AB270"/>
  <c r="AA270"/>
  <c r="AC270" s="1"/>
  <c r="AB269"/>
  <c r="AA269"/>
  <c r="AC269" s="1"/>
  <c r="AA268"/>
  <c r="AC268" s="1"/>
  <c r="O269"/>
  <c r="AB267"/>
  <c r="AD267" s="1"/>
  <c r="AA267"/>
  <c r="AC267" s="1"/>
  <c r="AB266"/>
  <c r="AA266"/>
  <c r="AB265"/>
  <c r="AD265" s="1"/>
  <c r="AA265"/>
  <c r="AC265" s="1"/>
  <c r="AA264"/>
  <c r="AC264" s="1"/>
  <c r="R264"/>
  <c r="Z264" s="1"/>
  <c r="N264"/>
  <c r="L292" l="1"/>
  <c r="AD294"/>
  <c r="AB292"/>
  <c r="AB276"/>
  <c r="AD270"/>
  <c r="AB268"/>
  <c r="AD268" s="1"/>
  <c r="L264"/>
  <c r="AD368"/>
  <c r="AD369"/>
  <c r="AD363"/>
  <c r="AD350"/>
  <c r="AD297"/>
  <c r="AD345"/>
  <c r="AD296"/>
  <c r="AD295"/>
  <c r="AD317"/>
  <c r="AD316"/>
  <c r="AD315"/>
  <c r="AD314"/>
  <c r="AD291"/>
  <c r="AD283"/>
  <c r="AD284"/>
  <c r="AD282"/>
  <c r="AD277"/>
  <c r="AD266"/>
  <c r="AB264"/>
  <c r="AC266"/>
  <c r="AD264" l="1"/>
  <c r="AB263"/>
  <c r="AD263" s="1"/>
  <c r="AA263"/>
  <c r="AC263" s="1"/>
  <c r="AB262"/>
  <c r="AD262" s="1"/>
  <c r="AA262"/>
  <c r="AC262" s="1"/>
  <c r="AB261"/>
  <c r="AD261" s="1"/>
  <c r="AA261"/>
  <c r="AC261" s="1"/>
  <c r="AA260"/>
  <c r="AC260" s="1"/>
  <c r="L259"/>
  <c r="AB259"/>
  <c r="AA259"/>
  <c r="AC259" s="1"/>
  <c r="AA258"/>
  <c r="AC258" s="1"/>
  <c r="AB241"/>
  <c r="AA241"/>
  <c r="AC241" s="1"/>
  <c r="AB240"/>
  <c r="AD240" s="1"/>
  <c r="AA240"/>
  <c r="AC240" s="1"/>
  <c r="AB239"/>
  <c r="AD239" s="1"/>
  <c r="AA239"/>
  <c r="AC239" s="1"/>
  <c r="AB238"/>
  <c r="AD238" s="1"/>
  <c r="AA238"/>
  <c r="AC238" s="1"/>
  <c r="AB237"/>
  <c r="AD237" s="1"/>
  <c r="AA237"/>
  <c r="AC237" s="1"/>
  <c r="AB236"/>
  <c r="AD236" s="1"/>
  <c r="AA236"/>
  <c r="AC236" s="1"/>
  <c r="AB235"/>
  <c r="AA235"/>
  <c r="AC235" s="1"/>
  <c r="AB233"/>
  <c r="AD233" s="1"/>
  <c r="AA233"/>
  <c r="AC233" s="1"/>
  <c r="AB232"/>
  <c r="AD232" s="1"/>
  <c r="AA232"/>
  <c r="AC232" s="1"/>
  <c r="AB231"/>
  <c r="AD231" s="1"/>
  <c r="AA231"/>
  <c r="AC231" s="1"/>
  <c r="AB230"/>
  <c r="AD230" s="1"/>
  <c r="AA230"/>
  <c r="AC230" s="1"/>
  <c r="AB229"/>
  <c r="AD229" s="1"/>
  <c r="AA229"/>
  <c r="AC229" s="1"/>
  <c r="AB228"/>
  <c r="AD228" s="1"/>
  <c r="AA228"/>
  <c r="AC228" s="1"/>
  <c r="AB227"/>
  <c r="AD227" s="1"/>
  <c r="AA227"/>
  <c r="AC227" s="1"/>
  <c r="AB226"/>
  <c r="AD226" s="1"/>
  <c r="AA226"/>
  <c r="AC226" s="1"/>
  <c r="AB225"/>
  <c r="AD225" s="1"/>
  <c r="AA225"/>
  <c r="AC225" s="1"/>
  <c r="AD224"/>
  <c r="AA224"/>
  <c r="AC224" s="1"/>
  <c r="AB223"/>
  <c r="AD223" s="1"/>
  <c r="AA223"/>
  <c r="AC223" s="1"/>
  <c r="AD235" l="1"/>
  <c r="AB234"/>
  <c r="AD241"/>
  <c r="AD259"/>
  <c r="AA1846" l="1"/>
  <c r="AC1846" s="1"/>
  <c r="AA1856"/>
  <c r="AC1856" s="1"/>
  <c r="AB1856"/>
  <c r="AD1856" s="1"/>
  <c r="AA1855"/>
  <c r="AC1855" s="1"/>
  <c r="AB1855"/>
  <c r="AD1855" s="1"/>
  <c r="AA1854"/>
  <c r="AC1854" s="1"/>
  <c r="AB1854"/>
  <c r="AD1854" s="1"/>
  <c r="AA1853"/>
  <c r="AC1853" s="1"/>
  <c r="AB1853"/>
  <c r="AD1853" s="1"/>
  <c r="AA1852"/>
  <c r="AC1852" s="1"/>
  <c r="AB1852"/>
  <c r="AD1852" s="1"/>
  <c r="AA1851"/>
  <c r="AC1851" s="1"/>
  <c r="AB1851"/>
  <c r="AD1851" s="1"/>
  <c r="AA1850"/>
  <c r="AC1850" s="1"/>
  <c r="AB1850"/>
  <c r="AD1850" s="1"/>
  <c r="AA1849"/>
  <c r="AC1849" s="1"/>
  <c r="AB1849"/>
  <c r="AD1849" s="1"/>
  <c r="AA1848"/>
  <c r="AC1848" s="1"/>
  <c r="AB1848"/>
  <c r="AD1848" s="1"/>
  <c r="AA1847"/>
  <c r="AC1847" s="1"/>
  <c r="AB1847"/>
  <c r="AD1847" s="1"/>
  <c r="AA1845"/>
  <c r="AC1845" s="1"/>
  <c r="AB1845"/>
  <c r="AD1845" s="1"/>
  <c r="AA1843"/>
  <c r="AC1843" s="1"/>
  <c r="AB1843"/>
  <c r="AD1843" s="1"/>
  <c r="AA1842"/>
  <c r="AC1842" s="1"/>
  <c r="AB1842"/>
  <c r="AD1842" s="1"/>
  <c r="AA1841"/>
  <c r="AC1841" s="1"/>
  <c r="AB1841"/>
  <c r="AD1841" s="1"/>
  <c r="AA1840"/>
  <c r="AC1840" s="1"/>
  <c r="AB1840"/>
  <c r="AD1840" s="1"/>
  <c r="AA1839"/>
  <c r="AC1839" s="1"/>
  <c r="AB1839"/>
  <c r="AD1839" s="1"/>
  <c r="AA1838"/>
  <c r="AC1838" s="1"/>
  <c r="AB1838"/>
  <c r="AD1838" s="1"/>
  <c r="AA1837"/>
  <c r="AC1837" s="1"/>
  <c r="AB1837"/>
  <c r="AD1837" s="1"/>
  <c r="AA1836"/>
  <c r="AC1836" s="1"/>
  <c r="AB1836"/>
  <c r="AD1836" s="1"/>
  <c r="AA1835"/>
  <c r="AC1835" s="1"/>
  <c r="AB1835"/>
  <c r="AD1835" s="1"/>
  <c r="AA1834"/>
  <c r="AC1834" s="1"/>
  <c r="AA1833"/>
  <c r="AC1833" s="1"/>
  <c r="AB1833"/>
  <c r="AD1833" s="1"/>
  <c r="AA1832"/>
  <c r="AC1832" s="1"/>
  <c r="AB1832"/>
  <c r="AD1832" s="1"/>
  <c r="AA1831"/>
  <c r="AC1831" s="1"/>
  <c r="AB1831"/>
  <c r="AD1831" s="1"/>
  <c r="AA1830"/>
  <c r="AC1830" s="1"/>
  <c r="AB1830"/>
  <c r="AD1830" s="1"/>
  <c r="AA1829"/>
  <c r="AC1829" s="1"/>
  <c r="AB1829"/>
  <c r="AD1829" s="1"/>
  <c r="AA1828"/>
  <c r="AC1828" s="1"/>
  <c r="AB1828"/>
  <c r="AD1828" s="1"/>
  <c r="AA1827"/>
  <c r="AC1827" s="1"/>
  <c r="AB1827"/>
  <c r="AD1827" s="1"/>
  <c r="AA1826"/>
  <c r="AC1826" s="1"/>
  <c r="AB1826"/>
  <c r="AD1826" s="1"/>
  <c r="AA1825"/>
  <c r="AC1825" s="1"/>
  <c r="AB1825"/>
  <c r="AD1825" s="1"/>
  <c r="AA1824"/>
  <c r="AC1824" s="1"/>
  <c r="AB1824"/>
  <c r="AD1824" s="1"/>
  <c r="AA1823"/>
  <c r="AC1823" s="1"/>
  <c r="AB1823"/>
  <c r="AD1823" s="1"/>
  <c r="AA1822"/>
  <c r="AC1822" s="1"/>
  <c r="AB1822"/>
  <c r="AD1822" s="1"/>
  <c r="AA1821"/>
  <c r="AC1821" s="1"/>
  <c r="AB1821"/>
  <c r="AD1821" s="1"/>
  <c r="AA1820"/>
  <c r="AC1820" s="1"/>
  <c r="AB1820"/>
  <c r="AD1820" s="1"/>
  <c r="AA1819"/>
  <c r="AC1819" s="1"/>
  <c r="AB1846"/>
  <c r="Q1844"/>
  <c r="Y1844" s="1"/>
  <c r="AB1834"/>
  <c r="AD1834" s="1"/>
  <c r="AB1819"/>
  <c r="L1819"/>
  <c r="L1818" s="1"/>
  <c r="AA1648"/>
  <c r="AC1648" s="1"/>
  <c r="AB1647"/>
  <c r="AD1647" s="1"/>
  <c r="AA1647"/>
  <c r="AC1647" s="1"/>
  <c r="AB1646"/>
  <c r="AD1646" s="1"/>
  <c r="AA1646"/>
  <c r="AC1646" s="1"/>
  <c r="AB1645"/>
  <c r="AA1645"/>
  <c r="AC1645" s="1"/>
  <c r="AB1644"/>
  <c r="AD1644" s="1"/>
  <c r="AA1644"/>
  <c r="AC1644" s="1"/>
  <c r="AA1643"/>
  <c r="AA1642"/>
  <c r="AC1642" s="1"/>
  <c r="AA1641"/>
  <c r="AC1641" s="1"/>
  <c r="AD1846" l="1"/>
  <c r="AD1819"/>
  <c r="AA1844"/>
  <c r="AC1844" s="1"/>
  <c r="AC1857" s="1"/>
  <c r="AC1858" s="1"/>
  <c r="AB1844"/>
  <c r="AD1844" s="1"/>
  <c r="AC1643"/>
  <c r="AD1645"/>
  <c r="AB1818" l="1"/>
  <c r="AD1857"/>
  <c r="AD1858" s="1"/>
  <c r="R1478" l="1"/>
  <c r="P1478"/>
  <c r="N1478"/>
  <c r="L1478"/>
  <c r="R1475"/>
  <c r="Z1475" s="1"/>
  <c r="N1475"/>
  <c r="L1475"/>
  <c r="R1473"/>
  <c r="N1473"/>
  <c r="L1473"/>
  <c r="R1470"/>
  <c r="N1470"/>
  <c r="L1470"/>
  <c r="R1456"/>
  <c r="N1456"/>
  <c r="L1456"/>
  <c r="R1454"/>
  <c r="N1454"/>
  <c r="L1454"/>
  <c r="N1452"/>
  <c r="L1452"/>
  <c r="N1449"/>
  <c r="L1449"/>
  <c r="R1440"/>
  <c r="N1440"/>
  <c r="L1440"/>
  <c r="R1436"/>
  <c r="Z1436" s="1"/>
  <c r="N1436"/>
  <c r="L1436"/>
  <c r="R1421"/>
  <c r="N1421"/>
  <c r="L1421"/>
  <c r="AA1479"/>
  <c r="AC1479" s="1"/>
  <c r="AA1478"/>
  <c r="AC1478" s="1"/>
  <c r="AA1477"/>
  <c r="AC1477" s="1"/>
  <c r="AA1476"/>
  <c r="AC1476" s="1"/>
  <c r="AA1475"/>
  <c r="AC1475" s="1"/>
  <c r="AB1451"/>
  <c r="AD1451" s="1"/>
  <c r="AA1451"/>
  <c r="AC1451" s="1"/>
  <c r="AA1474"/>
  <c r="AC1474" s="1"/>
  <c r="AA1473"/>
  <c r="AC1473" s="1"/>
  <c r="AA1472"/>
  <c r="AC1472" s="1"/>
  <c r="AA1471"/>
  <c r="AC1471" s="1"/>
  <c r="AA1470"/>
  <c r="AC1470" s="1"/>
  <c r="AA1468"/>
  <c r="AC1468" s="1"/>
  <c r="AA1467"/>
  <c r="AC1467" s="1"/>
  <c r="AA1466"/>
  <c r="AC1466" s="1"/>
  <c r="AA1464"/>
  <c r="AC1464" s="1"/>
  <c r="AA1463"/>
  <c r="AC1463" s="1"/>
  <c r="AA1461"/>
  <c r="AC1461" s="1"/>
  <c r="AA1459"/>
  <c r="AC1459" s="1"/>
  <c r="AA1458"/>
  <c r="AC1458" s="1"/>
  <c r="AA1457"/>
  <c r="AC1457" s="1"/>
  <c r="AA1456"/>
  <c r="AC1456" s="1"/>
  <c r="AA1455"/>
  <c r="AC1455" s="1"/>
  <c r="AA1454"/>
  <c r="AC1454" s="1"/>
  <c r="AA1453"/>
  <c r="AC1453" s="1"/>
  <c r="AA1452"/>
  <c r="AC1452" s="1"/>
  <c r="AA1450"/>
  <c r="AC1450" s="1"/>
  <c r="AA1449"/>
  <c r="AC1449" s="1"/>
  <c r="AA1448"/>
  <c r="AC1448" s="1"/>
  <c r="AA1447"/>
  <c r="AC1447" s="1"/>
  <c r="AA1446"/>
  <c r="AC1446" s="1"/>
  <c r="AA1440"/>
  <c r="AC1440" s="1"/>
  <c r="N1420" l="1"/>
  <c r="L1420"/>
  <c r="Z1478"/>
  <c r="Z1421"/>
  <c r="R1420"/>
  <c r="AA1439"/>
  <c r="AC1439" s="1"/>
  <c r="AA1438"/>
  <c r="AC1438" s="1"/>
  <c r="AA1437"/>
  <c r="AC1437" s="1"/>
  <c r="AA1436"/>
  <c r="AC1436" s="1"/>
  <c r="AB1435"/>
  <c r="AD1435" s="1"/>
  <c r="AA1435"/>
  <c r="AC1435" s="1"/>
  <c r="AA1434"/>
  <c r="AC1434" s="1"/>
  <c r="AA1433"/>
  <c r="AC1433" s="1"/>
  <c r="AA1432"/>
  <c r="AC1432" s="1"/>
  <c r="AA1431"/>
  <c r="AC1431" s="1"/>
  <c r="AA1430"/>
  <c r="AC1430" s="1"/>
  <c r="AA1429"/>
  <c r="AC1429" s="1"/>
  <c r="AA1428"/>
  <c r="AC1428" s="1"/>
  <c r="AA1427"/>
  <c r="AC1427" s="1"/>
  <c r="AA1426"/>
  <c r="AC1426" s="1"/>
  <c r="AA1425"/>
  <c r="AC1425" s="1"/>
  <c r="AA1424"/>
  <c r="AC1424" s="1"/>
  <c r="AA1423"/>
  <c r="AC1423" s="1"/>
  <c r="AA1422"/>
  <c r="AC1422" s="1"/>
  <c r="AA1421"/>
  <c r="AC1421" s="1"/>
  <c r="AB1648"/>
  <c r="AD1648" s="1"/>
  <c r="X1643"/>
  <c r="V1643"/>
  <c r="L1643"/>
  <c r="AB1642"/>
  <c r="AD1642" s="1"/>
  <c r="AB1641"/>
  <c r="AD1641" s="1"/>
  <c r="X1640"/>
  <c r="V1640"/>
  <c r="T1640"/>
  <c r="T1639" s="1"/>
  <c r="R1640"/>
  <c r="R1639" s="1"/>
  <c r="Q1640"/>
  <c r="Y1640" s="1"/>
  <c r="O1640"/>
  <c r="M1640"/>
  <c r="K1640"/>
  <c r="AB1477"/>
  <c r="AD1477" s="1"/>
  <c r="AB1474"/>
  <c r="AD1474" s="1"/>
  <c r="X1473"/>
  <c r="V1473"/>
  <c r="T1473"/>
  <c r="AB1472"/>
  <c r="AD1472" s="1"/>
  <c r="AB1471"/>
  <c r="AD1471" s="1"/>
  <c r="X1470"/>
  <c r="V1470"/>
  <c r="T1470"/>
  <c r="AB1468"/>
  <c r="AD1468" s="1"/>
  <c r="AB1467"/>
  <c r="AD1467" s="1"/>
  <c r="AB1466"/>
  <c r="AD1466" s="1"/>
  <c r="AB1464"/>
  <c r="AD1464" s="1"/>
  <c r="AB1463"/>
  <c r="AB1461"/>
  <c r="AD1461" s="1"/>
  <c r="AB1459"/>
  <c r="AD1459" s="1"/>
  <c r="AB1458"/>
  <c r="AD1458" s="1"/>
  <c r="AB1457"/>
  <c r="AD1457" s="1"/>
  <c r="X1456"/>
  <c r="V1456"/>
  <c r="T1456"/>
  <c r="X1454"/>
  <c r="V1454"/>
  <c r="T1454"/>
  <c r="AB1453"/>
  <c r="X1452"/>
  <c r="V1452"/>
  <c r="T1452"/>
  <c r="X1449"/>
  <c r="AB1448"/>
  <c r="AD1448" s="1"/>
  <c r="AB1447"/>
  <c r="AD1447" s="1"/>
  <c r="AB1446"/>
  <c r="AD1446" s="1"/>
  <c r="X1440"/>
  <c r="T1440"/>
  <c r="Z1639" l="1"/>
  <c r="Z1440"/>
  <c r="AB1440" s="1"/>
  <c r="AD1440" s="1"/>
  <c r="Z1456"/>
  <c r="Z1470"/>
  <c r="Z1449"/>
  <c r="L1639"/>
  <c r="Z1452"/>
  <c r="Z1454"/>
  <c r="Z1473"/>
  <c r="Z1640"/>
  <c r="AA1640"/>
  <c r="AC1640" s="1"/>
  <c r="AC1649" s="1"/>
  <c r="AC1650" s="1"/>
  <c r="N1643"/>
  <c r="AB1479"/>
  <c r="AD1479" s="1"/>
  <c r="AB1476"/>
  <c r="AD1476" s="1"/>
  <c r="AB1475"/>
  <c r="AD1475" s="1"/>
  <c r="AD1463"/>
  <c r="AD1453"/>
  <c r="AB1455"/>
  <c r="AD1455" s="1"/>
  <c r="AB1450"/>
  <c r="AD1450" s="1"/>
  <c r="AB1438"/>
  <c r="AD1438" s="1"/>
  <c r="AB1422"/>
  <c r="AD1422" s="1"/>
  <c r="AB1426"/>
  <c r="AD1426" s="1"/>
  <c r="AB1430"/>
  <c r="AD1430" s="1"/>
  <c r="AB1434"/>
  <c r="AD1434" s="1"/>
  <c r="AC1480"/>
  <c r="AC1481" s="1"/>
  <c r="AB1424"/>
  <c r="AD1424" s="1"/>
  <c r="AB1428"/>
  <c r="AD1428" s="1"/>
  <c r="AB1432"/>
  <c r="AD1432" s="1"/>
  <c r="AB1439"/>
  <c r="AD1439" s="1"/>
  <c r="AB1437"/>
  <c r="AD1437" s="1"/>
  <c r="AB1427"/>
  <c r="AD1427" s="1"/>
  <c r="AB1423"/>
  <c r="AD1423" s="1"/>
  <c r="AB1431"/>
  <c r="AD1431" s="1"/>
  <c r="AB1436"/>
  <c r="AD1436" s="1"/>
  <c r="AB1425"/>
  <c r="AD1425" s="1"/>
  <c r="AB1429"/>
  <c r="AD1429" s="1"/>
  <c r="AB1433"/>
  <c r="AD1433" s="1"/>
  <c r="AB1421"/>
  <c r="N1639" l="1"/>
  <c r="AD1421"/>
  <c r="AB1643"/>
  <c r="AD1643" s="1"/>
  <c r="AB1640"/>
  <c r="AB1473"/>
  <c r="AD1473" s="1"/>
  <c r="AB1470"/>
  <c r="AD1470" s="1"/>
  <c r="AB1454"/>
  <c r="AD1454" s="1"/>
  <c r="AB1456"/>
  <c r="AD1456" s="1"/>
  <c r="AB1452"/>
  <c r="AD1452" s="1"/>
  <c r="AB1449"/>
  <c r="AD1449" s="1"/>
  <c r="AD1640" l="1"/>
  <c r="AD1649" s="1"/>
  <c r="AD1650" s="1"/>
  <c r="AB1639"/>
  <c r="L1580" l="1"/>
  <c r="L1579"/>
  <c r="AB1586"/>
  <c r="AB1585"/>
  <c r="AB1584"/>
  <c r="AB1582"/>
  <c r="AB1581"/>
  <c r="AB1580"/>
  <c r="AB1579"/>
  <c r="AB1578"/>
  <c r="AB1577"/>
  <c r="AB1576"/>
  <c r="AB1575"/>
  <c r="AB1574"/>
  <c r="AA1573"/>
  <c r="AC1573" s="1"/>
  <c r="AA1572"/>
  <c r="AC1572" s="1"/>
  <c r="AB1571"/>
  <c r="L1571" l="1"/>
  <c r="AD1571" s="1"/>
  <c r="N1553"/>
  <c r="P1557"/>
  <c r="AB1564" l="1"/>
  <c r="AA1564"/>
  <c r="AC1564" s="1"/>
  <c r="AB1563"/>
  <c r="AA1563"/>
  <c r="AC1563" s="1"/>
  <c r="AB1562"/>
  <c r="AA1562"/>
  <c r="AC1562" s="1"/>
  <c r="AB1561"/>
  <c r="AA1561"/>
  <c r="AC1561" s="1"/>
  <c r="AB1560"/>
  <c r="AA1560"/>
  <c r="AC1560" s="1"/>
  <c r="AB1559"/>
  <c r="AA1559"/>
  <c r="AC1559" s="1"/>
  <c r="AB1558"/>
  <c r="AA1558"/>
  <c r="AC1558" s="1"/>
  <c r="AB1557"/>
  <c r="AA1557"/>
  <c r="AC1557" s="1"/>
  <c r="AB1556"/>
  <c r="AA1556"/>
  <c r="AC1556" s="1"/>
  <c r="AA1555"/>
  <c r="AC1555" s="1"/>
  <c r="AB1554"/>
  <c r="AA1554"/>
  <c r="AC1554" s="1"/>
  <c r="P1589"/>
  <c r="L1586"/>
  <c r="L1585"/>
  <c r="L1584"/>
  <c r="AB1583"/>
  <c r="L1583"/>
  <c r="Q1583" s="1"/>
  <c r="Y1583" s="1"/>
  <c r="L1582"/>
  <c r="L1581"/>
  <c r="AD1580"/>
  <c r="L1578"/>
  <c r="L1577"/>
  <c r="L1576"/>
  <c r="L1575"/>
  <c r="L1574"/>
  <c r="AB1573"/>
  <c r="L1573"/>
  <c r="R1572"/>
  <c r="Q1571"/>
  <c r="Y1571" s="1"/>
  <c r="M1571"/>
  <c r="R1570"/>
  <c r="Z1570" s="1"/>
  <c r="N1570"/>
  <c r="M1569"/>
  <c r="R1566"/>
  <c r="Z1566" s="1"/>
  <c r="L1564"/>
  <c r="L1563"/>
  <c r="L1562"/>
  <c r="L1560"/>
  <c r="L1559"/>
  <c r="L1558"/>
  <c r="L1557"/>
  <c r="L1556"/>
  <c r="P1555"/>
  <c r="L1555"/>
  <c r="P1554"/>
  <c r="L1554"/>
  <c r="X1553"/>
  <c r="X1478" s="1"/>
  <c r="W1553"/>
  <c r="V1478"/>
  <c r="AA1545"/>
  <c r="AC1545" s="1"/>
  <c r="R1545"/>
  <c r="N1545"/>
  <c r="L1545"/>
  <c r="AA1538"/>
  <c r="AC1538" s="1"/>
  <c r="R1538"/>
  <c r="N1538"/>
  <c r="L1538"/>
  <c r="AB1514"/>
  <c r="AA1514"/>
  <c r="AC1514" s="1"/>
  <c r="AB1513"/>
  <c r="AA1513"/>
  <c r="AC1513" s="1"/>
  <c r="AA1512"/>
  <c r="AC1512" s="1"/>
  <c r="N1512"/>
  <c r="L1512"/>
  <c r="AA1510"/>
  <c r="AC1510" s="1"/>
  <c r="AA1508"/>
  <c r="AC1508" s="1"/>
  <c r="AA1505"/>
  <c r="AC1505" s="1"/>
  <c r="AA1506"/>
  <c r="AC1506" s="1"/>
  <c r="AB1506"/>
  <c r="AD1506" s="1"/>
  <c r="AA1507"/>
  <c r="AC1507" s="1"/>
  <c r="AB1507"/>
  <c r="AD1507" s="1"/>
  <c r="R1508"/>
  <c r="Z1508" s="1"/>
  <c r="P1508"/>
  <c r="N1508"/>
  <c r="L1508"/>
  <c r="R1505"/>
  <c r="N1505"/>
  <c r="L1505"/>
  <c r="AA1497"/>
  <c r="AC1497" s="1"/>
  <c r="AA1484"/>
  <c r="AC1484" s="1"/>
  <c r="AB1405"/>
  <c r="AA1405"/>
  <c r="AC1405" s="1"/>
  <c r="AB1404"/>
  <c r="AA1404"/>
  <c r="AC1404" s="1"/>
  <c r="AB1403"/>
  <c r="AA1403"/>
  <c r="AC1403" s="1"/>
  <c r="AB1400"/>
  <c r="AA1400"/>
  <c r="AC1400" s="1"/>
  <c r="AB1379"/>
  <c r="AD1379" s="1"/>
  <c r="AA1379"/>
  <c r="AC1379" s="1"/>
  <c r="AB1378"/>
  <c r="AD1378" s="1"/>
  <c r="AA1378"/>
  <c r="AC1378" s="1"/>
  <c r="AB1377"/>
  <c r="AD1377" s="1"/>
  <c r="AA1377"/>
  <c r="AC1377" s="1"/>
  <c r="AB1376"/>
  <c r="AD1376" s="1"/>
  <c r="AA1376"/>
  <c r="AC1376" s="1"/>
  <c r="AA1375"/>
  <c r="AC1375" s="1"/>
  <c r="AC1380" s="1"/>
  <c r="AC1381" s="1"/>
  <c r="R1375"/>
  <c r="Z1375" s="1"/>
  <c r="N1375"/>
  <c r="N1374" s="1"/>
  <c r="L1375"/>
  <c r="L1374" s="1"/>
  <c r="P1553" l="1"/>
  <c r="N1589"/>
  <c r="L1589"/>
  <c r="R1589"/>
  <c r="Z1589" s="1"/>
  <c r="R1652"/>
  <c r="P1482"/>
  <c r="Z1483"/>
  <c r="Z1482"/>
  <c r="Z1569"/>
  <c r="AB1569" s="1"/>
  <c r="AD1569" s="1"/>
  <c r="AB1375"/>
  <c r="R1374"/>
  <c r="Z1374" s="1"/>
  <c r="R1553"/>
  <c r="Z1553" s="1"/>
  <c r="T1420"/>
  <c r="AD1583"/>
  <c r="AD1573"/>
  <c r="Q1575"/>
  <c r="AD1575"/>
  <c r="Q1585"/>
  <c r="Y1585" s="1"/>
  <c r="AD1585"/>
  <c r="Q1576"/>
  <c r="AD1576"/>
  <c r="Q1574"/>
  <c r="AD1574"/>
  <c r="Q1579"/>
  <c r="Y1579" s="1"/>
  <c r="AD1579"/>
  <c r="M1584"/>
  <c r="AD1584"/>
  <c r="M1586"/>
  <c r="AD1586"/>
  <c r="Q1578"/>
  <c r="AD1578"/>
  <c r="Q1577"/>
  <c r="AD1577"/>
  <c r="Q1581"/>
  <c r="Y1581" s="1"/>
  <c r="AD1581"/>
  <c r="Q1582"/>
  <c r="Y1582" s="1"/>
  <c r="AD1582"/>
  <c r="AB1570"/>
  <c r="AA1571"/>
  <c r="AC1571" s="1"/>
  <c r="M1579"/>
  <c r="M1582"/>
  <c r="AD1554"/>
  <c r="L1570"/>
  <c r="M1570" s="1"/>
  <c r="AB1555"/>
  <c r="AD1555" s="1"/>
  <c r="AD1559"/>
  <c r="AB1566"/>
  <c r="AD1566" s="1"/>
  <c r="R1565"/>
  <c r="AD1556"/>
  <c r="AD1562"/>
  <c r="AD1560"/>
  <c r="O1566"/>
  <c r="M1566"/>
  <c r="N1565"/>
  <c r="AB1568"/>
  <c r="AD1568" s="1"/>
  <c r="Q1586"/>
  <c r="Y1586" s="1"/>
  <c r="AD1557"/>
  <c r="AD1563"/>
  <c r="AB1545"/>
  <c r="AD1545" s="1"/>
  <c r="L1553"/>
  <c r="AB1567"/>
  <c r="AD1567" s="1"/>
  <c r="M1585"/>
  <c r="AD1558"/>
  <c r="AD1561"/>
  <c r="AD1564"/>
  <c r="AC1550"/>
  <c r="O1571"/>
  <c r="Q1566"/>
  <c r="Y1566" s="1"/>
  <c r="P1570"/>
  <c r="O1583"/>
  <c r="O1569"/>
  <c r="O1577"/>
  <c r="M1583"/>
  <c r="AA1583" s="1"/>
  <c r="AC1583" s="1"/>
  <c r="Q1584"/>
  <c r="Y1584" s="1"/>
  <c r="M1580"/>
  <c r="Q1580"/>
  <c r="Y1580" s="1"/>
  <c r="L1565"/>
  <c r="L1572"/>
  <c r="N1572"/>
  <c r="AB1572" s="1"/>
  <c r="M1581"/>
  <c r="AB1512"/>
  <c r="AD1512" s="1"/>
  <c r="AB1538"/>
  <c r="AD1538" s="1"/>
  <c r="AB1508"/>
  <c r="AD1508" s="1"/>
  <c r="AB1505"/>
  <c r="AD1505" s="1"/>
  <c r="P1552" l="1"/>
  <c r="Z1652"/>
  <c r="AB1589"/>
  <c r="N1652"/>
  <c r="Z1565"/>
  <c r="Z1552" s="1"/>
  <c r="Q1570"/>
  <c r="Y1570" s="1"/>
  <c r="AA1570" s="1"/>
  <c r="AC1570" s="1"/>
  <c r="AB1478"/>
  <c r="AD1478" s="1"/>
  <c r="AD1480" s="1"/>
  <c r="AD1481" s="1"/>
  <c r="Z1420"/>
  <c r="R1552"/>
  <c r="Y1577"/>
  <c r="AA1577" s="1"/>
  <c r="AC1577" s="1"/>
  <c r="Y1576"/>
  <c r="AA1576" s="1"/>
  <c r="AC1576" s="1"/>
  <c r="Y1575"/>
  <c r="AA1575" s="1"/>
  <c r="AC1575" s="1"/>
  <c r="N1552"/>
  <c r="Y1578"/>
  <c r="AA1578" s="1"/>
  <c r="AC1578" s="1"/>
  <c r="Y1574"/>
  <c r="AA1574" s="1"/>
  <c r="AC1574" s="1"/>
  <c r="Y1569"/>
  <c r="AA1569" s="1"/>
  <c r="AC1569" s="1"/>
  <c r="L1552"/>
  <c r="AD1375"/>
  <c r="AD1380" s="1"/>
  <c r="AD1381" s="1"/>
  <c r="AB1374"/>
  <c r="AD1572"/>
  <c r="AA1580"/>
  <c r="AC1580" s="1"/>
  <c r="AA1586"/>
  <c r="AC1586" s="1"/>
  <c r="AA1584"/>
  <c r="AC1584" s="1"/>
  <c r="AA1579"/>
  <c r="AC1579" s="1"/>
  <c r="AA1585"/>
  <c r="AC1585" s="1"/>
  <c r="AA1582"/>
  <c r="AC1582" s="1"/>
  <c r="AA1581"/>
  <c r="AC1581" s="1"/>
  <c r="AD1570"/>
  <c r="AA1568"/>
  <c r="AC1568" s="1"/>
  <c r="AA1567"/>
  <c r="AC1567" s="1"/>
  <c r="O1570"/>
  <c r="AA1566"/>
  <c r="AC1566" s="1"/>
  <c r="M1565"/>
  <c r="Q1565"/>
  <c r="Y1565" s="1"/>
  <c r="O1565"/>
  <c r="AD1637" l="1"/>
  <c r="AD1638" s="1"/>
  <c r="AC1637"/>
  <c r="AC1638" s="1"/>
  <c r="AB1652"/>
  <c r="AB1565"/>
  <c r="AD1565" s="1"/>
  <c r="AB1420"/>
  <c r="Y1553"/>
  <c r="AA1553" s="1"/>
  <c r="AC1553" s="1"/>
  <c r="AA1565"/>
  <c r="AC1565" s="1"/>
  <c r="AB1553"/>
  <c r="AC1587" l="1"/>
  <c r="AC1588" s="1"/>
  <c r="AD1553"/>
  <c r="AD1587" s="1"/>
  <c r="AD1588" s="1"/>
  <c r="AB1552"/>
  <c r="AB1371"/>
  <c r="AD1371" s="1"/>
  <c r="AA1371"/>
  <c r="AC1371" s="1"/>
  <c r="AA1370"/>
  <c r="AC1370" s="1"/>
  <c r="AB1369"/>
  <c r="AD1369" s="1"/>
  <c r="AA1369"/>
  <c r="AC1369" s="1"/>
  <c r="AB1368"/>
  <c r="AD1368" s="1"/>
  <c r="AA1368"/>
  <c r="AC1368" s="1"/>
  <c r="AB1367"/>
  <c r="AD1367" s="1"/>
  <c r="AA1367"/>
  <c r="AC1367" s="1"/>
  <c r="AA1366"/>
  <c r="AC1366" s="1"/>
  <c r="AB1365"/>
  <c r="AD1365" s="1"/>
  <c r="AA1365"/>
  <c r="AC1365" s="1"/>
  <c r="AB1364"/>
  <c r="AD1364" s="1"/>
  <c r="AA1364"/>
  <c r="AC1364" s="1"/>
  <c r="AB1363"/>
  <c r="AD1363" s="1"/>
  <c r="AA1363"/>
  <c r="AC1363" s="1"/>
  <c r="AB1362"/>
  <c r="AD1362" s="1"/>
  <c r="AA1362"/>
  <c r="AC1362" s="1"/>
  <c r="AB1361"/>
  <c r="AD1361" s="1"/>
  <c r="AA1361"/>
  <c r="AC1361" s="1"/>
  <c r="AB1360"/>
  <c r="AD1360" s="1"/>
  <c r="AA1360"/>
  <c r="AC1360" s="1"/>
  <c r="AA1359"/>
  <c r="AC1359" s="1"/>
  <c r="AB1355"/>
  <c r="AD1355" s="1"/>
  <c r="AA1355"/>
  <c r="AC1355" s="1"/>
  <c r="AB1354"/>
  <c r="AD1354" s="1"/>
  <c r="AA1354"/>
  <c r="AC1354" s="1"/>
  <c r="AB1353"/>
  <c r="AD1353" s="1"/>
  <c r="AA1353"/>
  <c r="AC1353" s="1"/>
  <c r="AB1352"/>
  <c r="AD1352" s="1"/>
  <c r="AA1352"/>
  <c r="AC1352" s="1"/>
  <c r="AB1351"/>
  <c r="AD1351" s="1"/>
  <c r="AA1351"/>
  <c r="AC1351" s="1"/>
  <c r="AB1350"/>
  <c r="AD1350" s="1"/>
  <c r="AA1350"/>
  <c r="AC1350" s="1"/>
  <c r="AB1349"/>
  <c r="AD1349" s="1"/>
  <c r="AA1349"/>
  <c r="AC1349" s="1"/>
  <c r="AB1348"/>
  <c r="AD1348" s="1"/>
  <c r="AA1348"/>
  <c r="AC1348" s="1"/>
  <c r="AB1347"/>
  <c r="AD1347" s="1"/>
  <c r="AA1347"/>
  <c r="AC1347" s="1"/>
  <c r="AB1346"/>
  <c r="AD1346" s="1"/>
  <c r="AA1346"/>
  <c r="AC1346" s="1"/>
  <c r="AB1345"/>
  <c r="AD1345" s="1"/>
  <c r="AA1345"/>
  <c r="AC1345" s="1"/>
  <c r="AB1344"/>
  <c r="AD1344" s="1"/>
  <c r="AA1344"/>
  <c r="AC1344" s="1"/>
  <c r="AA1343"/>
  <c r="AC1343" s="1"/>
  <c r="AB1342"/>
  <c r="AD1342" s="1"/>
  <c r="AA1342"/>
  <c r="AC1342" s="1"/>
  <c r="AB1341"/>
  <c r="AA1341"/>
  <c r="AC1341" s="1"/>
  <c r="AB1340"/>
  <c r="AD1340" s="1"/>
  <c r="AA1340"/>
  <c r="AC1340" s="1"/>
  <c r="AB1339"/>
  <c r="AD1339" s="1"/>
  <c r="AA1339"/>
  <c r="AC1339" s="1"/>
  <c r="AB1338"/>
  <c r="AD1338" s="1"/>
  <c r="AA1338"/>
  <c r="AC1338" s="1"/>
  <c r="AB1337"/>
  <c r="AA1336"/>
  <c r="AC1336" s="1"/>
  <c r="AC1356" s="1"/>
  <c r="AC1357" s="1"/>
  <c r="P1269"/>
  <c r="AB1266"/>
  <c r="AD1266" s="1"/>
  <c r="AB1265"/>
  <c r="AD1265" s="1"/>
  <c r="AB1264"/>
  <c r="AD1264" s="1"/>
  <c r="AD1263"/>
  <c r="AB1261"/>
  <c r="AD1261" s="1"/>
  <c r="AB1260"/>
  <c r="AD1260" s="1"/>
  <c r="AB1259"/>
  <c r="AD1259" s="1"/>
  <c r="AB1258"/>
  <c r="AD1258" s="1"/>
  <c r="AB1257"/>
  <c r="AD1257" s="1"/>
  <c r="AB1256"/>
  <c r="AD1256" s="1"/>
  <c r="AB1255"/>
  <c r="AD1255" s="1"/>
  <c r="AB1253"/>
  <c r="AD1253" s="1"/>
  <c r="AB1252"/>
  <c r="AD1252" s="1"/>
  <c r="AB1251"/>
  <c r="AD1251" s="1"/>
  <c r="AB1250"/>
  <c r="AB1249"/>
  <c r="AB1247"/>
  <c r="AD1247" s="1"/>
  <c r="AB1246"/>
  <c r="AD1246" s="1"/>
  <c r="AB1245"/>
  <c r="AD1245" s="1"/>
  <c r="AB1243"/>
  <c r="AD1243" s="1"/>
  <c r="AB1242"/>
  <c r="AD1242" s="1"/>
  <c r="AB1241"/>
  <c r="AD1241" s="1"/>
  <c r="AB1240"/>
  <c r="AD1240" s="1"/>
  <c r="AB1239"/>
  <c r="AD1239" s="1"/>
  <c r="AB1238"/>
  <c r="AD1238" s="1"/>
  <c r="AB1237"/>
  <c r="AD1237" s="1"/>
  <c r="AB1236"/>
  <c r="AD1236" s="1"/>
  <c r="AB1235"/>
  <c r="AD1235" s="1"/>
  <c r="AB1234"/>
  <c r="AD1234" s="1"/>
  <c r="AB1233"/>
  <c r="AD1233" s="1"/>
  <c r="AB1232"/>
  <c r="AD1232" s="1"/>
  <c r="AB1231"/>
  <c r="AB1230"/>
  <c r="AA1230"/>
  <c r="AC1230" s="1"/>
  <c r="AB1229"/>
  <c r="AA1229"/>
  <c r="AC1229" s="1"/>
  <c r="AB1228"/>
  <c r="AA1228"/>
  <c r="AC1228" s="1"/>
  <c r="AB1227"/>
  <c r="AA1227"/>
  <c r="AC1227" s="1"/>
  <c r="AB1226"/>
  <c r="AA1226"/>
  <c r="AC1226" s="1"/>
  <c r="AB1225"/>
  <c r="AA1225"/>
  <c r="AC1225" s="1"/>
  <c r="AB1224"/>
  <c r="AA1224"/>
  <c r="AC1224" s="1"/>
  <c r="AB1223"/>
  <c r="AA1223"/>
  <c r="AC1223" s="1"/>
  <c r="AB1222"/>
  <c r="AA1222"/>
  <c r="AC1222" s="1"/>
  <c r="AB1221"/>
  <c r="AA1221"/>
  <c r="AC1221" s="1"/>
  <c r="AB1220"/>
  <c r="AA1220"/>
  <c r="AC1220" s="1"/>
  <c r="AA1219"/>
  <c r="AC1219" s="1"/>
  <c r="AB1218"/>
  <c r="AD1218" s="1"/>
  <c r="AB1217"/>
  <c r="AD1217" s="1"/>
  <c r="AB1216"/>
  <c r="AD1216" s="1"/>
  <c r="AB1215"/>
  <c r="AD1215" s="1"/>
  <c r="AB1214"/>
  <c r="AD1214" s="1"/>
  <c r="AA1214"/>
  <c r="AC1214" s="1"/>
  <c r="AA1213"/>
  <c r="AC1213" s="1"/>
  <c r="AB1212"/>
  <c r="AD1212" s="1"/>
  <c r="AB1211"/>
  <c r="AD1211" s="1"/>
  <c r="AB1210"/>
  <c r="AD1210" s="1"/>
  <c r="AB1209"/>
  <c r="AD1209" s="1"/>
  <c r="AB1208"/>
  <c r="AD1208" s="1"/>
  <c r="AB1206"/>
  <c r="AD1206" s="1"/>
  <c r="AB1205"/>
  <c r="AD1205" s="1"/>
  <c r="AB1204"/>
  <c r="AD1204" s="1"/>
  <c r="AB1203"/>
  <c r="AD1203" s="1"/>
  <c r="AB1202"/>
  <c r="AD1202" s="1"/>
  <c r="AB1201"/>
  <c r="AD1201" s="1"/>
  <c r="AB1200"/>
  <c r="AD1200" s="1"/>
  <c r="AB1199"/>
  <c r="AD1199" s="1"/>
  <c r="AB1198"/>
  <c r="AD1198" s="1"/>
  <c r="AB1197"/>
  <c r="AD1197" s="1"/>
  <c r="AB1196"/>
  <c r="AD1196" s="1"/>
  <c r="AB1190"/>
  <c r="AD1190" s="1"/>
  <c r="AA1190"/>
  <c r="AC1190" s="1"/>
  <c r="AB1189"/>
  <c r="AD1189" s="1"/>
  <c r="AA1189"/>
  <c r="AC1189" s="1"/>
  <c r="AB1188"/>
  <c r="AD1188" s="1"/>
  <c r="AA1188"/>
  <c r="AB1187"/>
  <c r="AD1187" s="1"/>
  <c r="AA1187"/>
  <c r="AC1187" s="1"/>
  <c r="AA1186"/>
  <c r="AC1186" s="1"/>
  <c r="AA1185"/>
  <c r="AC1185" s="1"/>
  <c r="K1188"/>
  <c r="R1185"/>
  <c r="Z1185" s="1"/>
  <c r="P1185"/>
  <c r="L1185"/>
  <c r="AB1184"/>
  <c r="AD1184" s="1"/>
  <c r="AA1184"/>
  <c r="AC1184" s="1"/>
  <c r="AB1183"/>
  <c r="AD1183" s="1"/>
  <c r="AA1183"/>
  <c r="AC1183" s="1"/>
  <c r="AA1182"/>
  <c r="AC1182" s="1"/>
  <c r="R1182"/>
  <c r="Z1182" s="1"/>
  <c r="P1182"/>
  <c r="N1182"/>
  <c r="L1182"/>
  <c r="AB1181"/>
  <c r="AD1181" s="1"/>
  <c r="AA1181"/>
  <c r="AC1181" s="1"/>
  <c r="AB1180"/>
  <c r="AD1180" s="1"/>
  <c r="AA1180"/>
  <c r="AC1180" s="1"/>
  <c r="AA1179"/>
  <c r="K1179"/>
  <c r="Q1177" s="1"/>
  <c r="Y1177" s="1"/>
  <c r="R1177"/>
  <c r="Z1177" s="1"/>
  <c r="L1177"/>
  <c r="AB1176"/>
  <c r="AD1176" s="1"/>
  <c r="AA1176"/>
  <c r="AC1176" s="1"/>
  <c r="AA1175"/>
  <c r="AC1175" s="1"/>
  <c r="AB1174"/>
  <c r="AD1174" s="1"/>
  <c r="AA1174"/>
  <c r="AC1174" s="1"/>
  <c r="AA1173"/>
  <c r="AC1173" s="1"/>
  <c r="AA1172"/>
  <c r="AC1172" s="1"/>
  <c r="AA1171"/>
  <c r="AC1171" s="1"/>
  <c r="AA1170"/>
  <c r="AC1170" s="1"/>
  <c r="R1170"/>
  <c r="L1170"/>
  <c r="AB1166"/>
  <c r="AD1166" s="1"/>
  <c r="AB1165"/>
  <c r="AD1165" s="1"/>
  <c r="AA1165"/>
  <c r="AC1165" s="1"/>
  <c r="AA1164"/>
  <c r="AC1164" s="1"/>
  <c r="R1164"/>
  <c r="Z1164" s="1"/>
  <c r="N1164"/>
  <c r="L1164"/>
  <c r="AB1163"/>
  <c r="AA1163"/>
  <c r="AC1163" s="1"/>
  <c r="AB1162"/>
  <c r="AD1162" s="1"/>
  <c r="AA1162"/>
  <c r="AC1162" s="1"/>
  <c r="AB1161"/>
  <c r="AD1161" s="1"/>
  <c r="AB1160"/>
  <c r="AD1160" s="1"/>
  <c r="AA1160"/>
  <c r="AC1160" s="1"/>
  <c r="AA1159"/>
  <c r="AC1159" s="1"/>
  <c r="L1163"/>
  <c r="L1159" s="1"/>
  <c r="R1159"/>
  <c r="Z1159" s="1"/>
  <c r="N1159"/>
  <c r="L1158"/>
  <c r="AB1158"/>
  <c r="AA1158"/>
  <c r="AC1158" s="1"/>
  <c r="AB1156"/>
  <c r="AD1156" s="1"/>
  <c r="AB1155"/>
  <c r="AD1155" s="1"/>
  <c r="AB1154"/>
  <c r="AA1154"/>
  <c r="AC1154" s="1"/>
  <c r="AA1153"/>
  <c r="AC1153" s="1"/>
  <c r="L1154"/>
  <c r="R1153"/>
  <c r="Z1153" s="1"/>
  <c r="N1153"/>
  <c r="AB1152"/>
  <c r="AA1152"/>
  <c r="AC1152" s="1"/>
  <c r="Q1151"/>
  <c r="R210"/>
  <c r="Z210" s="1"/>
  <c r="N210"/>
  <c r="L210"/>
  <c r="L209"/>
  <c r="AB1150"/>
  <c r="AA1150"/>
  <c r="AC1150" s="1"/>
  <c r="AA1149"/>
  <c r="AC1149" s="1"/>
  <c r="AB1148"/>
  <c r="AD1148" s="1"/>
  <c r="AA1148"/>
  <c r="AC1148" s="1"/>
  <c r="AB1147"/>
  <c r="AA1147"/>
  <c r="AC1147" s="1"/>
  <c r="AA1146"/>
  <c r="AC1146" s="1"/>
  <c r="AB1145"/>
  <c r="AA1145"/>
  <c r="AC1145" s="1"/>
  <c r="AA1144"/>
  <c r="AC1144" s="1"/>
  <c r="AB1143"/>
  <c r="AD1143" s="1"/>
  <c r="AA1143"/>
  <c r="AC1143" s="1"/>
  <c r="AB1142"/>
  <c r="AD1142" s="1"/>
  <c r="AB1141"/>
  <c r="AA1141"/>
  <c r="AC1141" s="1"/>
  <c r="AA1140"/>
  <c r="AC1140" s="1"/>
  <c r="AB1139"/>
  <c r="AA1139"/>
  <c r="AC1139" s="1"/>
  <c r="AA1138"/>
  <c r="AC1138" s="1"/>
  <c r="AB1137"/>
  <c r="AD1137" s="1"/>
  <c r="AA1137"/>
  <c r="AC1137" s="1"/>
  <c r="AB1136"/>
  <c r="AD1136" s="1"/>
  <c r="AA1136"/>
  <c r="AC1136" s="1"/>
  <c r="AB1135"/>
  <c r="AA1135"/>
  <c r="AC1135" s="1"/>
  <c r="AA1134"/>
  <c r="AC1134" s="1"/>
  <c r="AB1131"/>
  <c r="AD1131" s="1"/>
  <c r="AA1131"/>
  <c r="AC1131" s="1"/>
  <c r="AA1130"/>
  <c r="AC1130" s="1"/>
  <c r="AB1129"/>
  <c r="AD1129" s="1"/>
  <c r="AA1129"/>
  <c r="AC1129" s="1"/>
  <c r="AB1128"/>
  <c r="AD1128" s="1"/>
  <c r="AA1128"/>
  <c r="AC1128" s="1"/>
  <c r="AB1127"/>
  <c r="AD1127" s="1"/>
  <c r="AA1127"/>
  <c r="AC1127" s="1"/>
  <c r="AB1126"/>
  <c r="AD1126" s="1"/>
  <c r="AA1126"/>
  <c r="AC1126" s="1"/>
  <c r="AB1125"/>
  <c r="AD1125" s="1"/>
  <c r="AA1125"/>
  <c r="AC1125" s="1"/>
  <c r="AB1124"/>
  <c r="AD1124" s="1"/>
  <c r="AA1124"/>
  <c r="AC1124" s="1"/>
  <c r="AB1123"/>
  <c r="AD1123" s="1"/>
  <c r="AA1123"/>
  <c r="AC1123" s="1"/>
  <c r="AB1122"/>
  <c r="AD1122" s="1"/>
  <c r="AA1122"/>
  <c r="AC1122" s="1"/>
  <c r="AB1121"/>
  <c r="AD1121" s="1"/>
  <c r="AA1121"/>
  <c r="AC1121" s="1"/>
  <c r="AB1120"/>
  <c r="AD1120" s="1"/>
  <c r="AA1120"/>
  <c r="AC1120" s="1"/>
  <c r="AB1119"/>
  <c r="AD1119" s="1"/>
  <c r="AA1119"/>
  <c r="AC1119" s="1"/>
  <c r="AB1118"/>
  <c r="AA1118"/>
  <c r="AC1118" s="1"/>
  <c r="AA1117"/>
  <c r="AC1117" s="1"/>
  <c r="N1107"/>
  <c r="AA1107"/>
  <c r="AC1107" s="1"/>
  <c r="AB1106"/>
  <c r="AD1106" s="1"/>
  <c r="AA1106"/>
  <c r="AC1106" s="1"/>
  <c r="K1108"/>
  <c r="R1105"/>
  <c r="Z1105" s="1"/>
  <c r="N1105"/>
  <c r="L1105"/>
  <c r="AB1104"/>
  <c r="AD1104" s="1"/>
  <c r="AA1104"/>
  <c r="AC1104" s="1"/>
  <c r="AB1103"/>
  <c r="AD1103" s="1"/>
  <c r="AA1103"/>
  <c r="AC1103" s="1"/>
  <c r="AB1102"/>
  <c r="AD1102" s="1"/>
  <c r="AA1102"/>
  <c r="AC1102" s="1"/>
  <c r="AB1101"/>
  <c r="AD1101" s="1"/>
  <c r="AA1101"/>
  <c r="AC1101" s="1"/>
  <c r="AB1100"/>
  <c r="AD1100" s="1"/>
  <c r="AA1100"/>
  <c r="AC1100" s="1"/>
  <c r="AB1099"/>
  <c r="AD1099" s="1"/>
  <c r="AA1099"/>
  <c r="AC1099" s="1"/>
  <c r="AB1098"/>
  <c r="AD1098" s="1"/>
  <c r="AA1098"/>
  <c r="AC1098" s="1"/>
  <c r="AB1097"/>
  <c r="AD1097" s="1"/>
  <c r="AA1097"/>
  <c r="AC1097" s="1"/>
  <c r="AB1096"/>
  <c r="AD1096" s="1"/>
  <c r="AA1096"/>
  <c r="AC1096" s="1"/>
  <c r="AB1095"/>
  <c r="AD1095" s="1"/>
  <c r="AA1095"/>
  <c r="AC1095" s="1"/>
  <c r="AA1094"/>
  <c r="AC1094" s="1"/>
  <c r="AB1093"/>
  <c r="AD1093" s="1"/>
  <c r="AA1093"/>
  <c r="AC1093" s="1"/>
  <c r="AB1092"/>
  <c r="AD1092" s="1"/>
  <c r="AA1092"/>
  <c r="AC1092" s="1"/>
  <c r="AB1087"/>
  <c r="AA1087"/>
  <c r="AB1086"/>
  <c r="AD1086" s="1"/>
  <c r="AA1086"/>
  <c r="AC1086" s="1"/>
  <c r="AB1085"/>
  <c r="AD1085" s="1"/>
  <c r="AA1085"/>
  <c r="AC1085" s="1"/>
  <c r="AB1084"/>
  <c r="AD1084" s="1"/>
  <c r="AA1084"/>
  <c r="AC1084" s="1"/>
  <c r="AB1083"/>
  <c r="AD1083" s="1"/>
  <c r="AA1083"/>
  <c r="AC1083" s="1"/>
  <c r="AB1082"/>
  <c r="AD1082" s="1"/>
  <c r="AA1082"/>
  <c r="AC1082" s="1"/>
  <c r="K1087"/>
  <c r="Q1081"/>
  <c r="AD1135" l="1"/>
  <c r="AB1134"/>
  <c r="AD1145"/>
  <c r="AB1144"/>
  <c r="AD1150"/>
  <c r="AB1149"/>
  <c r="AD1147"/>
  <c r="AB1146"/>
  <c r="AD1118"/>
  <c r="AB1117"/>
  <c r="AD1139"/>
  <c r="AB1138"/>
  <c r="AD1152"/>
  <c r="AB1151"/>
  <c r="AD1141"/>
  <c r="AB1140"/>
  <c r="AD1231"/>
  <c r="AB1219"/>
  <c r="P1169"/>
  <c r="Y1081"/>
  <c r="AA1081" s="1"/>
  <c r="AC1081" s="1"/>
  <c r="AC1088" s="1"/>
  <c r="AC1089" s="1"/>
  <c r="Z1170"/>
  <c r="R1169"/>
  <c r="Z1169" s="1"/>
  <c r="Y1151"/>
  <c r="AA1151" s="1"/>
  <c r="AC1151" s="1"/>
  <c r="AC1167" s="1"/>
  <c r="L1169"/>
  <c r="AC1372"/>
  <c r="AC1373" s="1"/>
  <c r="AB1182"/>
  <c r="AD1182" s="1"/>
  <c r="AC1188"/>
  <c r="AC1179"/>
  <c r="AA1177"/>
  <c r="AC1177" s="1"/>
  <c r="AC1191" s="1"/>
  <c r="AC1192" s="1"/>
  <c r="AD1154"/>
  <c r="AD1163"/>
  <c r="AB1164"/>
  <c r="AD1164" s="1"/>
  <c r="AB1159"/>
  <c r="AD1159" s="1"/>
  <c r="AB1153"/>
  <c r="AD1158"/>
  <c r="L1153"/>
  <c r="L1116" s="1"/>
  <c r="AB1105"/>
  <c r="AD1105" s="1"/>
  <c r="AC1087"/>
  <c r="AC1168" l="1"/>
  <c r="AD1153"/>
  <c r="AB1077"/>
  <c r="AD1077" s="1"/>
  <c r="Y1077"/>
  <c r="AA1077" s="1"/>
  <c r="AC1077" s="1"/>
  <c r="AB1076"/>
  <c r="AD1076" s="1"/>
  <c r="Y1076"/>
  <c r="AB1075"/>
  <c r="AD1075" s="1"/>
  <c r="Y1075"/>
  <c r="AA1075" s="1"/>
  <c r="AC1075" s="1"/>
  <c r="Z1073"/>
  <c r="AB1073" s="1"/>
  <c r="AD1073" s="1"/>
  <c r="Y1073"/>
  <c r="AA1073" s="1"/>
  <c r="Z1072"/>
  <c r="AB1072" s="1"/>
  <c r="AD1072" s="1"/>
  <c r="Y1072"/>
  <c r="AA1072" s="1"/>
  <c r="AC1072" s="1"/>
  <c r="AB1071"/>
  <c r="AD1071" s="1"/>
  <c r="Z1070"/>
  <c r="AB1070" s="1"/>
  <c r="AD1070" s="1"/>
  <c r="Y1070"/>
  <c r="AA1070" s="1"/>
  <c r="AC1070" s="1"/>
  <c r="Z1069"/>
  <c r="Y1069"/>
  <c r="AA1069" s="1"/>
  <c r="AC1069" s="1"/>
  <c r="AB1069" l="1"/>
  <c r="AD1069" s="1"/>
  <c r="Z1068"/>
  <c r="AB1064"/>
  <c r="AD1064" s="1"/>
  <c r="AA1064"/>
  <c r="AB1063"/>
  <c r="AD1063" s="1"/>
  <c r="AA1063"/>
  <c r="AB1062"/>
  <c r="AD1062" s="1"/>
  <c r="AA1062"/>
  <c r="AA1061"/>
  <c r="AC1061" s="1"/>
  <c r="AC1065" s="1"/>
  <c r="AC1066" s="1"/>
  <c r="AB1057"/>
  <c r="AD1057" s="1"/>
  <c r="AA1057"/>
  <c r="AC1057" s="1"/>
  <c r="AA1056"/>
  <c r="AC1056" s="1"/>
  <c r="R1056"/>
  <c r="Z1056" s="1"/>
  <c r="N1056"/>
  <c r="L1056"/>
  <c r="AB1055"/>
  <c r="AA1055"/>
  <c r="AC1055" s="1"/>
  <c r="AB1054"/>
  <c r="AD1054" s="1"/>
  <c r="AA1054"/>
  <c r="AC1054" s="1"/>
  <c r="AB1053"/>
  <c r="AD1053" s="1"/>
  <c r="AA1053"/>
  <c r="AC1053" s="1"/>
  <c r="AA1052"/>
  <c r="AC1052" s="1"/>
  <c r="AA1051"/>
  <c r="AC1051" s="1"/>
  <c r="R1051"/>
  <c r="Z1051" s="1"/>
  <c r="AA1050"/>
  <c r="AC1050" s="1"/>
  <c r="AB1049"/>
  <c r="AD1049" s="1"/>
  <c r="AA1049"/>
  <c r="AC1049" s="1"/>
  <c r="AB1048"/>
  <c r="AD1048" s="1"/>
  <c r="AA1048"/>
  <c r="AC1048" s="1"/>
  <c r="AB1047"/>
  <c r="AD1047" s="1"/>
  <c r="AA1047"/>
  <c r="AC1047" s="1"/>
  <c r="AB1046"/>
  <c r="AD1046" s="1"/>
  <c r="AA1046"/>
  <c r="AC1046" s="1"/>
  <c r="AA1045"/>
  <c r="AC1045" s="1"/>
  <c r="R1045"/>
  <c r="Z1045" s="1"/>
  <c r="L1045"/>
  <c r="AB1044"/>
  <c r="AD1044" s="1"/>
  <c r="AA1044"/>
  <c r="AC1044" s="1"/>
  <c r="AA1043"/>
  <c r="AC1043" s="1"/>
  <c r="AA1042"/>
  <c r="AC1042" s="1"/>
  <c r="AA1041"/>
  <c r="AC1041" s="1"/>
  <c r="AA1040"/>
  <c r="AC1040" s="1"/>
  <c r="AA1039"/>
  <c r="AC1039" s="1"/>
  <c r="AA1038"/>
  <c r="AC1038" s="1"/>
  <c r="AA1037"/>
  <c r="AC1037" s="1"/>
  <c r="AA1036"/>
  <c r="AC1036" s="1"/>
  <c r="AA1035"/>
  <c r="AC1035" s="1"/>
  <c r="AA1034"/>
  <c r="AC1034" s="1"/>
  <c r="AB1033"/>
  <c r="AD1033" s="1"/>
  <c r="AA1033"/>
  <c r="AC1033" s="1"/>
  <c r="AB1032"/>
  <c r="AD1032" s="1"/>
  <c r="AA1032"/>
  <c r="AC1032" s="1"/>
  <c r="AB1031"/>
  <c r="AD1031" s="1"/>
  <c r="AA1031"/>
  <c r="AC1031" s="1"/>
  <c r="AB1030"/>
  <c r="AD1030" s="1"/>
  <c r="AA1030"/>
  <c r="AC1030" s="1"/>
  <c r="AB1029"/>
  <c r="AD1029" s="1"/>
  <c r="AA1029"/>
  <c r="AC1029" s="1"/>
  <c r="AA1028"/>
  <c r="AC1028" s="1"/>
  <c r="AB1024"/>
  <c r="AB1023"/>
  <c r="AD1023" s="1"/>
  <c r="AA1023"/>
  <c r="AC1023" s="1"/>
  <c r="AB1022"/>
  <c r="AD1022" s="1"/>
  <c r="AA1022"/>
  <c r="AC1022" s="1"/>
  <c r="AB1021"/>
  <c r="AD1021" s="1"/>
  <c r="AA1021"/>
  <c r="AC1021" s="1"/>
  <c r="AA1020"/>
  <c r="AC1020" s="1"/>
  <c r="L1024"/>
  <c r="AB1019"/>
  <c r="AD1019" s="1"/>
  <c r="AA1019"/>
  <c r="AC1019" s="1"/>
  <c r="AB1018"/>
  <c r="AD1018" s="1"/>
  <c r="AA1018"/>
  <c r="AC1018" s="1"/>
  <c r="AB1017"/>
  <c r="AD1017" s="1"/>
  <c r="AB1016"/>
  <c r="AD1016" s="1"/>
  <c r="AA1016"/>
  <c r="AC1016" s="1"/>
  <c r="AB1015"/>
  <c r="AD1015" s="1"/>
  <c r="AA1015"/>
  <c r="AC1015" s="1"/>
  <c r="AB1014"/>
  <c r="AD1014" s="1"/>
  <c r="AA1014"/>
  <c r="AC1014" s="1"/>
  <c r="K1017"/>
  <c r="L1013"/>
  <c r="AB1012"/>
  <c r="AA1012"/>
  <c r="AC1012" s="1"/>
  <c r="AB1011"/>
  <c r="AD1011" s="1"/>
  <c r="AA1011"/>
  <c r="AA1010"/>
  <c r="AC1010" s="1"/>
  <c r="L1012"/>
  <c r="L1010" s="1"/>
  <c r="K1011"/>
  <c r="AB1009"/>
  <c r="AD1009" s="1"/>
  <c r="AA1009"/>
  <c r="AC1009" s="1"/>
  <c r="AB1008"/>
  <c r="AD1008" s="1"/>
  <c r="AB1007"/>
  <c r="AD1007" s="1"/>
  <c r="AB1006"/>
  <c r="AD1006" s="1"/>
  <c r="AA1006"/>
  <c r="AC1006" s="1"/>
  <c r="AA1005"/>
  <c r="AC1005" s="1"/>
  <c r="N951"/>
  <c r="AB946"/>
  <c r="AD946" s="1"/>
  <c r="AA946"/>
  <c r="AC946" s="1"/>
  <c r="AB945"/>
  <c r="AD945" s="1"/>
  <c r="AA945"/>
  <c r="AC945" s="1"/>
  <c r="AB944"/>
  <c r="AA944"/>
  <c r="AC944" s="1"/>
  <c r="AA943"/>
  <c r="AC943" s="1"/>
  <c r="AB942"/>
  <c r="AD942" s="1"/>
  <c r="AA942"/>
  <c r="AC942" s="1"/>
  <c r="AA940"/>
  <c r="AC940" s="1"/>
  <c r="Z937"/>
  <c r="L939"/>
  <c r="L938"/>
  <c r="AB939"/>
  <c r="AB938"/>
  <c r="AA938"/>
  <c r="AC938" s="1"/>
  <c r="AA937"/>
  <c r="AC937" s="1"/>
  <c r="AB935"/>
  <c r="AD935" s="1"/>
  <c r="AA935"/>
  <c r="AB934"/>
  <c r="AD934" s="1"/>
  <c r="AA934"/>
  <c r="AC934" s="1"/>
  <c r="AB933"/>
  <c r="AD933" s="1"/>
  <c r="AA933"/>
  <c r="AC933" s="1"/>
  <c r="AB932"/>
  <c r="AD932" s="1"/>
  <c r="AA932"/>
  <c r="Z931"/>
  <c r="L930"/>
  <c r="L929"/>
  <c r="AB930"/>
  <c r="AA930"/>
  <c r="AB929"/>
  <c r="AA928"/>
  <c r="AC928" s="1"/>
  <c r="L920"/>
  <c r="L919"/>
  <c r="L911"/>
  <c r="L910"/>
  <c r="L918"/>
  <c r="L917"/>
  <c r="L916"/>
  <c r="L915"/>
  <c r="L914"/>
  <c r="L913"/>
  <c r="L912"/>
  <c r="L909"/>
  <c r="AB925"/>
  <c r="AD925" s="1"/>
  <c r="AA925"/>
  <c r="AC925" s="1"/>
  <c r="AB924"/>
  <c r="AD924" s="1"/>
  <c r="AA924"/>
  <c r="AC924" s="1"/>
  <c r="AB923"/>
  <c r="AD923" s="1"/>
  <c r="AB922"/>
  <c r="AD922" s="1"/>
  <c r="AA922"/>
  <c r="AC922" s="1"/>
  <c r="AA921"/>
  <c r="AC921" s="1"/>
  <c r="AB920"/>
  <c r="AB919"/>
  <c r="AA919"/>
  <c r="AC919" s="1"/>
  <c r="AB918"/>
  <c r="AA918"/>
  <c r="AC918" s="1"/>
  <c r="AB917"/>
  <c r="AA917"/>
  <c r="AC917" s="1"/>
  <c r="AB916"/>
  <c r="AA916"/>
  <c r="AC916" s="1"/>
  <c r="AB915"/>
  <c r="AA915"/>
  <c r="AC915" s="1"/>
  <c r="AB914"/>
  <c r="AA914"/>
  <c r="AC914" s="1"/>
  <c r="AB913"/>
  <c r="AA913"/>
  <c r="AC913" s="1"/>
  <c r="AB912"/>
  <c r="AA912"/>
  <c r="AC912" s="1"/>
  <c r="AB911"/>
  <c r="AA911"/>
  <c r="AC911" s="1"/>
  <c r="AB910"/>
  <c r="AA910"/>
  <c r="AC910" s="1"/>
  <c r="AB909"/>
  <c r="AA909"/>
  <c r="AA908"/>
  <c r="AC908" s="1"/>
  <c r="AB904"/>
  <c r="AD904" s="1"/>
  <c r="AA904"/>
  <c r="AC904" s="1"/>
  <c r="AB902"/>
  <c r="AD902" s="1"/>
  <c r="AA902"/>
  <c r="AC902" s="1"/>
  <c r="AB900"/>
  <c r="AD900" s="1"/>
  <c r="AA900"/>
  <c r="AC900" s="1"/>
  <c r="AB899"/>
  <c r="AD899" s="1"/>
  <c r="AA899"/>
  <c r="AC899" s="1"/>
  <c r="AB897"/>
  <c r="AD897" s="1"/>
  <c r="AA897"/>
  <c r="AC897" s="1"/>
  <c r="AB896"/>
  <c r="AD896" s="1"/>
  <c r="AA896"/>
  <c r="AC896" s="1"/>
  <c r="AB894"/>
  <c r="AD894" s="1"/>
  <c r="AA894"/>
  <c r="AC894" s="1"/>
  <c r="AB892"/>
  <c r="AD892" s="1"/>
  <c r="AA892"/>
  <c r="AC892" s="1"/>
  <c r="AB891"/>
  <c r="AD891" s="1"/>
  <c r="AA891"/>
  <c r="AC891" s="1"/>
  <c r="AB890"/>
  <c r="AD890" s="1"/>
  <c r="AA890"/>
  <c r="AC890" s="1"/>
  <c r="AB889"/>
  <c r="AD889" s="1"/>
  <c r="AA889"/>
  <c r="AC889" s="1"/>
  <c r="AB888"/>
  <c r="AD888" s="1"/>
  <c r="AA888"/>
  <c r="AC888" s="1"/>
  <c r="AB887"/>
  <c r="AD887" s="1"/>
  <c r="AA887"/>
  <c r="AC887" s="1"/>
  <c r="AA885"/>
  <c r="AC885" s="1"/>
  <c r="AB884"/>
  <c r="AD884" s="1"/>
  <c r="AA884"/>
  <c r="AC884" s="1"/>
  <c r="AB883"/>
  <c r="AD883" s="1"/>
  <c r="AA883"/>
  <c r="AC883" s="1"/>
  <c r="AB881"/>
  <c r="AD881" s="1"/>
  <c r="AA881"/>
  <c r="AC881" s="1"/>
  <c r="AB879"/>
  <c r="AD879" s="1"/>
  <c r="AA879"/>
  <c r="AC879" s="1"/>
  <c r="AB877"/>
  <c r="AD877" s="1"/>
  <c r="AA877"/>
  <c r="AC877" s="1"/>
  <c r="AB876"/>
  <c r="AD876" s="1"/>
  <c r="AA876"/>
  <c r="AC876" s="1"/>
  <c r="AB875"/>
  <c r="AD875" s="1"/>
  <c r="AA875"/>
  <c r="AC875" s="1"/>
  <c r="AA874"/>
  <c r="AC874" s="1"/>
  <c r="AB873"/>
  <c r="AD873" s="1"/>
  <c r="AA873"/>
  <c r="AC873" s="1"/>
  <c r="AB872"/>
  <c r="AD872" s="1"/>
  <c r="AA872"/>
  <c r="AC872" s="1"/>
  <c r="AB871"/>
  <c r="AD871" s="1"/>
  <c r="AA871"/>
  <c r="AC871" s="1"/>
  <c r="AB870"/>
  <c r="AD870" s="1"/>
  <c r="AA870"/>
  <c r="AC870" s="1"/>
  <c r="AB869"/>
  <c r="AD869" s="1"/>
  <c r="AA869"/>
  <c r="AC869" s="1"/>
  <c r="AB868"/>
  <c r="AD868" s="1"/>
  <c r="AA868"/>
  <c r="AC868" s="1"/>
  <c r="AB867"/>
  <c r="AD867" s="1"/>
  <c r="AA867"/>
  <c r="AC867" s="1"/>
  <c r="AB866"/>
  <c r="AD866" s="1"/>
  <c r="AA866"/>
  <c r="AC866" s="1"/>
  <c r="AB865"/>
  <c r="AD865" s="1"/>
  <c r="AA865"/>
  <c r="AC865" s="1"/>
  <c r="AB864"/>
  <c r="AD864" s="1"/>
  <c r="AA864"/>
  <c r="AC864" s="1"/>
  <c r="AB863"/>
  <c r="AD863" s="1"/>
  <c r="AA863"/>
  <c r="AC863" s="1"/>
  <c r="AB862"/>
  <c r="AD862" s="1"/>
  <c r="AA862"/>
  <c r="AC862" s="1"/>
  <c r="AB861"/>
  <c r="AD861" s="1"/>
  <c r="AA861"/>
  <c r="AC861" s="1"/>
  <c r="AB860"/>
  <c r="AD860" s="1"/>
  <c r="AA860"/>
  <c r="AC860" s="1"/>
  <c r="AB853"/>
  <c r="AA853"/>
  <c r="AC853" s="1"/>
  <c r="AB852"/>
  <c r="AA852"/>
  <c r="AC852" s="1"/>
  <c r="AB851"/>
  <c r="AA851"/>
  <c r="AC851" s="1"/>
  <c r="AB850"/>
  <c r="AA850"/>
  <c r="AC850" s="1"/>
  <c r="AB849"/>
  <c r="AA849"/>
  <c r="AC849" s="1"/>
  <c r="AB848"/>
  <c r="AD848" s="1"/>
  <c r="AA848"/>
  <c r="AC848" s="1"/>
  <c r="AA847"/>
  <c r="AC847" s="1"/>
  <c r="R847"/>
  <c r="Z847" s="1"/>
  <c r="N847"/>
  <c r="AB846"/>
  <c r="AA846"/>
  <c r="AC846" s="1"/>
  <c r="AB845"/>
  <c r="AA845"/>
  <c r="AC845" s="1"/>
  <c r="AB844"/>
  <c r="AA844"/>
  <c r="AC844" s="1"/>
  <c r="AB843"/>
  <c r="AD843" s="1"/>
  <c r="AA843"/>
  <c r="AC843" s="1"/>
  <c r="AA842"/>
  <c r="AC842" s="1"/>
  <c r="R842"/>
  <c r="N842"/>
  <c r="AB841"/>
  <c r="AA841"/>
  <c r="AC841" s="1"/>
  <c r="AB840"/>
  <c r="AA840"/>
  <c r="AC840" s="1"/>
  <c r="AB839"/>
  <c r="AA839"/>
  <c r="AC839" s="1"/>
  <c r="AB838"/>
  <c r="AA838"/>
  <c r="AC838" s="1"/>
  <c r="AB837"/>
  <c r="AA837"/>
  <c r="AC837" s="1"/>
  <c r="AB836"/>
  <c r="AD836" s="1"/>
  <c r="AA836"/>
  <c r="AC836" s="1"/>
  <c r="AA835"/>
  <c r="AC835" s="1"/>
  <c r="X492"/>
  <c r="W492" s="1"/>
  <c r="X490"/>
  <c r="W490" s="1"/>
  <c r="X489"/>
  <c r="W489" s="1"/>
  <c r="X488"/>
  <c r="W488" s="1"/>
  <c r="X487"/>
  <c r="W487" s="1"/>
  <c r="X486"/>
  <c r="W486" s="1"/>
  <c r="X485"/>
  <c r="W485" s="1"/>
  <c r="X484"/>
  <c r="W484" s="1"/>
  <c r="X483"/>
  <c r="W483" s="1"/>
  <c r="X482"/>
  <c r="X481"/>
  <c r="W481" s="1"/>
  <c r="X480"/>
  <c r="W480" s="1"/>
  <c r="X506"/>
  <c r="W506" s="1"/>
  <c r="W505" s="1"/>
  <c r="X504"/>
  <c r="W504" s="1"/>
  <c r="X503"/>
  <c r="X501"/>
  <c r="W501" s="1"/>
  <c r="X500"/>
  <c r="W500" s="1"/>
  <c r="X498"/>
  <c r="W498" s="1"/>
  <c r="Q498"/>
  <c r="Q497"/>
  <c r="X496"/>
  <c r="W496" s="1"/>
  <c r="W495" s="1"/>
  <c r="M495"/>
  <c r="X494"/>
  <c r="X493" s="1"/>
  <c r="V494"/>
  <c r="U494"/>
  <c r="Q493"/>
  <c r="L937" l="1"/>
  <c r="L908"/>
  <c r="L928"/>
  <c r="Z921"/>
  <c r="V493"/>
  <c r="Z493" s="1"/>
  <c r="AB493" s="1"/>
  <c r="AD493" s="1"/>
  <c r="Z494"/>
  <c r="AB494" s="1"/>
  <c r="AD494" s="1"/>
  <c r="Y501"/>
  <c r="AA501" s="1"/>
  <c r="AC501" s="1"/>
  <c r="Z501"/>
  <c r="AB501" s="1"/>
  <c r="AD501" s="1"/>
  <c r="Y504"/>
  <c r="AA504" s="1"/>
  <c r="AC504" s="1"/>
  <c r="Z504"/>
  <c r="AB504" s="1"/>
  <c r="AD504" s="1"/>
  <c r="Z482"/>
  <c r="AB482" s="1"/>
  <c r="AD482" s="1"/>
  <c r="Y484"/>
  <c r="AA484" s="1"/>
  <c r="AC484" s="1"/>
  <c r="Z484"/>
  <c r="AB484" s="1"/>
  <c r="AD484" s="1"/>
  <c r="Z488"/>
  <c r="AB488" s="1"/>
  <c r="AD488" s="1"/>
  <c r="Y492"/>
  <c r="AA492" s="1"/>
  <c r="AC492" s="1"/>
  <c r="Z492"/>
  <c r="AB492" s="1"/>
  <c r="AD492" s="1"/>
  <c r="AB503"/>
  <c r="AD503" s="1"/>
  <c r="V505"/>
  <c r="Z506"/>
  <c r="AB506" s="1"/>
  <c r="AD506" s="1"/>
  <c r="Y481"/>
  <c r="AA481" s="1"/>
  <c r="AC481" s="1"/>
  <c r="Z481"/>
  <c r="AB481" s="1"/>
  <c r="AD481" s="1"/>
  <c r="Y483"/>
  <c r="AA483" s="1"/>
  <c r="AC483" s="1"/>
  <c r="Z483"/>
  <c r="AB483" s="1"/>
  <c r="AD483" s="1"/>
  <c r="Y485"/>
  <c r="AA485" s="1"/>
  <c r="AC485" s="1"/>
  <c r="Z485"/>
  <c r="AB485" s="1"/>
  <c r="AD485" s="1"/>
  <c r="Y487"/>
  <c r="AA487" s="1"/>
  <c r="AC487" s="1"/>
  <c r="Z487"/>
  <c r="AB487" s="1"/>
  <c r="AD487" s="1"/>
  <c r="Y489"/>
  <c r="AA489" s="1"/>
  <c r="AC489" s="1"/>
  <c r="Z489"/>
  <c r="AB489" s="1"/>
  <c r="AD489" s="1"/>
  <c r="Z498"/>
  <c r="AB498" s="1"/>
  <c r="AD498" s="1"/>
  <c r="Z500"/>
  <c r="AB500" s="1"/>
  <c r="AD500" s="1"/>
  <c r="Z842"/>
  <c r="AB842" s="1"/>
  <c r="R834"/>
  <c r="Z834" s="1"/>
  <c r="U493"/>
  <c r="V495"/>
  <c r="Z496"/>
  <c r="AB496" s="1"/>
  <c r="AD496" s="1"/>
  <c r="Z486"/>
  <c r="AB486" s="1"/>
  <c r="AD486" s="1"/>
  <c r="Y490"/>
  <c r="AA490" s="1"/>
  <c r="AC490" s="1"/>
  <c r="Z490"/>
  <c r="AB490" s="1"/>
  <c r="AD490" s="1"/>
  <c r="Y488"/>
  <c r="AA488" s="1"/>
  <c r="AC488" s="1"/>
  <c r="Y898"/>
  <c r="AA898" s="1"/>
  <c r="AC898" s="1"/>
  <c r="Z908"/>
  <c r="Z480"/>
  <c r="AB480" s="1"/>
  <c r="AD480" s="1"/>
  <c r="AD944"/>
  <c r="AB943"/>
  <c r="AB1056"/>
  <c r="AD1056" s="1"/>
  <c r="AC1058"/>
  <c r="AC1059" s="1"/>
  <c r="AD1024"/>
  <c r="AD1012"/>
  <c r="AC1011"/>
  <c r="AD939"/>
  <c r="AD920"/>
  <c r="AD919"/>
  <c r="AB937"/>
  <c r="AD938"/>
  <c r="AD930"/>
  <c r="AD929"/>
  <c r="AC856"/>
  <c r="AC857" s="1"/>
  <c r="AB847"/>
  <c r="X502"/>
  <c r="W502" s="1"/>
  <c r="X495"/>
  <c r="X497"/>
  <c r="W497" s="1"/>
  <c r="X505"/>
  <c r="Y486"/>
  <c r="AA486" s="1"/>
  <c r="AC486" s="1"/>
  <c r="V499"/>
  <c r="V491"/>
  <c r="X499"/>
  <c r="W499" s="1"/>
  <c r="V479"/>
  <c r="W503"/>
  <c r="X479"/>
  <c r="W479" s="1"/>
  <c r="Y480"/>
  <c r="AA480" s="1"/>
  <c r="AC480" s="1"/>
  <c r="W482"/>
  <c r="X491"/>
  <c r="W491" s="1"/>
  <c r="W494"/>
  <c r="W493" s="1"/>
  <c r="U496"/>
  <c r="V497"/>
  <c r="Y498"/>
  <c r="AA498" s="1"/>
  <c r="AC498" s="1"/>
  <c r="V502"/>
  <c r="Y500"/>
  <c r="AA500" s="1"/>
  <c r="AC500" s="1"/>
  <c r="AB921" l="1"/>
  <c r="AB908"/>
  <c r="Y482"/>
  <c r="AA482" s="1"/>
  <c r="AC482" s="1"/>
  <c r="Y493"/>
  <c r="AA493" s="1"/>
  <c r="AC493" s="1"/>
  <c r="AA503"/>
  <c r="AC503" s="1"/>
  <c r="Z495"/>
  <c r="AB495" s="1"/>
  <c r="AD495" s="1"/>
  <c r="U497"/>
  <c r="Y497" s="1"/>
  <c r="AA497" s="1"/>
  <c r="AC497" s="1"/>
  <c r="Z497"/>
  <c r="AB497" s="1"/>
  <c r="AD497" s="1"/>
  <c r="AA479"/>
  <c r="AC479" s="1"/>
  <c r="Z479"/>
  <c r="AB479" s="1"/>
  <c r="U505"/>
  <c r="Y505" s="1"/>
  <c r="AA505" s="1"/>
  <c r="AC505" s="1"/>
  <c r="Y506"/>
  <c r="AA506" s="1"/>
  <c r="AC506" s="1"/>
  <c r="Y499"/>
  <c r="AA499" s="1"/>
  <c r="AC499" s="1"/>
  <c r="Z499"/>
  <c r="AB499" s="1"/>
  <c r="AD499" s="1"/>
  <c r="Y494"/>
  <c r="AA494" s="1"/>
  <c r="AC494" s="1"/>
  <c r="Z505"/>
  <c r="AB505" s="1"/>
  <c r="AD505" s="1"/>
  <c r="AA502"/>
  <c r="AC502" s="1"/>
  <c r="Z502"/>
  <c r="AB502" s="1"/>
  <c r="AD502" s="1"/>
  <c r="Y491"/>
  <c r="AA491" s="1"/>
  <c r="AC491" s="1"/>
  <c r="Z491"/>
  <c r="AB491" s="1"/>
  <c r="AD491" s="1"/>
  <c r="Y495"/>
  <c r="AA495" s="1"/>
  <c r="AC495" s="1"/>
  <c r="Y496"/>
  <c r="AA496" s="1"/>
  <c r="AC496" s="1"/>
  <c r="AC507" l="1"/>
  <c r="AC508" s="1"/>
  <c r="AD479"/>
  <c r="AD507" s="1"/>
  <c r="AD508" s="1"/>
  <c r="AB478"/>
  <c r="AB831"/>
  <c r="AA831"/>
  <c r="AC831" s="1"/>
  <c r="AB830"/>
  <c r="AD830" s="1"/>
  <c r="AA830"/>
  <c r="AC830" s="1"/>
  <c r="AA829"/>
  <c r="AC829" s="1"/>
  <c r="R829"/>
  <c r="Z829" s="1"/>
  <c r="AB828"/>
  <c r="AD828" s="1"/>
  <c r="AA828"/>
  <c r="AB827"/>
  <c r="AA827"/>
  <c r="AB826"/>
  <c r="AA826"/>
  <c r="AB825"/>
  <c r="AA825"/>
  <c r="AB824"/>
  <c r="AA824"/>
  <c r="AB823"/>
  <c r="AD823" s="1"/>
  <c r="AA823"/>
  <c r="AB822"/>
  <c r="AD822" s="1"/>
  <c r="AA822"/>
  <c r="AA821"/>
  <c r="AC821" s="1"/>
  <c r="O821"/>
  <c r="R821"/>
  <c r="Z821" s="1"/>
  <c r="N821"/>
  <c r="AB820"/>
  <c r="AB819"/>
  <c r="AA819"/>
  <c r="AC819" s="1"/>
  <c r="AB818"/>
  <c r="AD818" s="1"/>
  <c r="AA818"/>
  <c r="AC818" s="1"/>
  <c r="AB817"/>
  <c r="AD817" s="1"/>
  <c r="AA817"/>
  <c r="AC817" s="1"/>
  <c r="AA816"/>
  <c r="AC816" s="1"/>
  <c r="AB815"/>
  <c r="AD815" s="1"/>
  <c r="AA815"/>
  <c r="AA814"/>
  <c r="AC814" s="1"/>
  <c r="AB813"/>
  <c r="AA813"/>
  <c r="AC813" s="1"/>
  <c r="AA812"/>
  <c r="AC812" s="1"/>
  <c r="AB821" l="1"/>
  <c r="R812"/>
  <c r="Z812" s="1"/>
  <c r="AB807"/>
  <c r="AA807"/>
  <c r="AC807" s="1"/>
  <c r="AB806"/>
  <c r="AA806"/>
  <c r="AC806" s="1"/>
  <c r="AB805"/>
  <c r="AA805"/>
  <c r="AC805" s="1"/>
  <c r="AA672" l="1"/>
  <c r="AA671"/>
  <c r="AC671" s="1"/>
  <c r="AA670"/>
  <c r="AC670" s="1"/>
  <c r="AA669"/>
  <c r="AC669" s="1"/>
  <c r="AA668"/>
  <c r="AC668" s="1"/>
  <c r="AA667"/>
  <c r="AC667" s="1"/>
  <c r="AA666"/>
  <c r="AC666" s="1"/>
  <c r="AA665"/>
  <c r="AC665" s="1"/>
  <c r="AA664"/>
  <c r="AC664" s="1"/>
  <c r="AA663"/>
  <c r="AC663" s="1"/>
  <c r="AA662"/>
  <c r="AC662" s="1"/>
  <c r="AA661"/>
  <c r="AC661" s="1"/>
  <c r="AA659"/>
  <c r="AC659" s="1"/>
  <c r="AA658"/>
  <c r="AC658" s="1"/>
  <c r="AA657"/>
  <c r="AC657" s="1"/>
  <c r="AA656"/>
  <c r="AC656" s="1"/>
  <c r="AA655"/>
  <c r="AC655" s="1"/>
  <c r="AA654"/>
  <c r="AC654" s="1"/>
  <c r="AA653"/>
  <c r="AC653" s="1"/>
  <c r="AA652"/>
  <c r="AC652" s="1"/>
  <c r="AA651"/>
  <c r="AC651" s="1"/>
  <c r="AA650"/>
  <c r="AA649"/>
  <c r="AC649" s="1"/>
  <c r="AA648"/>
  <c r="AC648" s="1"/>
  <c r="AA647"/>
  <c r="AC647" s="1"/>
  <c r="AA646"/>
  <c r="AC646" s="1"/>
  <c r="K672"/>
  <c r="AC673"/>
  <c r="AB673"/>
  <c r="AD673" s="1"/>
  <c r="AB672"/>
  <c r="AD672" s="1"/>
  <c r="AB671"/>
  <c r="AD671" s="1"/>
  <c r="AB670"/>
  <c r="AD670" s="1"/>
  <c r="AB669"/>
  <c r="AD669" s="1"/>
  <c r="AB668"/>
  <c r="AD668" s="1"/>
  <c r="AB667"/>
  <c r="AD667" s="1"/>
  <c r="AB666"/>
  <c r="AD666" s="1"/>
  <c r="AB665"/>
  <c r="AD665" s="1"/>
  <c r="AB664"/>
  <c r="AD664" s="1"/>
  <c r="AC660"/>
  <c r="AB660"/>
  <c r="AD660" s="1"/>
  <c r="AB659"/>
  <c r="AD659" s="1"/>
  <c r="AB658"/>
  <c r="AD658" s="1"/>
  <c r="AB657"/>
  <c r="AD657" s="1"/>
  <c r="AB656"/>
  <c r="AD656" s="1"/>
  <c r="AB655"/>
  <c r="AD655" s="1"/>
  <c r="AB654"/>
  <c r="AD654" s="1"/>
  <c r="AB653"/>
  <c r="AD653" s="1"/>
  <c r="AB652"/>
  <c r="AB651"/>
  <c r="AB649"/>
  <c r="AD649" s="1"/>
  <c r="AB648"/>
  <c r="AD648" s="1"/>
  <c r="AB647"/>
  <c r="AD647" s="1"/>
  <c r="AB646"/>
  <c r="N662"/>
  <c r="N661"/>
  <c r="L646"/>
  <c r="AB538"/>
  <c r="AA538"/>
  <c r="AC538" s="1"/>
  <c r="AA537"/>
  <c r="AC537" s="1"/>
  <c r="AA535"/>
  <c r="AC535" s="1"/>
  <c r="AB533"/>
  <c r="AA533"/>
  <c r="AC533" s="1"/>
  <c r="AA532"/>
  <c r="AC532" s="1"/>
  <c r="AB531"/>
  <c r="AA531"/>
  <c r="AC531" s="1"/>
  <c r="AA530"/>
  <c r="AC530" s="1"/>
  <c r="AA529"/>
  <c r="AC529" s="1"/>
  <c r="AA528"/>
  <c r="AC528" s="1"/>
  <c r="AA527"/>
  <c r="AC527" s="1"/>
  <c r="AA526"/>
  <c r="AC526" s="1"/>
  <c r="AA525"/>
  <c r="AC525" s="1"/>
  <c r="AA524"/>
  <c r="AC524" s="1"/>
  <c r="AA523"/>
  <c r="AC523" s="1"/>
  <c r="AA522"/>
  <c r="AC522" s="1"/>
  <c r="AA521"/>
  <c r="AC521" s="1"/>
  <c r="AA520"/>
  <c r="AC520" s="1"/>
  <c r="AA519"/>
  <c r="AC519" s="1"/>
  <c r="AA518"/>
  <c r="AC518" s="1"/>
  <c r="AA517"/>
  <c r="AC517" s="1"/>
  <c r="AA516"/>
  <c r="AC516" s="1"/>
  <c r="AA515"/>
  <c r="AC515" s="1"/>
  <c r="AA514"/>
  <c r="AC514" s="1"/>
  <c r="AA513"/>
  <c r="AC513" s="1"/>
  <c r="AA511"/>
  <c r="AC511" s="1"/>
  <c r="R511"/>
  <c r="P511"/>
  <c r="L538"/>
  <c r="L537" s="1"/>
  <c r="R537"/>
  <c r="Z537" s="1"/>
  <c r="P537"/>
  <c r="N537"/>
  <c r="Q536"/>
  <c r="N536"/>
  <c r="L536"/>
  <c r="N535"/>
  <c r="L535"/>
  <c r="Q534"/>
  <c r="N534"/>
  <c r="L534"/>
  <c r="L533"/>
  <c r="R532"/>
  <c r="P532"/>
  <c r="N530"/>
  <c r="L531"/>
  <c r="R530"/>
  <c r="Z530" s="1"/>
  <c r="P530"/>
  <c r="N529"/>
  <c r="L529"/>
  <c r="L528" s="1"/>
  <c r="R528"/>
  <c r="P528"/>
  <c r="N527"/>
  <c r="L527"/>
  <c r="N526"/>
  <c r="L526"/>
  <c r="N525"/>
  <c r="L525"/>
  <c r="R524"/>
  <c r="Z524" s="1"/>
  <c r="P524"/>
  <c r="N523"/>
  <c r="L523"/>
  <c r="N522"/>
  <c r="L522"/>
  <c r="N521"/>
  <c r="L521"/>
  <c r="N520"/>
  <c r="L520"/>
  <c r="N519"/>
  <c r="L519"/>
  <c r="N518"/>
  <c r="L518"/>
  <c r="N517"/>
  <c r="L517"/>
  <c r="N516"/>
  <c r="L516"/>
  <c r="N515"/>
  <c r="L515"/>
  <c r="N514"/>
  <c r="L514"/>
  <c r="N513"/>
  <c r="L513"/>
  <c r="AA512"/>
  <c r="AC512" s="1"/>
  <c r="N512"/>
  <c r="L512"/>
  <c r="R510" l="1"/>
  <c r="Z528"/>
  <c r="AB528" s="1"/>
  <c r="AD528" s="1"/>
  <c r="Y534"/>
  <c r="AA534" s="1"/>
  <c r="AC534" s="1"/>
  <c r="Y536"/>
  <c r="AA536" s="1"/>
  <c r="AC536" s="1"/>
  <c r="P510"/>
  <c r="P477" s="1"/>
  <c r="AB662"/>
  <c r="AD662" s="1"/>
  <c r="AC672"/>
  <c r="AB661"/>
  <c r="AD661" s="1"/>
  <c r="AD646"/>
  <c r="AC539"/>
  <c r="AC540" s="1"/>
  <c r="AD538"/>
  <c r="AB537"/>
  <c r="AD537" s="1"/>
  <c r="AD533"/>
  <c r="AB530"/>
  <c r="AB535"/>
  <c r="AD535" s="1"/>
  <c r="AB534"/>
  <c r="AD534" s="1"/>
  <c r="AD531"/>
  <c r="AB525"/>
  <c r="AD525" s="1"/>
  <c r="AB512"/>
  <c r="AD512" s="1"/>
  <c r="AB520"/>
  <c r="AD520" s="1"/>
  <c r="AB522"/>
  <c r="AD522" s="1"/>
  <c r="AB529"/>
  <c r="AD529" s="1"/>
  <c r="L524"/>
  <c r="AB519"/>
  <c r="AD519" s="1"/>
  <c r="AB514"/>
  <c r="AD514" s="1"/>
  <c r="AB516"/>
  <c r="AD516" s="1"/>
  <c r="AB527"/>
  <c r="AD527" s="1"/>
  <c r="AB515"/>
  <c r="AD515" s="1"/>
  <c r="AB518"/>
  <c r="AD518" s="1"/>
  <c r="AB526"/>
  <c r="AD526" s="1"/>
  <c r="L511"/>
  <c r="N511"/>
  <c r="L530"/>
  <c r="N532"/>
  <c r="N524"/>
  <c r="AB524" s="1"/>
  <c r="L532"/>
  <c r="AB513"/>
  <c r="AD513" s="1"/>
  <c r="AB517"/>
  <c r="AD517" s="1"/>
  <c r="AB521"/>
  <c r="AD521" s="1"/>
  <c r="N510" l="1"/>
  <c r="N477" s="1"/>
  <c r="R477"/>
  <c r="L510"/>
  <c r="L477" s="1"/>
  <c r="AD530"/>
  <c r="AD524"/>
  <c r="AB614" l="1"/>
  <c r="AD614" s="1"/>
  <c r="AA614"/>
  <c r="AC614" s="1"/>
  <c r="AB613"/>
  <c r="AD613" s="1"/>
  <c r="AA613"/>
  <c r="AC613" s="1"/>
  <c r="AA612"/>
  <c r="AC612" s="1"/>
  <c r="R612"/>
  <c r="Z612" s="1"/>
  <c r="P612"/>
  <c r="N612"/>
  <c r="L612"/>
  <c r="R609"/>
  <c r="Z609" s="1"/>
  <c r="P609"/>
  <c r="N609"/>
  <c r="L609"/>
  <c r="R606"/>
  <c r="Z606" s="1"/>
  <c r="P606"/>
  <c r="N606"/>
  <c r="L606"/>
  <c r="AB612" l="1"/>
  <c r="AD612" s="1"/>
  <c r="AB609"/>
  <c r="AD609" s="1"/>
  <c r="R597" l="1"/>
  <c r="Z597" s="1"/>
  <c r="P597"/>
  <c r="N597"/>
  <c r="L597"/>
  <c r="AB611" l="1"/>
  <c r="AD611" s="1"/>
  <c r="AA611"/>
  <c r="AC611" s="1"/>
  <c r="AB610"/>
  <c r="AD610" s="1"/>
  <c r="AA610"/>
  <c r="AC610" s="1"/>
  <c r="AA609"/>
  <c r="AC609" s="1"/>
  <c r="AB608"/>
  <c r="AD608" s="1"/>
  <c r="AA608"/>
  <c r="AC608" s="1"/>
  <c r="AA607"/>
  <c r="AC607" s="1"/>
  <c r="AA606"/>
  <c r="AC606" s="1"/>
  <c r="AB605"/>
  <c r="AD605" s="1"/>
  <c r="AA605"/>
  <c r="AC605" s="1"/>
  <c r="R604"/>
  <c r="Z604" s="1"/>
  <c r="Q604"/>
  <c r="Y604" s="1"/>
  <c r="P604"/>
  <c r="O604"/>
  <c r="N604"/>
  <c r="M604"/>
  <c r="L604"/>
  <c r="AB603"/>
  <c r="AD603" s="1"/>
  <c r="AA603"/>
  <c r="AC603" s="1"/>
  <c r="AB602"/>
  <c r="AD602" s="1"/>
  <c r="AA602"/>
  <c r="AC602" s="1"/>
  <c r="AC601"/>
  <c r="AB601"/>
  <c r="AD601" s="1"/>
  <c r="AC600"/>
  <c r="AB600"/>
  <c r="AD600" s="1"/>
  <c r="AA599"/>
  <c r="AC599" s="1"/>
  <c r="AB599"/>
  <c r="AD599" s="1"/>
  <c r="AB598"/>
  <c r="AD598" s="1"/>
  <c r="AA598"/>
  <c r="AC598" s="1"/>
  <c r="AA597"/>
  <c r="AC597" s="1"/>
  <c r="AB595"/>
  <c r="AD595" s="1"/>
  <c r="AA595"/>
  <c r="AC595" s="1"/>
  <c r="AB594"/>
  <c r="AD594" s="1"/>
  <c r="AA594"/>
  <c r="AC594" s="1"/>
  <c r="AB593"/>
  <c r="AD593" s="1"/>
  <c r="AA593"/>
  <c r="AC593" s="1"/>
  <c r="AB592"/>
  <c r="AD592" s="1"/>
  <c r="AA592"/>
  <c r="AC592" s="1"/>
  <c r="AB591"/>
  <c r="AD591" s="1"/>
  <c r="AA591"/>
  <c r="AC591" s="1"/>
  <c r="AB590"/>
  <c r="AD590" s="1"/>
  <c r="AA590"/>
  <c r="AC590" s="1"/>
  <c r="AB589"/>
  <c r="AD589" s="1"/>
  <c r="AA589"/>
  <c r="AC589" s="1"/>
  <c r="AB588"/>
  <c r="AD588" s="1"/>
  <c r="AA588"/>
  <c r="AC588" s="1"/>
  <c r="AB587"/>
  <c r="AD587" s="1"/>
  <c r="AA587"/>
  <c r="AC587" s="1"/>
  <c r="AB586"/>
  <c r="AD586" s="1"/>
  <c r="AA586"/>
  <c r="AC586" s="1"/>
  <c r="AB585"/>
  <c r="AD585" s="1"/>
  <c r="AA585"/>
  <c r="AC585" s="1"/>
  <c r="AA584"/>
  <c r="AC584" s="1"/>
  <c r="R584"/>
  <c r="P584"/>
  <c r="N584"/>
  <c r="L584"/>
  <c r="L583" s="1"/>
  <c r="N583" l="1"/>
  <c r="P583"/>
  <c r="Z584"/>
  <c r="AB584" s="1"/>
  <c r="R583"/>
  <c r="Z583" s="1"/>
  <c r="AB607"/>
  <c r="AD607" s="1"/>
  <c r="AB606"/>
  <c r="AD606" s="1"/>
  <c r="AB597"/>
  <c r="AD597" s="1"/>
  <c r="AA604"/>
  <c r="AC604" s="1"/>
  <c r="AC615" s="1"/>
  <c r="AC616" s="1"/>
  <c r="AB604"/>
  <c r="AD604" s="1"/>
  <c r="AD584" l="1"/>
  <c r="AD615" s="1"/>
  <c r="AD616" s="1"/>
  <c r="AB583"/>
  <c r="AC688" l="1"/>
  <c r="AC689" s="1"/>
  <c r="L393" l="1"/>
  <c r="L392"/>
  <c r="L398"/>
  <c r="L420"/>
  <c r="L418" s="1"/>
  <c r="N386"/>
  <c r="N385"/>
  <c r="N384"/>
  <c r="N383"/>
  <c r="N382"/>
  <c r="N381"/>
  <c r="N379"/>
  <c r="N378"/>
  <c r="N377"/>
  <c r="N376"/>
  <c r="L387"/>
  <c r="L386"/>
  <c r="L385"/>
  <c r="L384"/>
  <c r="L383"/>
  <c r="L382"/>
  <c r="L381"/>
  <c r="L380"/>
  <c r="L379"/>
  <c r="L378"/>
  <c r="L377"/>
  <c r="L376"/>
  <c r="R617"/>
  <c r="Z617" s="1"/>
  <c r="AB541"/>
  <c r="N617" l="1"/>
  <c r="L617"/>
  <c r="L541"/>
  <c r="AC475"/>
  <c r="AC476" s="1"/>
  <c r="AD581"/>
  <c r="L388"/>
  <c r="AC581" l="1"/>
  <c r="M375"/>
  <c r="L375"/>
  <c r="AA422"/>
  <c r="AC422" s="1"/>
  <c r="N422"/>
  <c r="AB421"/>
  <c r="AD421" s="1"/>
  <c r="AA421"/>
  <c r="AC421" s="1"/>
  <c r="AA420"/>
  <c r="AC420" s="1"/>
  <c r="N420"/>
  <c r="AB419"/>
  <c r="AA419"/>
  <c r="Z418"/>
  <c r="Q418"/>
  <c r="O412"/>
  <c r="AB417"/>
  <c r="AD417" s="1"/>
  <c r="AA417"/>
  <c r="AC417" s="1"/>
  <c r="AB416"/>
  <c r="AD416" s="1"/>
  <c r="M416"/>
  <c r="AB415"/>
  <c r="AD415" s="1"/>
  <c r="M415"/>
  <c r="AB414"/>
  <c r="AD414" s="1"/>
  <c r="M414"/>
  <c r="AB413"/>
  <c r="AD413" s="1"/>
  <c r="AA413"/>
  <c r="R412"/>
  <c r="Z412" s="1"/>
  <c r="N412"/>
  <c r="L412"/>
  <c r="AB410"/>
  <c r="AD410" s="1"/>
  <c r="AA410"/>
  <c r="AC410" s="1"/>
  <c r="AB409"/>
  <c r="AD409" s="1"/>
  <c r="AA409"/>
  <c r="AC409" s="1"/>
  <c r="AB408"/>
  <c r="AD408" s="1"/>
  <c r="AA408"/>
  <c r="AC408" s="1"/>
  <c r="AB407"/>
  <c r="AD407" s="1"/>
  <c r="M407"/>
  <c r="AB406"/>
  <c r="AD406" s="1"/>
  <c r="AA406"/>
  <c r="AC406" s="1"/>
  <c r="AB405"/>
  <c r="AD405" s="1"/>
  <c r="M405"/>
  <c r="AB404"/>
  <c r="M404"/>
  <c r="AB403"/>
  <c r="AD403" s="1"/>
  <c r="M402"/>
  <c r="Z401"/>
  <c r="Q401"/>
  <c r="Y401" s="1"/>
  <c r="O401"/>
  <c r="N401"/>
  <c r="L401"/>
  <c r="AA399"/>
  <c r="N399"/>
  <c r="AB398"/>
  <c r="AD398" s="1"/>
  <c r="M398"/>
  <c r="M396" s="1"/>
  <c r="AA397"/>
  <c r="AC397" s="1"/>
  <c r="N397"/>
  <c r="Q396"/>
  <c r="Y396" s="1"/>
  <c r="O396"/>
  <c r="L396"/>
  <c r="N395"/>
  <c r="N394" s="1"/>
  <c r="M395"/>
  <c r="M394" s="1"/>
  <c r="AD394"/>
  <c r="AC394"/>
  <c r="AB394"/>
  <c r="AA394"/>
  <c r="L394"/>
  <c r="AA393"/>
  <c r="O393"/>
  <c r="N393"/>
  <c r="AA392"/>
  <c r="AC392" s="1"/>
  <c r="O392"/>
  <c r="N392"/>
  <c r="N391"/>
  <c r="N390"/>
  <c r="N389"/>
  <c r="N387"/>
  <c r="AA386"/>
  <c r="AC386" s="1"/>
  <c r="Z386"/>
  <c r="AA385"/>
  <c r="AC385" s="1"/>
  <c r="Z385"/>
  <c r="AA384"/>
  <c r="AC384" s="1"/>
  <c r="Z384"/>
  <c r="AA383"/>
  <c r="AC383" s="1"/>
  <c r="Z383"/>
  <c r="AA382"/>
  <c r="AC382" s="1"/>
  <c r="Z382"/>
  <c r="AA381"/>
  <c r="AC381" s="1"/>
  <c r="Z381"/>
  <c r="AA380"/>
  <c r="AC380" s="1"/>
  <c r="Z380"/>
  <c r="N380"/>
  <c r="AA379"/>
  <c r="AC379" s="1"/>
  <c r="R379"/>
  <c r="AA378"/>
  <c r="AC378" s="1"/>
  <c r="Z378"/>
  <c r="AA377"/>
  <c r="AC377" s="1"/>
  <c r="Z377"/>
  <c r="AB617" l="1"/>
  <c r="Z379"/>
  <c r="AB379" s="1"/>
  <c r="AD379" s="1"/>
  <c r="R375"/>
  <c r="R374" s="1"/>
  <c r="Z374" s="1"/>
  <c r="AD632"/>
  <c r="AC631"/>
  <c r="AC632" s="1"/>
  <c r="L374"/>
  <c r="Q412"/>
  <c r="Y412" s="1"/>
  <c r="Y418"/>
  <c r="N418"/>
  <c r="AB378"/>
  <c r="AD378" s="1"/>
  <c r="AB380"/>
  <c r="AD380" s="1"/>
  <c r="AB386"/>
  <c r="AD386" s="1"/>
  <c r="AA416"/>
  <c r="AC416" s="1"/>
  <c r="AB382"/>
  <c r="AD382" s="1"/>
  <c r="O388"/>
  <c r="AA398"/>
  <c r="AC398" s="1"/>
  <c r="AB384"/>
  <c r="AD384" s="1"/>
  <c r="AB399"/>
  <c r="AD399" s="1"/>
  <c r="AB420"/>
  <c r="AD420" s="1"/>
  <c r="AB422"/>
  <c r="AD422" s="1"/>
  <c r="AA376"/>
  <c r="AC376" s="1"/>
  <c r="Z388"/>
  <c r="AB393"/>
  <c r="AD393" s="1"/>
  <c r="AA405"/>
  <c r="AC405" s="1"/>
  <c r="M412"/>
  <c r="N375"/>
  <c r="N396"/>
  <c r="AA415"/>
  <c r="AC415" s="1"/>
  <c r="AB376"/>
  <c r="AB377"/>
  <c r="AD377" s="1"/>
  <c r="AB381"/>
  <c r="AD381" s="1"/>
  <c r="AB383"/>
  <c r="AD383" s="1"/>
  <c r="AB385"/>
  <c r="AD385" s="1"/>
  <c r="AA404"/>
  <c r="AC404" s="1"/>
  <c r="M401"/>
  <c r="AA407"/>
  <c r="AC407" s="1"/>
  <c r="AA414"/>
  <c r="AC414" s="1"/>
  <c r="AC413"/>
  <c r="AC419"/>
  <c r="AA418"/>
  <c r="AC418" s="1"/>
  <c r="AB401"/>
  <c r="AD401" s="1"/>
  <c r="AD404"/>
  <c r="AD419"/>
  <c r="AC393"/>
  <c r="AC399"/>
  <c r="AB397"/>
  <c r="AA403"/>
  <c r="AB412"/>
  <c r="AD412" s="1"/>
  <c r="N388"/>
  <c r="Z375" l="1"/>
  <c r="AA388"/>
  <c r="AC388" s="1"/>
  <c r="AA396"/>
  <c r="AB396"/>
  <c r="AD396" s="1"/>
  <c r="AA375"/>
  <c r="AC375" s="1"/>
  <c r="AB418"/>
  <c r="AD418" s="1"/>
  <c r="AD376"/>
  <c r="AB375"/>
  <c r="AD375" s="1"/>
  <c r="AA412"/>
  <c r="AC412" s="1"/>
  <c r="AB388"/>
  <c r="AD388" s="1"/>
  <c r="AB392"/>
  <c r="AA401"/>
  <c r="AC401" s="1"/>
  <c r="AC403"/>
  <c r="AD397"/>
  <c r="AC396" l="1"/>
  <c r="AC423" s="1"/>
  <c r="AC424" s="1"/>
  <c r="AD423"/>
  <c r="AD424" s="1"/>
  <c r="AD392"/>
  <c r="Y234" l="1"/>
  <c r="AB213"/>
  <c r="AD213" s="1"/>
  <c r="AA213"/>
  <c r="AC213" s="1"/>
  <c r="AB211"/>
  <c r="AD211" s="1"/>
  <c r="AA211"/>
  <c r="AC211" s="1"/>
  <c r="AA209"/>
  <c r="AC209" s="1"/>
  <c r="O210"/>
  <c r="Q210" s="1"/>
  <c r="Y210" s="1"/>
  <c r="L207"/>
  <c r="L206" s="1"/>
  <c r="AA207"/>
  <c r="AC207" s="1"/>
  <c r="M206"/>
  <c r="AB210"/>
  <c r="AD210" s="1"/>
  <c r="AB209"/>
  <c r="AD209" s="1"/>
  <c r="Q208"/>
  <c r="Y208" s="1"/>
  <c r="O208"/>
  <c r="K208" s="1"/>
  <c r="N208"/>
  <c r="M208"/>
  <c r="L208"/>
  <c r="AB207"/>
  <c r="R206"/>
  <c r="P206"/>
  <c r="N206"/>
  <c r="P205" l="1"/>
  <c r="L205"/>
  <c r="N205"/>
  <c r="R205"/>
  <c r="Z205" s="1"/>
  <c r="Z206"/>
  <c r="AA234"/>
  <c r="AC234" s="1"/>
  <c r="AD207"/>
  <c r="AA206"/>
  <c r="AC206" s="1"/>
  <c r="AA210"/>
  <c r="AC210" s="1"/>
  <c r="AA208"/>
  <c r="AC208" s="1"/>
  <c r="AB208"/>
  <c r="AD208" s="1"/>
  <c r="AB206"/>
  <c r="AC218" l="1"/>
  <c r="AC219" s="1"/>
  <c r="AD206"/>
  <c r="AD218" s="1"/>
  <c r="AD219" s="1"/>
  <c r="AB205"/>
  <c r="AA83" l="1"/>
  <c r="AC83" s="1"/>
  <c r="N103"/>
  <c r="L103"/>
  <c r="N101"/>
  <c r="L101"/>
  <c r="L97"/>
  <c r="L96"/>
  <c r="L95"/>
  <c r="N94"/>
  <c r="L94"/>
  <c r="N93"/>
  <c r="L93"/>
  <c r="N92"/>
  <c r="L92"/>
  <c r="L91"/>
  <c r="N90"/>
  <c r="L90"/>
  <c r="N89"/>
  <c r="L89"/>
  <c r="N88"/>
  <c r="L88"/>
  <c r="L87"/>
  <c r="N86"/>
  <c r="L86"/>
  <c r="N85"/>
  <c r="L85"/>
  <c r="N84"/>
  <c r="L84"/>
  <c r="L79"/>
  <c r="P76"/>
  <c r="N76" s="1"/>
  <c r="N74"/>
  <c r="L74"/>
  <c r="P73"/>
  <c r="N73"/>
  <c r="L73"/>
  <c r="N71"/>
  <c r="L71"/>
  <c r="P70"/>
  <c r="P67" s="1"/>
  <c r="L70"/>
  <c r="N69"/>
  <c r="L69"/>
  <c r="N68"/>
  <c r="L68"/>
  <c r="R67"/>
  <c r="Z67" s="1"/>
  <c r="N66"/>
  <c r="P66"/>
  <c r="R64"/>
  <c r="Z64" s="1"/>
  <c r="P64"/>
  <c r="R62"/>
  <c r="Z62" s="1"/>
  <c r="L62"/>
  <c r="L61"/>
  <c r="P56"/>
  <c r="N56"/>
  <c r="L56"/>
  <c r="P53"/>
  <c r="L52"/>
  <c r="P50"/>
  <c r="P48"/>
  <c r="N48"/>
  <c r="L48"/>
  <c r="P47"/>
  <c r="R45"/>
  <c r="Z45" s="1"/>
  <c r="L45"/>
  <c r="N42"/>
  <c r="M40"/>
  <c r="M39"/>
  <c r="M37"/>
  <c r="N67" l="1"/>
  <c r="L67"/>
  <c r="N72"/>
  <c r="N35" l="1"/>
  <c r="L35"/>
  <c r="N33"/>
  <c r="N32"/>
  <c r="N31"/>
  <c r="N29"/>
  <c r="L28"/>
  <c r="N26"/>
  <c r="N24"/>
  <c r="N23"/>
  <c r="N22"/>
  <c r="N21"/>
  <c r="N19"/>
  <c r="N18"/>
  <c r="N17"/>
  <c r="N16"/>
  <c r="N15"/>
  <c r="S1212"/>
  <c r="S1211"/>
  <c r="S1210"/>
  <c r="S1208"/>
  <c r="R1207"/>
  <c r="Z1207" s="1"/>
  <c r="O1207"/>
  <c r="N1207"/>
  <c r="M1207"/>
  <c r="L1207"/>
  <c r="R1195"/>
  <c r="O1195"/>
  <c r="N1195"/>
  <c r="M1195"/>
  <c r="L1195"/>
  <c r="Q1166"/>
  <c r="Q1161"/>
  <c r="Q1156"/>
  <c r="Q1155"/>
  <c r="Y1155" s="1"/>
  <c r="P1151"/>
  <c r="N1116"/>
  <c r="AA1142"/>
  <c r="AC1142" s="1"/>
  <c r="R1140"/>
  <c r="P1124"/>
  <c r="P1117" s="1"/>
  <c r="P1116" l="1"/>
  <c r="AD1138"/>
  <c r="Y1161"/>
  <c r="AA1161" s="1"/>
  <c r="AC1161" s="1"/>
  <c r="AD1134"/>
  <c r="AD1144"/>
  <c r="Y1156"/>
  <c r="AA1156" s="1"/>
  <c r="AC1156" s="1"/>
  <c r="AD1117"/>
  <c r="R1116"/>
  <c r="Z1116" s="1"/>
  <c r="AB1130"/>
  <c r="AD1130" s="1"/>
  <c r="AD1140"/>
  <c r="AD1149"/>
  <c r="Y1166"/>
  <c r="AA1166" s="1"/>
  <c r="AC1166" s="1"/>
  <c r="AD1146"/>
  <c r="Z1195"/>
  <c r="AA1204"/>
  <c r="AC1204" s="1"/>
  <c r="W1211"/>
  <c r="Y1211" s="1"/>
  <c r="U1210"/>
  <c r="W1210" s="1"/>
  <c r="AA1197"/>
  <c r="AC1197" s="1"/>
  <c r="AA1205"/>
  <c r="AC1205" s="1"/>
  <c r="W1208"/>
  <c r="U1212"/>
  <c r="W1212" s="1"/>
  <c r="AA1195"/>
  <c r="AC1195" s="1"/>
  <c r="AA1206"/>
  <c r="AC1206" s="1"/>
  <c r="AA1207"/>
  <c r="AC1207" s="1"/>
  <c r="AA1155"/>
  <c r="AC1155" s="1"/>
  <c r="AD1151"/>
  <c r="AB1195" l="1"/>
  <c r="W1209"/>
  <c r="Y1209" s="1"/>
  <c r="Y1208"/>
  <c r="AA1208" s="1"/>
  <c r="AC1208" s="1"/>
  <c r="Y1210"/>
  <c r="AA1210" s="1"/>
  <c r="AC1210" s="1"/>
  <c r="Y1212"/>
  <c r="AA1212" s="1"/>
  <c r="AC1212" s="1"/>
  <c r="AB1116"/>
  <c r="AD1167"/>
  <c r="AD1168" s="1"/>
  <c r="AA1203"/>
  <c r="AC1203" s="1"/>
  <c r="AA1198"/>
  <c r="AC1198" s="1"/>
  <c r="AA1200"/>
  <c r="AC1200" s="1"/>
  <c r="AA1202"/>
  <c r="AC1202" s="1"/>
  <c r="AA1199"/>
  <c r="AC1199" s="1"/>
  <c r="AA1201"/>
  <c r="AC1201" s="1"/>
  <c r="AA1211"/>
  <c r="AC1211" s="1"/>
  <c r="AA1196"/>
  <c r="AC1196" s="1"/>
  <c r="AD1195" l="1"/>
  <c r="AA1209"/>
  <c r="AC1209" s="1"/>
  <c r="AA970"/>
  <c r="AC970" s="1"/>
  <c r="N969"/>
  <c r="AA969"/>
  <c r="AC969" s="1"/>
  <c r="R969"/>
  <c r="R949" s="1"/>
  <c r="Z949" s="1"/>
  <c r="P969"/>
  <c r="P949" s="1"/>
  <c r="L969"/>
  <c r="AB969" l="1"/>
  <c r="AD969" s="1"/>
  <c r="AB970"/>
  <c r="AD970" s="1"/>
  <c r="L1087" l="1"/>
  <c r="AD1087" s="1"/>
  <c r="R1081"/>
  <c r="N1081"/>
  <c r="N1080" s="1"/>
  <c r="L1081"/>
  <c r="L1080" s="1"/>
  <c r="AB1108"/>
  <c r="L1108"/>
  <c r="L1107" s="1"/>
  <c r="R1107"/>
  <c r="P1107"/>
  <c r="P1090" s="1"/>
  <c r="N1094"/>
  <c r="AA1091"/>
  <c r="AC1091" s="1"/>
  <c r="R1091"/>
  <c r="L1091"/>
  <c r="L1090" l="1"/>
  <c r="Z1081"/>
  <c r="AB1081" s="1"/>
  <c r="R1080"/>
  <c r="Z1080" s="1"/>
  <c r="Z1091"/>
  <c r="R1090"/>
  <c r="Z1090" s="1"/>
  <c r="Z1107"/>
  <c r="AB1107" s="1"/>
  <c r="AD1107" s="1"/>
  <c r="N1091"/>
  <c r="AB1094"/>
  <c r="AD1094" s="1"/>
  <c r="AA1108"/>
  <c r="AC1108" s="1"/>
  <c r="AD1108"/>
  <c r="AB1091" l="1"/>
  <c r="AD1091" s="1"/>
  <c r="AD1113" s="1"/>
  <c r="AD1114" s="1"/>
  <c r="N1090"/>
  <c r="AD1081"/>
  <c r="AD1088" s="1"/>
  <c r="AD1089" s="1"/>
  <c r="AB1080"/>
  <c r="N676"/>
  <c r="L676"/>
  <c r="AB1090" l="1"/>
  <c r="R676"/>
  <c r="Z676" s="1"/>
  <c r="N426"/>
  <c r="R426"/>
  <c r="Z426" s="1"/>
  <c r="P426"/>
  <c r="L426"/>
  <c r="AD688" l="1"/>
  <c r="AD689" s="1"/>
  <c r="AB676"/>
  <c r="AB426"/>
  <c r="AB753"/>
  <c r="AD753" s="1"/>
  <c r="AA753"/>
  <c r="AC753" s="1"/>
  <c r="R752"/>
  <c r="Z752" s="1"/>
  <c r="Q752"/>
  <c r="N752"/>
  <c r="L752"/>
  <c r="K752"/>
  <c r="AB751"/>
  <c r="AD751" s="1"/>
  <c r="AA751"/>
  <c r="AC751" s="1"/>
  <c r="AB750"/>
  <c r="AD750" s="1"/>
  <c r="AA750"/>
  <c r="AC750" s="1"/>
  <c r="Z749"/>
  <c r="Q749"/>
  <c r="Y749" s="1"/>
  <c r="O749"/>
  <c r="M749"/>
  <c r="K749"/>
  <c r="AB748"/>
  <c r="AD748" s="1"/>
  <c r="AA748"/>
  <c r="AC748" s="1"/>
  <c r="AB747"/>
  <c r="AD747" s="1"/>
  <c r="AA747"/>
  <c r="AC747" s="1"/>
  <c r="AB746"/>
  <c r="AD746" s="1"/>
  <c r="AA746"/>
  <c r="AC746" s="1"/>
  <c r="AB745"/>
  <c r="AD745" s="1"/>
  <c r="AA745"/>
  <c r="AC745" s="1"/>
  <c r="AB744"/>
  <c r="AD744" s="1"/>
  <c r="AA744"/>
  <c r="AC744" s="1"/>
  <c r="AB743"/>
  <c r="AD743" s="1"/>
  <c r="AA743"/>
  <c r="AC743" s="1"/>
  <c r="AB742"/>
  <c r="AD742" s="1"/>
  <c r="AA742"/>
  <c r="AC742" s="1"/>
  <c r="AB741"/>
  <c r="AD741" s="1"/>
  <c r="AA741"/>
  <c r="AC741" s="1"/>
  <c r="AB740"/>
  <c r="AD740" s="1"/>
  <c r="AA740"/>
  <c r="AC740" s="1"/>
  <c r="AB739"/>
  <c r="AD739" s="1"/>
  <c r="AA739"/>
  <c r="AC739" s="1"/>
  <c r="AB738"/>
  <c r="AD738" s="1"/>
  <c r="AA738"/>
  <c r="AC738" s="1"/>
  <c r="AB737"/>
  <c r="AD737" s="1"/>
  <c r="AA737"/>
  <c r="AC737" s="1"/>
  <c r="AA736"/>
  <c r="AC736" s="1"/>
  <c r="R736"/>
  <c r="L736"/>
  <c r="R735" l="1"/>
  <c r="Z735" s="1"/>
  <c r="P735"/>
  <c r="N735"/>
  <c r="AB736"/>
  <c r="Y752"/>
  <c r="AA752" s="1"/>
  <c r="AC752" s="1"/>
  <c r="L735"/>
  <c r="AD475"/>
  <c r="AD476" s="1"/>
  <c r="AB749"/>
  <c r="AD749" s="1"/>
  <c r="AA749"/>
  <c r="AC749" s="1"/>
  <c r="AB752"/>
  <c r="AD752" s="1"/>
  <c r="AC781" l="1"/>
  <c r="AC782" s="1"/>
  <c r="AD736"/>
  <c r="AB735"/>
  <c r="AD754"/>
  <c r="AD781" l="1"/>
  <c r="AD782" s="1"/>
  <c r="R1213"/>
  <c r="R1194" s="1"/>
  <c r="N1213"/>
  <c r="L1213"/>
  <c r="P1074"/>
  <c r="P1067" s="1"/>
  <c r="M1076"/>
  <c r="AA1076" s="1"/>
  <c r="L1074"/>
  <c r="K1076"/>
  <c r="R1074"/>
  <c r="K1073"/>
  <c r="AC1073" s="1"/>
  <c r="Q1071"/>
  <c r="Y1071" s="1"/>
  <c r="AA1071" s="1"/>
  <c r="AC1071" s="1"/>
  <c r="R1068"/>
  <c r="K1064"/>
  <c r="AC1064" s="1"/>
  <c r="K1063"/>
  <c r="AC1063" s="1"/>
  <c r="K1062"/>
  <c r="AC1062" s="1"/>
  <c r="AB1061"/>
  <c r="AB1060" s="1"/>
  <c r="AA1797" i="5"/>
  <c r="AC1797" s="1"/>
  <c r="Z1797"/>
  <c r="AB1797" s="1"/>
  <c r="Y1797"/>
  <c r="AA1796"/>
  <c r="AC1796" s="1"/>
  <c r="Z1796"/>
  <c r="AB1796" s="1"/>
  <c r="Y1796"/>
  <c r="AA1795"/>
  <c r="AC1795" s="1"/>
  <c r="Z1795"/>
  <c r="Y1795"/>
  <c r="N1795"/>
  <c r="N1794" s="1"/>
  <c r="Y1794"/>
  <c r="R1794"/>
  <c r="Z1794" s="1"/>
  <c r="P1794"/>
  <c r="AA1791"/>
  <c r="AC1791" s="1"/>
  <c r="Z1791"/>
  <c r="AB1791" s="1"/>
  <c r="Y1791"/>
  <c r="AA1790"/>
  <c r="Z1790"/>
  <c r="AB1790" s="1"/>
  <c r="Y1790"/>
  <c r="L1787" s="1"/>
  <c r="K1790"/>
  <c r="Y1787"/>
  <c r="R1787"/>
  <c r="Z1787" s="1"/>
  <c r="P1787"/>
  <c r="N1787"/>
  <c r="Z1784"/>
  <c r="Y1784"/>
  <c r="N1784"/>
  <c r="M1784"/>
  <c r="AA1784" s="1"/>
  <c r="L1780" s="1"/>
  <c r="K1784"/>
  <c r="AA1783"/>
  <c r="AC1783" s="1"/>
  <c r="Z1783"/>
  <c r="AB1783" s="1"/>
  <c r="Y1783"/>
  <c r="Z1782"/>
  <c r="AB1782" s="1"/>
  <c r="Y1782"/>
  <c r="M1782"/>
  <c r="AA1782" s="1"/>
  <c r="AC1782" s="1"/>
  <c r="AA1781"/>
  <c r="AC1781" s="1"/>
  <c r="Z1781"/>
  <c r="AB1781" s="1"/>
  <c r="Y1781"/>
  <c r="Y1780"/>
  <c r="R1780"/>
  <c r="Z1780" s="1"/>
  <c r="P1780"/>
  <c r="M1780"/>
  <c r="AA1780" s="1"/>
  <c r="AC1780" s="1"/>
  <c r="AA1777"/>
  <c r="AC1777" s="1"/>
  <c r="Z1777"/>
  <c r="AB1777" s="1"/>
  <c r="Y1777"/>
  <c r="AA1776"/>
  <c r="AC1776" s="1"/>
  <c r="Z1776"/>
  <c r="AB1776" s="1"/>
  <c r="Y1776"/>
  <c r="AA1775"/>
  <c r="AC1775" s="1"/>
  <c r="Z1775"/>
  <c r="AB1775" s="1"/>
  <c r="Y1775"/>
  <c r="AA1774"/>
  <c r="AC1774" s="1"/>
  <c r="Z1774"/>
  <c r="Y1774"/>
  <c r="N1774"/>
  <c r="AA1771"/>
  <c r="AC1771" s="1"/>
  <c r="Z1771"/>
  <c r="Y1771"/>
  <c r="N1771"/>
  <c r="AA1769"/>
  <c r="Z1769"/>
  <c r="AB1769" s="1"/>
  <c r="AD1769" s="1"/>
  <c r="Y1769"/>
  <c r="K1769"/>
  <c r="AA1768"/>
  <c r="AC1768" s="1"/>
  <c r="Z1768"/>
  <c r="Y1768"/>
  <c r="N1768"/>
  <c r="Z1767"/>
  <c r="AB1767" s="1"/>
  <c r="Y1767"/>
  <c r="AA1766"/>
  <c r="AC1766" s="1"/>
  <c r="Z1766"/>
  <c r="Y1766"/>
  <c r="N1766"/>
  <c r="AA1763"/>
  <c r="Z1763"/>
  <c r="Y1763"/>
  <c r="N1763"/>
  <c r="K1763"/>
  <c r="AA1762"/>
  <c r="AC1762" s="1"/>
  <c r="Y1762"/>
  <c r="AA1761"/>
  <c r="AC1761" s="1"/>
  <c r="Z1761"/>
  <c r="Y1761"/>
  <c r="N1761"/>
  <c r="AA1760"/>
  <c r="AC1760" s="1"/>
  <c r="Y1760"/>
  <c r="AA1759"/>
  <c r="AC1759" s="1"/>
  <c r="Y1759"/>
  <c r="AA1758"/>
  <c r="AC1758" s="1"/>
  <c r="Y1758"/>
  <c r="AA1757"/>
  <c r="AC1757" s="1"/>
  <c r="Y1757"/>
  <c r="AA1756"/>
  <c r="AC1756" s="1"/>
  <c r="Y1756"/>
  <c r="AA1755"/>
  <c r="AC1755" s="1"/>
  <c r="Y1755"/>
  <c r="R1755"/>
  <c r="Z1755" s="1"/>
  <c r="P1755"/>
  <c r="AA1752"/>
  <c r="AC1752" s="1"/>
  <c r="AC1753" s="1"/>
  <c r="Z1752"/>
  <c r="Y1752"/>
  <c r="N1752"/>
  <c r="N1751" s="1"/>
  <c r="Y1751"/>
  <c r="R1751"/>
  <c r="Z1751" s="1"/>
  <c r="P1751"/>
  <c r="M1751"/>
  <c r="AA1751" s="1"/>
  <c r="AC1751" s="1"/>
  <c r="AA1748"/>
  <c r="AC1748" s="1"/>
  <c r="AC1749" s="1"/>
  <c r="Z1748"/>
  <c r="Y1748"/>
  <c r="N1748"/>
  <c r="L1747" s="1"/>
  <c r="Y1747"/>
  <c r="R1747"/>
  <c r="Z1747" s="1"/>
  <c r="P1747"/>
  <c r="N1747"/>
  <c r="M1747"/>
  <c r="AA1747" s="1"/>
  <c r="AC1747" s="1"/>
  <c r="AA1744"/>
  <c r="AC1744" s="1"/>
  <c r="Z1744"/>
  <c r="Y1744"/>
  <c r="N1744"/>
  <c r="AA1743"/>
  <c r="Z1743"/>
  <c r="Y1743"/>
  <c r="N1743"/>
  <c r="N1742" s="1"/>
  <c r="K1743"/>
  <c r="Y1742"/>
  <c r="R1742"/>
  <c r="Z1742" s="1"/>
  <c r="P1742"/>
  <c r="M1742"/>
  <c r="AA1742" s="1"/>
  <c r="AC1742" s="1"/>
  <c r="AA1739"/>
  <c r="AC1739" s="1"/>
  <c r="Y1739"/>
  <c r="N1739"/>
  <c r="AB1739" s="1"/>
  <c r="AA1738"/>
  <c r="AC1738" s="1"/>
  <c r="Z1738"/>
  <c r="AB1738" s="1"/>
  <c r="Y1738"/>
  <c r="AA1737"/>
  <c r="Z1737"/>
  <c r="Y1737"/>
  <c r="N1737"/>
  <c r="N1735" s="1"/>
  <c r="K1737"/>
  <c r="AA1736"/>
  <c r="AC1736" s="1"/>
  <c r="Z1736"/>
  <c r="AB1736" s="1"/>
  <c r="Y1736"/>
  <c r="Y1735"/>
  <c r="R1735"/>
  <c r="Z1735" s="1"/>
  <c r="P1735"/>
  <c r="M1735"/>
  <c r="AA1735" s="1"/>
  <c r="AC1735" s="1"/>
  <c r="Z1732"/>
  <c r="Y1732"/>
  <c r="N1732"/>
  <c r="M1732"/>
  <c r="AA1732" s="1"/>
  <c r="AC1732" s="1"/>
  <c r="Z1731"/>
  <c r="Y1731"/>
  <c r="N1731"/>
  <c r="M1731"/>
  <c r="AA1731" s="1"/>
  <c r="AC1731" s="1"/>
  <c r="AA1730"/>
  <c r="AC1730" s="1"/>
  <c r="Z1730"/>
  <c r="Y1730"/>
  <c r="N1730"/>
  <c r="AA1729"/>
  <c r="AC1729" s="1"/>
  <c r="Z1729"/>
  <c r="Y1729"/>
  <c r="N1729"/>
  <c r="AB1728"/>
  <c r="Y1728"/>
  <c r="M1728"/>
  <c r="AA1728" s="1"/>
  <c r="AC1728" s="1"/>
  <c r="Y1727"/>
  <c r="R1727"/>
  <c r="Z1727" s="1"/>
  <c r="P1727"/>
  <c r="M1727"/>
  <c r="AA1727" s="1"/>
  <c r="AC1727" s="1"/>
  <c r="AA1724"/>
  <c r="AC1724" s="1"/>
  <c r="AC1725" s="1"/>
  <c r="Z1724"/>
  <c r="Y1724"/>
  <c r="N1724"/>
  <c r="AA1723"/>
  <c r="AC1723" s="1"/>
  <c r="Y1723"/>
  <c r="R1723"/>
  <c r="Z1723" s="1"/>
  <c r="P1723"/>
  <c r="AA1720"/>
  <c r="Z1720"/>
  <c r="Y1720"/>
  <c r="N1720"/>
  <c r="K1720"/>
  <c r="AA1719"/>
  <c r="AC1719" s="1"/>
  <c r="Z1719"/>
  <c r="Y1719"/>
  <c r="N1719"/>
  <c r="L1718" s="1"/>
  <c r="AA1718"/>
  <c r="AC1718" s="1"/>
  <c r="Y1718"/>
  <c r="R1718"/>
  <c r="Z1718" s="1"/>
  <c r="P1718"/>
  <c r="AA1715"/>
  <c r="AC1715" s="1"/>
  <c r="Z1715"/>
  <c r="Y1715"/>
  <c r="N1715"/>
  <c r="AA1714"/>
  <c r="Z1714"/>
  <c r="Y1714"/>
  <c r="N1714"/>
  <c r="K1714"/>
  <c r="AA1713"/>
  <c r="AC1713" s="1"/>
  <c r="Z1713"/>
  <c r="Y1713"/>
  <c r="N1713"/>
  <c r="AA1712"/>
  <c r="Z1712"/>
  <c r="Y1712"/>
  <c r="N1712"/>
  <c r="K1712"/>
  <c r="Y1711"/>
  <c r="R1711"/>
  <c r="Z1711" s="1"/>
  <c r="P1711"/>
  <c r="M1711"/>
  <c r="AA1711" s="1"/>
  <c r="AC1711" s="1"/>
  <c r="AA1708"/>
  <c r="AC1708" s="1"/>
  <c r="Z1708"/>
  <c r="AB1708" s="1"/>
  <c r="AD1708" s="1"/>
  <c r="Y1708"/>
  <c r="AA1707"/>
  <c r="AC1707" s="1"/>
  <c r="Z1707"/>
  <c r="AB1707" s="1"/>
  <c r="Y1707"/>
  <c r="L1706" s="1"/>
  <c r="Y1706"/>
  <c r="R1706"/>
  <c r="Z1706" s="1"/>
  <c r="P1706"/>
  <c r="N1706"/>
  <c r="M1706"/>
  <c r="AA1706" s="1"/>
  <c r="AC1706" s="1"/>
  <c r="AA1703"/>
  <c r="AC1703" s="1"/>
  <c r="Z1703"/>
  <c r="AB1703" s="1"/>
  <c r="Y1703"/>
  <c r="AA1702"/>
  <c r="AC1702" s="1"/>
  <c r="Z1702"/>
  <c r="AB1702" s="1"/>
  <c r="Y1702"/>
  <c r="AA1701"/>
  <c r="AC1701" s="1"/>
  <c r="Z1701"/>
  <c r="AB1701" s="1"/>
  <c r="Y1701"/>
  <c r="AA1700"/>
  <c r="AC1700" s="1"/>
  <c r="Z1700"/>
  <c r="AB1700" s="1"/>
  <c r="Y1700"/>
  <c r="Z1699"/>
  <c r="Y1699"/>
  <c r="N1699"/>
  <c r="M1699"/>
  <c r="AA1699" s="1"/>
  <c r="K1699"/>
  <c r="AA1698"/>
  <c r="AC1698" s="1"/>
  <c r="Z1698"/>
  <c r="Y1698"/>
  <c r="N1698"/>
  <c r="Z1697"/>
  <c r="AB1697" s="1"/>
  <c r="Y1697"/>
  <c r="M1697"/>
  <c r="AA1697" s="1"/>
  <c r="K1697"/>
  <c r="AB1696"/>
  <c r="AA1696"/>
  <c r="AC1696" s="1"/>
  <c r="Y1696"/>
  <c r="Y1695"/>
  <c r="R1695"/>
  <c r="Z1695" s="1"/>
  <c r="P1695"/>
  <c r="M1695"/>
  <c r="AA1695" s="1"/>
  <c r="AC1695" s="1"/>
  <c r="AA1694"/>
  <c r="AC1694" s="1"/>
  <c r="Z1694"/>
  <c r="Y1694"/>
  <c r="N1694"/>
  <c r="AA1693"/>
  <c r="AC1693" s="1"/>
  <c r="Z1693"/>
  <c r="Y1693"/>
  <c r="N1693"/>
  <c r="AA1692"/>
  <c r="AC1692" s="1"/>
  <c r="Z1692"/>
  <c r="Y1692"/>
  <c r="N1692"/>
  <c r="AA1691"/>
  <c r="AC1691" s="1"/>
  <c r="Z1691"/>
  <c r="Y1691"/>
  <c r="N1691"/>
  <c r="AA1690"/>
  <c r="Z1690"/>
  <c r="Y1690"/>
  <c r="N1690"/>
  <c r="K1690"/>
  <c r="Y1689"/>
  <c r="R1689"/>
  <c r="Z1689" s="1"/>
  <c r="P1689"/>
  <c r="M1689"/>
  <c r="AA1689" s="1"/>
  <c r="AC1689" s="1"/>
  <c r="AA1685"/>
  <c r="AC1685" s="1"/>
  <c r="AC1686" s="1"/>
  <c r="Z1685"/>
  <c r="AB1685" s="1"/>
  <c r="Y1685"/>
  <c r="L1684" s="1"/>
  <c r="AA1684"/>
  <c r="AC1684" s="1"/>
  <c r="Y1684"/>
  <c r="R1684"/>
  <c r="Z1684" s="1"/>
  <c r="AB1684" s="1"/>
  <c r="P1684"/>
  <c r="Z1681"/>
  <c r="Y1681"/>
  <c r="N1681"/>
  <c r="N1680" s="1"/>
  <c r="M1681"/>
  <c r="AA1681" s="1"/>
  <c r="AC1681" s="1"/>
  <c r="AC1682" s="1"/>
  <c r="L1680" s="1"/>
  <c r="Y1680"/>
  <c r="R1680"/>
  <c r="Z1680" s="1"/>
  <c r="P1680"/>
  <c r="M1680"/>
  <c r="AA1680" s="1"/>
  <c r="AC1680" s="1"/>
  <c r="Z1677"/>
  <c r="Y1677"/>
  <c r="N1677"/>
  <c r="N1676" s="1"/>
  <c r="M1677"/>
  <c r="AA1677" s="1"/>
  <c r="K1677"/>
  <c r="Y1676"/>
  <c r="R1676"/>
  <c r="Z1676" s="1"/>
  <c r="P1676"/>
  <c r="M1676"/>
  <c r="AA1676" s="1"/>
  <c r="AC1676" s="1"/>
  <c r="AD1674"/>
  <c r="AC1674"/>
  <c r="AA1673"/>
  <c r="AC1673" s="1"/>
  <c r="Y1673"/>
  <c r="R1673"/>
  <c r="Z1673" s="1"/>
  <c r="P1673"/>
  <c r="N1673"/>
  <c r="L1673"/>
  <c r="AA1670"/>
  <c r="Z1670"/>
  <c r="AB1670" s="1"/>
  <c r="Y1670"/>
  <c r="Z1669"/>
  <c r="Y1669"/>
  <c r="N1669"/>
  <c r="M1669"/>
  <c r="AA1669" s="1"/>
  <c r="AC1669" s="1"/>
  <c r="Z1668"/>
  <c r="Y1668"/>
  <c r="N1668"/>
  <c r="M1668"/>
  <c r="AA1668" s="1"/>
  <c r="AC1668" s="1"/>
  <c r="Z1667"/>
  <c r="Y1667"/>
  <c r="N1667"/>
  <c r="M1667"/>
  <c r="AA1667" s="1"/>
  <c r="AC1667" s="1"/>
  <c r="Y1666"/>
  <c r="R1666"/>
  <c r="Z1666" s="1"/>
  <c r="P1666"/>
  <c r="M1666"/>
  <c r="AA1666" s="1"/>
  <c r="AC1666" s="1"/>
  <c r="AA1663"/>
  <c r="AC1663" s="1"/>
  <c r="Z1663"/>
  <c r="AB1663" s="1"/>
  <c r="Y1663"/>
  <c r="AA1662"/>
  <c r="Z1662"/>
  <c r="Y1662"/>
  <c r="N1662"/>
  <c r="K1662"/>
  <c r="AA1661"/>
  <c r="Z1661"/>
  <c r="Y1661"/>
  <c r="N1661"/>
  <c r="K1661"/>
  <c r="AA1660"/>
  <c r="Z1660"/>
  <c r="AB1660" s="1"/>
  <c r="Y1660"/>
  <c r="K1660"/>
  <c r="AA1659"/>
  <c r="AC1659" s="1"/>
  <c r="Z1659"/>
  <c r="AB1659" s="1"/>
  <c r="Y1659"/>
  <c r="Z1658"/>
  <c r="Y1658"/>
  <c r="N1658"/>
  <c r="M1658"/>
  <c r="AA1658" s="1"/>
  <c r="AC1658" s="1"/>
  <c r="AA1657"/>
  <c r="AC1657" s="1"/>
  <c r="Z1657"/>
  <c r="AB1657" s="1"/>
  <c r="Y1657"/>
  <c r="AA1656"/>
  <c r="AC1656" s="1"/>
  <c r="Z1656"/>
  <c r="Y1656"/>
  <c r="N1656"/>
  <c r="Y1655"/>
  <c r="R1655"/>
  <c r="Z1655" s="1"/>
  <c r="P1655"/>
  <c r="M1655"/>
  <c r="AA1655" s="1"/>
  <c r="AC1655" s="1"/>
  <c r="AA1652"/>
  <c r="AC1652" s="1"/>
  <c r="Z1652"/>
  <c r="AB1652" s="1"/>
  <c r="Y1652"/>
  <c r="AA1651"/>
  <c r="Z1651"/>
  <c r="Y1651"/>
  <c r="N1651"/>
  <c r="N1650" s="1"/>
  <c r="K1651"/>
  <c r="AA1650"/>
  <c r="AC1650" s="1"/>
  <c r="Y1650"/>
  <c r="R1650"/>
  <c r="Z1650" s="1"/>
  <c r="P1650"/>
  <c r="AA1647"/>
  <c r="AC1647" s="1"/>
  <c r="Z1647"/>
  <c r="Y1647"/>
  <c r="N1647"/>
  <c r="AA1646"/>
  <c r="AC1646" s="1"/>
  <c r="Z1646"/>
  <c r="Y1646"/>
  <c r="N1646"/>
  <c r="L1645" s="1"/>
  <c r="Y1645"/>
  <c r="R1645"/>
  <c r="Z1645" s="1"/>
  <c r="P1645"/>
  <c r="M1645"/>
  <c r="AA1645" s="1"/>
  <c r="AC1645" s="1"/>
  <c r="AA1642"/>
  <c r="AC1642" s="1"/>
  <c r="AC1643" s="1"/>
  <c r="Z1642"/>
  <c r="Y1642"/>
  <c r="N1642"/>
  <c r="N1641" s="1"/>
  <c r="L1641" s="1"/>
  <c r="Y1641"/>
  <c r="R1641"/>
  <c r="Z1641" s="1"/>
  <c r="P1641"/>
  <c r="M1641"/>
  <c r="AA1641" s="1"/>
  <c r="AC1641" s="1"/>
  <c r="AA1638"/>
  <c r="AC1638" s="1"/>
  <c r="AC1639" s="1"/>
  <c r="Z1638"/>
  <c r="Y1638"/>
  <c r="N1638"/>
  <c r="N1637" s="1"/>
  <c r="L1637" s="1"/>
  <c r="AA1637"/>
  <c r="AC1637" s="1"/>
  <c r="Y1637"/>
  <c r="R1637"/>
  <c r="Z1637" s="1"/>
  <c r="P1637"/>
  <c r="Z1634"/>
  <c r="AB1634" s="1"/>
  <c r="Y1634"/>
  <c r="AA1633"/>
  <c r="Z1633"/>
  <c r="Y1633"/>
  <c r="N1633"/>
  <c r="K1633"/>
  <c r="AA1632"/>
  <c r="AC1632" s="1"/>
  <c r="Z1632"/>
  <c r="Y1632"/>
  <c r="N1632"/>
  <c r="AA1631"/>
  <c r="AC1631" s="1"/>
  <c r="Z1631"/>
  <c r="AB1631" s="1"/>
  <c r="Y1631"/>
  <c r="Z1630"/>
  <c r="Y1630"/>
  <c r="N1630"/>
  <c r="M1630"/>
  <c r="AA1630" s="1"/>
  <c r="K1630"/>
  <c r="Z1629"/>
  <c r="AB1629" s="1"/>
  <c r="Y1629"/>
  <c r="M1629"/>
  <c r="AA1629" s="1"/>
  <c r="AC1629" s="1"/>
  <c r="AA1628"/>
  <c r="Y1628"/>
  <c r="R1628"/>
  <c r="Z1628" s="1"/>
  <c r="P1628"/>
  <c r="K1628"/>
  <c r="AA1625"/>
  <c r="AC1625" s="1"/>
  <c r="Z1625"/>
  <c r="AB1625" s="1"/>
  <c r="Y1625"/>
  <c r="AA1624"/>
  <c r="AC1624" s="1"/>
  <c r="Z1624"/>
  <c r="Y1624"/>
  <c r="N1624"/>
  <c r="N1622" s="1"/>
  <c r="Z1623"/>
  <c r="AB1623" s="1"/>
  <c r="Y1623"/>
  <c r="M1623"/>
  <c r="AA1623" s="1"/>
  <c r="AC1623" s="1"/>
  <c r="AA1622"/>
  <c r="AC1622" s="1"/>
  <c r="Y1622"/>
  <c r="R1622"/>
  <c r="Z1622" s="1"/>
  <c r="P1622"/>
  <c r="AA1619"/>
  <c r="AC1619" s="1"/>
  <c r="Z1619"/>
  <c r="AB1619" s="1"/>
  <c r="Y1619"/>
  <c r="AA1618"/>
  <c r="AC1618" s="1"/>
  <c r="Z1618"/>
  <c r="Y1618"/>
  <c r="N1618"/>
  <c r="N1617" s="1"/>
  <c r="AA1617"/>
  <c r="AC1617" s="1"/>
  <c r="Y1617"/>
  <c r="R1617"/>
  <c r="Z1617" s="1"/>
  <c r="P1617"/>
  <c r="L1617"/>
  <c r="AA1614"/>
  <c r="AC1614" s="1"/>
  <c r="Z1614"/>
  <c r="AB1614" s="1"/>
  <c r="Y1614"/>
  <c r="AA1613"/>
  <c r="AC1613" s="1"/>
  <c r="Z1613"/>
  <c r="Y1613"/>
  <c r="N1613"/>
  <c r="Y1612"/>
  <c r="R1612"/>
  <c r="Z1612" s="1"/>
  <c r="P1612"/>
  <c r="M1612"/>
  <c r="AA1612" s="1"/>
  <c r="AC1612" s="1"/>
  <c r="AA1609"/>
  <c r="AC1609" s="1"/>
  <c r="Z1609"/>
  <c r="Y1609"/>
  <c r="S1609"/>
  <c r="N1609"/>
  <c r="AA1608"/>
  <c r="Z1608"/>
  <c r="Y1608"/>
  <c r="S1608"/>
  <c r="N1608"/>
  <c r="K1608"/>
  <c r="AA1607"/>
  <c r="AC1607" s="1"/>
  <c r="Z1607"/>
  <c r="Y1607"/>
  <c r="S1607"/>
  <c r="N1607"/>
  <c r="AA1606"/>
  <c r="Z1606"/>
  <c r="AB1606" s="1"/>
  <c r="Y1606"/>
  <c r="S1606"/>
  <c r="K1606"/>
  <c r="AA1605"/>
  <c r="AC1605" s="1"/>
  <c r="Z1605"/>
  <c r="Y1605"/>
  <c r="S1605"/>
  <c r="N1605"/>
  <c r="AA1604"/>
  <c r="AC1604" s="1"/>
  <c r="Z1604"/>
  <c r="Y1604"/>
  <c r="S1604"/>
  <c r="N1604"/>
  <c r="AA1603"/>
  <c r="AC1603" s="1"/>
  <c r="Z1603"/>
  <c r="AB1603" s="1"/>
  <c r="Y1603"/>
  <c r="S1603"/>
  <c r="AA1602"/>
  <c r="AC1602" s="1"/>
  <c r="Z1602"/>
  <c r="AB1602" s="1"/>
  <c r="Y1602"/>
  <c r="S1602"/>
  <c r="AA1601"/>
  <c r="AC1601" s="1"/>
  <c r="Z1601"/>
  <c r="Y1601"/>
  <c r="S1601"/>
  <c r="N1601"/>
  <c r="AA1600"/>
  <c r="AC1600" s="1"/>
  <c r="Z1600"/>
  <c r="Y1600"/>
  <c r="S1600"/>
  <c r="N1600"/>
  <c r="AA1599"/>
  <c r="AC1599" s="1"/>
  <c r="Z1599"/>
  <c r="Y1599"/>
  <c r="S1599"/>
  <c r="N1599"/>
  <c r="AA1598"/>
  <c r="AC1598" s="1"/>
  <c r="Z1598"/>
  <c r="AB1598" s="1"/>
  <c r="Y1598"/>
  <c r="S1598"/>
  <c r="AA1597"/>
  <c r="AC1597" s="1"/>
  <c r="Z1597"/>
  <c r="AB1597" s="1"/>
  <c r="Y1597"/>
  <c r="S1597"/>
  <c r="Y1596"/>
  <c r="R1596"/>
  <c r="Z1596" s="1"/>
  <c r="P1596"/>
  <c r="M1596"/>
  <c r="AA1596" s="1"/>
  <c r="AC1596" s="1"/>
  <c r="AA1593"/>
  <c r="Z1593"/>
  <c r="AB1593" s="1"/>
  <c r="Y1593"/>
  <c r="K1593"/>
  <c r="AA1592"/>
  <c r="Z1592"/>
  <c r="AB1592" s="1"/>
  <c r="Y1592"/>
  <c r="K1592"/>
  <c r="AA1591"/>
  <c r="Z1591"/>
  <c r="AB1591" s="1"/>
  <c r="K1591"/>
  <c r="AA1590"/>
  <c r="Z1590"/>
  <c r="Y1590"/>
  <c r="N1590"/>
  <c r="K1590"/>
  <c r="AA1589"/>
  <c r="Z1589"/>
  <c r="Y1589"/>
  <c r="N1589"/>
  <c r="K1589"/>
  <c r="AA1588"/>
  <c r="Z1588"/>
  <c r="Y1588"/>
  <c r="N1588"/>
  <c r="K1588"/>
  <c r="AA1587"/>
  <c r="Z1587"/>
  <c r="Y1587"/>
  <c r="N1587"/>
  <c r="K1587"/>
  <c r="AA1586"/>
  <c r="AC1586" s="1"/>
  <c r="Z1586"/>
  <c r="Y1586"/>
  <c r="N1586"/>
  <c r="AA1585"/>
  <c r="AC1585" s="1"/>
  <c r="Z1585"/>
  <c r="Y1585"/>
  <c r="N1585"/>
  <c r="AA1584"/>
  <c r="AC1584" s="1"/>
  <c r="Z1584"/>
  <c r="Y1584"/>
  <c r="N1584"/>
  <c r="AA1583"/>
  <c r="Z1583"/>
  <c r="Y1583"/>
  <c r="N1583"/>
  <c r="K1583"/>
  <c r="AA1582"/>
  <c r="Z1582"/>
  <c r="Y1582"/>
  <c r="N1582"/>
  <c r="K1582"/>
  <c r="AA1581"/>
  <c r="AC1581" s="1"/>
  <c r="Z1581"/>
  <c r="Y1581"/>
  <c r="N1581"/>
  <c r="AA1580"/>
  <c r="Z1580"/>
  <c r="Y1580"/>
  <c r="N1580"/>
  <c r="K1580"/>
  <c r="Z1579"/>
  <c r="Y1579"/>
  <c r="AA1579" s="1"/>
  <c r="N1579"/>
  <c r="K1579"/>
  <c r="Y1578"/>
  <c r="R1578"/>
  <c r="Z1578" s="1"/>
  <c r="P1578"/>
  <c r="M1578"/>
  <c r="AA1578" s="1"/>
  <c r="AC1578" s="1"/>
  <c r="Z1568"/>
  <c r="AB1568" s="1"/>
  <c r="AD1568" s="1"/>
  <c r="Y1568"/>
  <c r="AA1568" s="1"/>
  <c r="AE1567"/>
  <c r="R1567"/>
  <c r="Q1567"/>
  <c r="P1567"/>
  <c r="O1567"/>
  <c r="N1567"/>
  <c r="M1567"/>
  <c r="L1567"/>
  <c r="K1567"/>
  <c r="Z1566"/>
  <c r="AB1566" s="1"/>
  <c r="AD1566" s="1"/>
  <c r="Y1566"/>
  <c r="AA1566" s="1"/>
  <c r="AC1566" s="1"/>
  <c r="Z1565"/>
  <c r="AB1565" s="1"/>
  <c r="AD1565" s="1"/>
  <c r="Y1565"/>
  <c r="AA1565" s="1"/>
  <c r="AC1565" s="1"/>
  <c r="Z1564"/>
  <c r="AB1564" s="1"/>
  <c r="AD1564" s="1"/>
  <c r="Y1564"/>
  <c r="AA1564" s="1"/>
  <c r="AC1564" s="1"/>
  <c r="Z1563"/>
  <c r="AB1563" s="1"/>
  <c r="AD1563" s="1"/>
  <c r="Y1563"/>
  <c r="AA1563" s="1"/>
  <c r="AC1563" s="1"/>
  <c r="Z1562"/>
  <c r="Y1562"/>
  <c r="AA1562" s="1"/>
  <c r="AC1562" s="1"/>
  <c r="AE1561"/>
  <c r="R1561"/>
  <c r="Q1561"/>
  <c r="P1561"/>
  <c r="O1561"/>
  <c r="N1561"/>
  <c r="M1561"/>
  <c r="L1561"/>
  <c r="K1561"/>
  <c r="Z1560"/>
  <c r="AB1560" s="1"/>
  <c r="AD1560" s="1"/>
  <c r="Y1560"/>
  <c r="AA1560" s="1"/>
  <c r="AC1560" s="1"/>
  <c r="Z1559"/>
  <c r="AB1559" s="1"/>
  <c r="AD1559" s="1"/>
  <c r="Y1559"/>
  <c r="AA1559" s="1"/>
  <c r="AC1559" s="1"/>
  <c r="Z1558"/>
  <c r="AB1558" s="1"/>
  <c r="AD1558" s="1"/>
  <c r="Y1558"/>
  <c r="AA1558" s="1"/>
  <c r="AC1558" s="1"/>
  <c r="Z1557"/>
  <c r="AB1557" s="1"/>
  <c r="AD1557" s="1"/>
  <c r="Y1557"/>
  <c r="AA1557" s="1"/>
  <c r="AC1557" s="1"/>
  <c r="Z1556"/>
  <c r="AB1556" s="1"/>
  <c r="AD1556" s="1"/>
  <c r="Y1556"/>
  <c r="AA1556" s="1"/>
  <c r="AC1556" s="1"/>
  <c r="Z1555"/>
  <c r="AB1555" s="1"/>
  <c r="AD1555" s="1"/>
  <c r="Y1555"/>
  <c r="AA1555" s="1"/>
  <c r="AC1555" s="1"/>
  <c r="Z1554"/>
  <c r="AB1554" s="1"/>
  <c r="AD1554" s="1"/>
  <c r="Y1554"/>
  <c r="AA1554" s="1"/>
  <c r="AC1554" s="1"/>
  <c r="Z1553"/>
  <c r="AB1553" s="1"/>
  <c r="AD1553" s="1"/>
  <c r="Y1553"/>
  <c r="AA1553" s="1"/>
  <c r="AC1553" s="1"/>
  <c r="Z1552"/>
  <c r="AB1552" s="1"/>
  <c r="AD1552" s="1"/>
  <c r="Y1552"/>
  <c r="AA1552" s="1"/>
  <c r="AC1552" s="1"/>
  <c r="Z1551"/>
  <c r="AB1551" s="1"/>
  <c r="AD1551" s="1"/>
  <c r="Y1551"/>
  <c r="AA1551" s="1"/>
  <c r="AC1551" s="1"/>
  <c r="Z1550"/>
  <c r="AB1550" s="1"/>
  <c r="Y1550"/>
  <c r="Z1549"/>
  <c r="AB1549" s="1"/>
  <c r="AD1549" s="1"/>
  <c r="Y1549"/>
  <c r="AA1549" s="1"/>
  <c r="AC1549" s="1"/>
  <c r="R1548"/>
  <c r="Q1548"/>
  <c r="P1548"/>
  <c r="O1548"/>
  <c r="N1548"/>
  <c r="M1548"/>
  <c r="L1548"/>
  <c r="K1548"/>
  <c r="Z1547"/>
  <c r="AB1547" s="1"/>
  <c r="AD1547" s="1"/>
  <c r="Y1547"/>
  <c r="Z1546"/>
  <c r="AB1546" s="1"/>
  <c r="Y1546"/>
  <c r="AA1546" s="1"/>
  <c r="AC1546" s="1"/>
  <c r="R1545"/>
  <c r="Q1545"/>
  <c r="P1545"/>
  <c r="O1545"/>
  <c r="N1545"/>
  <c r="M1545"/>
  <c r="L1545"/>
  <c r="K1545"/>
  <c r="Z1544"/>
  <c r="AB1544" s="1"/>
  <c r="AD1544" s="1"/>
  <c r="Y1544"/>
  <c r="AA1544" s="1"/>
  <c r="AC1544" s="1"/>
  <c r="Z1543"/>
  <c r="AB1543" s="1"/>
  <c r="AD1543" s="1"/>
  <c r="Y1543"/>
  <c r="AA1543" s="1"/>
  <c r="AC1543" s="1"/>
  <c r="Z1542"/>
  <c r="AB1542" s="1"/>
  <c r="AD1542" s="1"/>
  <c r="Y1542"/>
  <c r="Z1541"/>
  <c r="AB1541" s="1"/>
  <c r="Y1541"/>
  <c r="AA1541" s="1"/>
  <c r="AC1541" s="1"/>
  <c r="R1540"/>
  <c r="Q1540"/>
  <c r="P1540"/>
  <c r="O1540"/>
  <c r="N1540"/>
  <c r="M1540"/>
  <c r="L1540"/>
  <c r="K1540"/>
  <c r="Z1539"/>
  <c r="AB1539" s="1"/>
  <c r="AD1539" s="1"/>
  <c r="Y1539"/>
  <c r="AA1539" s="1"/>
  <c r="AC1539" s="1"/>
  <c r="Z1538"/>
  <c r="AB1538" s="1"/>
  <c r="AD1538" s="1"/>
  <c r="Y1538"/>
  <c r="AA1538" s="1"/>
  <c r="AC1538" s="1"/>
  <c r="Z1537"/>
  <c r="AB1537" s="1"/>
  <c r="AD1537" s="1"/>
  <c r="Y1537"/>
  <c r="AA1537" s="1"/>
  <c r="AC1537" s="1"/>
  <c r="Z1536"/>
  <c r="AB1536" s="1"/>
  <c r="AD1536" s="1"/>
  <c r="Y1536"/>
  <c r="AA1536" s="1"/>
  <c r="AC1536" s="1"/>
  <c r="Z1535"/>
  <c r="AB1535" s="1"/>
  <c r="AD1535" s="1"/>
  <c r="Y1535"/>
  <c r="AA1535" s="1"/>
  <c r="AC1535" s="1"/>
  <c r="Z1534"/>
  <c r="AB1534" s="1"/>
  <c r="AD1534" s="1"/>
  <c r="Y1534"/>
  <c r="AA1534" s="1"/>
  <c r="AC1534" s="1"/>
  <c r="Z1533"/>
  <c r="AB1533" s="1"/>
  <c r="AD1533" s="1"/>
  <c r="Y1533"/>
  <c r="AA1533" s="1"/>
  <c r="AC1533" s="1"/>
  <c r="Z1532"/>
  <c r="AB1532" s="1"/>
  <c r="AD1532" s="1"/>
  <c r="Y1532"/>
  <c r="AA1532" s="1"/>
  <c r="AC1532" s="1"/>
  <c r="Z1531"/>
  <c r="AB1531" s="1"/>
  <c r="AD1531" s="1"/>
  <c r="Y1531"/>
  <c r="AA1531" s="1"/>
  <c r="AC1531" s="1"/>
  <c r="Z1530"/>
  <c r="AB1530" s="1"/>
  <c r="AD1530" s="1"/>
  <c r="Y1530"/>
  <c r="AA1530" s="1"/>
  <c r="AC1530" s="1"/>
  <c r="Z1529"/>
  <c r="AB1529" s="1"/>
  <c r="Y1529"/>
  <c r="AA1529" s="1"/>
  <c r="AC1529" s="1"/>
  <c r="R1528"/>
  <c r="Q1528"/>
  <c r="P1528"/>
  <c r="O1528"/>
  <c r="N1528"/>
  <c r="M1528"/>
  <c r="L1528"/>
  <c r="K1528"/>
  <c r="Z1527"/>
  <c r="AB1527" s="1"/>
  <c r="AD1527" s="1"/>
  <c r="Y1527"/>
  <c r="AA1527" s="1"/>
  <c r="K1527"/>
  <c r="Z1526"/>
  <c r="AB1526" s="1"/>
  <c r="AD1526" s="1"/>
  <c r="Y1526"/>
  <c r="AA1526" s="1"/>
  <c r="K1526"/>
  <c r="Z1525"/>
  <c r="AB1525" s="1"/>
  <c r="AD1525" s="1"/>
  <c r="Y1525"/>
  <c r="AA1525" s="1"/>
  <c r="AC1525" s="1"/>
  <c r="Z1524"/>
  <c r="AB1524" s="1"/>
  <c r="AD1524" s="1"/>
  <c r="Y1524"/>
  <c r="AA1524" s="1"/>
  <c r="AC1524" s="1"/>
  <c r="Z1523"/>
  <c r="AB1523" s="1"/>
  <c r="AD1523" s="1"/>
  <c r="Y1523"/>
  <c r="AA1523" s="1"/>
  <c r="AC1523" s="1"/>
  <c r="Z1522"/>
  <c r="AB1522" s="1"/>
  <c r="AD1522" s="1"/>
  <c r="Y1522"/>
  <c r="AA1522" s="1"/>
  <c r="AC1522" s="1"/>
  <c r="Z1516"/>
  <c r="L1516"/>
  <c r="Z1515"/>
  <c r="AB1515" s="1"/>
  <c r="P1515"/>
  <c r="L1515"/>
  <c r="M1515" s="1"/>
  <c r="AA1515" s="1"/>
  <c r="AC1515" s="1"/>
  <c r="Z1514"/>
  <c r="AB1514" s="1"/>
  <c r="P1514"/>
  <c r="L1514"/>
  <c r="Q1514" s="1"/>
  <c r="Z1513"/>
  <c r="AB1513" s="1"/>
  <c r="P1513"/>
  <c r="L1513"/>
  <c r="Q1513" s="1"/>
  <c r="Z1512"/>
  <c r="AB1512" s="1"/>
  <c r="L1512"/>
  <c r="O1512" s="1"/>
  <c r="Z1511"/>
  <c r="L1511"/>
  <c r="O1511" s="1"/>
  <c r="Z1510"/>
  <c r="L1510"/>
  <c r="O1510" s="1"/>
  <c r="Z1509"/>
  <c r="L1509"/>
  <c r="O1509" s="1"/>
  <c r="Z1508"/>
  <c r="AB1508" s="1"/>
  <c r="L1508"/>
  <c r="O1508" s="1"/>
  <c r="Z1507"/>
  <c r="L1507"/>
  <c r="O1507" s="1"/>
  <c r="Z1506"/>
  <c r="P1506"/>
  <c r="L1506"/>
  <c r="Q1506" s="1"/>
  <c r="Z1505"/>
  <c r="AB1505" s="1"/>
  <c r="P1505"/>
  <c r="L1505"/>
  <c r="Q1505" s="1"/>
  <c r="Z1504"/>
  <c r="L1504"/>
  <c r="O1504" s="1"/>
  <c r="Z1503"/>
  <c r="AB1503" s="1"/>
  <c r="P1503"/>
  <c r="L1503"/>
  <c r="Q1503" s="1"/>
  <c r="Z1502"/>
  <c r="AB1502" s="1"/>
  <c r="P1502"/>
  <c r="L1502"/>
  <c r="Q1502" s="1"/>
  <c r="Z1501"/>
  <c r="AB1501" s="1"/>
  <c r="L1501"/>
  <c r="M1501" s="1"/>
  <c r="AA1501" s="1"/>
  <c r="AC1501" s="1"/>
  <c r="Z1500"/>
  <c r="AB1500" s="1"/>
  <c r="L1500"/>
  <c r="O1500" s="1"/>
  <c r="Z1499"/>
  <c r="AB1499" s="1"/>
  <c r="P1499"/>
  <c r="L1499"/>
  <c r="M1499" s="1"/>
  <c r="AA1499" s="1"/>
  <c r="AC1499" s="1"/>
  <c r="Z1498"/>
  <c r="AB1498" s="1"/>
  <c r="P1498"/>
  <c r="L1498"/>
  <c r="Q1498" s="1"/>
  <c r="Z1497"/>
  <c r="AB1497" s="1"/>
  <c r="P1497"/>
  <c r="L1497"/>
  <c r="Q1497" s="1"/>
  <c r="Z1496"/>
  <c r="AB1496" s="1"/>
  <c r="L1496"/>
  <c r="O1496" s="1"/>
  <c r="Z1495"/>
  <c r="AB1495" s="1"/>
  <c r="P1495"/>
  <c r="L1495"/>
  <c r="Q1495" s="1"/>
  <c r="Z1494"/>
  <c r="AB1494" s="1"/>
  <c r="P1494"/>
  <c r="L1494"/>
  <c r="Q1494" s="1"/>
  <c r="Z1493"/>
  <c r="P1493"/>
  <c r="L1493"/>
  <c r="Q1493" s="1"/>
  <c r="R1492"/>
  <c r="AC1491"/>
  <c r="AC1490" s="1"/>
  <c r="AB1491"/>
  <c r="AB1490" s="1"/>
  <c r="L1491"/>
  <c r="O1491" s="1"/>
  <c r="O1490" s="1"/>
  <c r="AA1490"/>
  <c r="Z1490"/>
  <c r="Y1490"/>
  <c r="X1490"/>
  <c r="W1490"/>
  <c r="V1490"/>
  <c r="U1490"/>
  <c r="T1490"/>
  <c r="R1490"/>
  <c r="Q1490"/>
  <c r="P1490"/>
  <c r="N1490"/>
  <c r="AC1489"/>
  <c r="AB1489"/>
  <c r="P1489"/>
  <c r="Q1489" s="1"/>
  <c r="L1489"/>
  <c r="Y1488"/>
  <c r="W1488"/>
  <c r="U1488"/>
  <c r="R1488"/>
  <c r="N1488"/>
  <c r="AE1487"/>
  <c r="AE1491" s="1"/>
  <c r="AE1493" s="1"/>
  <c r="AE1494" s="1"/>
  <c r="AE1495" s="1"/>
  <c r="AE1498" s="1"/>
  <c r="AE1499" s="1"/>
  <c r="AE1496" s="1"/>
  <c r="AE1505" s="1"/>
  <c r="AE1500" s="1"/>
  <c r="AE1497" s="1"/>
  <c r="AE1506" s="1"/>
  <c r="AE1501" s="1"/>
  <c r="AE1502" s="1"/>
  <c r="AE1503" s="1"/>
  <c r="AB1487"/>
  <c r="Y1487"/>
  <c r="AA1487" s="1"/>
  <c r="AC1487" s="1"/>
  <c r="L1487"/>
  <c r="L1486" s="1"/>
  <c r="W1486"/>
  <c r="U1486"/>
  <c r="S1486"/>
  <c r="Q1486"/>
  <c r="P1486"/>
  <c r="N1486"/>
  <c r="M1486"/>
  <c r="R1485"/>
  <c r="Z1485" s="1"/>
  <c r="P1485"/>
  <c r="L1485"/>
  <c r="M1485" s="1"/>
  <c r="R1484"/>
  <c r="Z1484" s="1"/>
  <c r="P1484"/>
  <c r="L1484"/>
  <c r="R1483"/>
  <c r="Z1483" s="1"/>
  <c r="P1483"/>
  <c r="L1483"/>
  <c r="Z1482"/>
  <c r="N1482"/>
  <c r="L1482"/>
  <c r="O1482" s="1"/>
  <c r="R1481"/>
  <c r="Z1481" s="1"/>
  <c r="P1481"/>
  <c r="N1481"/>
  <c r="L1481"/>
  <c r="N1480"/>
  <c r="AB1480" s="1"/>
  <c r="L1480"/>
  <c r="O1480" s="1"/>
  <c r="AB1479"/>
  <c r="AD1479" s="1"/>
  <c r="O1479"/>
  <c r="M1479"/>
  <c r="AA1479" s="1"/>
  <c r="AC1479" s="1"/>
  <c r="Z1478"/>
  <c r="AB1478" s="1"/>
  <c r="AD1478" s="1"/>
  <c r="O1478"/>
  <c r="M1478"/>
  <c r="AA1478" s="1"/>
  <c r="AC1478" s="1"/>
  <c r="Z1477"/>
  <c r="AB1477" s="1"/>
  <c r="AD1477" s="1"/>
  <c r="O1477"/>
  <c r="M1477"/>
  <c r="AA1477" s="1"/>
  <c r="AC1477" s="1"/>
  <c r="Z1476"/>
  <c r="AB1476" s="1"/>
  <c r="AD1476" s="1"/>
  <c r="O1476"/>
  <c r="M1476"/>
  <c r="AA1476" s="1"/>
  <c r="AC1476" s="1"/>
  <c r="AE1475"/>
  <c r="AE1476" s="1"/>
  <c r="AE1477" s="1"/>
  <c r="AE1478" s="1"/>
  <c r="AE1479" s="1"/>
  <c r="AE1480" s="1"/>
  <c r="AE1481" s="1"/>
  <c r="AE1482" s="1"/>
  <c r="AE1483" s="1"/>
  <c r="AE1484" s="1"/>
  <c r="AE1485" s="1"/>
  <c r="Z1475"/>
  <c r="AB1475" s="1"/>
  <c r="AD1475" s="1"/>
  <c r="O1475"/>
  <c r="M1475"/>
  <c r="AA1475" s="1"/>
  <c r="AC1475" s="1"/>
  <c r="Z1474"/>
  <c r="AB1474" s="1"/>
  <c r="AD1474" s="1"/>
  <c r="O1474"/>
  <c r="M1474"/>
  <c r="AA1474" s="1"/>
  <c r="AC1474" s="1"/>
  <c r="Z1473"/>
  <c r="AB1473" s="1"/>
  <c r="AD1473" s="1"/>
  <c r="O1473"/>
  <c r="M1473"/>
  <c r="AA1473" s="1"/>
  <c r="AC1473" s="1"/>
  <c r="Z1472"/>
  <c r="AB1472" s="1"/>
  <c r="AD1472" s="1"/>
  <c r="O1472"/>
  <c r="M1472"/>
  <c r="AA1472" s="1"/>
  <c r="AC1472" s="1"/>
  <c r="Z1471"/>
  <c r="AB1471" s="1"/>
  <c r="O1471"/>
  <c r="M1471"/>
  <c r="AA1471" s="1"/>
  <c r="Z1469"/>
  <c r="AB1469" s="1"/>
  <c r="P1469"/>
  <c r="L1469"/>
  <c r="M1469" s="1"/>
  <c r="Z1468"/>
  <c r="AB1468" s="1"/>
  <c r="P1468"/>
  <c r="L1468"/>
  <c r="M1468" s="1"/>
  <c r="Z1467"/>
  <c r="AB1467" s="1"/>
  <c r="P1467"/>
  <c r="L1467"/>
  <c r="M1467" s="1"/>
  <c r="Z1466"/>
  <c r="AB1466" s="1"/>
  <c r="P1466"/>
  <c r="L1466"/>
  <c r="M1466" s="1"/>
  <c r="Z1465"/>
  <c r="AB1465" s="1"/>
  <c r="P1465"/>
  <c r="L1465"/>
  <c r="M1465" s="1"/>
  <c r="Z1464"/>
  <c r="P1464"/>
  <c r="L1464"/>
  <c r="M1464" s="1"/>
  <c r="Z1463"/>
  <c r="P1463"/>
  <c r="L1463"/>
  <c r="M1463" s="1"/>
  <c r="Z1462"/>
  <c r="Y1462" s="1"/>
  <c r="P1462"/>
  <c r="L1462"/>
  <c r="M1462" s="1"/>
  <c r="Z1461"/>
  <c r="P1461"/>
  <c r="L1461"/>
  <c r="M1461" s="1"/>
  <c r="R1460"/>
  <c r="Z1460" s="1"/>
  <c r="P1460"/>
  <c r="L1460"/>
  <c r="AE1459"/>
  <c r="AE1460" s="1"/>
  <c r="AE1461" s="1"/>
  <c r="AE1462" s="1"/>
  <c r="AE1463" s="1"/>
  <c r="AE1464" s="1"/>
  <c r="AE1465" s="1"/>
  <c r="AE1466" s="1"/>
  <c r="AE1467" s="1"/>
  <c r="Z1459"/>
  <c r="Y1459" s="1"/>
  <c r="P1459"/>
  <c r="Q1459" s="1"/>
  <c r="N1459"/>
  <c r="L1459"/>
  <c r="X1458"/>
  <c r="W1458"/>
  <c r="V1458"/>
  <c r="U1458"/>
  <c r="T1458"/>
  <c r="S1458"/>
  <c r="Y1450"/>
  <c r="Z1449"/>
  <c r="AB1449" s="1"/>
  <c r="AD1449" s="1"/>
  <c r="Y1449"/>
  <c r="AA1449" s="1"/>
  <c r="AC1449" s="1"/>
  <c r="Z1448"/>
  <c r="AB1448" s="1"/>
  <c r="AD1448" s="1"/>
  <c r="Y1448"/>
  <c r="AA1448" s="1"/>
  <c r="AC1448" s="1"/>
  <c r="Z1447"/>
  <c r="AB1447" s="1"/>
  <c r="AD1447" s="1"/>
  <c r="Y1447"/>
  <c r="AA1447" s="1"/>
  <c r="AC1447" s="1"/>
  <c r="Z1446"/>
  <c r="AB1446" s="1"/>
  <c r="AD1446" s="1"/>
  <c r="Y1446"/>
  <c r="AA1446" s="1"/>
  <c r="AC1446" s="1"/>
  <c r="Z1445"/>
  <c r="Z1444"/>
  <c r="Z1443"/>
  <c r="AB1443" s="1"/>
  <c r="AD1443" s="1"/>
  <c r="Y1443"/>
  <c r="AA1443" s="1"/>
  <c r="AC1443" s="1"/>
  <c r="Z1442"/>
  <c r="AB1442" s="1"/>
  <c r="AD1442" s="1"/>
  <c r="Y1442"/>
  <c r="AA1442" s="1"/>
  <c r="AC1442" s="1"/>
  <c r="Z1441"/>
  <c r="AB1441" s="1"/>
  <c r="AD1441" s="1"/>
  <c r="Y1441"/>
  <c r="AA1441" s="1"/>
  <c r="AC1441" s="1"/>
  <c r="Z1440"/>
  <c r="AB1440" s="1"/>
  <c r="AD1440" s="1"/>
  <c r="Y1440"/>
  <c r="AA1440" s="1"/>
  <c r="AC1440" s="1"/>
  <c r="Z1439"/>
  <c r="AB1439" s="1"/>
  <c r="AD1439" s="1"/>
  <c r="Y1439"/>
  <c r="AA1439" s="1"/>
  <c r="AC1439" s="1"/>
  <c r="Z1438"/>
  <c r="AB1438" s="1"/>
  <c r="AD1438" s="1"/>
  <c r="Y1438"/>
  <c r="AA1438" s="1"/>
  <c r="AC1438" s="1"/>
  <c r="Z1437"/>
  <c r="AB1437" s="1"/>
  <c r="AD1437" s="1"/>
  <c r="Z1436"/>
  <c r="AB1436" s="1"/>
  <c r="AD1436" s="1"/>
  <c r="Y1436"/>
  <c r="AA1436" s="1"/>
  <c r="AC1436" s="1"/>
  <c r="Z1435"/>
  <c r="AB1435" s="1"/>
  <c r="AD1435" s="1"/>
  <c r="Y1435"/>
  <c r="AA1435" s="1"/>
  <c r="AC1435" s="1"/>
  <c r="Z1434"/>
  <c r="AB1434" s="1"/>
  <c r="AD1434" s="1"/>
  <c r="Y1434"/>
  <c r="AA1434" s="1"/>
  <c r="AC1434" s="1"/>
  <c r="Z1433"/>
  <c r="AB1433" s="1"/>
  <c r="AD1433" s="1"/>
  <c r="Y1433"/>
  <c r="AA1433" s="1"/>
  <c r="AC1433" s="1"/>
  <c r="Z1432"/>
  <c r="AB1432" s="1"/>
  <c r="AD1432" s="1"/>
  <c r="Y1432"/>
  <c r="AA1432" s="1"/>
  <c r="AC1432" s="1"/>
  <c r="Z1431"/>
  <c r="AB1431" s="1"/>
  <c r="AD1431" s="1"/>
  <c r="Y1431"/>
  <c r="AA1431" s="1"/>
  <c r="AC1431" s="1"/>
  <c r="Z1430"/>
  <c r="AB1430" s="1"/>
  <c r="AD1430" s="1"/>
  <c r="Y1430"/>
  <c r="AA1430" s="1"/>
  <c r="AC1430" s="1"/>
  <c r="Z1429"/>
  <c r="AB1429" s="1"/>
  <c r="AD1429" s="1"/>
  <c r="Y1429"/>
  <c r="AA1429" s="1"/>
  <c r="AC1429" s="1"/>
  <c r="Z1428"/>
  <c r="AB1428" s="1"/>
  <c r="AD1428" s="1"/>
  <c r="Y1428"/>
  <c r="AA1428" s="1"/>
  <c r="AC1428" s="1"/>
  <c r="AB1427"/>
  <c r="AD1427" s="1"/>
  <c r="Z1427"/>
  <c r="Y1427"/>
  <c r="AA1427" s="1"/>
  <c r="AC1427" s="1"/>
  <c r="Z1426"/>
  <c r="AB1426" s="1"/>
  <c r="AD1426" s="1"/>
  <c r="Y1426"/>
  <c r="AA1426" s="1"/>
  <c r="AC1426" s="1"/>
  <c r="Z1425"/>
  <c r="AB1425" s="1"/>
  <c r="AD1425" s="1"/>
  <c r="Y1425"/>
  <c r="AA1425" s="1"/>
  <c r="AC1425" s="1"/>
  <c r="Z1424"/>
  <c r="AB1424" s="1"/>
  <c r="AD1424" s="1"/>
  <c r="Y1424"/>
  <c r="AA1424" s="1"/>
  <c r="AC1424" s="1"/>
  <c r="Z1423"/>
  <c r="AB1423" s="1"/>
  <c r="AD1423" s="1"/>
  <c r="Y1423"/>
  <c r="AA1423" s="1"/>
  <c r="AC1423" s="1"/>
  <c r="Z1422"/>
  <c r="AB1422" s="1"/>
  <c r="AD1422" s="1"/>
  <c r="Y1422"/>
  <c r="AA1422" s="1"/>
  <c r="AC1422" s="1"/>
  <c r="Z1421"/>
  <c r="AB1421" s="1"/>
  <c r="AD1421" s="1"/>
  <c r="Y1421"/>
  <c r="AA1421" s="1"/>
  <c r="AC1421" s="1"/>
  <c r="Z1420"/>
  <c r="AB1420" s="1"/>
  <c r="AD1420" s="1"/>
  <c r="Y1420"/>
  <c r="AA1420" s="1"/>
  <c r="AC1420" s="1"/>
  <c r="Z1419"/>
  <c r="AB1419" s="1"/>
  <c r="AD1419" s="1"/>
  <c r="Y1419"/>
  <c r="AA1419" s="1"/>
  <c r="AC1419" s="1"/>
  <c r="Z1418"/>
  <c r="AB1418" s="1"/>
  <c r="AD1418" s="1"/>
  <c r="Y1418"/>
  <c r="AA1418" s="1"/>
  <c r="AC1418" s="1"/>
  <c r="Z1417"/>
  <c r="AB1417" s="1"/>
  <c r="AD1417" s="1"/>
  <c r="Y1417"/>
  <c r="AA1417" s="1"/>
  <c r="AC1417" s="1"/>
  <c r="Z1416"/>
  <c r="AB1416" s="1"/>
  <c r="AD1416" s="1"/>
  <c r="Y1416"/>
  <c r="AA1416" s="1"/>
  <c r="AC1416" s="1"/>
  <c r="Z1415"/>
  <c r="AB1415" s="1"/>
  <c r="AD1415" s="1"/>
  <c r="Y1415"/>
  <c r="AA1415" s="1"/>
  <c r="AC1415" s="1"/>
  <c r="Z1414"/>
  <c r="AB1414" s="1"/>
  <c r="AD1414" s="1"/>
  <c r="Y1414"/>
  <c r="AA1414" s="1"/>
  <c r="AC1414" s="1"/>
  <c r="Z1413"/>
  <c r="AB1413" s="1"/>
  <c r="AD1413" s="1"/>
  <c r="Y1413"/>
  <c r="AA1413" s="1"/>
  <c r="AC1413" s="1"/>
  <c r="Z1412"/>
  <c r="AB1412" s="1"/>
  <c r="AD1412" s="1"/>
  <c r="Y1412"/>
  <c r="AA1412" s="1"/>
  <c r="AC1412" s="1"/>
  <c r="Z1411"/>
  <c r="AB1411" s="1"/>
  <c r="AD1411" s="1"/>
  <c r="Y1411"/>
  <c r="AA1411" s="1"/>
  <c r="AC1411" s="1"/>
  <c r="Z1410"/>
  <c r="AB1410" s="1"/>
  <c r="AD1410" s="1"/>
  <c r="Y1410"/>
  <c r="AA1410" s="1"/>
  <c r="AC1410" s="1"/>
  <c r="Z1409"/>
  <c r="AB1409" s="1"/>
  <c r="AD1409" s="1"/>
  <c r="Y1409"/>
  <c r="AA1409" s="1"/>
  <c r="AC1409" s="1"/>
  <c r="Z1408"/>
  <c r="AB1408" s="1"/>
  <c r="AD1408" s="1"/>
  <c r="Y1408"/>
  <c r="AA1408" s="1"/>
  <c r="AC1408" s="1"/>
  <c r="Z1407"/>
  <c r="AB1407" s="1"/>
  <c r="AD1407" s="1"/>
  <c r="Y1407"/>
  <c r="AA1407" s="1"/>
  <c r="AC1407" s="1"/>
  <c r="Z1406"/>
  <c r="AB1406" s="1"/>
  <c r="AD1406" s="1"/>
  <c r="Y1406"/>
  <c r="AA1406" s="1"/>
  <c r="AC1406" s="1"/>
  <c r="Z1405"/>
  <c r="AB1405" s="1"/>
  <c r="AD1405" s="1"/>
  <c r="Y1405"/>
  <c r="AA1405" s="1"/>
  <c r="AC1405" s="1"/>
  <c r="Z1404"/>
  <c r="AB1404" s="1"/>
  <c r="AD1404" s="1"/>
  <c r="Y1404"/>
  <c r="AA1404" s="1"/>
  <c r="AC1404" s="1"/>
  <c r="Z1403"/>
  <c r="AB1403" s="1"/>
  <c r="AD1403" s="1"/>
  <c r="Y1403"/>
  <c r="AA1403" s="1"/>
  <c r="AC1403" s="1"/>
  <c r="Z1402"/>
  <c r="AB1402" s="1"/>
  <c r="AD1402" s="1"/>
  <c r="Y1402"/>
  <c r="AA1402" s="1"/>
  <c r="AC1402" s="1"/>
  <c r="Z1401"/>
  <c r="AB1401" s="1"/>
  <c r="AD1401" s="1"/>
  <c r="Y1401"/>
  <c r="AA1401" s="1"/>
  <c r="AC1401" s="1"/>
  <c r="Z1400"/>
  <c r="AB1400" s="1"/>
  <c r="AD1400" s="1"/>
  <c r="Y1400"/>
  <c r="AA1400" s="1"/>
  <c r="AC1400" s="1"/>
  <c r="Z1399"/>
  <c r="AB1399" s="1"/>
  <c r="AD1399" s="1"/>
  <c r="Y1399"/>
  <c r="AA1399" s="1"/>
  <c r="AC1399" s="1"/>
  <c r="Z1393"/>
  <c r="AB1393" s="1"/>
  <c r="AD1393" s="1"/>
  <c r="Y1393"/>
  <c r="AA1393" s="1"/>
  <c r="AC1393" s="1"/>
  <c r="P1391"/>
  <c r="N1391"/>
  <c r="L1391"/>
  <c r="AB1389"/>
  <c r="AD1389" s="1"/>
  <c r="AA1389"/>
  <c r="AC1389" s="1"/>
  <c r="P1387"/>
  <c r="N1387"/>
  <c r="L1387"/>
  <c r="Z1385"/>
  <c r="AB1385" s="1"/>
  <c r="AD1385" s="1"/>
  <c r="Y1385"/>
  <c r="AA1385" s="1"/>
  <c r="AC1385" s="1"/>
  <c r="P1383"/>
  <c r="N1383"/>
  <c r="L1383"/>
  <c r="Z1381"/>
  <c r="AB1381" s="1"/>
  <c r="AD1381" s="1"/>
  <c r="Y1381"/>
  <c r="AA1381" s="1"/>
  <c r="AC1381" s="1"/>
  <c r="Z1380"/>
  <c r="AB1380" s="1"/>
  <c r="AD1380" s="1"/>
  <c r="Y1380"/>
  <c r="AA1380" s="1"/>
  <c r="AC1380" s="1"/>
  <c r="Z1379"/>
  <c r="AB1379" s="1"/>
  <c r="AD1379" s="1"/>
  <c r="Y1379"/>
  <c r="AA1379" s="1"/>
  <c r="AC1379" s="1"/>
  <c r="Z1378"/>
  <c r="Y1378"/>
  <c r="Z1377"/>
  <c r="AB1377" s="1"/>
  <c r="AD1377" s="1"/>
  <c r="Y1377"/>
  <c r="AA1377" s="1"/>
  <c r="AC1377" s="1"/>
  <c r="Z1376"/>
  <c r="AB1376" s="1"/>
  <c r="Z1375"/>
  <c r="P1375"/>
  <c r="N1375"/>
  <c r="L1375"/>
  <c r="Z1374"/>
  <c r="AB1374" s="1"/>
  <c r="Z1373"/>
  <c r="AB1373" s="1"/>
  <c r="Y1373"/>
  <c r="AA1373" s="1"/>
  <c r="Z1372"/>
  <c r="AB1372" s="1"/>
  <c r="AD1372" s="1"/>
  <c r="Y1372"/>
  <c r="AA1372" s="1"/>
  <c r="AC1372" s="1"/>
  <c r="Z1371"/>
  <c r="AB1371" s="1"/>
  <c r="AD1371" s="1"/>
  <c r="Y1371"/>
  <c r="AA1371" s="1"/>
  <c r="AC1371" s="1"/>
  <c r="Z1370"/>
  <c r="AB1370" s="1"/>
  <c r="AD1370" s="1"/>
  <c r="Y1370"/>
  <c r="AA1370" s="1"/>
  <c r="AC1370" s="1"/>
  <c r="AB1369"/>
  <c r="AD1369" s="1"/>
  <c r="AA1369"/>
  <c r="AC1369" s="1"/>
  <c r="Z1368"/>
  <c r="AB1368" s="1"/>
  <c r="AD1368" s="1"/>
  <c r="Y1368"/>
  <c r="AA1368" s="1"/>
  <c r="AC1368" s="1"/>
  <c r="Z1367"/>
  <c r="AB1367" s="1"/>
  <c r="Y1367"/>
  <c r="AA1367" s="1"/>
  <c r="AC1367" s="1"/>
  <c r="Z1366"/>
  <c r="AB1366" s="1"/>
  <c r="AD1366" s="1"/>
  <c r="Y1366"/>
  <c r="AA1366" s="1"/>
  <c r="AC1366" s="1"/>
  <c r="R1364"/>
  <c r="R1450" s="1"/>
  <c r="P1364"/>
  <c r="N1364"/>
  <c r="L1364"/>
  <c r="Z1363"/>
  <c r="AB1363" s="1"/>
  <c r="Y1363"/>
  <c r="AA1363" s="1"/>
  <c r="Z1362"/>
  <c r="AB1362" s="1"/>
  <c r="AD1362" s="1"/>
  <c r="Y1362"/>
  <c r="AA1362" s="1"/>
  <c r="AC1362" s="1"/>
  <c r="Z1361"/>
  <c r="AB1361" s="1"/>
  <c r="AD1361" s="1"/>
  <c r="Y1361"/>
  <c r="AA1361" s="1"/>
  <c r="AC1361" s="1"/>
  <c r="Z1360"/>
  <c r="AB1360" s="1"/>
  <c r="AD1360" s="1"/>
  <c r="Y1360"/>
  <c r="AA1360" s="1"/>
  <c r="AC1360" s="1"/>
  <c r="Z1359"/>
  <c r="AB1359" s="1"/>
  <c r="AD1359" s="1"/>
  <c r="Y1359"/>
  <c r="AA1359" s="1"/>
  <c r="AC1359" s="1"/>
  <c r="Z1358"/>
  <c r="AB1358" s="1"/>
  <c r="AD1358" s="1"/>
  <c r="Y1358"/>
  <c r="AA1358" s="1"/>
  <c r="AC1358" s="1"/>
  <c r="AA1357"/>
  <c r="AC1357" s="1"/>
  <c r="Z1357"/>
  <c r="AB1357" s="1"/>
  <c r="AD1357" s="1"/>
  <c r="Z1356"/>
  <c r="AB1356" s="1"/>
  <c r="AD1356" s="1"/>
  <c r="Y1356"/>
  <c r="AA1356" s="1"/>
  <c r="AC1356" s="1"/>
  <c r="Z1355"/>
  <c r="AB1355" s="1"/>
  <c r="AD1355" s="1"/>
  <c r="Y1355"/>
  <c r="AA1355" s="1"/>
  <c r="AC1355" s="1"/>
  <c r="Z1354"/>
  <c r="AB1354" s="1"/>
  <c r="AD1354" s="1"/>
  <c r="Y1354"/>
  <c r="AA1354" s="1"/>
  <c r="AC1354" s="1"/>
  <c r="AA1353"/>
  <c r="AC1353" s="1"/>
  <c r="Z1353"/>
  <c r="AB1353" s="1"/>
  <c r="AD1353" s="1"/>
  <c r="Z1352"/>
  <c r="Y1352"/>
  <c r="AA1352" s="1"/>
  <c r="AC1352" s="1"/>
  <c r="R1351"/>
  <c r="Z1351" s="1"/>
  <c r="P1351"/>
  <c r="N1351"/>
  <c r="L1351"/>
  <c r="AU1340"/>
  <c r="V1338"/>
  <c r="T1338"/>
  <c r="T1336" s="1"/>
  <c r="R1338"/>
  <c r="P1338"/>
  <c r="W1338" s="1"/>
  <c r="N1338"/>
  <c r="L1338"/>
  <c r="R1337"/>
  <c r="Z1337" s="1"/>
  <c r="P1337"/>
  <c r="W1337" s="1"/>
  <c r="N1337"/>
  <c r="L1337"/>
  <c r="X1336"/>
  <c r="O1336"/>
  <c r="M1336"/>
  <c r="L1336"/>
  <c r="K1336"/>
  <c r="Y1334"/>
  <c r="AA1334" s="1"/>
  <c r="AC1334" s="1"/>
  <c r="L1334"/>
  <c r="AB1333"/>
  <c r="Y1333"/>
  <c r="AA1333" s="1"/>
  <c r="AC1333" s="1"/>
  <c r="L1333"/>
  <c r="Y1332"/>
  <c r="AA1332" s="1"/>
  <c r="AC1332" s="1"/>
  <c r="L1332"/>
  <c r="Y1331"/>
  <c r="AA1331" s="1"/>
  <c r="AC1331" s="1"/>
  <c r="L1331"/>
  <c r="Y1330"/>
  <c r="AA1330" s="1"/>
  <c r="AC1330" s="1"/>
  <c r="L1330"/>
  <c r="Y1329"/>
  <c r="AA1329" s="1"/>
  <c r="AC1329" s="1"/>
  <c r="L1329"/>
  <c r="T1328"/>
  <c r="R1328"/>
  <c r="P1328"/>
  <c r="U1328" s="1"/>
  <c r="N1328"/>
  <c r="L1328"/>
  <c r="R1327"/>
  <c r="Z1327" s="1"/>
  <c r="P1327"/>
  <c r="S1327" s="1"/>
  <c r="N1327"/>
  <c r="L1327"/>
  <c r="R1326"/>
  <c r="P1326"/>
  <c r="U1326" s="1"/>
  <c r="N1326"/>
  <c r="L1326"/>
  <c r="Y1325"/>
  <c r="AA1325" s="1"/>
  <c r="AC1325" s="1"/>
  <c r="L1325"/>
  <c r="AB1324"/>
  <c r="Y1324"/>
  <c r="AA1324" s="1"/>
  <c r="AC1324" s="1"/>
  <c r="L1324"/>
  <c r="Y1323"/>
  <c r="AA1323" s="1"/>
  <c r="AC1323" s="1"/>
  <c r="L1323"/>
  <c r="Y1322"/>
  <c r="AA1322" s="1"/>
  <c r="AC1322" s="1"/>
  <c r="L1322"/>
  <c r="R1321"/>
  <c r="Z1321" s="1"/>
  <c r="P1321"/>
  <c r="U1321" s="1"/>
  <c r="N1321"/>
  <c r="L1321"/>
  <c r="R1320"/>
  <c r="Z1320" s="1"/>
  <c r="P1320"/>
  <c r="W1320" s="1"/>
  <c r="N1320"/>
  <c r="L1320"/>
  <c r="R1319"/>
  <c r="Z1319" s="1"/>
  <c r="P1319"/>
  <c r="W1319" s="1"/>
  <c r="N1319"/>
  <c r="R1318"/>
  <c r="Z1318" s="1"/>
  <c r="P1318"/>
  <c r="S1318" s="1"/>
  <c r="N1318"/>
  <c r="L1318"/>
  <c r="X1317"/>
  <c r="V1317"/>
  <c r="T1317"/>
  <c r="Q1317"/>
  <c r="O1317"/>
  <c r="M1317"/>
  <c r="K1317"/>
  <c r="Y1316"/>
  <c r="AA1316" s="1"/>
  <c r="AC1316" s="1"/>
  <c r="R1316"/>
  <c r="R1315" s="1"/>
  <c r="N1316"/>
  <c r="AB1316" s="1"/>
  <c r="L1316"/>
  <c r="L1315" s="1"/>
  <c r="Y1315"/>
  <c r="AA1315" s="1"/>
  <c r="AC1315" s="1"/>
  <c r="X1315"/>
  <c r="V1315"/>
  <c r="T1315"/>
  <c r="P1315"/>
  <c r="AB1314"/>
  <c r="AD1314" s="1"/>
  <c r="Y1314"/>
  <c r="AA1314" s="1"/>
  <c r="AC1314" s="1"/>
  <c r="Y1313"/>
  <c r="AA1313" s="1"/>
  <c r="AC1313" s="1"/>
  <c r="L1313"/>
  <c r="AB1312"/>
  <c r="Y1312"/>
  <c r="AA1312" s="1"/>
  <c r="R1312"/>
  <c r="R1311" s="1"/>
  <c r="L1312"/>
  <c r="X1311"/>
  <c r="W1311"/>
  <c r="V1311"/>
  <c r="U1311"/>
  <c r="T1311"/>
  <c r="S1311"/>
  <c r="Q1311"/>
  <c r="P1311"/>
  <c r="O1311"/>
  <c r="N1311"/>
  <c r="AB1311" s="1"/>
  <c r="M1311"/>
  <c r="L1311"/>
  <c r="K1311"/>
  <c r="Z1310"/>
  <c r="AB1310" s="1"/>
  <c r="AD1310" s="1"/>
  <c r="Y1310"/>
  <c r="AA1310" s="1"/>
  <c r="AC1310" s="1"/>
  <c r="L1310"/>
  <c r="Z1309"/>
  <c r="AB1309" s="1"/>
  <c r="AD1309" s="1"/>
  <c r="Y1309"/>
  <c r="AA1309" s="1"/>
  <c r="AC1309" s="1"/>
  <c r="L1309"/>
  <c r="Z1308"/>
  <c r="AB1308" s="1"/>
  <c r="AD1308" s="1"/>
  <c r="Y1308"/>
  <c r="AA1308" s="1"/>
  <c r="AC1308" s="1"/>
  <c r="L1308"/>
  <c r="R1307"/>
  <c r="Z1307" s="1"/>
  <c r="P1307"/>
  <c r="S1307" s="1"/>
  <c r="N1307"/>
  <c r="L1307"/>
  <c r="R1306"/>
  <c r="Z1306" s="1"/>
  <c r="P1306"/>
  <c r="S1306" s="1"/>
  <c r="N1306"/>
  <c r="L1306"/>
  <c r="Z1305"/>
  <c r="AB1305" s="1"/>
  <c r="AD1305" s="1"/>
  <c r="Y1305"/>
  <c r="AA1305" s="1"/>
  <c r="AC1305" s="1"/>
  <c r="L1305"/>
  <c r="R1304"/>
  <c r="Z1304" s="1"/>
  <c r="P1304"/>
  <c r="S1304" s="1"/>
  <c r="N1304"/>
  <c r="L1304"/>
  <c r="R1303"/>
  <c r="Z1303" s="1"/>
  <c r="P1303"/>
  <c r="U1303" s="1"/>
  <c r="N1303"/>
  <c r="L1303"/>
  <c r="X1302"/>
  <c r="V1302"/>
  <c r="T1302"/>
  <c r="O1302"/>
  <c r="M1302"/>
  <c r="K1302"/>
  <c r="R1300"/>
  <c r="Z1300" s="1"/>
  <c r="AB1300" s="1"/>
  <c r="P1300"/>
  <c r="L1300"/>
  <c r="R1299"/>
  <c r="Z1299" s="1"/>
  <c r="P1299"/>
  <c r="S1299" s="1"/>
  <c r="N1299"/>
  <c r="L1299"/>
  <c r="R1298"/>
  <c r="Z1298" s="1"/>
  <c r="P1298"/>
  <c r="W1298" s="1"/>
  <c r="N1298"/>
  <c r="L1298"/>
  <c r="R1297"/>
  <c r="Z1297" s="1"/>
  <c r="P1297"/>
  <c r="W1297" s="1"/>
  <c r="N1297"/>
  <c r="L1297"/>
  <c r="R1296"/>
  <c r="Z1296" s="1"/>
  <c r="P1296"/>
  <c r="W1296" s="1"/>
  <c r="N1296"/>
  <c r="L1296"/>
  <c r="R1295"/>
  <c r="Z1295" s="1"/>
  <c r="P1295"/>
  <c r="N1295"/>
  <c r="L1295"/>
  <c r="R1294"/>
  <c r="Z1294" s="1"/>
  <c r="P1294"/>
  <c r="W1294" s="1"/>
  <c r="N1294"/>
  <c r="L1294"/>
  <c r="R1293"/>
  <c r="Z1293" s="1"/>
  <c r="P1293"/>
  <c r="W1293" s="1"/>
  <c r="N1293"/>
  <c r="L1293"/>
  <c r="R1292"/>
  <c r="Z1292" s="1"/>
  <c r="P1292"/>
  <c r="S1292" s="1"/>
  <c r="N1292"/>
  <c r="L1292"/>
  <c r="R1291"/>
  <c r="Z1291" s="1"/>
  <c r="P1291"/>
  <c r="N1291"/>
  <c r="L1291"/>
  <c r="R1290"/>
  <c r="P1290"/>
  <c r="W1290" s="1"/>
  <c r="N1290"/>
  <c r="L1290"/>
  <c r="R1289"/>
  <c r="Z1289" s="1"/>
  <c r="P1289"/>
  <c r="W1289" s="1"/>
  <c r="N1289"/>
  <c r="L1289"/>
  <c r="X1288"/>
  <c r="V1288"/>
  <c r="T1288"/>
  <c r="O1288"/>
  <c r="M1288"/>
  <c r="K1288"/>
  <c r="Z1282"/>
  <c r="AB1282" s="1"/>
  <c r="Y1282"/>
  <c r="AA1282" s="1"/>
  <c r="AC1282" s="1"/>
  <c r="Y1281"/>
  <c r="AA1281" s="1"/>
  <c r="AC1281" s="1"/>
  <c r="R1281"/>
  <c r="Z1281" s="1"/>
  <c r="P1281"/>
  <c r="N1281"/>
  <c r="L1281"/>
  <c r="Z1280"/>
  <c r="Y1280"/>
  <c r="AA1280" s="1"/>
  <c r="AC1280" s="1"/>
  <c r="N1280"/>
  <c r="Z1279"/>
  <c r="Y1279"/>
  <c r="AA1279" s="1"/>
  <c r="AC1279" s="1"/>
  <c r="N1279"/>
  <c r="Z1278"/>
  <c r="Y1278"/>
  <c r="AA1278" s="1"/>
  <c r="AC1278" s="1"/>
  <c r="N1278"/>
  <c r="Y1277"/>
  <c r="AA1277" s="1"/>
  <c r="AC1277" s="1"/>
  <c r="R1277"/>
  <c r="Z1277" s="1"/>
  <c r="P1277"/>
  <c r="L1277"/>
  <c r="Z1276"/>
  <c r="AB1276" s="1"/>
  <c r="AD1276" s="1"/>
  <c r="Y1276"/>
  <c r="AA1276" s="1"/>
  <c r="AC1276" s="1"/>
  <c r="Z1275"/>
  <c r="Y1275"/>
  <c r="AA1275" s="1"/>
  <c r="AC1275" s="1"/>
  <c r="N1275"/>
  <c r="N1274" s="1"/>
  <c r="Y1274"/>
  <c r="AA1274" s="1"/>
  <c r="AC1274" s="1"/>
  <c r="R1274"/>
  <c r="Z1274" s="1"/>
  <c r="P1274"/>
  <c r="L1274"/>
  <c r="Z1273"/>
  <c r="Y1273"/>
  <c r="AA1273" s="1"/>
  <c r="AC1273" s="1"/>
  <c r="N1273"/>
  <c r="Z1272"/>
  <c r="Y1272"/>
  <c r="AA1272" s="1"/>
  <c r="AC1272" s="1"/>
  <c r="N1272"/>
  <c r="Y1271"/>
  <c r="AA1271" s="1"/>
  <c r="AC1271" s="1"/>
  <c r="N1271"/>
  <c r="Z1270"/>
  <c r="Y1270"/>
  <c r="AA1270" s="1"/>
  <c r="AC1270" s="1"/>
  <c r="N1270"/>
  <c r="Z1269"/>
  <c r="Y1269"/>
  <c r="AA1269" s="1"/>
  <c r="AC1269" s="1"/>
  <c r="N1269"/>
  <c r="Y1268"/>
  <c r="AA1268" s="1"/>
  <c r="AC1268" s="1"/>
  <c r="Y1267"/>
  <c r="AA1267" s="1"/>
  <c r="AC1267" s="1"/>
  <c r="R1267"/>
  <c r="Z1267" s="1"/>
  <c r="P1267"/>
  <c r="L1267"/>
  <c r="T1268" s="1"/>
  <c r="Z1264"/>
  <c r="AB1264" s="1"/>
  <c r="AD1264" s="1"/>
  <c r="Y1264"/>
  <c r="AA1264" s="1"/>
  <c r="AC1264" s="1"/>
  <c r="Z1263"/>
  <c r="AB1263" s="1"/>
  <c r="AD1263" s="1"/>
  <c r="Y1263"/>
  <c r="AA1263" s="1"/>
  <c r="AC1263" s="1"/>
  <c r="Z1262"/>
  <c r="Y1262"/>
  <c r="AA1262" s="1"/>
  <c r="AC1262" s="1"/>
  <c r="N1262"/>
  <c r="Z1261"/>
  <c r="Y1261"/>
  <c r="AA1261" s="1"/>
  <c r="AC1261" s="1"/>
  <c r="N1261"/>
  <c r="Z1260"/>
  <c r="AB1260" s="1"/>
  <c r="AD1260" s="1"/>
  <c r="Y1260"/>
  <c r="AA1260" s="1"/>
  <c r="AC1260" s="1"/>
  <c r="Z1259"/>
  <c r="Y1259"/>
  <c r="AA1259" s="1"/>
  <c r="AC1259" s="1"/>
  <c r="N1259"/>
  <c r="Z1258"/>
  <c r="AB1258" s="1"/>
  <c r="AD1258" s="1"/>
  <c r="Y1258"/>
  <c r="AA1258" s="1"/>
  <c r="AC1258" s="1"/>
  <c r="Z1257"/>
  <c r="AB1257" s="1"/>
  <c r="AD1257" s="1"/>
  <c r="Y1257"/>
  <c r="AA1257" s="1"/>
  <c r="AC1257" s="1"/>
  <c r="Z1256"/>
  <c r="Y1256"/>
  <c r="AA1256" s="1"/>
  <c r="AC1256" s="1"/>
  <c r="N1256"/>
  <c r="Z1255"/>
  <c r="Y1255"/>
  <c r="AA1255" s="1"/>
  <c r="AC1255" s="1"/>
  <c r="N1255"/>
  <c r="Z1254"/>
  <c r="Y1254"/>
  <c r="AA1254" s="1"/>
  <c r="AC1254" s="1"/>
  <c r="N1254"/>
  <c r="Z1253"/>
  <c r="Y1253"/>
  <c r="AA1253" s="1"/>
  <c r="AC1253" s="1"/>
  <c r="N1253"/>
  <c r="Z1252"/>
  <c r="Y1252"/>
  <c r="AA1252" s="1"/>
  <c r="AC1252" s="1"/>
  <c r="N1252"/>
  <c r="Y1251"/>
  <c r="AA1251" s="1"/>
  <c r="AC1251" s="1"/>
  <c r="R1251"/>
  <c r="Z1251" s="1"/>
  <c r="P1251"/>
  <c r="L1251"/>
  <c r="Z1250"/>
  <c r="Y1250"/>
  <c r="AA1250" s="1"/>
  <c r="AC1250" s="1"/>
  <c r="N1250"/>
  <c r="Y1249"/>
  <c r="AA1249" s="1"/>
  <c r="AC1249" s="1"/>
  <c r="Y1248"/>
  <c r="AA1248" s="1"/>
  <c r="AC1248" s="1"/>
  <c r="N1248"/>
  <c r="AB1248" s="1"/>
  <c r="AD1248" s="1"/>
  <c r="Z1247"/>
  <c r="AB1247" s="1"/>
  <c r="AD1247" s="1"/>
  <c r="Y1247"/>
  <c r="AA1247" s="1"/>
  <c r="AC1247" s="1"/>
  <c r="Z1246"/>
  <c r="AB1246" s="1"/>
  <c r="AD1246" s="1"/>
  <c r="Y1246"/>
  <c r="AA1246" s="1"/>
  <c r="AC1246" s="1"/>
  <c r="Z1245"/>
  <c r="AB1245" s="1"/>
  <c r="AD1245" s="1"/>
  <c r="Y1245"/>
  <c r="AA1245" s="1"/>
  <c r="AC1245" s="1"/>
  <c r="Z1244"/>
  <c r="AB1244" s="1"/>
  <c r="AD1244" s="1"/>
  <c r="Y1244"/>
  <c r="AA1244" s="1"/>
  <c r="AC1244" s="1"/>
  <c r="Z1243"/>
  <c r="AB1243" s="1"/>
  <c r="AD1243" s="1"/>
  <c r="Y1243"/>
  <c r="AA1243" s="1"/>
  <c r="AC1243" s="1"/>
  <c r="Y1242"/>
  <c r="AA1242" s="1"/>
  <c r="AC1242" s="1"/>
  <c r="N1242"/>
  <c r="AB1242" s="1"/>
  <c r="AD1242" s="1"/>
  <c r="Z1241"/>
  <c r="Y1241"/>
  <c r="AA1241" s="1"/>
  <c r="AC1241" s="1"/>
  <c r="N1241"/>
  <c r="Y1239"/>
  <c r="AA1239" s="1"/>
  <c r="AC1239" s="1"/>
  <c r="R1239"/>
  <c r="P1239"/>
  <c r="L1239"/>
  <c r="AA1234"/>
  <c r="AC1234" s="1"/>
  <c r="Z1234"/>
  <c r="N1234"/>
  <c r="P1233"/>
  <c r="AA1232"/>
  <c r="AC1232" s="1"/>
  <c r="Z1232"/>
  <c r="N1232"/>
  <c r="L1232"/>
  <c r="AA1231"/>
  <c r="AC1231" s="1"/>
  <c r="Z1231"/>
  <c r="N1231"/>
  <c r="L1231"/>
  <c r="AA1230"/>
  <c r="AC1230" s="1"/>
  <c r="Z1230"/>
  <c r="N1230"/>
  <c r="L1230"/>
  <c r="AA1229"/>
  <c r="AC1229" s="1"/>
  <c r="Z1229"/>
  <c r="N1229"/>
  <c r="L1229"/>
  <c r="P1228"/>
  <c r="Z1227"/>
  <c r="Y1227"/>
  <c r="AA1227" s="1"/>
  <c r="AC1227" s="1"/>
  <c r="N1227"/>
  <c r="Z1226"/>
  <c r="Y1226"/>
  <c r="AA1226" s="1"/>
  <c r="AC1226" s="1"/>
  <c r="N1226"/>
  <c r="Z1225"/>
  <c r="Y1225"/>
  <c r="AA1225" s="1"/>
  <c r="AC1225" s="1"/>
  <c r="N1225"/>
  <c r="Z1224"/>
  <c r="Y1224"/>
  <c r="AA1224" s="1"/>
  <c r="AC1224" s="1"/>
  <c r="N1224"/>
  <c r="Z1223"/>
  <c r="Y1223"/>
  <c r="AA1223" s="1"/>
  <c r="AC1223" s="1"/>
  <c r="N1223"/>
  <c r="Z1222"/>
  <c r="Y1222"/>
  <c r="AA1222" s="1"/>
  <c r="AC1222" s="1"/>
  <c r="N1222"/>
  <c r="Z1221"/>
  <c r="Y1221"/>
  <c r="AA1221" s="1"/>
  <c r="AC1221" s="1"/>
  <c r="N1221"/>
  <c r="Z1220"/>
  <c r="Y1220"/>
  <c r="AA1220" s="1"/>
  <c r="AC1220" s="1"/>
  <c r="N1220"/>
  <c r="Z1219"/>
  <c r="Y1219"/>
  <c r="AA1219" s="1"/>
  <c r="AC1219" s="1"/>
  <c r="N1219"/>
  <c r="Z1218"/>
  <c r="Y1218"/>
  <c r="AA1218" s="1"/>
  <c r="AC1218" s="1"/>
  <c r="N1218"/>
  <c r="Z1217"/>
  <c r="Y1217"/>
  <c r="AA1217" s="1"/>
  <c r="AC1217" s="1"/>
  <c r="N1217"/>
  <c r="Z1216"/>
  <c r="Y1216"/>
  <c r="AA1216" s="1"/>
  <c r="AC1216" s="1"/>
  <c r="N1216"/>
  <c r="Y1215"/>
  <c r="AA1215" s="1"/>
  <c r="AC1215" s="1"/>
  <c r="R1215"/>
  <c r="Z1215" s="1"/>
  <c r="L1215"/>
  <c r="Z1214"/>
  <c r="AB1214" s="1"/>
  <c r="Y1214"/>
  <c r="AA1214" s="1"/>
  <c r="AC1214" s="1"/>
  <c r="L1214"/>
  <c r="Z1213"/>
  <c r="Y1213"/>
  <c r="O1213"/>
  <c r="N1213"/>
  <c r="M1213"/>
  <c r="L1213"/>
  <c r="Z1212"/>
  <c r="Y1212"/>
  <c r="AA1212" s="1"/>
  <c r="AC1212" s="1"/>
  <c r="N1212"/>
  <c r="Z1211"/>
  <c r="AB1211" s="1"/>
  <c r="AD1211" s="1"/>
  <c r="Y1211"/>
  <c r="AA1211" s="1"/>
  <c r="AC1211" s="1"/>
  <c r="Z1210"/>
  <c r="AB1210" s="1"/>
  <c r="AD1210" s="1"/>
  <c r="Y1210"/>
  <c r="AA1210" s="1"/>
  <c r="K1210"/>
  <c r="Z1209"/>
  <c r="AB1209" s="1"/>
  <c r="AD1209" s="1"/>
  <c r="Y1209"/>
  <c r="AA1209" s="1"/>
  <c r="K1209"/>
  <c r="Z1208"/>
  <c r="AB1208" s="1"/>
  <c r="AD1208" s="1"/>
  <c r="Y1208"/>
  <c r="AA1208" s="1"/>
  <c r="AC1208" s="1"/>
  <c r="Z1207"/>
  <c r="AB1207" s="1"/>
  <c r="Y1207"/>
  <c r="AA1207" s="1"/>
  <c r="AC1207" s="1"/>
  <c r="Z1206"/>
  <c r="P1206"/>
  <c r="Z1205"/>
  <c r="Y1205"/>
  <c r="AA1205" s="1"/>
  <c r="AC1205" s="1"/>
  <c r="N1205"/>
  <c r="R1204"/>
  <c r="Z1204" s="1"/>
  <c r="Q1204"/>
  <c r="Y1204" s="1"/>
  <c r="AA1204" s="1"/>
  <c r="AC1204" s="1"/>
  <c r="P1204"/>
  <c r="L1204"/>
  <c r="Z1203"/>
  <c r="Y1203"/>
  <c r="AA1203" s="1"/>
  <c r="AC1203" s="1"/>
  <c r="N1203"/>
  <c r="N1202" s="1"/>
  <c r="Y1202"/>
  <c r="AA1202" s="1"/>
  <c r="AC1202" s="1"/>
  <c r="R1202"/>
  <c r="Z1202" s="1"/>
  <c r="P1202"/>
  <c r="L1202"/>
  <c r="Z1201"/>
  <c r="Y1201"/>
  <c r="AA1201" s="1"/>
  <c r="AC1201" s="1"/>
  <c r="N1201"/>
  <c r="L1201"/>
  <c r="Y1199"/>
  <c r="AA1199" s="1"/>
  <c r="AC1199" s="1"/>
  <c r="R1199"/>
  <c r="Z1199" s="1"/>
  <c r="AB1199" s="1"/>
  <c r="AD1199" s="1"/>
  <c r="Z1198"/>
  <c r="AB1198" s="1"/>
  <c r="AD1198" s="1"/>
  <c r="Y1198"/>
  <c r="AA1198" s="1"/>
  <c r="AC1198" s="1"/>
  <c r="Z1197"/>
  <c r="AB1197" s="1"/>
  <c r="AD1197" s="1"/>
  <c r="Y1197"/>
  <c r="AA1197" s="1"/>
  <c r="K1197"/>
  <c r="Z1196"/>
  <c r="AB1196" s="1"/>
  <c r="AD1196" s="1"/>
  <c r="Y1196"/>
  <c r="AA1196" s="1"/>
  <c r="K1196"/>
  <c r="Z1195"/>
  <c r="AB1195" s="1"/>
  <c r="AD1195" s="1"/>
  <c r="Y1195"/>
  <c r="AA1195" s="1"/>
  <c r="AC1195" s="1"/>
  <c r="Z1194"/>
  <c r="AB1194" s="1"/>
  <c r="AD1194" s="1"/>
  <c r="Y1194"/>
  <c r="AA1194" s="1"/>
  <c r="AC1194" s="1"/>
  <c r="Z1193"/>
  <c r="Y1193"/>
  <c r="AA1193" s="1"/>
  <c r="AC1193" s="1"/>
  <c r="N1193"/>
  <c r="P1192"/>
  <c r="Z1191"/>
  <c r="Y1191"/>
  <c r="AA1191" s="1"/>
  <c r="AC1191" s="1"/>
  <c r="N1191"/>
  <c r="Z1190"/>
  <c r="Y1190"/>
  <c r="AA1190" s="1"/>
  <c r="AC1190" s="1"/>
  <c r="N1190"/>
  <c r="Z1189"/>
  <c r="AB1189" s="1"/>
  <c r="Y1189"/>
  <c r="AA1189" s="1"/>
  <c r="AC1189" s="1"/>
  <c r="L1189"/>
  <c r="Z1188"/>
  <c r="Y1188"/>
  <c r="AA1188" s="1"/>
  <c r="AC1188" s="1"/>
  <c r="N1188"/>
  <c r="L1188"/>
  <c r="Z1187"/>
  <c r="Y1187"/>
  <c r="AA1187" s="1"/>
  <c r="AC1187" s="1"/>
  <c r="N1187"/>
  <c r="L1187"/>
  <c r="Z1186"/>
  <c r="Y1186"/>
  <c r="AA1186" s="1"/>
  <c r="AC1186" s="1"/>
  <c r="N1186"/>
  <c r="L1186"/>
  <c r="Z1185"/>
  <c r="Y1185"/>
  <c r="AA1185" s="1"/>
  <c r="AC1185" s="1"/>
  <c r="N1185"/>
  <c r="L1185"/>
  <c r="Z1184"/>
  <c r="Y1184"/>
  <c r="AA1184" s="1"/>
  <c r="AC1184" s="1"/>
  <c r="N1184"/>
  <c r="Z1165"/>
  <c r="Y1165"/>
  <c r="P1165"/>
  <c r="Z1156"/>
  <c r="AB1156" s="1"/>
  <c r="AD1156" s="1"/>
  <c r="Y1156"/>
  <c r="AA1156" s="1"/>
  <c r="AC1156" s="1"/>
  <c r="S1156"/>
  <c r="Z1155"/>
  <c r="AB1155" s="1"/>
  <c r="AD1155" s="1"/>
  <c r="Y1155"/>
  <c r="AA1155" s="1"/>
  <c r="AC1155" s="1"/>
  <c r="S1155"/>
  <c r="U1155" s="1"/>
  <c r="Z1154"/>
  <c r="AB1154" s="1"/>
  <c r="AD1154" s="1"/>
  <c r="Y1154"/>
  <c r="AA1154" s="1"/>
  <c r="AC1154" s="1"/>
  <c r="S1154"/>
  <c r="U1154" s="1"/>
  <c r="Z1153"/>
  <c r="AB1153" s="1"/>
  <c r="AD1153" s="1"/>
  <c r="Y1153"/>
  <c r="AA1153" s="1"/>
  <c r="AC1153" s="1"/>
  <c r="S1153"/>
  <c r="U1153" s="1"/>
  <c r="Z1152"/>
  <c r="Y1152"/>
  <c r="AA1152" s="1"/>
  <c r="AC1152" s="1"/>
  <c r="S1152"/>
  <c r="Y1151"/>
  <c r="X1151"/>
  <c r="V1151"/>
  <c r="U1151"/>
  <c r="W1151" s="1"/>
  <c r="T1151"/>
  <c r="R1151"/>
  <c r="P1151"/>
  <c r="O1151"/>
  <c r="AG1151" s="1"/>
  <c r="N1151"/>
  <c r="M1151"/>
  <c r="L1151"/>
  <c r="Z1150"/>
  <c r="AB1150" s="1"/>
  <c r="AD1150" s="1"/>
  <c r="Y1150"/>
  <c r="AA1150" s="1"/>
  <c r="AC1150" s="1"/>
  <c r="S1150"/>
  <c r="Z1149"/>
  <c r="AB1149" s="1"/>
  <c r="AD1149" s="1"/>
  <c r="Y1149"/>
  <c r="AA1149" s="1"/>
  <c r="AC1149" s="1"/>
  <c r="S1149"/>
  <c r="Z1148"/>
  <c r="AB1148" s="1"/>
  <c r="AD1148" s="1"/>
  <c r="Y1148"/>
  <c r="AA1148" s="1"/>
  <c r="AC1148" s="1"/>
  <c r="S1148"/>
  <c r="U1148" s="1"/>
  <c r="W1148" s="1"/>
  <c r="Z1147"/>
  <c r="AB1147" s="1"/>
  <c r="AD1147" s="1"/>
  <c r="Y1147"/>
  <c r="AA1147" s="1"/>
  <c r="AC1147" s="1"/>
  <c r="S1147"/>
  <c r="U1147" s="1"/>
  <c r="W1147" s="1"/>
  <c r="Z1146"/>
  <c r="AB1146" s="1"/>
  <c r="AD1146" s="1"/>
  <c r="Y1146"/>
  <c r="AA1146" s="1"/>
  <c r="AC1146" s="1"/>
  <c r="S1146"/>
  <c r="U1146" s="1"/>
  <c r="Z1145"/>
  <c r="AB1145" s="1"/>
  <c r="AD1145" s="1"/>
  <c r="Y1145"/>
  <c r="AA1145" s="1"/>
  <c r="AC1145" s="1"/>
  <c r="S1145"/>
  <c r="Z1144"/>
  <c r="AB1144" s="1"/>
  <c r="AD1144" s="1"/>
  <c r="Y1144"/>
  <c r="AA1144" s="1"/>
  <c r="AC1144" s="1"/>
  <c r="S1144"/>
  <c r="U1144" s="1"/>
  <c r="Z1143"/>
  <c r="AB1143" s="1"/>
  <c r="AD1143" s="1"/>
  <c r="Y1143"/>
  <c r="AA1143" s="1"/>
  <c r="AC1143" s="1"/>
  <c r="S1143"/>
  <c r="U1143" s="1"/>
  <c r="W1143" s="1"/>
  <c r="Z1142"/>
  <c r="AB1142" s="1"/>
  <c r="AD1142" s="1"/>
  <c r="Y1142"/>
  <c r="AA1142" s="1"/>
  <c r="AC1142" s="1"/>
  <c r="S1142"/>
  <c r="U1142" s="1"/>
  <c r="Z1141"/>
  <c r="Y1141"/>
  <c r="AA1141" s="1"/>
  <c r="AC1141" s="1"/>
  <c r="S1141"/>
  <c r="Z1140"/>
  <c r="AB1140" s="1"/>
  <c r="AD1140" s="1"/>
  <c r="Y1140"/>
  <c r="AA1140" s="1"/>
  <c r="AC1140" s="1"/>
  <c r="S1140"/>
  <c r="U1140" s="1"/>
  <c r="Y1139"/>
  <c r="X1139"/>
  <c r="V1139"/>
  <c r="T1139"/>
  <c r="S1139"/>
  <c r="R1139"/>
  <c r="P1139"/>
  <c r="O1139"/>
  <c r="AG1139" s="1"/>
  <c r="N1139"/>
  <c r="M1139"/>
  <c r="L1139"/>
  <c r="Z1138"/>
  <c r="AB1138" s="1"/>
  <c r="AD1138" s="1"/>
  <c r="Y1138"/>
  <c r="AA1138" s="1"/>
  <c r="AC1138" s="1"/>
  <c r="S1138"/>
  <c r="U1138" s="1"/>
  <c r="W1138" s="1"/>
  <c r="Z1137"/>
  <c r="AB1137" s="1"/>
  <c r="AD1137" s="1"/>
  <c r="Y1137"/>
  <c r="AA1137" s="1"/>
  <c r="AC1137" s="1"/>
  <c r="S1137"/>
  <c r="U1137" s="1"/>
  <c r="W1137" s="1"/>
  <c r="Z1136"/>
  <c r="AB1136" s="1"/>
  <c r="AD1136" s="1"/>
  <c r="Y1136"/>
  <c r="AA1136" s="1"/>
  <c r="AC1136" s="1"/>
  <c r="S1136"/>
  <c r="U1136" s="1"/>
  <c r="Z1135"/>
  <c r="Y1135"/>
  <c r="AA1135" s="1"/>
  <c r="AC1135" s="1"/>
  <c r="S1135"/>
  <c r="AG1134"/>
  <c r="Y1134"/>
  <c r="AA1134" s="1"/>
  <c r="AC1134" s="1"/>
  <c r="S1134"/>
  <c r="P1134"/>
  <c r="N1134"/>
  <c r="L1134"/>
  <c r="Z1133"/>
  <c r="AB1133" s="1"/>
  <c r="Y1133"/>
  <c r="AA1133" s="1"/>
  <c r="AC1133" s="1"/>
  <c r="S1133"/>
  <c r="U1133" s="1"/>
  <c r="Z1132"/>
  <c r="AB1132" s="1"/>
  <c r="AD1132" s="1"/>
  <c r="Y1132"/>
  <c r="AA1132" s="1"/>
  <c r="AC1132" s="1"/>
  <c r="S1132"/>
  <c r="U1132" s="1"/>
  <c r="W1132" s="1"/>
  <c r="Z1131"/>
  <c r="AB1131" s="1"/>
  <c r="AD1131" s="1"/>
  <c r="Y1131"/>
  <c r="AA1131" s="1"/>
  <c r="AC1131" s="1"/>
  <c r="S1131"/>
  <c r="U1131" s="1"/>
  <c r="W1131" s="1"/>
  <c r="Z1130"/>
  <c r="AB1130" s="1"/>
  <c r="AD1130" s="1"/>
  <c r="Y1130"/>
  <c r="AA1130" s="1"/>
  <c r="AC1130" s="1"/>
  <c r="S1130"/>
  <c r="Z1129"/>
  <c r="AB1129" s="1"/>
  <c r="AD1129" s="1"/>
  <c r="Y1129"/>
  <c r="AA1129" s="1"/>
  <c r="AC1129" s="1"/>
  <c r="S1129"/>
  <c r="U1129" s="1"/>
  <c r="Z1128"/>
  <c r="AB1128" s="1"/>
  <c r="AD1128" s="1"/>
  <c r="Y1128"/>
  <c r="AA1128" s="1"/>
  <c r="AC1128" s="1"/>
  <c r="S1128"/>
  <c r="U1128" s="1"/>
  <c r="Z1127"/>
  <c r="AB1127" s="1"/>
  <c r="AD1127" s="1"/>
  <c r="Y1127"/>
  <c r="AA1127" s="1"/>
  <c r="AC1127" s="1"/>
  <c r="S1127"/>
  <c r="AG1126"/>
  <c r="AA1126"/>
  <c r="AC1126" s="1"/>
  <c r="AG1125"/>
  <c r="AA1125"/>
  <c r="AC1125" s="1"/>
  <c r="AG1124"/>
  <c r="Y1124"/>
  <c r="AA1124" s="1"/>
  <c r="AC1124" s="1"/>
  <c r="X1124"/>
  <c r="V1124"/>
  <c r="T1124"/>
  <c r="S1124"/>
  <c r="U1124" s="1"/>
  <c r="R1124"/>
  <c r="Z1124" s="1"/>
  <c r="P1124"/>
  <c r="N1124"/>
  <c r="L1124"/>
  <c r="Z1123"/>
  <c r="AB1123" s="1"/>
  <c r="AD1123" s="1"/>
  <c r="Y1123"/>
  <c r="AA1123" s="1"/>
  <c r="AC1123" s="1"/>
  <c r="S1123"/>
  <c r="Z1122"/>
  <c r="AB1122" s="1"/>
  <c r="AD1122" s="1"/>
  <c r="Y1122"/>
  <c r="AA1122" s="1"/>
  <c r="AC1122" s="1"/>
  <c r="S1122"/>
  <c r="Z1121"/>
  <c r="AB1121" s="1"/>
  <c r="AD1121" s="1"/>
  <c r="Y1121"/>
  <c r="AA1121" s="1"/>
  <c r="AC1121" s="1"/>
  <c r="S1121"/>
  <c r="U1121" s="1"/>
  <c r="AG1120"/>
  <c r="Y1120"/>
  <c r="AA1120" s="1"/>
  <c r="AC1120" s="1"/>
  <c r="S1120"/>
  <c r="U1120" s="1"/>
  <c r="AG1119"/>
  <c r="Y1119"/>
  <c r="AA1119" s="1"/>
  <c r="AC1119" s="1"/>
  <c r="S1119"/>
  <c r="AG1118"/>
  <c r="Z1118"/>
  <c r="Y1118"/>
  <c r="AA1118" s="1"/>
  <c r="AC1118" s="1"/>
  <c r="S1118"/>
  <c r="U1118" s="1"/>
  <c r="P1118"/>
  <c r="N1118"/>
  <c r="AB1118" s="1"/>
  <c r="L1118"/>
  <c r="Z1117"/>
  <c r="AB1117" s="1"/>
  <c r="AD1117" s="1"/>
  <c r="Y1117"/>
  <c r="AA1117" s="1"/>
  <c r="AC1117" s="1"/>
  <c r="S1117"/>
  <c r="U1117" s="1"/>
  <c r="AG1116"/>
  <c r="Z1116"/>
  <c r="AB1116" s="1"/>
  <c r="AD1116" s="1"/>
  <c r="Y1116"/>
  <c r="AA1116" s="1"/>
  <c r="AC1116" s="1"/>
  <c r="S1116"/>
  <c r="AG1115"/>
  <c r="Y1115"/>
  <c r="AA1115" s="1"/>
  <c r="AC1115" s="1"/>
  <c r="S1115"/>
  <c r="Y1114"/>
  <c r="AA1114" s="1"/>
  <c r="AC1114" s="1"/>
  <c r="X1114"/>
  <c r="V1114"/>
  <c r="T1114"/>
  <c r="S1114"/>
  <c r="R1114"/>
  <c r="Z1114" s="1"/>
  <c r="P1114"/>
  <c r="N1114"/>
  <c r="L1114"/>
  <c r="Z1113"/>
  <c r="AB1113" s="1"/>
  <c r="AD1113" s="1"/>
  <c r="Y1113"/>
  <c r="AA1113" s="1"/>
  <c r="AC1113" s="1"/>
  <c r="S1113"/>
  <c r="U1113" s="1"/>
  <c r="Z1112"/>
  <c r="AB1112" s="1"/>
  <c r="AD1112" s="1"/>
  <c r="Y1112"/>
  <c r="AA1112" s="1"/>
  <c r="AC1112" s="1"/>
  <c r="S1112"/>
  <c r="U1112" s="1"/>
  <c r="Z1111"/>
  <c r="AB1111" s="1"/>
  <c r="AD1111" s="1"/>
  <c r="Y1111"/>
  <c r="AA1111" s="1"/>
  <c r="AC1111" s="1"/>
  <c r="S1111"/>
  <c r="Z1110"/>
  <c r="AB1110" s="1"/>
  <c r="AD1110" s="1"/>
  <c r="Y1110"/>
  <c r="AA1110" s="1"/>
  <c r="AC1110" s="1"/>
  <c r="S1110"/>
  <c r="U1110" s="1"/>
  <c r="Z1109"/>
  <c r="AB1109" s="1"/>
  <c r="AD1109" s="1"/>
  <c r="Y1109"/>
  <c r="AA1109" s="1"/>
  <c r="AC1109" s="1"/>
  <c r="S1109"/>
  <c r="U1109" s="1"/>
  <c r="W1109" s="1"/>
  <c r="Z1108"/>
  <c r="AB1108" s="1"/>
  <c r="AD1108" s="1"/>
  <c r="Y1108"/>
  <c r="AA1108" s="1"/>
  <c r="AC1108" s="1"/>
  <c r="S1108"/>
  <c r="Z1107"/>
  <c r="AB1107" s="1"/>
  <c r="AD1107" s="1"/>
  <c r="Y1107"/>
  <c r="AA1107" s="1"/>
  <c r="AC1107" s="1"/>
  <c r="S1107"/>
  <c r="BE1106"/>
  <c r="BG1106" s="1"/>
  <c r="BI1106" s="1"/>
  <c r="BD1106"/>
  <c r="BF1106" s="1"/>
  <c r="BH1106" s="1"/>
  <c r="AX1106"/>
  <c r="BE1105"/>
  <c r="BG1105" s="1"/>
  <c r="BI1105" s="1"/>
  <c r="BD1105"/>
  <c r="BF1105" s="1"/>
  <c r="BH1105" s="1"/>
  <c r="AX1105"/>
  <c r="BE1104"/>
  <c r="BG1104" s="1"/>
  <c r="BI1104" s="1"/>
  <c r="BD1104"/>
  <c r="BF1104" s="1"/>
  <c r="BH1104" s="1"/>
  <c r="AX1104"/>
  <c r="AZ1104" s="1"/>
  <c r="BB1104" s="1"/>
  <c r="BE1103"/>
  <c r="BG1103" s="1"/>
  <c r="BI1103" s="1"/>
  <c r="BD1103"/>
  <c r="BF1103" s="1"/>
  <c r="BH1103" s="1"/>
  <c r="AX1103"/>
  <c r="AZ1103" s="1"/>
  <c r="BE1102"/>
  <c r="BG1102" s="1"/>
  <c r="BI1102" s="1"/>
  <c r="BD1102"/>
  <c r="BF1102" s="1"/>
  <c r="BH1102" s="1"/>
  <c r="AX1102"/>
  <c r="AZ1102" s="1"/>
  <c r="BE1101"/>
  <c r="BG1101" s="1"/>
  <c r="BI1101" s="1"/>
  <c r="BD1101"/>
  <c r="BF1101" s="1"/>
  <c r="BH1101" s="1"/>
  <c r="AX1101"/>
  <c r="AB1101"/>
  <c r="AD1101" s="1"/>
  <c r="Q1101"/>
  <c r="Y1101" s="1"/>
  <c r="AA1101" s="1"/>
  <c r="AC1101" s="1"/>
  <c r="BL1100"/>
  <c r="BD1100"/>
  <c r="BF1100" s="1"/>
  <c r="BH1100" s="1"/>
  <c r="AB1100"/>
  <c r="P1100"/>
  <c r="BL1099"/>
  <c r="BD1099"/>
  <c r="BF1099" s="1"/>
  <c r="BH1099" s="1"/>
  <c r="AB1099"/>
  <c r="Q1099"/>
  <c r="Y1099" s="1"/>
  <c r="AA1099" s="1"/>
  <c r="AC1099" s="1"/>
  <c r="L1099"/>
  <c r="BL1098"/>
  <c r="BD1098"/>
  <c r="BF1098" s="1"/>
  <c r="BH1098" s="1"/>
  <c r="AB1098"/>
  <c r="AD1098" s="1"/>
  <c r="AA1098"/>
  <c r="AC1098" s="1"/>
  <c r="BL1097"/>
  <c r="BD1097"/>
  <c r="BF1097" s="1"/>
  <c r="BH1097" s="1"/>
  <c r="AB1097"/>
  <c r="AD1097" s="1"/>
  <c r="AA1097"/>
  <c r="AC1097" s="1"/>
  <c r="Q1097"/>
  <c r="BL1096"/>
  <c r="BD1096"/>
  <c r="BF1096" s="1"/>
  <c r="BH1096" s="1"/>
  <c r="AA1096"/>
  <c r="AC1096" s="1"/>
  <c r="Q1096"/>
  <c r="N1096"/>
  <c r="AB1096" s="1"/>
  <c r="BL1095"/>
  <c r="BD1095"/>
  <c r="BF1095" s="1"/>
  <c r="BH1095" s="1"/>
  <c r="P1095"/>
  <c r="BL1094"/>
  <c r="BD1094"/>
  <c r="BF1094" s="1"/>
  <c r="BH1094" s="1"/>
  <c r="AA1094"/>
  <c r="AC1094" s="1"/>
  <c r="N1094"/>
  <c r="AB1094" s="1"/>
  <c r="AD1094" s="1"/>
  <c r="BL1093"/>
  <c r="BD1093"/>
  <c r="BF1093" s="1"/>
  <c r="BH1093" s="1"/>
  <c r="AB1093"/>
  <c r="AD1093" s="1"/>
  <c r="AA1093"/>
  <c r="AC1093" s="1"/>
  <c r="BL1092"/>
  <c r="BD1092"/>
  <c r="BF1092" s="1"/>
  <c r="BH1092" s="1"/>
  <c r="AB1092"/>
  <c r="AD1092" s="1"/>
  <c r="Q1092"/>
  <c r="Y1092" s="1"/>
  <c r="AA1092" s="1"/>
  <c r="AC1092" s="1"/>
  <c r="BL1091"/>
  <c r="BD1091"/>
  <c r="BF1091" s="1"/>
  <c r="BH1091" s="1"/>
  <c r="AB1091"/>
  <c r="AD1091" s="1"/>
  <c r="Q1091"/>
  <c r="Y1091" s="1"/>
  <c r="AA1091" s="1"/>
  <c r="AC1091" s="1"/>
  <c r="BL1090"/>
  <c r="BD1090"/>
  <c r="BF1090" s="1"/>
  <c r="BH1090" s="1"/>
  <c r="AB1090"/>
  <c r="Q1090"/>
  <c r="Y1090" s="1"/>
  <c r="AA1090" s="1"/>
  <c r="AC1090" s="1"/>
  <c r="BD1089"/>
  <c r="BF1089" s="1"/>
  <c r="BH1089" s="1"/>
  <c r="AW1089"/>
  <c r="BE1089" s="1"/>
  <c r="AS1089"/>
  <c r="AQ1089"/>
  <c r="P1089"/>
  <c r="BE1088"/>
  <c r="BG1088" s="1"/>
  <c r="BI1088" s="1"/>
  <c r="BD1088"/>
  <c r="BF1088" s="1"/>
  <c r="BH1088" s="1"/>
  <c r="AX1088"/>
  <c r="AZ1088" s="1"/>
  <c r="AD1088"/>
  <c r="Q1088"/>
  <c r="Y1088" s="1"/>
  <c r="AA1088" s="1"/>
  <c r="AC1088" s="1"/>
  <c r="BE1087"/>
  <c r="BG1087" s="1"/>
  <c r="BI1087" s="1"/>
  <c r="BD1087"/>
  <c r="BF1087" s="1"/>
  <c r="BH1087" s="1"/>
  <c r="AX1087"/>
  <c r="AZ1087" s="1"/>
  <c r="AD1087"/>
  <c r="Q1087"/>
  <c r="Y1087" s="1"/>
  <c r="AA1087" s="1"/>
  <c r="AC1087" s="1"/>
  <c r="BE1086"/>
  <c r="BG1086" s="1"/>
  <c r="BI1086" s="1"/>
  <c r="BD1086"/>
  <c r="BF1086" s="1"/>
  <c r="BH1086" s="1"/>
  <c r="AX1086"/>
  <c r="AB1086"/>
  <c r="AD1086" s="1"/>
  <c r="Q1086"/>
  <c r="Y1086" s="1"/>
  <c r="AA1086" s="1"/>
  <c r="AC1086" s="1"/>
  <c r="BL1085"/>
  <c r="BE1085"/>
  <c r="BG1085" s="1"/>
  <c r="BI1085" s="1"/>
  <c r="AX1085"/>
  <c r="AZ1085" s="1"/>
  <c r="AB1085"/>
  <c r="Q1085"/>
  <c r="Y1085" s="1"/>
  <c r="AA1085" s="1"/>
  <c r="AC1085" s="1"/>
  <c r="BL1084"/>
  <c r="BD1084"/>
  <c r="BF1084" s="1"/>
  <c r="BH1084" s="1"/>
  <c r="Q1084"/>
  <c r="N1084"/>
  <c r="AB1084" s="1"/>
  <c r="AD1084" s="1"/>
  <c r="M1084"/>
  <c r="AA1084" s="1"/>
  <c r="AC1084" s="1"/>
  <c r="BD1083"/>
  <c r="BF1083" s="1"/>
  <c r="BH1083" s="1"/>
  <c r="AW1083"/>
  <c r="BE1083" s="1"/>
  <c r="AU1083"/>
  <c r="AS1083"/>
  <c r="AQ1083"/>
  <c r="P1083"/>
  <c r="AB1081"/>
  <c r="AD1081" s="1"/>
  <c r="Q1081"/>
  <c r="Y1081" s="1"/>
  <c r="AA1081" s="1"/>
  <c r="AC1081" s="1"/>
  <c r="AB1080"/>
  <c r="Q1080"/>
  <c r="Y1080" s="1"/>
  <c r="AA1080" s="1"/>
  <c r="AC1080" s="1"/>
  <c r="P1079"/>
  <c r="AD1077"/>
  <c r="AC1077"/>
  <c r="AB1076"/>
  <c r="AD1076" s="1"/>
  <c r="Q1076"/>
  <c r="Y1076" s="1"/>
  <c r="AA1076" s="1"/>
  <c r="AC1076" s="1"/>
  <c r="Q1075"/>
  <c r="Y1075" s="1"/>
  <c r="N1075"/>
  <c r="AB1075" s="1"/>
  <c r="AD1075" s="1"/>
  <c r="M1075"/>
  <c r="AA1074"/>
  <c r="AC1074" s="1"/>
  <c r="Q1074"/>
  <c r="N1074"/>
  <c r="AB1074" s="1"/>
  <c r="P1073"/>
  <c r="AD1072"/>
  <c r="Q1072"/>
  <c r="Y1072" s="1"/>
  <c r="AA1072" s="1"/>
  <c r="AC1072" s="1"/>
  <c r="Q1071"/>
  <c r="Y1071" s="1"/>
  <c r="N1071"/>
  <c r="AB1071" s="1"/>
  <c r="AD1071" s="1"/>
  <c r="M1071"/>
  <c r="BE1070"/>
  <c r="BG1070" s="1"/>
  <c r="BI1070" s="1"/>
  <c r="BD1070"/>
  <c r="BF1070" s="1"/>
  <c r="BH1070" s="1"/>
  <c r="AD1070"/>
  <c r="Q1070"/>
  <c r="Y1070" s="1"/>
  <c r="BE1069"/>
  <c r="BD1069"/>
  <c r="AU1069"/>
  <c r="AU1067" s="1"/>
  <c r="AS1069"/>
  <c r="AS1067" s="1"/>
  <c r="AR1069"/>
  <c r="AQ1069"/>
  <c r="AQ1067" s="1"/>
  <c r="AP1069"/>
  <c r="Q1069"/>
  <c r="Y1069" s="1"/>
  <c r="N1069"/>
  <c r="AB1069" s="1"/>
  <c r="AD1069" s="1"/>
  <c r="M1069"/>
  <c r="BE1068"/>
  <c r="BG1068" s="1"/>
  <c r="BD1068"/>
  <c r="BF1068" s="1"/>
  <c r="BH1068" s="1"/>
  <c r="Q1068"/>
  <c r="Y1068" s="1"/>
  <c r="N1068"/>
  <c r="AB1068" s="1"/>
  <c r="AD1068" s="1"/>
  <c r="M1068"/>
  <c r="AY1067"/>
  <c r="AR1067" s="1"/>
  <c r="AR1060" s="1"/>
  <c r="AW1067"/>
  <c r="Q1067"/>
  <c r="N1067"/>
  <c r="AB1067" s="1"/>
  <c r="AD1067" s="1"/>
  <c r="M1067"/>
  <c r="AA1067" s="1"/>
  <c r="AC1067" s="1"/>
  <c r="P1066"/>
  <c r="BE1065"/>
  <c r="BD1065"/>
  <c r="BF1065" s="1"/>
  <c r="AS1065"/>
  <c r="AP1065"/>
  <c r="P1065"/>
  <c r="BE1064"/>
  <c r="BD1064"/>
  <c r="BF1064" s="1"/>
  <c r="BH1064" s="1"/>
  <c r="AU1064"/>
  <c r="AS1064"/>
  <c r="AQ1064"/>
  <c r="Z1064"/>
  <c r="Y1064"/>
  <c r="R1064"/>
  <c r="Q1064"/>
  <c r="P1064"/>
  <c r="N1064"/>
  <c r="M1064"/>
  <c r="BE1063"/>
  <c r="AU1063"/>
  <c r="AV1063" s="1"/>
  <c r="BD1063" s="1"/>
  <c r="BF1063" s="1"/>
  <c r="BH1063" s="1"/>
  <c r="AS1063"/>
  <c r="AQ1063"/>
  <c r="Z1063"/>
  <c r="Y1063"/>
  <c r="R1063"/>
  <c r="R1062" s="1"/>
  <c r="Q1063"/>
  <c r="P1063"/>
  <c r="N1063"/>
  <c r="M1063"/>
  <c r="BE1062"/>
  <c r="BG1062" s="1"/>
  <c r="BD1062"/>
  <c r="BF1062" s="1"/>
  <c r="BH1062" s="1"/>
  <c r="AU1062"/>
  <c r="AQ1062"/>
  <c r="O1062"/>
  <c r="L1062"/>
  <c r="K1062"/>
  <c r="BE1061"/>
  <c r="BG1061" s="1"/>
  <c r="BD1061"/>
  <c r="BF1061" s="1"/>
  <c r="BH1061" s="1"/>
  <c r="AU1061"/>
  <c r="AQ1061"/>
  <c r="Z1061"/>
  <c r="Y1061"/>
  <c r="R1061"/>
  <c r="Q1061"/>
  <c r="P1061"/>
  <c r="N1061"/>
  <c r="M1061"/>
  <c r="AW1060"/>
  <c r="Z1060"/>
  <c r="Y1060"/>
  <c r="R1060"/>
  <c r="Q1060"/>
  <c r="P1060"/>
  <c r="N1060"/>
  <c r="M1060"/>
  <c r="Z1059"/>
  <c r="Y1059"/>
  <c r="R1059"/>
  <c r="Q1059"/>
  <c r="P1059"/>
  <c r="N1059"/>
  <c r="M1059"/>
  <c r="Z1058"/>
  <c r="Y1058"/>
  <c r="R1058"/>
  <c r="Q1058"/>
  <c r="P1058"/>
  <c r="N1058"/>
  <c r="M1058"/>
  <c r="Z1057"/>
  <c r="Y1057"/>
  <c r="R1057"/>
  <c r="Q1057"/>
  <c r="P1057"/>
  <c r="N1057"/>
  <c r="M1057"/>
  <c r="Z1056"/>
  <c r="Y1056"/>
  <c r="R1056"/>
  <c r="Q1056"/>
  <c r="P1056"/>
  <c r="N1056"/>
  <c r="M1056"/>
  <c r="Z1055"/>
  <c r="Y1055"/>
  <c r="R1055"/>
  <c r="Q1055"/>
  <c r="P1055"/>
  <c r="N1055"/>
  <c r="M1055"/>
  <c r="BI1054"/>
  <c r="BE1054"/>
  <c r="BE1053" s="1"/>
  <c r="BD1054"/>
  <c r="BF1054" s="1"/>
  <c r="AP1054"/>
  <c r="Z1054"/>
  <c r="AB1054" s="1"/>
  <c r="AD1054" s="1"/>
  <c r="Y1054"/>
  <c r="AA1054" s="1"/>
  <c r="AC1054" s="1"/>
  <c r="R1054"/>
  <c r="Q1054"/>
  <c r="P1054"/>
  <c r="I1054"/>
  <c r="BI1053"/>
  <c r="BD1053"/>
  <c r="BF1053" s="1"/>
  <c r="AP1053"/>
  <c r="Z1053"/>
  <c r="AB1053" s="1"/>
  <c r="AD1053" s="1"/>
  <c r="Y1053"/>
  <c r="AA1053" s="1"/>
  <c r="AC1053" s="1"/>
  <c r="R1053"/>
  <c r="Q1053"/>
  <c r="P1053"/>
  <c r="BG1052"/>
  <c r="BI1052" s="1"/>
  <c r="AP1052"/>
  <c r="BH1052" s="1"/>
  <c r="Z1052"/>
  <c r="AB1052" s="1"/>
  <c r="AD1052" s="1"/>
  <c r="Y1052"/>
  <c r="AA1052" s="1"/>
  <c r="AC1052" s="1"/>
  <c r="R1052"/>
  <c r="Q1052"/>
  <c r="P1052"/>
  <c r="BF1051"/>
  <c r="BH1051" s="1"/>
  <c r="AU1051"/>
  <c r="AS1051"/>
  <c r="BG1051" s="1"/>
  <c r="AQ1051"/>
  <c r="Z1051"/>
  <c r="AB1051" s="1"/>
  <c r="AD1051" s="1"/>
  <c r="Y1051"/>
  <c r="R1051"/>
  <c r="Q1051"/>
  <c r="P1051"/>
  <c r="Z1050"/>
  <c r="Y1050"/>
  <c r="AA1050" s="1"/>
  <c r="AC1050" s="1"/>
  <c r="R1050"/>
  <c r="Q1050"/>
  <c r="P1050"/>
  <c r="O1049"/>
  <c r="L1049"/>
  <c r="K1049"/>
  <c r="AC1042"/>
  <c r="AC1041"/>
  <c r="Z1038"/>
  <c r="AB1038" s="1"/>
  <c r="AD1038" s="1"/>
  <c r="Q1038"/>
  <c r="Y1038" s="1"/>
  <c r="AC1038" s="1"/>
  <c r="Z1037"/>
  <c r="AB1037" s="1"/>
  <c r="AD1037" s="1"/>
  <c r="Q1037"/>
  <c r="Y1037" s="1"/>
  <c r="Z1036"/>
  <c r="AB1036" s="1"/>
  <c r="Q1036"/>
  <c r="Y1036" s="1"/>
  <c r="AA1036" s="1"/>
  <c r="O1036"/>
  <c r="L1036"/>
  <c r="Z1035"/>
  <c r="AB1035" s="1"/>
  <c r="AD1035" s="1"/>
  <c r="Q1035"/>
  <c r="Y1035" s="1"/>
  <c r="Z1034"/>
  <c r="AB1034" s="1"/>
  <c r="AD1034" s="1"/>
  <c r="Q1034"/>
  <c r="Y1034" s="1"/>
  <c r="Z1033"/>
  <c r="AB1033" s="1"/>
  <c r="AD1033" s="1"/>
  <c r="Q1033"/>
  <c r="Y1033" s="1"/>
  <c r="Z1032"/>
  <c r="AB1032" s="1"/>
  <c r="AD1032" s="1"/>
  <c r="Q1032"/>
  <c r="Y1032" s="1"/>
  <c r="Z1031"/>
  <c r="AB1031" s="1"/>
  <c r="AD1031" s="1"/>
  <c r="Q1031"/>
  <c r="Y1031" s="1"/>
  <c r="Z1030"/>
  <c r="AB1030" s="1"/>
  <c r="AD1030" s="1"/>
  <c r="Q1030"/>
  <c r="Y1030" s="1"/>
  <c r="AA1030" s="1"/>
  <c r="R1029"/>
  <c r="P1029"/>
  <c r="L1029"/>
  <c r="Z1028"/>
  <c r="AB1028" s="1"/>
  <c r="AD1028" s="1"/>
  <c r="Q1028"/>
  <c r="Y1028" s="1"/>
  <c r="Z1027"/>
  <c r="AB1027" s="1"/>
  <c r="AD1027" s="1"/>
  <c r="Q1027"/>
  <c r="Y1027" s="1"/>
  <c r="Z1026"/>
  <c r="AB1026" s="1"/>
  <c r="AD1026" s="1"/>
  <c r="Q1026"/>
  <c r="Y1026" s="1"/>
  <c r="Z1025"/>
  <c r="AB1025" s="1"/>
  <c r="AD1025" s="1"/>
  <c r="Q1025"/>
  <c r="Y1025" s="1"/>
  <c r="Z1024"/>
  <c r="AB1024" s="1"/>
  <c r="AD1024" s="1"/>
  <c r="Q1024"/>
  <c r="Y1024" s="1"/>
  <c r="Z1023"/>
  <c r="AB1023" s="1"/>
  <c r="AD1023" s="1"/>
  <c r="Q1023"/>
  <c r="Y1023" s="1"/>
  <c r="AA1023" s="1"/>
  <c r="Z1022"/>
  <c r="AB1022" s="1"/>
  <c r="AD1022" s="1"/>
  <c r="Q1022"/>
  <c r="Y1022" s="1"/>
  <c r="Z1021"/>
  <c r="AB1021" s="1"/>
  <c r="AD1021" s="1"/>
  <c r="Q1021"/>
  <c r="Y1021" s="1"/>
  <c r="Z1020"/>
  <c r="AB1020" s="1"/>
  <c r="AD1020" s="1"/>
  <c r="Q1020"/>
  <c r="Y1020" s="1"/>
  <c r="Z1019"/>
  <c r="AB1019" s="1"/>
  <c r="AD1019" s="1"/>
  <c r="Q1019"/>
  <c r="Y1019" s="1"/>
  <c r="Z1018"/>
  <c r="AB1018" s="1"/>
  <c r="AD1018" s="1"/>
  <c r="Q1018"/>
  <c r="Y1018" s="1"/>
  <c r="Z1017"/>
  <c r="AB1017" s="1"/>
  <c r="AD1017" s="1"/>
  <c r="Q1017"/>
  <c r="Y1017" s="1"/>
  <c r="AC1017" s="1"/>
  <c r="Z1016"/>
  <c r="AB1016" s="1"/>
  <c r="AD1016" s="1"/>
  <c r="Q1016"/>
  <c r="Y1016" s="1"/>
  <c r="R1015"/>
  <c r="Z1015" s="1"/>
  <c r="P1015"/>
  <c r="N1015"/>
  <c r="Z1013"/>
  <c r="AB1013" s="1"/>
  <c r="AD1013" s="1"/>
  <c r="Q1013"/>
  <c r="Y1013" s="1"/>
  <c r="AC1013" s="1"/>
  <c r="Z1012"/>
  <c r="AB1012" s="1"/>
  <c r="AD1012" s="1"/>
  <c r="Q1012"/>
  <c r="Y1012" s="1"/>
  <c r="R1011"/>
  <c r="Z1011" s="1"/>
  <c r="P1011"/>
  <c r="N1011"/>
  <c r="Z1010"/>
  <c r="AB1010" s="1"/>
  <c r="AD1010" s="1"/>
  <c r="Q1010"/>
  <c r="Y1010" s="1"/>
  <c r="AC1010" s="1"/>
  <c r="Z1009"/>
  <c r="AB1009" s="1"/>
  <c r="AD1009" s="1"/>
  <c r="Q1009"/>
  <c r="Y1009" s="1"/>
  <c r="Z1008"/>
  <c r="AB1008" s="1"/>
  <c r="AD1008" s="1"/>
  <c r="Q1008"/>
  <c r="Y1008" s="1"/>
  <c r="Z1007"/>
  <c r="AB1007" s="1"/>
  <c r="AD1007" s="1"/>
  <c r="Q1007"/>
  <c r="Y1007" s="1"/>
  <c r="R1006"/>
  <c r="Z1006" s="1"/>
  <c r="P1006"/>
  <c r="N1006"/>
  <c r="L1006"/>
  <c r="Z1004"/>
  <c r="AB1004" s="1"/>
  <c r="AD1004" s="1"/>
  <c r="Q1004"/>
  <c r="Y1004" s="1"/>
  <c r="Z1003"/>
  <c r="P1003"/>
  <c r="Q1003" s="1"/>
  <c r="Y1003" s="1"/>
  <c r="AA1003" s="1"/>
  <c r="N1003"/>
  <c r="L1003"/>
  <c r="Z1001"/>
  <c r="AB1001" s="1"/>
  <c r="AD1001" s="1"/>
  <c r="Q1001"/>
  <c r="Y1001" s="1"/>
  <c r="Z1000"/>
  <c r="AB1000" s="1"/>
  <c r="AD1000" s="1"/>
  <c r="Q1000"/>
  <c r="Y1000" s="1"/>
  <c r="Z999"/>
  <c r="AB999" s="1"/>
  <c r="AD999" s="1"/>
  <c r="Q999"/>
  <c r="Y999" s="1"/>
  <c r="Z998"/>
  <c r="AB998" s="1"/>
  <c r="AD998" s="1"/>
  <c r="Q998"/>
  <c r="Y998" s="1"/>
  <c r="Z997"/>
  <c r="AB997" s="1"/>
  <c r="AD997" s="1"/>
  <c r="Q997"/>
  <c r="Y997" s="1"/>
  <c r="AC997" s="1"/>
  <c r="Z996"/>
  <c r="AB996" s="1"/>
  <c r="AD996" s="1"/>
  <c r="Q996"/>
  <c r="Y996" s="1"/>
  <c r="Z995"/>
  <c r="AB995" s="1"/>
  <c r="AD995" s="1"/>
  <c r="Q995"/>
  <c r="Y995" s="1"/>
  <c r="Z994"/>
  <c r="AB994" s="1"/>
  <c r="AD994" s="1"/>
  <c r="Q994"/>
  <c r="Y994" s="1"/>
  <c r="Z993"/>
  <c r="AB993" s="1"/>
  <c r="AD993" s="1"/>
  <c r="Q993"/>
  <c r="Y993" s="1"/>
  <c r="Z992"/>
  <c r="AB992" s="1"/>
  <c r="AD992" s="1"/>
  <c r="Q992"/>
  <c r="Y992" s="1"/>
  <c r="Z991"/>
  <c r="AB991" s="1"/>
  <c r="AD991" s="1"/>
  <c r="Q991"/>
  <c r="Y991" s="1"/>
  <c r="AA991" s="1"/>
  <c r="Z990"/>
  <c r="AB990" s="1"/>
  <c r="AD990" s="1"/>
  <c r="Q990"/>
  <c r="Y990" s="1"/>
  <c r="Z989"/>
  <c r="AB989" s="1"/>
  <c r="AD989" s="1"/>
  <c r="Q989"/>
  <c r="Y989" s="1"/>
  <c r="Z988"/>
  <c r="AB988" s="1"/>
  <c r="AD988" s="1"/>
  <c r="Q988"/>
  <c r="Y988" s="1"/>
  <c r="R987"/>
  <c r="Z987" s="1"/>
  <c r="P987"/>
  <c r="N987"/>
  <c r="L987"/>
  <c r="AA983"/>
  <c r="Z982"/>
  <c r="AB982" s="1"/>
  <c r="AD982" s="1"/>
  <c r="Y982"/>
  <c r="AA982" s="1"/>
  <c r="AC982" s="1"/>
  <c r="Z981"/>
  <c r="Y981"/>
  <c r="AA981" s="1"/>
  <c r="AC981" s="1"/>
  <c r="N981"/>
  <c r="L981"/>
  <c r="Z980"/>
  <c r="Y980"/>
  <c r="AA980" s="1"/>
  <c r="AC980" s="1"/>
  <c r="N980"/>
  <c r="Z979"/>
  <c r="Y979"/>
  <c r="AA979" s="1"/>
  <c r="AC979" s="1"/>
  <c r="N979"/>
  <c r="Z978"/>
  <c r="Y978"/>
  <c r="AA978" s="1"/>
  <c r="AC978" s="1"/>
  <c r="N978"/>
  <c r="Z977"/>
  <c r="Y977"/>
  <c r="AA977" s="1"/>
  <c r="AC977" s="1"/>
  <c r="N977"/>
  <c r="Y976"/>
  <c r="AA976" s="1"/>
  <c r="AC976" s="1"/>
  <c r="R976"/>
  <c r="Z976" s="1"/>
  <c r="P976"/>
  <c r="L976"/>
  <c r="Z975"/>
  <c r="Y975"/>
  <c r="AA975" s="1"/>
  <c r="AC975" s="1"/>
  <c r="N975"/>
  <c r="Z974"/>
  <c r="Y974"/>
  <c r="AA974" s="1"/>
  <c r="N974"/>
  <c r="K974"/>
  <c r="Z973"/>
  <c r="Y973"/>
  <c r="AA973" s="1"/>
  <c r="N973"/>
  <c r="K973"/>
  <c r="Z972"/>
  <c r="Y972"/>
  <c r="AA972" s="1"/>
  <c r="N972"/>
  <c r="K972"/>
  <c r="Z971"/>
  <c r="Y971"/>
  <c r="AA971" s="1"/>
  <c r="N971"/>
  <c r="K971"/>
  <c r="Z970"/>
  <c r="Y970"/>
  <c r="AA970" s="1"/>
  <c r="N970"/>
  <c r="K970"/>
  <c r="Z969"/>
  <c r="Y969"/>
  <c r="AA969" s="1"/>
  <c r="N969"/>
  <c r="K969"/>
  <c r="Z968"/>
  <c r="Y968"/>
  <c r="AA968" s="1"/>
  <c r="N968"/>
  <c r="K968"/>
  <c r="Z967"/>
  <c r="Y967"/>
  <c r="AA967" s="1"/>
  <c r="N967"/>
  <c r="K967"/>
  <c r="Z966"/>
  <c r="Y966"/>
  <c r="AA966" s="1"/>
  <c r="N966"/>
  <c r="K966"/>
  <c r="Z965"/>
  <c r="Y965"/>
  <c r="AA965" s="1"/>
  <c r="N965"/>
  <c r="K965"/>
  <c r="Y964"/>
  <c r="AA964" s="1"/>
  <c r="AC964" s="1"/>
  <c r="R964"/>
  <c r="Z964" s="1"/>
  <c r="P964"/>
  <c r="L964"/>
  <c r="AB959"/>
  <c r="AD959" s="1"/>
  <c r="AA959"/>
  <c r="AC959" s="1"/>
  <c r="AB958"/>
  <c r="AD958" s="1"/>
  <c r="AA958"/>
  <c r="AC958" s="1"/>
  <c r="AB957"/>
  <c r="AA957"/>
  <c r="AC957" s="1"/>
  <c r="AA956"/>
  <c r="AC956" s="1"/>
  <c r="P956"/>
  <c r="N956"/>
  <c r="L956"/>
  <c r="AB955"/>
  <c r="AD955" s="1"/>
  <c r="AA955"/>
  <c r="AC955" s="1"/>
  <c r="AB954"/>
  <c r="AD954" s="1"/>
  <c r="AA954"/>
  <c r="AC954" s="1"/>
  <c r="AA953"/>
  <c r="AC953" s="1"/>
  <c r="P953"/>
  <c r="N953"/>
  <c r="AB953" s="1"/>
  <c r="L953"/>
  <c r="AB952"/>
  <c r="AD952" s="1"/>
  <c r="M952"/>
  <c r="AA952" s="1"/>
  <c r="K952"/>
  <c r="AA951"/>
  <c r="AC951" s="1"/>
  <c r="P951"/>
  <c r="P948" s="1"/>
  <c r="N951"/>
  <c r="AB951" s="1"/>
  <c r="L951"/>
  <c r="AB950"/>
  <c r="AD950" s="1"/>
  <c r="M950"/>
  <c r="AA950" s="1"/>
  <c r="K950"/>
  <c r="AB949"/>
  <c r="AD949" s="1"/>
  <c r="AA949"/>
  <c r="AC949" s="1"/>
  <c r="AA948"/>
  <c r="AC948" s="1"/>
  <c r="N948"/>
  <c r="AB948" s="1"/>
  <c r="L948"/>
  <c r="AB947"/>
  <c r="AD947" s="1"/>
  <c r="AA947"/>
  <c r="K947"/>
  <c r="AB946"/>
  <c r="AD946" s="1"/>
  <c r="AA946"/>
  <c r="AC946" s="1"/>
  <c r="AB945"/>
  <c r="AD945" s="1"/>
  <c r="AA945"/>
  <c r="AC945" s="1"/>
  <c r="AB944"/>
  <c r="AD944" s="1"/>
  <c r="AA944"/>
  <c r="K944"/>
  <c r="P943"/>
  <c r="N943"/>
  <c r="AB943" s="1"/>
  <c r="M943"/>
  <c r="AA943" s="1"/>
  <c r="AC943" s="1"/>
  <c r="L943"/>
  <c r="AB942"/>
  <c r="AD942" s="1"/>
  <c r="AA942"/>
  <c r="K942"/>
  <c r="Z941"/>
  <c r="AB941" s="1"/>
  <c r="Y941"/>
  <c r="M941"/>
  <c r="K941"/>
  <c r="Y940"/>
  <c r="AA940" s="1"/>
  <c r="AC940" s="1"/>
  <c r="R940"/>
  <c r="P940"/>
  <c r="N940"/>
  <c r="L940"/>
  <c r="AD939"/>
  <c r="AB938"/>
  <c r="P938"/>
  <c r="L938"/>
  <c r="AD937"/>
  <c r="AD936"/>
  <c r="AD935"/>
  <c r="Q935"/>
  <c r="AD934"/>
  <c r="AB933"/>
  <c r="P933"/>
  <c r="L933"/>
  <c r="AD932"/>
  <c r="M932"/>
  <c r="AD931"/>
  <c r="Q931"/>
  <c r="Q930"/>
  <c r="L930"/>
  <c r="AD930" s="1"/>
  <c r="Q929"/>
  <c r="L929"/>
  <c r="AD929" s="1"/>
  <c r="L928"/>
  <c r="AD928" s="1"/>
  <c r="L927"/>
  <c r="AD927" s="1"/>
  <c r="L926"/>
  <c r="AD926" s="1"/>
  <c r="L925"/>
  <c r="AD925" s="1"/>
  <c r="Q924"/>
  <c r="L924"/>
  <c r="AD924" s="1"/>
  <c r="L923"/>
  <c r="AD923" s="1"/>
  <c r="L922"/>
  <c r="AD922" s="1"/>
  <c r="L921"/>
  <c r="AD921" s="1"/>
  <c r="K921"/>
  <c r="Y916"/>
  <c r="AB915"/>
  <c r="AD915" s="1"/>
  <c r="AA915"/>
  <c r="AC915" s="1"/>
  <c r="Z914"/>
  <c r="Y914"/>
  <c r="R914"/>
  <c r="Q914"/>
  <c r="P914"/>
  <c r="O914"/>
  <c r="N914"/>
  <c r="M914"/>
  <c r="L914"/>
  <c r="K914"/>
  <c r="AB913"/>
  <c r="AD913" s="1"/>
  <c r="AA913"/>
  <c r="AC913" s="1"/>
  <c r="Z912"/>
  <c r="Y912"/>
  <c r="R912"/>
  <c r="Q912"/>
  <c r="P912"/>
  <c r="O912"/>
  <c r="N912"/>
  <c r="M912"/>
  <c r="L912"/>
  <c r="K912"/>
  <c r="AB911"/>
  <c r="AD911" s="1"/>
  <c r="AA911"/>
  <c r="AC911" s="1"/>
  <c r="AB910"/>
  <c r="AD910" s="1"/>
  <c r="AA910"/>
  <c r="AC910" s="1"/>
  <c r="Z909"/>
  <c r="Y909"/>
  <c r="AA909" s="1"/>
  <c r="R909"/>
  <c r="Q909"/>
  <c r="P909"/>
  <c r="N909"/>
  <c r="L909"/>
  <c r="AB908"/>
  <c r="AD908" s="1"/>
  <c r="AA908"/>
  <c r="AC908" s="1"/>
  <c r="AB907"/>
  <c r="AD907" s="1"/>
  <c r="AA907"/>
  <c r="AC907" s="1"/>
  <c r="Z906"/>
  <c r="Y906"/>
  <c r="R906"/>
  <c r="Q906"/>
  <c r="P906"/>
  <c r="N906"/>
  <c r="M906"/>
  <c r="L906"/>
  <c r="AB905"/>
  <c r="AD905" s="1"/>
  <c r="AA905"/>
  <c r="AC905" s="1"/>
  <c r="P904"/>
  <c r="O904"/>
  <c r="N904"/>
  <c r="AB904" s="1"/>
  <c r="M904"/>
  <c r="AA904" s="1"/>
  <c r="L904"/>
  <c r="K904"/>
  <c r="AB903"/>
  <c r="AD903" s="1"/>
  <c r="AA903"/>
  <c r="AC903" s="1"/>
  <c r="AB902"/>
  <c r="AD902" s="1"/>
  <c r="AA902"/>
  <c r="AC902" s="1"/>
  <c r="AB901"/>
  <c r="AD901" s="1"/>
  <c r="AA901"/>
  <c r="AC901" s="1"/>
  <c r="AB900"/>
  <c r="AD900" s="1"/>
  <c r="AA900"/>
  <c r="AC900" s="1"/>
  <c r="AB899"/>
  <c r="AD899" s="1"/>
  <c r="AA899"/>
  <c r="AC899" s="1"/>
  <c r="AB898"/>
  <c r="AD898" s="1"/>
  <c r="AA898"/>
  <c r="AC898" s="1"/>
  <c r="Z897"/>
  <c r="Y897"/>
  <c r="AA897" s="1"/>
  <c r="R897"/>
  <c r="Q897"/>
  <c r="P897"/>
  <c r="N897"/>
  <c r="L897"/>
  <c r="AB896"/>
  <c r="AD896" s="1"/>
  <c r="AA896"/>
  <c r="AC896" s="1"/>
  <c r="AB895"/>
  <c r="AD895" s="1"/>
  <c r="AA895"/>
  <c r="AC895" s="1"/>
  <c r="Z894"/>
  <c r="Y894"/>
  <c r="R894"/>
  <c r="Q894"/>
  <c r="P894"/>
  <c r="O894"/>
  <c r="N894"/>
  <c r="M894"/>
  <c r="L894"/>
  <c r="K894"/>
  <c r="AB893"/>
  <c r="AD893" s="1"/>
  <c r="AA893"/>
  <c r="AC893" s="1"/>
  <c r="Z892"/>
  <c r="Y892"/>
  <c r="R892"/>
  <c r="Q892"/>
  <c r="P892"/>
  <c r="O892"/>
  <c r="N892"/>
  <c r="M892"/>
  <c r="L892"/>
  <c r="K892"/>
  <c r="AB891"/>
  <c r="AD891" s="1"/>
  <c r="AA891"/>
  <c r="AC891" s="1"/>
  <c r="Z890"/>
  <c r="AB890" s="1"/>
  <c r="R890"/>
  <c r="Q890"/>
  <c r="P890"/>
  <c r="O890"/>
  <c r="M890"/>
  <c r="AA890" s="1"/>
  <c r="L890"/>
  <c r="K890"/>
  <c r="AB889"/>
  <c r="AD889" s="1"/>
  <c r="AA889"/>
  <c r="AC889" s="1"/>
  <c r="AB888"/>
  <c r="AD888" s="1"/>
  <c r="AA888"/>
  <c r="AC888" s="1"/>
  <c r="O888"/>
  <c r="AB887"/>
  <c r="AD887" s="1"/>
  <c r="AA887"/>
  <c r="AC887" s="1"/>
  <c r="AB886"/>
  <c r="AD886" s="1"/>
  <c r="AA886"/>
  <c r="AC886" s="1"/>
  <c r="AB885"/>
  <c r="AD885" s="1"/>
  <c r="AA885"/>
  <c r="AC885" s="1"/>
  <c r="Z884"/>
  <c r="Y884"/>
  <c r="AA884" s="1"/>
  <c r="AC884" s="1"/>
  <c r="R884"/>
  <c r="P884"/>
  <c r="N884"/>
  <c r="AB884" s="1"/>
  <c r="L884"/>
  <c r="AB883"/>
  <c r="AD883" s="1"/>
  <c r="AA883"/>
  <c r="AC883" s="1"/>
  <c r="AB882"/>
  <c r="AD882" s="1"/>
  <c r="AA882"/>
  <c r="AC882" s="1"/>
  <c r="AB881"/>
  <c r="AD881" s="1"/>
  <c r="AA881"/>
  <c r="AC881" s="1"/>
  <c r="AB880"/>
  <c r="AD880" s="1"/>
  <c r="AA880"/>
  <c r="AC880" s="1"/>
  <c r="AB879"/>
  <c r="AD879" s="1"/>
  <c r="AA879"/>
  <c r="AC879" s="1"/>
  <c r="AB878"/>
  <c r="AD878" s="1"/>
  <c r="AA878"/>
  <c r="AC878" s="1"/>
  <c r="AB877"/>
  <c r="AD877" s="1"/>
  <c r="AA877"/>
  <c r="AC877" s="1"/>
  <c r="AB876"/>
  <c r="AD876" s="1"/>
  <c r="AA876"/>
  <c r="AC876" s="1"/>
  <c r="AB875"/>
  <c r="AD875" s="1"/>
  <c r="AA875"/>
  <c r="AC875" s="1"/>
  <c r="AB874"/>
  <c r="AD874" s="1"/>
  <c r="AA874"/>
  <c r="AC874" s="1"/>
  <c r="AB873"/>
  <c r="AD873" s="1"/>
  <c r="AA873"/>
  <c r="AC873" s="1"/>
  <c r="AB872"/>
  <c r="AD872" s="1"/>
  <c r="AA872"/>
  <c r="AC872" s="1"/>
  <c r="AB871"/>
  <c r="AD871" s="1"/>
  <c r="AA871"/>
  <c r="AC871" s="1"/>
  <c r="AB870"/>
  <c r="AD870" s="1"/>
  <c r="AA870"/>
  <c r="AC870" s="1"/>
  <c r="Z869"/>
  <c r="AB869" s="1"/>
  <c r="Y869"/>
  <c r="R869"/>
  <c r="Q869"/>
  <c r="P869"/>
  <c r="O869"/>
  <c r="M869"/>
  <c r="L869"/>
  <c r="K869"/>
  <c r="Y866"/>
  <c r="AA866" s="1"/>
  <c r="AC866" s="1"/>
  <c r="AA865"/>
  <c r="AC865" s="1"/>
  <c r="Z865"/>
  <c r="AB865" s="1"/>
  <c r="P864"/>
  <c r="L864"/>
  <c r="Y863"/>
  <c r="AA863" s="1"/>
  <c r="AC863" s="1"/>
  <c r="AA862"/>
  <c r="AC862" s="1"/>
  <c r="AA861"/>
  <c r="AC861" s="1"/>
  <c r="AA860"/>
  <c r="AC860" s="1"/>
  <c r="AA859"/>
  <c r="AC859" s="1"/>
  <c r="AA858"/>
  <c r="AC858" s="1"/>
  <c r="Z858"/>
  <c r="AB858" s="1"/>
  <c r="P857"/>
  <c r="L857"/>
  <c r="Y856"/>
  <c r="AA856" s="1"/>
  <c r="AC856" s="1"/>
  <c r="AA855"/>
  <c r="AC855" s="1"/>
  <c r="AA854"/>
  <c r="AC854" s="1"/>
  <c r="AA853"/>
  <c r="AC853" s="1"/>
  <c r="Z853"/>
  <c r="AB853" s="1"/>
  <c r="AB852" s="1"/>
  <c r="P852"/>
  <c r="L852"/>
  <c r="AA851"/>
  <c r="O851"/>
  <c r="Y851" s="1"/>
  <c r="M851"/>
  <c r="K851"/>
  <c r="AC851" s="1"/>
  <c r="AA850"/>
  <c r="O850"/>
  <c r="Y850" s="1"/>
  <c r="M850"/>
  <c r="K850"/>
  <c r="AA849"/>
  <c r="O849"/>
  <c r="Y849" s="1"/>
  <c r="M849"/>
  <c r="K849"/>
  <c r="AB848"/>
  <c r="AA848"/>
  <c r="O848"/>
  <c r="Y848" s="1"/>
  <c r="M848"/>
  <c r="L848"/>
  <c r="K848"/>
  <c r="AA847"/>
  <c r="AC847" s="1"/>
  <c r="Y847"/>
  <c r="AA846"/>
  <c r="AC846" s="1"/>
  <c r="Y846"/>
  <c r="L846"/>
  <c r="AA845"/>
  <c r="AC845" s="1"/>
  <c r="Y845"/>
  <c r="AA844"/>
  <c r="AC844" s="1"/>
  <c r="Y844"/>
  <c r="AA843"/>
  <c r="AC843" s="1"/>
  <c r="Z843"/>
  <c r="AB843" s="1"/>
  <c r="Y843"/>
  <c r="P842"/>
  <c r="N842"/>
  <c r="Y839"/>
  <c r="AA839" s="1"/>
  <c r="AC839" s="1"/>
  <c r="Z838"/>
  <c r="AB838" s="1"/>
  <c r="Y838"/>
  <c r="AA838" s="1"/>
  <c r="AC838" s="1"/>
  <c r="P837"/>
  <c r="N837"/>
  <c r="L837"/>
  <c r="Z836"/>
  <c r="AB836" s="1"/>
  <c r="AD836" s="1"/>
  <c r="Y836"/>
  <c r="AA836" s="1"/>
  <c r="K836"/>
  <c r="AA835"/>
  <c r="K835"/>
  <c r="AA834"/>
  <c r="K834"/>
  <c r="AA833"/>
  <c r="K833"/>
  <c r="AA832"/>
  <c r="K832"/>
  <c r="Z831"/>
  <c r="AB831" s="1"/>
  <c r="AD831" s="1"/>
  <c r="Y831"/>
  <c r="AA831" s="1"/>
  <c r="K831"/>
  <c r="Z830"/>
  <c r="AB830" s="1"/>
  <c r="AD830" s="1"/>
  <c r="Y830"/>
  <c r="AA830" s="1"/>
  <c r="K830"/>
  <c r="P829"/>
  <c r="L829"/>
  <c r="Z828"/>
  <c r="AB828" s="1"/>
  <c r="Y828"/>
  <c r="M828"/>
  <c r="L828"/>
  <c r="K828"/>
  <c r="AA827"/>
  <c r="Z827"/>
  <c r="AB827" s="1"/>
  <c r="L827"/>
  <c r="K827"/>
  <c r="Z826"/>
  <c r="AB826" s="1"/>
  <c r="AD826" s="1"/>
  <c r="Y826"/>
  <c r="AA826" s="1"/>
  <c r="AC826" s="1"/>
  <c r="Z825"/>
  <c r="AB825" s="1"/>
  <c r="Y825"/>
  <c r="AA825" s="1"/>
  <c r="AC825" s="1"/>
  <c r="R824"/>
  <c r="P824"/>
  <c r="N824"/>
  <c r="Z823"/>
  <c r="AB823" s="1"/>
  <c r="Y823"/>
  <c r="AA823" s="1"/>
  <c r="K823"/>
  <c r="R822"/>
  <c r="P822"/>
  <c r="N822"/>
  <c r="L822"/>
  <c r="Z821"/>
  <c r="AB821" s="1"/>
  <c r="Y821"/>
  <c r="AA821" s="1"/>
  <c r="L821"/>
  <c r="K821"/>
  <c r="P820"/>
  <c r="N820"/>
  <c r="L820"/>
  <c r="Z819"/>
  <c r="AB819" s="1"/>
  <c r="AD819" s="1"/>
  <c r="Y819"/>
  <c r="AA819" s="1"/>
  <c r="AC819" s="1"/>
  <c r="Z818"/>
  <c r="AB818" s="1"/>
  <c r="AD818" s="1"/>
  <c r="Y818"/>
  <c r="K818"/>
  <c r="Z817"/>
  <c r="Y817"/>
  <c r="AA817" s="1"/>
  <c r="K817"/>
  <c r="AE816"/>
  <c r="X816"/>
  <c r="W816"/>
  <c r="V816"/>
  <c r="U816"/>
  <c r="T816"/>
  <c r="S816"/>
  <c r="R816"/>
  <c r="Q816"/>
  <c r="P816"/>
  <c r="O816"/>
  <c r="N816"/>
  <c r="M816"/>
  <c r="L816"/>
  <c r="Y815"/>
  <c r="Y814"/>
  <c r="AA814" s="1"/>
  <c r="AC814" s="1"/>
  <c r="Z813"/>
  <c r="AB813" s="1"/>
  <c r="AB812" s="1"/>
  <c r="Y813"/>
  <c r="AA813" s="1"/>
  <c r="AC813" s="1"/>
  <c r="L813"/>
  <c r="L812" s="1"/>
  <c r="AE812"/>
  <c r="X812"/>
  <c r="W812"/>
  <c r="V812"/>
  <c r="U812"/>
  <c r="T812"/>
  <c r="S812"/>
  <c r="R812"/>
  <c r="Q812"/>
  <c r="P812"/>
  <c r="O812"/>
  <c r="N812"/>
  <c r="M812"/>
  <c r="K812"/>
  <c r="Z811"/>
  <c r="AB811" s="1"/>
  <c r="AD811" s="1"/>
  <c r="Y811"/>
  <c r="M811"/>
  <c r="K811"/>
  <c r="Z809"/>
  <c r="AB809" s="1"/>
  <c r="AD809" s="1"/>
  <c r="Y809"/>
  <c r="M809"/>
  <c r="K809"/>
  <c r="Z807"/>
  <c r="AB807" s="1"/>
  <c r="AD807" s="1"/>
  <c r="Y807"/>
  <c r="M807"/>
  <c r="K807"/>
  <c r="Z806"/>
  <c r="AB806" s="1"/>
  <c r="AD806" s="1"/>
  <c r="Y806"/>
  <c r="M806"/>
  <c r="K806"/>
  <c r="Y805"/>
  <c r="AA805" s="1"/>
  <c r="K805"/>
  <c r="Z804"/>
  <c r="AB804" s="1"/>
  <c r="AD804" s="1"/>
  <c r="Y804"/>
  <c r="M804"/>
  <c r="K804"/>
  <c r="Z803"/>
  <c r="AB803" s="1"/>
  <c r="AD803" s="1"/>
  <c r="Y803"/>
  <c r="M803"/>
  <c r="K803"/>
  <c r="Z802"/>
  <c r="AB802" s="1"/>
  <c r="AD802" s="1"/>
  <c r="Y802"/>
  <c r="M802"/>
  <c r="K802"/>
  <c r="Z801"/>
  <c r="AB801" s="1"/>
  <c r="AD801" s="1"/>
  <c r="Y801"/>
  <c r="M801"/>
  <c r="K801"/>
  <c r="Y800"/>
  <c r="M800"/>
  <c r="K800"/>
  <c r="Y799"/>
  <c r="AA799" s="1"/>
  <c r="K799"/>
  <c r="Z798"/>
  <c r="Y798"/>
  <c r="AA798" s="1"/>
  <c r="K798"/>
  <c r="Z797"/>
  <c r="AB797" s="1"/>
  <c r="AD797" s="1"/>
  <c r="Y797"/>
  <c r="M797"/>
  <c r="K797"/>
  <c r="Z796"/>
  <c r="AB796" s="1"/>
  <c r="AD796" s="1"/>
  <c r="Y796"/>
  <c r="M796"/>
  <c r="K796"/>
  <c r="M795"/>
  <c r="K795"/>
  <c r="Z794"/>
  <c r="AB794" s="1"/>
  <c r="AD794" s="1"/>
  <c r="Y794"/>
  <c r="M794"/>
  <c r="K794"/>
  <c r="Z793"/>
  <c r="AB793" s="1"/>
  <c r="Y793"/>
  <c r="M793"/>
  <c r="K793"/>
  <c r="R792"/>
  <c r="Q792"/>
  <c r="Y792" s="1"/>
  <c r="P792"/>
  <c r="O792"/>
  <c r="N792"/>
  <c r="L792"/>
  <c r="Z780"/>
  <c r="AB780" s="1"/>
  <c r="AD780" s="1"/>
  <c r="Y780"/>
  <c r="AA780" s="1"/>
  <c r="AC780" s="1"/>
  <c r="R779"/>
  <c r="Z779" s="1"/>
  <c r="Q779"/>
  <c r="Y779" s="1"/>
  <c r="AA779" s="1"/>
  <c r="P779"/>
  <c r="N779"/>
  <c r="L779"/>
  <c r="K779"/>
  <c r="Z778"/>
  <c r="AB778" s="1"/>
  <c r="AD778" s="1"/>
  <c r="Y778"/>
  <c r="AA778" s="1"/>
  <c r="AC778" s="1"/>
  <c r="Z777"/>
  <c r="AB777" s="1"/>
  <c r="AD777" s="1"/>
  <c r="Y777"/>
  <c r="AA777" s="1"/>
  <c r="AC777" s="1"/>
  <c r="R776"/>
  <c r="Z776" s="1"/>
  <c r="Q776"/>
  <c r="Y776" s="1"/>
  <c r="P776"/>
  <c r="O776"/>
  <c r="N776"/>
  <c r="M776"/>
  <c r="L776"/>
  <c r="K776"/>
  <c r="Z775"/>
  <c r="AB775" s="1"/>
  <c r="AD775" s="1"/>
  <c r="Y775"/>
  <c r="AA775" s="1"/>
  <c r="AC775" s="1"/>
  <c r="Z774"/>
  <c r="AB774" s="1"/>
  <c r="AD774" s="1"/>
  <c r="Y774"/>
  <c r="AA774" s="1"/>
  <c r="AC774" s="1"/>
  <c r="Z773"/>
  <c r="AB773" s="1"/>
  <c r="AD773" s="1"/>
  <c r="Y773"/>
  <c r="AA773" s="1"/>
  <c r="AC773" s="1"/>
  <c r="Z772"/>
  <c r="AB772" s="1"/>
  <c r="AD772" s="1"/>
  <c r="Y772"/>
  <c r="AA772" s="1"/>
  <c r="AC772" s="1"/>
  <c r="Z771"/>
  <c r="AB771" s="1"/>
  <c r="AD771" s="1"/>
  <c r="Y771"/>
  <c r="AA771" s="1"/>
  <c r="AC771" s="1"/>
  <c r="Z770"/>
  <c r="AB770" s="1"/>
  <c r="AD770" s="1"/>
  <c r="Y770"/>
  <c r="AA770" s="1"/>
  <c r="AC770" s="1"/>
  <c r="Z769"/>
  <c r="AB769" s="1"/>
  <c r="AD769" s="1"/>
  <c r="Y769"/>
  <c r="AA769" s="1"/>
  <c r="AC769" s="1"/>
  <c r="Z768"/>
  <c r="AB768" s="1"/>
  <c r="AD768" s="1"/>
  <c r="Y768"/>
  <c r="AA768" s="1"/>
  <c r="AC768" s="1"/>
  <c r="Z767"/>
  <c r="AB767" s="1"/>
  <c r="AD767" s="1"/>
  <c r="Y767"/>
  <c r="AA767" s="1"/>
  <c r="AC767" s="1"/>
  <c r="Z766"/>
  <c r="AB766" s="1"/>
  <c r="AD766" s="1"/>
  <c r="Y766"/>
  <c r="AA766" s="1"/>
  <c r="AC766" s="1"/>
  <c r="Z765"/>
  <c r="AB765" s="1"/>
  <c r="AD765" s="1"/>
  <c r="Y765"/>
  <c r="AA765" s="1"/>
  <c r="AC765" s="1"/>
  <c r="Z764"/>
  <c r="AB764" s="1"/>
  <c r="AD764" s="1"/>
  <c r="Y764"/>
  <c r="AA764" s="1"/>
  <c r="AC764" s="1"/>
  <c r="Y763"/>
  <c r="AA763" s="1"/>
  <c r="AC763" s="1"/>
  <c r="R763"/>
  <c r="Z763" s="1"/>
  <c r="P763"/>
  <c r="N763"/>
  <c r="L763"/>
  <c r="AC762"/>
  <c r="Z762"/>
  <c r="AB762" s="1"/>
  <c r="Y762"/>
  <c r="Z761"/>
  <c r="AB761" s="1"/>
  <c r="AD761" s="1"/>
  <c r="Y761"/>
  <c r="AA761" s="1"/>
  <c r="AC761" s="1"/>
  <c r="Z760"/>
  <c r="AB760" s="1"/>
  <c r="AD760" s="1"/>
  <c r="Y760"/>
  <c r="AA760" s="1"/>
  <c r="AC760" s="1"/>
  <c r="Z759"/>
  <c r="AB759" s="1"/>
  <c r="AD759" s="1"/>
  <c r="Y759"/>
  <c r="AA759" s="1"/>
  <c r="AC759" s="1"/>
  <c r="Z758"/>
  <c r="AB758" s="1"/>
  <c r="Y758"/>
  <c r="AA758" s="1"/>
  <c r="AC758" s="1"/>
  <c r="Z757"/>
  <c r="AB757" s="1"/>
  <c r="AD757" s="1"/>
  <c r="Y757"/>
  <c r="AA757" s="1"/>
  <c r="AC757" s="1"/>
  <c r="Z756"/>
  <c r="AB756" s="1"/>
  <c r="AD756" s="1"/>
  <c r="Y756"/>
  <c r="AA756" s="1"/>
  <c r="AC756" s="1"/>
  <c r="Z755"/>
  <c r="AB755" s="1"/>
  <c r="AD755" s="1"/>
  <c r="Y755"/>
  <c r="AA755" s="1"/>
  <c r="AC755" s="1"/>
  <c r="Z754"/>
  <c r="AB754" s="1"/>
  <c r="AD754" s="1"/>
  <c r="Y754"/>
  <c r="AA754" s="1"/>
  <c r="AC754" s="1"/>
  <c r="Z753"/>
  <c r="AB753" s="1"/>
  <c r="AD753" s="1"/>
  <c r="Y753"/>
  <c r="AA753" s="1"/>
  <c r="AC753" s="1"/>
  <c r="Z752"/>
  <c r="AB752" s="1"/>
  <c r="Y752"/>
  <c r="AA752" s="1"/>
  <c r="AC752" s="1"/>
  <c r="Z751"/>
  <c r="AB751" s="1"/>
  <c r="AD751" s="1"/>
  <c r="Y751"/>
  <c r="AA751" s="1"/>
  <c r="AC751" s="1"/>
  <c r="Z750"/>
  <c r="AB750" s="1"/>
  <c r="AD750" s="1"/>
  <c r="Q750"/>
  <c r="Y750" s="1"/>
  <c r="AA750" s="1"/>
  <c r="AC750" s="1"/>
  <c r="Z749"/>
  <c r="AB749" s="1"/>
  <c r="Y749"/>
  <c r="AA749" s="1"/>
  <c r="AC749" s="1"/>
  <c r="Z748"/>
  <c r="AB748" s="1"/>
  <c r="AD748" s="1"/>
  <c r="Y748"/>
  <c r="AA748" s="1"/>
  <c r="AC748" s="1"/>
  <c r="Z747"/>
  <c r="AB747" s="1"/>
  <c r="AD747" s="1"/>
  <c r="Y747"/>
  <c r="AA747" s="1"/>
  <c r="AC747" s="1"/>
  <c r="Z746"/>
  <c r="AB746" s="1"/>
  <c r="AD746" s="1"/>
  <c r="Y746"/>
  <c r="AA746" s="1"/>
  <c r="AC746" s="1"/>
  <c r="Z745"/>
  <c r="AB745" s="1"/>
  <c r="AD745" s="1"/>
  <c r="Y745"/>
  <c r="AA745" s="1"/>
  <c r="AC745" s="1"/>
  <c r="Z744"/>
  <c r="AB744" s="1"/>
  <c r="Q744"/>
  <c r="Y744" s="1"/>
  <c r="AA744" s="1"/>
  <c r="AC744" s="1"/>
  <c r="Z743"/>
  <c r="AB743" s="1"/>
  <c r="AD743" s="1"/>
  <c r="Q743"/>
  <c r="Y743" s="1"/>
  <c r="AA743" s="1"/>
  <c r="AC743" s="1"/>
  <c r="Z742"/>
  <c r="AB742" s="1"/>
  <c r="AD742" s="1"/>
  <c r="Q742"/>
  <c r="Y742" s="1"/>
  <c r="AA742" s="1"/>
  <c r="AC742" s="1"/>
  <c r="X741"/>
  <c r="V741"/>
  <c r="T741"/>
  <c r="R741"/>
  <c r="P741"/>
  <c r="N741"/>
  <c r="L741"/>
  <c r="AB736"/>
  <c r="AD736" s="1"/>
  <c r="AB735"/>
  <c r="AD735" s="1"/>
  <c r="AB734"/>
  <c r="AD734" s="1"/>
  <c r="AB733"/>
  <c r="AD733" s="1"/>
  <c r="AB724"/>
  <c r="AD724" s="1"/>
  <c r="Z719"/>
  <c r="AB719" s="1"/>
  <c r="R719"/>
  <c r="P719"/>
  <c r="L719"/>
  <c r="AB715"/>
  <c r="AD715" s="1"/>
  <c r="M715"/>
  <c r="Z714"/>
  <c r="R714"/>
  <c r="P714"/>
  <c r="L714"/>
  <c r="AB712"/>
  <c r="AD712" s="1"/>
  <c r="M712"/>
  <c r="AB711"/>
  <c r="AD711" s="1"/>
  <c r="AA711"/>
  <c r="M711"/>
  <c r="AB701"/>
  <c r="AD701" s="1"/>
  <c r="M701"/>
  <c r="AB700"/>
  <c r="AD700" s="1"/>
  <c r="AA700"/>
  <c r="M700"/>
  <c r="AB699"/>
  <c r="AB698"/>
  <c r="AB697"/>
  <c r="AB696"/>
  <c r="AD696" s="1"/>
  <c r="AA696"/>
  <c r="M696"/>
  <c r="AB695"/>
  <c r="AD695" s="1"/>
  <c r="AA695"/>
  <c r="O695"/>
  <c r="AB694"/>
  <c r="AB691"/>
  <c r="AD691" s="1"/>
  <c r="AA691"/>
  <c r="AB690"/>
  <c r="AB689"/>
  <c r="AD689" s="1"/>
  <c r="AA689"/>
  <c r="O689"/>
  <c r="Z688"/>
  <c r="R688"/>
  <c r="P688"/>
  <c r="L688"/>
  <c r="AB675"/>
  <c r="AD675" s="1"/>
  <c r="AB671"/>
  <c r="AD671" s="1"/>
  <c r="AB670"/>
  <c r="AD670" s="1"/>
  <c r="AA670"/>
  <c r="M670"/>
  <c r="AB669"/>
  <c r="AD669" s="1"/>
  <c r="AA669"/>
  <c r="M669"/>
  <c r="AB668"/>
  <c r="AD668" s="1"/>
  <c r="M668"/>
  <c r="AB667"/>
  <c r="AD667" s="1"/>
  <c r="AA667"/>
  <c r="K667"/>
  <c r="AB666"/>
  <c r="AD666" s="1"/>
  <c r="AA666"/>
  <c r="AB665"/>
  <c r="AD665" s="1"/>
  <c r="AA665"/>
  <c r="AB664"/>
  <c r="AD664" s="1"/>
  <c r="AB663"/>
  <c r="AD663" s="1"/>
  <c r="AA663"/>
  <c r="K663"/>
  <c r="M663" s="1"/>
  <c r="Z662"/>
  <c r="R662"/>
  <c r="P662"/>
  <c r="M662"/>
  <c r="L662"/>
  <c r="AB660"/>
  <c r="AD660" s="1"/>
  <c r="AA660"/>
  <c r="M660"/>
  <c r="O660" s="1"/>
  <c r="AD657"/>
  <c r="M657"/>
  <c r="Z654"/>
  <c r="R654"/>
  <c r="P654"/>
  <c r="L654"/>
  <c r="AB652"/>
  <c r="AD652" s="1"/>
  <c r="Z651"/>
  <c r="R651"/>
  <c r="P651"/>
  <c r="L651"/>
  <c r="AB650"/>
  <c r="AD650" s="1"/>
  <c r="Z649"/>
  <c r="AB649" s="1"/>
  <c r="R649"/>
  <c r="P649"/>
  <c r="L649"/>
  <c r="AB646"/>
  <c r="AD646" s="1"/>
  <c r="AB645"/>
  <c r="AD645" s="1"/>
  <c r="AA645"/>
  <c r="AB639"/>
  <c r="AD639" s="1"/>
  <c r="AA639"/>
  <c r="Z635"/>
  <c r="R635"/>
  <c r="P635"/>
  <c r="N635"/>
  <c r="N737" s="1"/>
  <c r="L635"/>
  <c r="AB633"/>
  <c r="AB629"/>
  <c r="AD629" s="1"/>
  <c r="AA629"/>
  <c r="AB628"/>
  <c r="AD628" s="1"/>
  <c r="AA628"/>
  <c r="O628"/>
  <c r="AB627"/>
  <c r="AD627" s="1"/>
  <c r="AA627"/>
  <c r="AB626"/>
  <c r="AD626" s="1"/>
  <c r="AA626"/>
  <c r="Q626"/>
  <c r="AB625"/>
  <c r="AD625" s="1"/>
  <c r="AA625"/>
  <c r="AB624"/>
  <c r="AD624" s="1"/>
  <c r="AA624"/>
  <c r="AB623"/>
  <c r="AD623" s="1"/>
  <c r="AA623"/>
  <c r="AB622"/>
  <c r="AD622" s="1"/>
  <c r="AA622"/>
  <c r="AB621"/>
  <c r="AD621" s="1"/>
  <c r="AA621"/>
  <c r="AB620"/>
  <c r="AD620" s="1"/>
  <c r="AA620"/>
  <c r="AB619"/>
  <c r="AD619" s="1"/>
  <c r="AA619"/>
  <c r="AB618"/>
  <c r="AD618" s="1"/>
  <c r="AA618"/>
  <c r="AB617"/>
  <c r="AD617" s="1"/>
  <c r="AA617"/>
  <c r="Z616"/>
  <c r="AB616" s="1"/>
  <c r="R616"/>
  <c r="P616"/>
  <c r="L616"/>
  <c r="Z608"/>
  <c r="AB608" s="1"/>
  <c r="AD608" s="1"/>
  <c r="Y608"/>
  <c r="AA608" s="1"/>
  <c r="AC608" s="1"/>
  <c r="Z607"/>
  <c r="AB607" s="1"/>
  <c r="AD607" s="1"/>
  <c r="Y607"/>
  <c r="AA607" s="1"/>
  <c r="AC607" s="1"/>
  <c r="Z606"/>
  <c r="AB606" s="1"/>
  <c r="AD606" s="1"/>
  <c r="Y606"/>
  <c r="AA606" s="1"/>
  <c r="AC606" s="1"/>
  <c r="Z605"/>
  <c r="AB605" s="1"/>
  <c r="AD605" s="1"/>
  <c r="Y605"/>
  <c r="AA605" s="1"/>
  <c r="AC605" s="1"/>
  <c r="Z604"/>
  <c r="AB604" s="1"/>
  <c r="AD604" s="1"/>
  <c r="Y604"/>
  <c r="AA604" s="1"/>
  <c r="AC604" s="1"/>
  <c r="Z603"/>
  <c r="AB603" s="1"/>
  <c r="AD603" s="1"/>
  <c r="Y603"/>
  <c r="AA603" s="1"/>
  <c r="AC603" s="1"/>
  <c r="Z602"/>
  <c r="AB602" s="1"/>
  <c r="AD602" s="1"/>
  <c r="Y602"/>
  <c r="AA602" s="1"/>
  <c r="AC602" s="1"/>
  <c r="Z601"/>
  <c r="AB601" s="1"/>
  <c r="AD601" s="1"/>
  <c r="Y601"/>
  <c r="AA601" s="1"/>
  <c r="AC601" s="1"/>
  <c r="Z600"/>
  <c r="AB600" s="1"/>
  <c r="AD600" s="1"/>
  <c r="Y600"/>
  <c r="AA600" s="1"/>
  <c r="AC600" s="1"/>
  <c r="Z599"/>
  <c r="AB599" s="1"/>
  <c r="AD599" s="1"/>
  <c r="Y599"/>
  <c r="AA599" s="1"/>
  <c r="AC599" s="1"/>
  <c r="AB598"/>
  <c r="AA598"/>
  <c r="AC598" s="1"/>
  <c r="AA596"/>
  <c r="AC596" s="1"/>
  <c r="Y596"/>
  <c r="R596"/>
  <c r="Z596" s="1"/>
  <c r="P596"/>
  <c r="N596"/>
  <c r="L596"/>
  <c r="Z595"/>
  <c r="Y595"/>
  <c r="AA595" s="1"/>
  <c r="AC595" s="1"/>
  <c r="N595"/>
  <c r="Z594"/>
  <c r="Y594"/>
  <c r="AA594" s="1"/>
  <c r="AC594" s="1"/>
  <c r="N594"/>
  <c r="Z593"/>
  <c r="AB593" s="1"/>
  <c r="AD593" s="1"/>
  <c r="Y593"/>
  <c r="AA593" s="1"/>
  <c r="AC593" s="1"/>
  <c r="Z592"/>
  <c r="AB592" s="1"/>
  <c r="AD592" s="1"/>
  <c r="Y592"/>
  <c r="AA592" s="1"/>
  <c r="AC592" s="1"/>
  <c r="Z591"/>
  <c r="AB591" s="1"/>
  <c r="AD591" s="1"/>
  <c r="Y591"/>
  <c r="AA591" s="1"/>
  <c r="AC591" s="1"/>
  <c r="Z590"/>
  <c r="AB590" s="1"/>
  <c r="AD590" s="1"/>
  <c r="Y590"/>
  <c r="AA590" s="1"/>
  <c r="AC590" s="1"/>
  <c r="Z589"/>
  <c r="AB589" s="1"/>
  <c r="AD589" s="1"/>
  <c r="Y589"/>
  <c r="AA589" s="1"/>
  <c r="AC589" s="1"/>
  <c r="Z588"/>
  <c r="AB588" s="1"/>
  <c r="AD588" s="1"/>
  <c r="Y588"/>
  <c r="AA588" s="1"/>
  <c r="AC588" s="1"/>
  <c r="Z587"/>
  <c r="AB587" s="1"/>
  <c r="AD587" s="1"/>
  <c r="Y587"/>
  <c r="AA587" s="1"/>
  <c r="AC587" s="1"/>
  <c r="Z586"/>
  <c r="AB586" s="1"/>
  <c r="AD586" s="1"/>
  <c r="Y586"/>
  <c r="AA586" s="1"/>
  <c r="AC586" s="1"/>
  <c r="Z585"/>
  <c r="AB585" s="1"/>
  <c r="Y585"/>
  <c r="AA585" s="1"/>
  <c r="AC585" s="1"/>
  <c r="L585"/>
  <c r="L583" s="1"/>
  <c r="AC584"/>
  <c r="Z584"/>
  <c r="AB584" s="1"/>
  <c r="AC583"/>
  <c r="R583"/>
  <c r="Z583" s="1"/>
  <c r="P583"/>
  <c r="O583"/>
  <c r="AA582"/>
  <c r="AC582" s="1"/>
  <c r="Z582"/>
  <c r="AB582" s="1"/>
  <c r="AD582" s="1"/>
  <c r="Z581"/>
  <c r="AB581" s="1"/>
  <c r="AD581" s="1"/>
  <c r="Y581"/>
  <c r="AA581" s="1"/>
  <c r="AC581" s="1"/>
  <c r="Z580"/>
  <c r="AB580" s="1"/>
  <c r="AD580" s="1"/>
  <c r="Y580"/>
  <c r="AA580" s="1"/>
  <c r="AC580" s="1"/>
  <c r="AB579"/>
  <c r="Y579"/>
  <c r="AA579" s="1"/>
  <c r="AC579" s="1"/>
  <c r="L579"/>
  <c r="L578" s="1"/>
  <c r="AA578"/>
  <c r="AC578" s="1"/>
  <c r="R578"/>
  <c r="Z578" s="1"/>
  <c r="P578"/>
  <c r="N578"/>
  <c r="Z577"/>
  <c r="AB577" s="1"/>
  <c r="AD577" s="1"/>
  <c r="Y577"/>
  <c r="AA577" s="1"/>
  <c r="AC577" s="1"/>
  <c r="Z576"/>
  <c r="AB576" s="1"/>
  <c r="AD576" s="1"/>
  <c r="Y576"/>
  <c r="AA576" s="1"/>
  <c r="AC576" s="1"/>
  <c r="Z575"/>
  <c r="AB575" s="1"/>
  <c r="AD575" s="1"/>
  <c r="Y575"/>
  <c r="AA575" s="1"/>
  <c r="AC575" s="1"/>
  <c r="Z574"/>
  <c r="AB574" s="1"/>
  <c r="AD574" s="1"/>
  <c r="Y574"/>
  <c r="AA574" s="1"/>
  <c r="AC574" s="1"/>
  <c r="Z573"/>
  <c r="AB573" s="1"/>
  <c r="AD573" s="1"/>
  <c r="Y573"/>
  <c r="AA573" s="1"/>
  <c r="AC573" s="1"/>
  <c r="Z572"/>
  <c r="AB572" s="1"/>
  <c r="AD572" s="1"/>
  <c r="Y572"/>
  <c r="AA572" s="1"/>
  <c r="AC572" s="1"/>
  <c r="Z571"/>
  <c r="AB571" s="1"/>
  <c r="AD571" s="1"/>
  <c r="Y571"/>
  <c r="AA571" s="1"/>
  <c r="AC571" s="1"/>
  <c r="Z570"/>
  <c r="AB570" s="1"/>
  <c r="AD570" s="1"/>
  <c r="Y570"/>
  <c r="AA570" s="1"/>
  <c r="AC570" s="1"/>
  <c r="Z569"/>
  <c r="AB569" s="1"/>
  <c r="AD569" s="1"/>
  <c r="Y569"/>
  <c r="AA569" s="1"/>
  <c r="AC569" s="1"/>
  <c r="Z568"/>
  <c r="AB568" s="1"/>
  <c r="AD568" s="1"/>
  <c r="Y568"/>
  <c r="AA568" s="1"/>
  <c r="AC568" s="1"/>
  <c r="AA567"/>
  <c r="R567"/>
  <c r="Z567" s="1"/>
  <c r="P567"/>
  <c r="N567"/>
  <c r="L567"/>
  <c r="K561"/>
  <c r="Z559"/>
  <c r="AB559" s="1"/>
  <c r="Y559"/>
  <c r="AA559" s="1"/>
  <c r="AC559" s="1"/>
  <c r="Z557"/>
  <c r="AB557" s="1"/>
  <c r="Y557"/>
  <c r="AA557" s="1"/>
  <c r="AC557" s="1"/>
  <c r="Z555"/>
  <c r="AB555" s="1"/>
  <c r="Y555"/>
  <c r="AA555" s="1"/>
  <c r="AC555" s="1"/>
  <c r="Z553"/>
  <c r="Y553"/>
  <c r="AA553" s="1"/>
  <c r="AC553" s="1"/>
  <c r="Z551"/>
  <c r="Y551"/>
  <c r="AA551" s="1"/>
  <c r="AC551" s="1"/>
  <c r="Z549"/>
  <c r="Y549"/>
  <c r="AA549" s="1"/>
  <c r="AC549" s="1"/>
  <c r="AC547"/>
  <c r="Z547"/>
  <c r="Y547"/>
  <c r="Z545"/>
  <c r="Y545"/>
  <c r="AA545" s="1"/>
  <c r="AC545" s="1"/>
  <c r="Z543"/>
  <c r="Y543"/>
  <c r="AA543" s="1"/>
  <c r="AC543" s="1"/>
  <c r="Z541"/>
  <c r="Y541"/>
  <c r="AA541" s="1"/>
  <c r="AC541" s="1"/>
  <c r="Y540"/>
  <c r="AA540" s="1"/>
  <c r="AC540" s="1"/>
  <c r="R540"/>
  <c r="Z540" s="1"/>
  <c r="AB540" s="1"/>
  <c r="AD540" s="1"/>
  <c r="Z538"/>
  <c r="AB538" s="1"/>
  <c r="Y538"/>
  <c r="AA538" s="1"/>
  <c r="AC538" s="1"/>
  <c r="Z536"/>
  <c r="Y536"/>
  <c r="AA536" s="1"/>
  <c r="AC536" s="1"/>
  <c r="Z534"/>
  <c r="Y534"/>
  <c r="Y533"/>
  <c r="AA533" s="1"/>
  <c r="AC533" s="1"/>
  <c r="R533"/>
  <c r="Z533" s="1"/>
  <c r="AB533" s="1"/>
  <c r="AD533" s="1"/>
  <c r="Z530"/>
  <c r="Y530"/>
  <c r="AA530" s="1"/>
  <c r="AC530" s="1"/>
  <c r="Z528"/>
  <c r="AB528" s="1"/>
  <c r="Y528"/>
  <c r="AA528" s="1"/>
  <c r="AC528" s="1"/>
  <c r="Z526"/>
  <c r="Y526"/>
  <c r="AA526" s="1"/>
  <c r="AC526" s="1"/>
  <c r="Z524"/>
  <c r="Y524"/>
  <c r="AA524" s="1"/>
  <c r="AC524" s="1"/>
  <c r="Y523"/>
  <c r="AA523" s="1"/>
  <c r="AC523" s="1"/>
  <c r="R523"/>
  <c r="Z523" s="1"/>
  <c r="AB522" s="1"/>
  <c r="AD522" s="1"/>
  <c r="Z520"/>
  <c r="AB520" s="1"/>
  <c r="Y520"/>
  <c r="AA520" s="1"/>
  <c r="AC520" s="1"/>
  <c r="Z517"/>
  <c r="AB517" s="1"/>
  <c r="Y517"/>
  <c r="AA517" s="1"/>
  <c r="AC517" s="1"/>
  <c r="Z515"/>
  <c r="AB515" s="1"/>
  <c r="Y515"/>
  <c r="AA515" s="1"/>
  <c r="AC515" s="1"/>
  <c r="Z513"/>
  <c r="Y513"/>
  <c r="AA513" s="1"/>
  <c r="AC513" s="1"/>
  <c r="AB512"/>
  <c r="Y511"/>
  <c r="AA511" s="1"/>
  <c r="AC511" s="1"/>
  <c r="R511"/>
  <c r="Z511" s="1"/>
  <c r="AB511" s="1"/>
  <c r="AD511" s="1"/>
  <c r="AB510"/>
  <c r="Z508"/>
  <c r="Y508"/>
  <c r="AA508" s="1"/>
  <c r="AC508" s="1"/>
  <c r="R507"/>
  <c r="Z507" s="1"/>
  <c r="Q507"/>
  <c r="Y507" s="1"/>
  <c r="P507"/>
  <c r="O507"/>
  <c r="O561" s="1"/>
  <c r="M507"/>
  <c r="L507"/>
  <c r="Z504"/>
  <c r="AB504" s="1"/>
  <c r="AD504" s="1"/>
  <c r="Y504"/>
  <c r="AA504" s="1"/>
  <c r="AC504" s="1"/>
  <c r="Z502"/>
  <c r="AB502" s="1"/>
  <c r="AD502" s="1"/>
  <c r="Y502"/>
  <c r="AA502" s="1"/>
  <c r="AC502" s="1"/>
  <c r="Z500"/>
  <c r="AB500" s="1"/>
  <c r="AD500" s="1"/>
  <c r="Y500"/>
  <c r="AA500" s="1"/>
  <c r="AC500" s="1"/>
  <c r="Z498"/>
  <c r="AB498" s="1"/>
  <c r="AD498" s="1"/>
  <c r="Y498"/>
  <c r="AA498" s="1"/>
  <c r="AC498" s="1"/>
  <c r="Z496"/>
  <c r="AB496" s="1"/>
  <c r="AD496" s="1"/>
  <c r="Y496"/>
  <c r="AA496" s="1"/>
  <c r="AC496" s="1"/>
  <c r="Z494"/>
  <c r="AB494" s="1"/>
  <c r="AD494" s="1"/>
  <c r="Y494"/>
  <c r="AA494" s="1"/>
  <c r="AC494" s="1"/>
  <c r="Z492"/>
  <c r="AB492" s="1"/>
  <c r="AD492" s="1"/>
  <c r="Y492"/>
  <c r="AA492" s="1"/>
  <c r="AC492" s="1"/>
  <c r="Z490"/>
  <c r="AB490" s="1"/>
  <c r="AD490" s="1"/>
  <c r="Y490"/>
  <c r="AA490" s="1"/>
  <c r="AC490" s="1"/>
  <c r="Z488"/>
  <c r="Y488"/>
  <c r="AA488" s="1"/>
  <c r="AC488" s="1"/>
  <c r="Z486"/>
  <c r="Y486"/>
  <c r="AA486" s="1"/>
  <c r="AC486" s="1"/>
  <c r="AC484"/>
  <c r="Z484"/>
  <c r="Y484"/>
  <c r="AC482"/>
  <c r="Z482"/>
  <c r="Y482"/>
  <c r="AA480"/>
  <c r="AC480" s="1"/>
  <c r="Z480"/>
  <c r="Z478"/>
  <c r="Y478"/>
  <c r="AA478" s="1"/>
  <c r="AC478" s="1"/>
  <c r="Y477"/>
  <c r="AA477" s="1"/>
  <c r="AC477" s="1"/>
  <c r="R477"/>
  <c r="Z477" s="1"/>
  <c r="P477"/>
  <c r="L477"/>
  <c r="Z474"/>
  <c r="Z472"/>
  <c r="Y472"/>
  <c r="AA472" s="1"/>
  <c r="AC472" s="1"/>
  <c r="Z470"/>
  <c r="Y470"/>
  <c r="AA470" s="1"/>
  <c r="AC470" s="1"/>
  <c r="Z468"/>
  <c r="Y468"/>
  <c r="AA468" s="1"/>
  <c r="AC468" s="1"/>
  <c r="Z466"/>
  <c r="Y466"/>
  <c r="AA466" s="1"/>
  <c r="AC466" s="1"/>
  <c r="Z464"/>
  <c r="Y464"/>
  <c r="AA464" s="1"/>
  <c r="AC464" s="1"/>
  <c r="Z462"/>
  <c r="Y462"/>
  <c r="AA462" s="1"/>
  <c r="AC462" s="1"/>
  <c r="Z460"/>
  <c r="Y460"/>
  <c r="AA460" s="1"/>
  <c r="AC460" s="1"/>
  <c r="Z458"/>
  <c r="Y458"/>
  <c r="AA458" s="1"/>
  <c r="AC458" s="1"/>
  <c r="Z456"/>
  <c r="Y456"/>
  <c r="AA456" s="1"/>
  <c r="AC456" s="1"/>
  <c r="Z454"/>
  <c r="Y454"/>
  <c r="AA454" s="1"/>
  <c r="AC454" s="1"/>
  <c r="L451" s="1"/>
  <c r="Z452"/>
  <c r="Y452"/>
  <c r="AA452" s="1"/>
  <c r="AC452" s="1"/>
  <c r="Y451"/>
  <c r="R451"/>
  <c r="Z451" s="1"/>
  <c r="P451"/>
  <c r="Z432"/>
  <c r="AB432" s="1"/>
  <c r="AD432" s="1"/>
  <c r="Y432"/>
  <c r="AA432" s="1"/>
  <c r="AC432" s="1"/>
  <c r="Z431"/>
  <c r="AB431" s="1"/>
  <c r="AD431" s="1"/>
  <c r="Y431"/>
  <c r="AA431" s="1"/>
  <c r="AC431" s="1"/>
  <c r="Z430"/>
  <c r="AB430" s="1"/>
  <c r="AD430" s="1"/>
  <c r="Y430"/>
  <c r="AA430" s="1"/>
  <c r="AC430" s="1"/>
  <c r="Z429"/>
  <c r="AB429" s="1"/>
  <c r="AD429" s="1"/>
  <c r="Y429"/>
  <c r="AA429" s="1"/>
  <c r="AC429" s="1"/>
  <c r="Y428"/>
  <c r="AA428" s="1"/>
  <c r="AC428" s="1"/>
  <c r="R428"/>
  <c r="Z428" s="1"/>
  <c r="P428"/>
  <c r="N428"/>
  <c r="L428"/>
  <c r="AD425"/>
  <c r="Z424"/>
  <c r="Y424"/>
  <c r="Z423"/>
  <c r="Y423"/>
  <c r="N423"/>
  <c r="M423"/>
  <c r="L423"/>
  <c r="Z419"/>
  <c r="AB419" s="1"/>
  <c r="AD419" s="1"/>
  <c r="Y419"/>
  <c r="AA419" s="1"/>
  <c r="AC419" s="1"/>
  <c r="Z418"/>
  <c r="AB418" s="1"/>
  <c r="AD418" s="1"/>
  <c r="Y418"/>
  <c r="AA418" s="1"/>
  <c r="AC418" s="1"/>
  <c r="Z417"/>
  <c r="AB417" s="1"/>
  <c r="AD417" s="1"/>
  <c r="Y417"/>
  <c r="AA417" s="1"/>
  <c r="AC417" s="1"/>
  <c r="Z416"/>
  <c r="Y416"/>
  <c r="AA416" s="1"/>
  <c r="AC416" s="1"/>
  <c r="N416"/>
  <c r="L416"/>
  <c r="AC413"/>
  <c r="AB413"/>
  <c r="AD413" s="1"/>
  <c r="Y413"/>
  <c r="AA412"/>
  <c r="AC412" s="1"/>
  <c r="Z412"/>
  <c r="AB412" s="1"/>
  <c r="AD412" s="1"/>
  <c r="Z411"/>
  <c r="AB411" s="1"/>
  <c r="AD411" s="1"/>
  <c r="Y411"/>
  <c r="AA411" s="1"/>
  <c r="AC411" s="1"/>
  <c r="R410"/>
  <c r="Z410" s="1"/>
  <c r="Q410"/>
  <c r="Y410" s="1"/>
  <c r="AA410" s="1"/>
  <c r="AC410" s="1"/>
  <c r="P410"/>
  <c r="N410"/>
  <c r="L410"/>
  <c r="Z407"/>
  <c r="AB407" s="1"/>
  <c r="AD407" s="1"/>
  <c r="Y407"/>
  <c r="AA407" s="1"/>
  <c r="AC407" s="1"/>
  <c r="Z406"/>
  <c r="AB406" s="1"/>
  <c r="AD406" s="1"/>
  <c r="Y406"/>
  <c r="AA406" s="1"/>
  <c r="AC406" s="1"/>
  <c r="Z405"/>
  <c r="AB405" s="1"/>
  <c r="AD405" s="1"/>
  <c r="AD414" s="1"/>
  <c r="Y405"/>
  <c r="AA405" s="1"/>
  <c r="AC405" s="1"/>
  <c r="Z404"/>
  <c r="AB404" s="1"/>
  <c r="AD404" s="1"/>
  <c r="Y404"/>
  <c r="AA404" s="1"/>
  <c r="AC404" s="1"/>
  <c r="Z403"/>
  <c r="AB403" s="1"/>
  <c r="AD403" s="1"/>
  <c r="Y403"/>
  <c r="AA403" s="1"/>
  <c r="AC403" s="1"/>
  <c r="Z402"/>
  <c r="AB402" s="1"/>
  <c r="AD402" s="1"/>
  <c r="Y402"/>
  <c r="AA402" s="1"/>
  <c r="AC402" s="1"/>
  <c r="Z401"/>
  <c r="AB401" s="1"/>
  <c r="AD401" s="1"/>
  <c r="Y401"/>
  <c r="AA401" s="1"/>
  <c r="AC401" s="1"/>
  <c r="Z400"/>
  <c r="AB400" s="1"/>
  <c r="AD400" s="1"/>
  <c r="Y400"/>
  <c r="AA400" s="1"/>
  <c r="AC400" s="1"/>
  <c r="Z399"/>
  <c r="AB399" s="1"/>
  <c r="AD399" s="1"/>
  <c r="Y399"/>
  <c r="AA399" s="1"/>
  <c r="AC399" s="1"/>
  <c r="Y398"/>
  <c r="AA398" s="1"/>
  <c r="AC398" s="1"/>
  <c r="R398"/>
  <c r="Z398" s="1"/>
  <c r="P398"/>
  <c r="N398"/>
  <c r="L398"/>
  <c r="Z395"/>
  <c r="AB395" s="1"/>
  <c r="AD395" s="1"/>
  <c r="Y395"/>
  <c r="AA395" s="1"/>
  <c r="AC395" s="1"/>
  <c r="Z394"/>
  <c r="AB394" s="1"/>
  <c r="AD394" s="1"/>
  <c r="Y394"/>
  <c r="AA394" s="1"/>
  <c r="AC394" s="1"/>
  <c r="Z393"/>
  <c r="AB393" s="1"/>
  <c r="AD393" s="1"/>
  <c r="Y393"/>
  <c r="AA393" s="1"/>
  <c r="AC393" s="1"/>
  <c r="Z392"/>
  <c r="AB392" s="1"/>
  <c r="AD392" s="1"/>
  <c r="Y392"/>
  <c r="AA392" s="1"/>
  <c r="AC392" s="1"/>
  <c r="Z391"/>
  <c r="AB391" s="1"/>
  <c r="AD391" s="1"/>
  <c r="Y391"/>
  <c r="AA391" s="1"/>
  <c r="AC391" s="1"/>
  <c r="Y390"/>
  <c r="AA390" s="1"/>
  <c r="AC390" s="1"/>
  <c r="R390"/>
  <c r="Z390" s="1"/>
  <c r="P390"/>
  <c r="N390"/>
  <c r="L390"/>
  <c r="Z387"/>
  <c r="AB387" s="1"/>
  <c r="AD387" s="1"/>
  <c r="Q387"/>
  <c r="Y386"/>
  <c r="R386"/>
  <c r="Z386" s="1"/>
  <c r="P386"/>
  <c r="N386"/>
  <c r="L386"/>
  <c r="Z383"/>
  <c r="AB383" s="1"/>
  <c r="AD383" s="1"/>
  <c r="Y383"/>
  <c r="AA383" s="1"/>
  <c r="AC383" s="1"/>
  <c r="AC384" s="1"/>
  <c r="N382"/>
  <c r="L382"/>
  <c r="K382"/>
  <c r="Z378"/>
  <c r="AB378" s="1"/>
  <c r="AD378" s="1"/>
  <c r="Y378"/>
  <c r="AA378" s="1"/>
  <c r="AC378" s="1"/>
  <c r="Z377"/>
  <c r="AB377" s="1"/>
  <c r="AD377" s="1"/>
  <c r="Y377"/>
  <c r="AA377" s="1"/>
  <c r="AC377" s="1"/>
  <c r="Z376"/>
  <c r="AB376" s="1"/>
  <c r="AD376" s="1"/>
  <c r="Y376"/>
  <c r="AA376" s="1"/>
  <c r="AC376" s="1"/>
  <c r="Z375"/>
  <c r="AB375" s="1"/>
  <c r="AD375" s="1"/>
  <c r="Y375"/>
  <c r="AA375" s="1"/>
  <c r="AC375" s="1"/>
  <c r="R374"/>
  <c r="Z374" s="1"/>
  <c r="Q374"/>
  <c r="Y374" s="1"/>
  <c r="AA374" s="1"/>
  <c r="AC374" s="1"/>
  <c r="P374"/>
  <c r="N374"/>
  <c r="L374"/>
  <c r="Z371"/>
  <c r="AB371" s="1"/>
  <c r="AD371" s="1"/>
  <c r="Y371"/>
  <c r="AA371" s="1"/>
  <c r="AC371" s="1"/>
  <c r="Z370"/>
  <c r="AB370" s="1"/>
  <c r="AD370" s="1"/>
  <c r="Y370"/>
  <c r="AA370" s="1"/>
  <c r="AC370" s="1"/>
  <c r="Z369"/>
  <c r="AB369" s="1"/>
  <c r="AD369" s="1"/>
  <c r="Y369"/>
  <c r="AA369" s="1"/>
  <c r="AC369" s="1"/>
  <c r="Z368"/>
  <c r="AB368" s="1"/>
  <c r="AD368" s="1"/>
  <c r="Y368"/>
  <c r="AA368" s="1"/>
  <c r="AC368" s="1"/>
  <c r="AA367"/>
  <c r="AC367" s="1"/>
  <c r="Z367"/>
  <c r="AB367" s="1"/>
  <c r="AD367" s="1"/>
  <c r="Z366"/>
  <c r="AB366" s="1"/>
  <c r="AD366" s="1"/>
  <c r="Y366"/>
  <c r="AA366" s="1"/>
  <c r="AC366" s="1"/>
  <c r="Z365"/>
  <c r="AB365" s="1"/>
  <c r="AD365" s="1"/>
  <c r="Y365"/>
  <c r="AA365" s="1"/>
  <c r="AC365" s="1"/>
  <c r="Z364"/>
  <c r="AB364" s="1"/>
  <c r="AD364" s="1"/>
  <c r="Y364"/>
  <c r="AA364" s="1"/>
  <c r="AC364" s="1"/>
  <c r="AA363"/>
  <c r="AC363" s="1"/>
  <c r="Z363"/>
  <c r="AB363" s="1"/>
  <c r="AD363" s="1"/>
  <c r="Z362"/>
  <c r="AB362" s="1"/>
  <c r="AD362" s="1"/>
  <c r="Y362"/>
  <c r="AA362" s="1"/>
  <c r="AC362" s="1"/>
  <c r="Z361"/>
  <c r="AB361" s="1"/>
  <c r="AD361" s="1"/>
  <c r="Y361"/>
  <c r="AA361" s="1"/>
  <c r="AC361" s="1"/>
  <c r="Z360"/>
  <c r="AB360" s="1"/>
  <c r="AD360" s="1"/>
  <c r="Y360"/>
  <c r="AA360" s="1"/>
  <c r="AC360" s="1"/>
  <c r="Z359"/>
  <c r="AB359" s="1"/>
  <c r="AD359" s="1"/>
  <c r="Y359"/>
  <c r="AA359" s="1"/>
  <c r="AC359" s="1"/>
  <c r="Z358"/>
  <c r="AB358" s="1"/>
  <c r="AD358" s="1"/>
  <c r="Y358"/>
  <c r="AA358" s="1"/>
  <c r="AC358" s="1"/>
  <c r="Z357"/>
  <c r="AB357" s="1"/>
  <c r="AD357" s="1"/>
  <c r="Y357"/>
  <c r="AA357" s="1"/>
  <c r="AC357" s="1"/>
  <c r="Z356"/>
  <c r="AB356" s="1"/>
  <c r="AD356" s="1"/>
  <c r="Y356"/>
  <c r="AA356" s="1"/>
  <c r="AC356" s="1"/>
  <c r="Z355"/>
  <c r="AB355" s="1"/>
  <c r="AD355" s="1"/>
  <c r="Y355"/>
  <c r="AA355" s="1"/>
  <c r="AC355" s="1"/>
  <c r="Z354"/>
  <c r="AB354" s="1"/>
  <c r="AD354" s="1"/>
  <c r="Y354"/>
  <c r="AA354" s="1"/>
  <c r="AC354" s="1"/>
  <c r="Z353"/>
  <c r="AB353" s="1"/>
  <c r="AD353" s="1"/>
  <c r="Y353"/>
  <c r="AA353" s="1"/>
  <c r="AC353" s="1"/>
  <c r="Z352"/>
  <c r="AB352" s="1"/>
  <c r="AD352" s="1"/>
  <c r="Y352"/>
  <c r="AA352" s="1"/>
  <c r="AC352" s="1"/>
  <c r="Z351"/>
  <c r="AB351" s="1"/>
  <c r="AD351" s="1"/>
  <c r="Y351"/>
  <c r="AA351" s="1"/>
  <c r="AC351" s="1"/>
  <c r="Z350"/>
  <c r="AB350" s="1"/>
  <c r="AD350" s="1"/>
  <c r="Y350"/>
  <c r="AA350" s="1"/>
  <c r="AC350" s="1"/>
  <c r="Z349"/>
  <c r="AB349" s="1"/>
  <c r="AD349" s="1"/>
  <c r="Y349"/>
  <c r="AA349" s="1"/>
  <c r="AC349" s="1"/>
  <c r="Z348"/>
  <c r="AB348" s="1"/>
  <c r="AD348" s="1"/>
  <c r="Y348"/>
  <c r="AA348" s="1"/>
  <c r="AC348" s="1"/>
  <c r="Z347"/>
  <c r="AB347" s="1"/>
  <c r="AD347" s="1"/>
  <c r="Y347"/>
  <c r="AA347" s="1"/>
  <c r="AC347" s="1"/>
  <c r="Z346"/>
  <c r="AB346" s="1"/>
  <c r="AD346" s="1"/>
  <c r="Y346"/>
  <c r="AA346" s="1"/>
  <c r="AC346" s="1"/>
  <c r="Z345"/>
  <c r="AB345" s="1"/>
  <c r="AD345" s="1"/>
  <c r="Y345"/>
  <c r="AA345" s="1"/>
  <c r="AC345" s="1"/>
  <c r="Z344"/>
  <c r="AB344" s="1"/>
  <c r="AD344" s="1"/>
  <c r="Y344"/>
  <c r="AA344" s="1"/>
  <c r="AC344" s="1"/>
  <c r="Z343"/>
  <c r="AB343" s="1"/>
  <c r="AD343" s="1"/>
  <c r="Y343"/>
  <c r="AA343" s="1"/>
  <c r="AC343" s="1"/>
  <c r="Z342"/>
  <c r="AB342" s="1"/>
  <c r="AD342" s="1"/>
  <c r="Y342"/>
  <c r="AA342" s="1"/>
  <c r="AC342" s="1"/>
  <c r="Z341"/>
  <c r="AB341" s="1"/>
  <c r="AD341" s="1"/>
  <c r="Y341"/>
  <c r="AA341" s="1"/>
  <c r="AC341" s="1"/>
  <c r="Z340"/>
  <c r="AB340" s="1"/>
  <c r="AD340" s="1"/>
  <c r="Y340"/>
  <c r="AA340" s="1"/>
  <c r="AC340" s="1"/>
  <c r="Z339"/>
  <c r="AB339" s="1"/>
  <c r="AD339" s="1"/>
  <c r="Y339"/>
  <c r="AA339" s="1"/>
  <c r="AC339" s="1"/>
  <c r="Z338"/>
  <c r="AB338" s="1"/>
  <c r="AD338" s="1"/>
  <c r="Y338"/>
  <c r="AA338" s="1"/>
  <c r="AC338" s="1"/>
  <c r="Z337"/>
  <c r="AB337" s="1"/>
  <c r="AD337" s="1"/>
  <c r="Y337"/>
  <c r="AA337" s="1"/>
  <c r="AC337" s="1"/>
  <c r="Z336"/>
  <c r="AB336" s="1"/>
  <c r="AD336" s="1"/>
  <c r="Y336"/>
  <c r="AA336" s="1"/>
  <c r="AC336" s="1"/>
  <c r="AA335"/>
  <c r="AC335" s="1"/>
  <c r="Z335"/>
  <c r="AB335" s="1"/>
  <c r="AD335" s="1"/>
  <c r="Z334"/>
  <c r="AB334" s="1"/>
  <c r="AD334" s="1"/>
  <c r="Y334"/>
  <c r="AA334" s="1"/>
  <c r="AC334" s="1"/>
  <c r="Z333"/>
  <c r="AB333" s="1"/>
  <c r="AD333" s="1"/>
  <c r="Y333"/>
  <c r="AA333" s="1"/>
  <c r="AC333" s="1"/>
  <c r="Z332"/>
  <c r="AB332" s="1"/>
  <c r="AD332" s="1"/>
  <c r="Y332"/>
  <c r="AA332" s="1"/>
  <c r="AC332" s="1"/>
  <c r="Z331"/>
  <c r="AB331" s="1"/>
  <c r="AD331" s="1"/>
  <c r="Y331"/>
  <c r="AA331" s="1"/>
  <c r="AC331" s="1"/>
  <c r="Z330"/>
  <c r="AB330" s="1"/>
  <c r="AD330" s="1"/>
  <c r="Y330"/>
  <c r="AA330" s="1"/>
  <c r="AC330" s="1"/>
  <c r="Z329"/>
  <c r="AB329" s="1"/>
  <c r="AD329" s="1"/>
  <c r="Y329"/>
  <c r="AA329" s="1"/>
  <c r="AC329" s="1"/>
  <c r="Z328"/>
  <c r="AB328" s="1"/>
  <c r="AD328" s="1"/>
  <c r="Y328"/>
  <c r="AA328" s="1"/>
  <c r="AC328" s="1"/>
  <c r="Z327"/>
  <c r="AB327" s="1"/>
  <c r="AD327" s="1"/>
  <c r="Y327"/>
  <c r="AA327" s="1"/>
  <c r="AC327" s="1"/>
  <c r="Y326"/>
  <c r="AA326" s="1"/>
  <c r="AC326" s="1"/>
  <c r="R326"/>
  <c r="Z326" s="1"/>
  <c r="P326"/>
  <c r="N326"/>
  <c r="L326"/>
  <c r="Z324"/>
  <c r="AB324" s="1"/>
  <c r="AD324" s="1"/>
  <c r="Y324"/>
  <c r="AA324" s="1"/>
  <c r="AC324" s="1"/>
  <c r="Z323"/>
  <c r="AB323" s="1"/>
  <c r="AD323" s="1"/>
  <c r="Y323"/>
  <c r="AA323" s="1"/>
  <c r="AC323" s="1"/>
  <c r="Y322"/>
  <c r="AA322" s="1"/>
  <c r="AC322" s="1"/>
  <c r="R322"/>
  <c r="Z322" s="1"/>
  <c r="P322"/>
  <c r="N322"/>
  <c r="L322"/>
  <c r="Z319"/>
  <c r="AB319" s="1"/>
  <c r="AD319" s="1"/>
  <c r="Y319"/>
  <c r="AA319" s="1"/>
  <c r="AC319" s="1"/>
  <c r="Z318"/>
  <c r="AB318" s="1"/>
  <c r="AD318" s="1"/>
  <c r="Y318"/>
  <c r="AA318" s="1"/>
  <c r="AC318" s="1"/>
  <c r="Z317"/>
  <c r="AB317" s="1"/>
  <c r="AD317" s="1"/>
  <c r="Y317"/>
  <c r="AA317" s="1"/>
  <c r="AC317" s="1"/>
  <c r="Z316"/>
  <c r="AB316" s="1"/>
  <c r="AD316" s="1"/>
  <c r="Y316"/>
  <c r="AA316" s="1"/>
  <c r="AC316" s="1"/>
  <c r="Y315"/>
  <c r="AA315" s="1"/>
  <c r="AC315" s="1"/>
  <c r="R315"/>
  <c r="Z315" s="1"/>
  <c r="P315"/>
  <c r="N315"/>
  <c r="L315"/>
  <c r="Z311"/>
  <c r="AB311" s="1"/>
  <c r="AD311" s="1"/>
  <c r="Y311"/>
  <c r="AA311" s="1"/>
  <c r="AC311" s="1"/>
  <c r="Z310"/>
  <c r="AB310" s="1"/>
  <c r="AD310" s="1"/>
  <c r="Y310"/>
  <c r="AA310" s="1"/>
  <c r="AC310" s="1"/>
  <c r="Z309"/>
  <c r="AB309" s="1"/>
  <c r="AD309" s="1"/>
  <c r="Y309"/>
  <c r="AA309" s="1"/>
  <c r="AC309" s="1"/>
  <c r="Z308"/>
  <c r="AB308" s="1"/>
  <c r="AD308" s="1"/>
  <c r="Y308"/>
  <c r="AA308" s="1"/>
  <c r="AC308" s="1"/>
  <c r="Z307"/>
  <c r="AB307" s="1"/>
  <c r="AD307" s="1"/>
  <c r="Y307"/>
  <c r="AA307" s="1"/>
  <c r="AC307" s="1"/>
  <c r="Z306"/>
  <c r="AB306" s="1"/>
  <c r="AD306" s="1"/>
  <c r="Y306"/>
  <c r="AA306" s="1"/>
  <c r="AC306" s="1"/>
  <c r="Z305"/>
  <c r="AB305" s="1"/>
  <c r="AD305" s="1"/>
  <c r="Y305"/>
  <c r="AA305" s="1"/>
  <c r="AC305" s="1"/>
  <c r="Z304"/>
  <c r="AB304" s="1"/>
  <c r="AD304" s="1"/>
  <c r="Y304"/>
  <c r="AA304" s="1"/>
  <c r="AC304" s="1"/>
  <c r="Z303"/>
  <c r="AB303" s="1"/>
  <c r="AD303" s="1"/>
  <c r="Y303"/>
  <c r="AA303" s="1"/>
  <c r="AC303" s="1"/>
  <c r="R302"/>
  <c r="Z302" s="1"/>
  <c r="Q302"/>
  <c r="Y302" s="1"/>
  <c r="AA302" s="1"/>
  <c r="AC302" s="1"/>
  <c r="P302"/>
  <c r="N302"/>
  <c r="L302"/>
  <c r="Z298"/>
  <c r="AB298" s="1"/>
  <c r="AD298" s="1"/>
  <c r="Y298"/>
  <c r="AA298" s="1"/>
  <c r="AC298" s="1"/>
  <c r="Z297"/>
  <c r="AB297" s="1"/>
  <c r="AD297" s="1"/>
  <c r="Y297"/>
  <c r="AA297" s="1"/>
  <c r="AC297" s="1"/>
  <c r="Z296"/>
  <c r="AB296" s="1"/>
  <c r="AD296" s="1"/>
  <c r="Y296"/>
  <c r="AA296" s="1"/>
  <c r="AC296" s="1"/>
  <c r="Z295"/>
  <c r="AB295" s="1"/>
  <c r="AD295" s="1"/>
  <c r="Y295"/>
  <c r="AA295" s="1"/>
  <c r="AC295" s="1"/>
  <c r="Z294"/>
  <c r="AB294" s="1"/>
  <c r="AD294" s="1"/>
  <c r="Y294"/>
  <c r="AA294" s="1"/>
  <c r="AC294" s="1"/>
  <c r="Z293"/>
  <c r="AB293" s="1"/>
  <c r="AD293" s="1"/>
  <c r="Y293"/>
  <c r="AA293" s="1"/>
  <c r="AC293" s="1"/>
  <c r="Z292"/>
  <c r="AB292" s="1"/>
  <c r="AD292" s="1"/>
  <c r="Y292"/>
  <c r="AA292" s="1"/>
  <c r="AC292" s="1"/>
  <c r="Y291"/>
  <c r="AA291" s="1"/>
  <c r="AC291" s="1"/>
  <c r="R291"/>
  <c r="Z291" s="1"/>
  <c r="P291"/>
  <c r="N291"/>
  <c r="L291"/>
  <c r="Z287"/>
  <c r="AB287" s="1"/>
  <c r="AD287" s="1"/>
  <c r="Y287"/>
  <c r="AA287" s="1"/>
  <c r="AC287" s="1"/>
  <c r="Z285"/>
  <c r="AB285" s="1"/>
  <c r="AD285" s="1"/>
  <c r="Y285"/>
  <c r="AA285" s="1"/>
  <c r="AC285" s="1"/>
  <c r="Z284"/>
  <c r="AB284" s="1"/>
  <c r="AD284" s="1"/>
  <c r="Y284"/>
  <c r="AA284" s="1"/>
  <c r="AC284" s="1"/>
  <c r="Z283"/>
  <c r="AB283" s="1"/>
  <c r="AD283" s="1"/>
  <c r="Y283"/>
  <c r="AA283" s="1"/>
  <c r="AC283" s="1"/>
  <c r="Y282"/>
  <c r="AA282" s="1"/>
  <c r="AC282" s="1"/>
  <c r="R282"/>
  <c r="Z282" s="1"/>
  <c r="P282"/>
  <c r="N282"/>
  <c r="L282"/>
  <c r="Z278"/>
  <c r="AB278" s="1"/>
  <c r="AD278" s="1"/>
  <c r="M278"/>
  <c r="AA278" s="1"/>
  <c r="AC278" s="1"/>
  <c r="Z277"/>
  <c r="AB277" s="1"/>
  <c r="AD277" s="1"/>
  <c r="M277"/>
  <c r="AA277" s="1"/>
  <c r="AC277" s="1"/>
  <c r="AB276"/>
  <c r="AD276" s="1"/>
  <c r="AA276"/>
  <c r="AC276" s="1"/>
  <c r="AB275"/>
  <c r="AD275" s="1"/>
  <c r="AA275"/>
  <c r="AC275" s="1"/>
  <c r="AB274"/>
  <c r="AD274" s="1"/>
  <c r="AA274"/>
  <c r="AC274" s="1"/>
  <c r="AA273"/>
  <c r="AC273" s="1"/>
  <c r="R273"/>
  <c r="P273"/>
  <c r="N273"/>
  <c r="AB273" s="1"/>
  <c r="L273"/>
  <c r="Z270"/>
  <c r="AB270" s="1"/>
  <c r="AD270" s="1"/>
  <c r="Y270"/>
  <c r="AA270" s="1"/>
  <c r="AC270" s="1"/>
  <c r="Z269"/>
  <c r="AB269" s="1"/>
  <c r="AD269" s="1"/>
  <c r="Y269"/>
  <c r="AA269" s="1"/>
  <c r="AC269" s="1"/>
  <c r="Z268"/>
  <c r="AB268" s="1"/>
  <c r="AD268" s="1"/>
  <c r="Y268"/>
  <c r="AA268" s="1"/>
  <c r="AC268" s="1"/>
  <c r="Z267"/>
  <c r="AB267" s="1"/>
  <c r="AD267" s="1"/>
  <c r="Y267"/>
  <c r="AA267" s="1"/>
  <c r="AC267" s="1"/>
  <c r="Z266"/>
  <c r="AB266" s="1"/>
  <c r="AD266" s="1"/>
  <c r="Y266"/>
  <c r="AA266" s="1"/>
  <c r="AC266" s="1"/>
  <c r="Z265"/>
  <c r="Y265"/>
  <c r="AA265" s="1"/>
  <c r="AC265" s="1"/>
  <c r="P265"/>
  <c r="N265"/>
  <c r="L265"/>
  <c r="Z262"/>
  <c r="AB262" s="1"/>
  <c r="AD262" s="1"/>
  <c r="Y262"/>
  <c r="AA262" s="1"/>
  <c r="AC262" s="1"/>
  <c r="AC263" s="1"/>
  <c r="R261"/>
  <c r="Z261" s="1"/>
  <c r="Q261"/>
  <c r="Y261" s="1"/>
  <c r="P261"/>
  <c r="N261"/>
  <c r="M261"/>
  <c r="L261"/>
  <c r="AB258"/>
  <c r="AD258" s="1"/>
  <c r="AA258"/>
  <c r="AC258" s="1"/>
  <c r="AC259" s="1"/>
  <c r="AA257"/>
  <c r="AC257" s="1"/>
  <c r="N257"/>
  <c r="AB257" s="1"/>
  <c r="L257"/>
  <c r="Z254"/>
  <c r="AB254" s="1"/>
  <c r="AD254" s="1"/>
  <c r="Y254"/>
  <c r="AA254" s="1"/>
  <c r="AC254" s="1"/>
  <c r="Z253"/>
  <c r="AB253" s="1"/>
  <c r="AD253" s="1"/>
  <c r="Y253"/>
  <c r="AA253" s="1"/>
  <c r="AC253" s="1"/>
  <c r="AC252"/>
  <c r="AB252"/>
  <c r="AD252" s="1"/>
  <c r="AC251"/>
  <c r="AB251"/>
  <c r="AD251" s="1"/>
  <c r="AC250"/>
  <c r="AB250"/>
  <c r="AD250" s="1"/>
  <c r="AC249"/>
  <c r="AB249"/>
  <c r="AD249" s="1"/>
  <c r="AC248"/>
  <c r="AB248"/>
  <c r="AD248" s="1"/>
  <c r="AC247"/>
  <c r="AB247"/>
  <c r="AD247" s="1"/>
  <c r="AC246"/>
  <c r="AB246"/>
  <c r="AD246" s="1"/>
  <c r="AC245"/>
  <c r="AB245"/>
  <c r="AD245" s="1"/>
  <c r="AC244"/>
  <c r="AB244"/>
  <c r="AD244" s="1"/>
  <c r="AB243"/>
  <c r="AD243" s="1"/>
  <c r="AA243"/>
  <c r="AC243" s="1"/>
  <c r="AB242"/>
  <c r="AD242" s="1"/>
  <c r="AA242"/>
  <c r="AC242" s="1"/>
  <c r="AB241"/>
  <c r="AD241" s="1"/>
  <c r="AA241"/>
  <c r="AC241" s="1"/>
  <c r="AB240"/>
  <c r="AD240" s="1"/>
  <c r="AA240"/>
  <c r="AC240" s="1"/>
  <c r="AB239"/>
  <c r="AD239" s="1"/>
  <c r="AA239"/>
  <c r="AC239" s="1"/>
  <c r="Z238"/>
  <c r="AB238" s="1"/>
  <c r="AD238" s="1"/>
  <c r="Y238"/>
  <c r="AA238" s="1"/>
  <c r="AC238" s="1"/>
  <c r="Z237"/>
  <c r="AB237" s="1"/>
  <c r="AD237" s="1"/>
  <c r="Y237"/>
  <c r="AA237" s="1"/>
  <c r="AC237" s="1"/>
  <c r="Y236"/>
  <c r="AA236" s="1"/>
  <c r="AC236" s="1"/>
  <c r="R236"/>
  <c r="Z236" s="1"/>
  <c r="P236"/>
  <c r="N236"/>
  <c r="L236"/>
  <c r="Z232"/>
  <c r="AB232" s="1"/>
  <c r="AD232" s="1"/>
  <c r="Y232"/>
  <c r="AA232" s="1"/>
  <c r="AC232" s="1"/>
  <c r="Z231"/>
  <c r="AB231" s="1"/>
  <c r="AD231" s="1"/>
  <c r="Y231"/>
  <c r="AA231" s="1"/>
  <c r="AC231" s="1"/>
  <c r="Z230"/>
  <c r="AB230" s="1"/>
  <c r="AD230" s="1"/>
  <c r="Y230"/>
  <c r="AA230" s="1"/>
  <c r="AC230" s="1"/>
  <c r="Z229"/>
  <c r="AB229" s="1"/>
  <c r="AD229" s="1"/>
  <c r="Y229"/>
  <c r="AA229" s="1"/>
  <c r="AC229" s="1"/>
  <c r="Z228"/>
  <c r="AB228" s="1"/>
  <c r="AD228" s="1"/>
  <c r="Y228"/>
  <c r="AA228" s="1"/>
  <c r="AC228" s="1"/>
  <c r="Z227"/>
  <c r="AB227" s="1"/>
  <c r="AD227" s="1"/>
  <c r="Y227"/>
  <c r="AA227" s="1"/>
  <c r="AC227" s="1"/>
  <c r="Z226"/>
  <c r="AB226" s="1"/>
  <c r="AD226" s="1"/>
  <c r="Y226"/>
  <c r="AA226" s="1"/>
  <c r="AC226" s="1"/>
  <c r="Z225"/>
  <c r="AB225" s="1"/>
  <c r="AD225" s="1"/>
  <c r="Y225"/>
  <c r="AA225" s="1"/>
  <c r="AC225" s="1"/>
  <c r="Z224"/>
  <c r="AB224" s="1"/>
  <c r="AD224" s="1"/>
  <c r="Y224"/>
  <c r="AA224" s="1"/>
  <c r="AC224" s="1"/>
  <c r="Z223"/>
  <c r="AB223" s="1"/>
  <c r="AD223" s="1"/>
  <c r="Y223"/>
  <c r="AA223" s="1"/>
  <c r="AC223" s="1"/>
  <c r="Z222"/>
  <c r="AB222" s="1"/>
  <c r="AD222" s="1"/>
  <c r="Y222"/>
  <c r="AA222" s="1"/>
  <c r="AC222" s="1"/>
  <c r="R221"/>
  <c r="Z221" s="1"/>
  <c r="Q221"/>
  <c r="Y221" s="1"/>
  <c r="AA221" s="1"/>
  <c r="AC221" s="1"/>
  <c r="P221"/>
  <c r="N221"/>
  <c r="L221"/>
  <c r="Z216"/>
  <c r="Y216"/>
  <c r="Y215" s="1"/>
  <c r="M216"/>
  <c r="O216" s="1"/>
  <c r="O215" s="1"/>
  <c r="L216"/>
  <c r="X215"/>
  <c r="V215"/>
  <c r="U215"/>
  <c r="T215"/>
  <c r="S215"/>
  <c r="R215"/>
  <c r="Q215"/>
  <c r="P215"/>
  <c r="Z214"/>
  <c r="AB214" s="1"/>
  <c r="AD214" s="1"/>
  <c r="Y214"/>
  <c r="AA214" s="1"/>
  <c r="AC214" s="1"/>
  <c r="O214"/>
  <c r="Z213"/>
  <c r="Y213"/>
  <c r="M213"/>
  <c r="Z212"/>
  <c r="Y212"/>
  <c r="M212"/>
  <c r="O212" s="1"/>
  <c r="Z211"/>
  <c r="Y211"/>
  <c r="M211"/>
  <c r="O211" s="1"/>
  <c r="X210"/>
  <c r="V210"/>
  <c r="T210"/>
  <c r="R210"/>
  <c r="Q210"/>
  <c r="Y210" s="1"/>
  <c r="P210"/>
  <c r="Z208"/>
  <c r="Y208"/>
  <c r="M208"/>
  <c r="O208" s="1"/>
  <c r="Z207"/>
  <c r="Y207"/>
  <c r="M207"/>
  <c r="O207" s="1"/>
  <c r="Z206"/>
  <c r="Y206"/>
  <c r="M206"/>
  <c r="Y205"/>
  <c r="X205"/>
  <c r="V205"/>
  <c r="T205"/>
  <c r="R205"/>
  <c r="P205"/>
  <c r="K205"/>
  <c r="Z204"/>
  <c r="Y204"/>
  <c r="Y203" s="1"/>
  <c r="M204"/>
  <c r="O204" s="1"/>
  <c r="O203" s="1"/>
  <c r="X203"/>
  <c r="V203"/>
  <c r="U203"/>
  <c r="T203"/>
  <c r="R203"/>
  <c r="Q203"/>
  <c r="P203"/>
  <c r="M203"/>
  <c r="L203"/>
  <c r="K203"/>
  <c r="Z202"/>
  <c r="Y202"/>
  <c r="O202"/>
  <c r="M202"/>
  <c r="Z201"/>
  <c r="Y201"/>
  <c r="O201"/>
  <c r="M201"/>
  <c r="Z200"/>
  <c r="Y200"/>
  <c r="O200"/>
  <c r="M200"/>
  <c r="Z199"/>
  <c r="Y199"/>
  <c r="M199"/>
  <c r="T198"/>
  <c r="R198"/>
  <c r="Q198"/>
  <c r="Y198" s="1"/>
  <c r="M198"/>
  <c r="Z197"/>
  <c r="AB197" s="1"/>
  <c r="AD197" s="1"/>
  <c r="Y197"/>
  <c r="M197"/>
  <c r="Z196"/>
  <c r="Y196"/>
  <c r="M196"/>
  <c r="O196" s="1"/>
  <c r="Z195"/>
  <c r="Y195"/>
  <c r="M195"/>
  <c r="O195" s="1"/>
  <c r="Z194"/>
  <c r="AB194" s="1"/>
  <c r="AD194" s="1"/>
  <c r="Y194"/>
  <c r="M194"/>
  <c r="O194" s="1"/>
  <c r="Z193"/>
  <c r="Y193"/>
  <c r="M193"/>
  <c r="O193" s="1"/>
  <c r="Z192"/>
  <c r="Y192"/>
  <c r="M192"/>
  <c r="O192" s="1"/>
  <c r="Z191"/>
  <c r="Y191"/>
  <c r="M191"/>
  <c r="O191" s="1"/>
  <c r="X190"/>
  <c r="V190"/>
  <c r="T190"/>
  <c r="R190"/>
  <c r="Q190"/>
  <c r="Y190" s="1"/>
  <c r="M190"/>
  <c r="O190" s="1"/>
  <c r="Z189"/>
  <c r="Y189"/>
  <c r="M189"/>
  <c r="O189" s="1"/>
  <c r="Z188"/>
  <c r="Y188"/>
  <c r="M188"/>
  <c r="Z187"/>
  <c r="Y187"/>
  <c r="M187"/>
  <c r="O187" s="1"/>
  <c r="Z186"/>
  <c r="Y186"/>
  <c r="AA186" s="1"/>
  <c r="AC186" s="1"/>
  <c r="M186"/>
  <c r="O186" s="1"/>
  <c r="Z185"/>
  <c r="Y185"/>
  <c r="M185"/>
  <c r="O185" s="1"/>
  <c r="Y184"/>
  <c r="X184"/>
  <c r="V184"/>
  <c r="T184"/>
  <c r="R184"/>
  <c r="M184"/>
  <c r="O184" s="1"/>
  <c r="AD183"/>
  <c r="AC183"/>
  <c r="Z183"/>
  <c r="Y183"/>
  <c r="M183"/>
  <c r="O183" s="1"/>
  <c r="Z182"/>
  <c r="Y182"/>
  <c r="M182"/>
  <c r="O182" s="1"/>
  <c r="Z181"/>
  <c r="Y181"/>
  <c r="M181"/>
  <c r="O181" s="1"/>
  <c r="Z180"/>
  <c r="Y180"/>
  <c r="M180"/>
  <c r="O180" s="1"/>
  <c r="Z179"/>
  <c r="Y179"/>
  <c r="M179"/>
  <c r="O179" s="1"/>
  <c r="Z178"/>
  <c r="Y178"/>
  <c r="M178"/>
  <c r="O178" s="1"/>
  <c r="Z177"/>
  <c r="Y177"/>
  <c r="M177"/>
  <c r="O177" s="1"/>
  <c r="X176"/>
  <c r="V176"/>
  <c r="T176"/>
  <c r="R176"/>
  <c r="Q176"/>
  <c r="Y176" s="1"/>
  <c r="K176"/>
  <c r="M176" s="1"/>
  <c r="O176" s="1"/>
  <c r="Z175"/>
  <c r="AB175" s="1"/>
  <c r="AD175" s="1"/>
  <c r="Y175"/>
  <c r="M175"/>
  <c r="O175" s="1"/>
  <c r="Z174"/>
  <c r="AB174" s="1"/>
  <c r="AD174" s="1"/>
  <c r="Y174"/>
  <c r="M174"/>
  <c r="O174" s="1"/>
  <c r="AC173"/>
  <c r="Z173"/>
  <c r="Y173"/>
  <c r="M173"/>
  <c r="O173" s="1"/>
  <c r="Z171"/>
  <c r="Y171"/>
  <c r="M171"/>
  <c r="O171" s="1"/>
  <c r="Z169"/>
  <c r="Y169"/>
  <c r="M169"/>
  <c r="Z168"/>
  <c r="Y168"/>
  <c r="M168"/>
  <c r="O168" s="1"/>
  <c r="Z167"/>
  <c r="Y167"/>
  <c r="M167"/>
  <c r="O167" s="1"/>
  <c r="X166"/>
  <c r="V166"/>
  <c r="T166"/>
  <c r="R166"/>
  <c r="Q166"/>
  <c r="Y166" s="1"/>
  <c r="M166"/>
  <c r="O166" s="1"/>
  <c r="M165"/>
  <c r="Z164"/>
  <c r="AB164" s="1"/>
  <c r="AD164" s="1"/>
  <c r="Y164"/>
  <c r="M164"/>
  <c r="Z163"/>
  <c r="AB163" s="1"/>
  <c r="AD163" s="1"/>
  <c r="Y163"/>
  <c r="M163"/>
  <c r="Z162"/>
  <c r="AB162" s="1"/>
  <c r="AD162" s="1"/>
  <c r="Y162"/>
  <c r="M162"/>
  <c r="X161"/>
  <c r="V161"/>
  <c r="T161"/>
  <c r="R161"/>
  <c r="Q161"/>
  <c r="Y161" s="1"/>
  <c r="M161"/>
  <c r="Z160"/>
  <c r="Y160"/>
  <c r="M160"/>
  <c r="Z158"/>
  <c r="AB158" s="1"/>
  <c r="AD158" s="1"/>
  <c r="Y158"/>
  <c r="M158"/>
  <c r="Z157"/>
  <c r="Y157"/>
  <c r="M157"/>
  <c r="Z156"/>
  <c r="Y156"/>
  <c r="M156"/>
  <c r="X155"/>
  <c r="V155"/>
  <c r="T155"/>
  <c r="R155"/>
  <c r="Q155"/>
  <c r="Y155" s="1"/>
  <c r="K155"/>
  <c r="M155" s="1"/>
  <c r="Y154"/>
  <c r="AB154" s="1"/>
  <c r="AD154" s="1"/>
  <c r="M154"/>
  <c r="Z153"/>
  <c r="Y153"/>
  <c r="M153"/>
  <c r="Z152"/>
  <c r="Y152"/>
  <c r="M152"/>
  <c r="Z151"/>
  <c r="Y151"/>
  <c r="M151"/>
  <c r="Z150"/>
  <c r="Y150"/>
  <c r="M150"/>
  <c r="Z149"/>
  <c r="V149"/>
  <c r="T149"/>
  <c r="R149"/>
  <c r="Q149"/>
  <c r="Y149" s="1"/>
  <c r="M149"/>
  <c r="Z147"/>
  <c r="AB147" s="1"/>
  <c r="AD147" s="1"/>
  <c r="Y147"/>
  <c r="M147"/>
  <c r="Z146"/>
  <c r="Y146"/>
  <c r="M146"/>
  <c r="Z145"/>
  <c r="Y145"/>
  <c r="M145"/>
  <c r="Z144"/>
  <c r="Y144"/>
  <c r="M144"/>
  <c r="X143"/>
  <c r="V143"/>
  <c r="T143"/>
  <c r="R143"/>
  <c r="Q143"/>
  <c r="Y143" s="1"/>
  <c r="AB141"/>
  <c r="AD141" s="1"/>
  <c r="Y141"/>
  <c r="AA141" s="1"/>
  <c r="AC141" s="1"/>
  <c r="Z140"/>
  <c r="Y140"/>
  <c r="AA140" s="1"/>
  <c r="AC140" s="1"/>
  <c r="X139"/>
  <c r="W139"/>
  <c r="V139"/>
  <c r="U139"/>
  <c r="T139"/>
  <c r="R139"/>
  <c r="Q139"/>
  <c r="P139"/>
  <c r="Z137"/>
  <c r="Z136" s="1"/>
  <c r="Y137"/>
  <c r="AA137" s="1"/>
  <c r="AC137" s="1"/>
  <c r="X136"/>
  <c r="W136"/>
  <c r="V136"/>
  <c r="U136"/>
  <c r="T136"/>
  <c r="Q136"/>
  <c r="P136"/>
  <c r="Z134"/>
  <c r="Y134"/>
  <c r="AA134" s="1"/>
  <c r="AC134" s="1"/>
  <c r="Z133"/>
  <c r="Y133"/>
  <c r="AA133" s="1"/>
  <c r="AC133" s="1"/>
  <c r="Z132"/>
  <c r="Y132"/>
  <c r="AA132" s="1"/>
  <c r="AC132" s="1"/>
  <c r="Z131"/>
  <c r="Y131"/>
  <c r="AA131" s="1"/>
  <c r="AC131" s="1"/>
  <c r="Z130"/>
  <c r="Y130"/>
  <c r="AA130" s="1"/>
  <c r="AC130" s="1"/>
  <c r="Z129"/>
  <c r="Y129"/>
  <c r="AA129" s="1"/>
  <c r="AC129" s="1"/>
  <c r="Z128"/>
  <c r="Y128"/>
  <c r="AA128" s="1"/>
  <c r="AC128" s="1"/>
  <c r="Z127"/>
  <c r="Y127"/>
  <c r="AA127" s="1"/>
  <c r="AC127" s="1"/>
  <c r="Z126"/>
  <c r="Y126"/>
  <c r="AA126" s="1"/>
  <c r="AC126" s="1"/>
  <c r="Z125"/>
  <c r="Y125"/>
  <c r="AA125" s="1"/>
  <c r="AC125" s="1"/>
  <c r="Z124"/>
  <c r="Y124"/>
  <c r="AA124" s="1"/>
  <c r="AC124" s="1"/>
  <c r="Z123"/>
  <c r="Y123"/>
  <c r="AA123" s="1"/>
  <c r="AC123" s="1"/>
  <c r="Z122"/>
  <c r="Y122"/>
  <c r="AA122" s="1"/>
  <c r="AC122" s="1"/>
  <c r="Z121"/>
  <c r="Y121"/>
  <c r="AA121" s="1"/>
  <c r="AC121" s="1"/>
  <c r="Z120"/>
  <c r="Y120"/>
  <c r="AA120" s="1"/>
  <c r="AC120" s="1"/>
  <c r="Z119"/>
  <c r="Y119"/>
  <c r="AA119" s="1"/>
  <c r="AC119" s="1"/>
  <c r="V118"/>
  <c r="R118"/>
  <c r="Q118"/>
  <c r="Y118" s="1"/>
  <c r="AA118" s="1"/>
  <c r="AC118" s="1"/>
  <c r="Y115"/>
  <c r="AA115" s="1"/>
  <c r="R115"/>
  <c r="Z115" s="1"/>
  <c r="AB115" s="1"/>
  <c r="L115"/>
  <c r="K115"/>
  <c r="O115" s="1"/>
  <c r="Y114"/>
  <c r="AA114" s="1"/>
  <c r="R114"/>
  <c r="Z114" s="1"/>
  <c r="AB114" s="1"/>
  <c r="L114"/>
  <c r="K114"/>
  <c r="O114" s="1"/>
  <c r="Z113"/>
  <c r="Y113"/>
  <c r="AA113" s="1"/>
  <c r="AC113" s="1"/>
  <c r="N113"/>
  <c r="L113"/>
  <c r="Z112"/>
  <c r="Y112"/>
  <c r="AA112" s="1"/>
  <c r="AC112" s="1"/>
  <c r="N112"/>
  <c r="L112"/>
  <c r="Z111"/>
  <c r="Y111"/>
  <c r="AA111" s="1"/>
  <c r="AC111" s="1"/>
  <c r="P111"/>
  <c r="P108" s="1"/>
  <c r="N111"/>
  <c r="L111"/>
  <c r="Z110"/>
  <c r="Q110"/>
  <c r="Y110" s="1"/>
  <c r="AA110" s="1"/>
  <c r="AC110" s="1"/>
  <c r="N110"/>
  <c r="L110"/>
  <c r="Q108"/>
  <c r="Y108" s="1"/>
  <c r="AA108" s="1"/>
  <c r="AC108" s="1"/>
  <c r="Z106"/>
  <c r="AB106" s="1"/>
  <c r="Y106"/>
  <c r="AA106" s="1"/>
  <c r="L106"/>
  <c r="K106"/>
  <c r="Z105"/>
  <c r="AB105" s="1"/>
  <c r="Y105"/>
  <c r="AA105" s="1"/>
  <c r="AC105" s="1"/>
  <c r="L105"/>
  <c r="Z104"/>
  <c r="AB104" s="1"/>
  <c r="Y104"/>
  <c r="AA104" s="1"/>
  <c r="AC104" s="1"/>
  <c r="L104"/>
  <c r="Z103"/>
  <c r="Y103"/>
  <c r="N103"/>
  <c r="M103"/>
  <c r="L103"/>
  <c r="K103"/>
  <c r="Z102"/>
  <c r="Y102"/>
  <c r="AA102" s="1"/>
  <c r="N102"/>
  <c r="L102"/>
  <c r="K102"/>
  <c r="Z101"/>
  <c r="Y101"/>
  <c r="N101"/>
  <c r="M101"/>
  <c r="L101"/>
  <c r="K101"/>
  <c r="Z100"/>
  <c r="AB100" s="1"/>
  <c r="Y100"/>
  <c r="M100"/>
  <c r="L100"/>
  <c r="K100"/>
  <c r="Z99"/>
  <c r="Y99"/>
  <c r="AA99" s="1"/>
  <c r="N99"/>
  <c r="L99"/>
  <c r="K99"/>
  <c r="Z98"/>
  <c r="Y98"/>
  <c r="AA98" s="1"/>
  <c r="N98"/>
  <c r="L98"/>
  <c r="K98"/>
  <c r="Z97"/>
  <c r="Y97"/>
  <c r="AA97" s="1"/>
  <c r="N97"/>
  <c r="L97"/>
  <c r="K97"/>
  <c r="Z96"/>
  <c r="AB96" s="1"/>
  <c r="Y96"/>
  <c r="AA96" s="1"/>
  <c r="AC96" s="1"/>
  <c r="L96"/>
  <c r="Z95"/>
  <c r="Y95"/>
  <c r="AA95" s="1"/>
  <c r="N95"/>
  <c r="L95"/>
  <c r="K95"/>
  <c r="Z94"/>
  <c r="Y94"/>
  <c r="N94"/>
  <c r="M94"/>
  <c r="L94"/>
  <c r="K94"/>
  <c r="Z93"/>
  <c r="Y93"/>
  <c r="N93"/>
  <c r="M93"/>
  <c r="L93"/>
  <c r="K93"/>
  <c r="O91"/>
  <c r="M91"/>
  <c r="K91"/>
  <c r="R90"/>
  <c r="Q90"/>
  <c r="Y90" s="1"/>
  <c r="P90"/>
  <c r="O90"/>
  <c r="M90"/>
  <c r="K90"/>
  <c r="Z88"/>
  <c r="AB88" s="1"/>
  <c r="AD88" s="1"/>
  <c r="Y88"/>
  <c r="AA88" s="1"/>
  <c r="AC88" s="1"/>
  <c r="Z87"/>
  <c r="AB87" s="1"/>
  <c r="Y87"/>
  <c r="AA87" s="1"/>
  <c r="P87"/>
  <c r="L87"/>
  <c r="K87"/>
  <c r="Z86"/>
  <c r="AB86" s="1"/>
  <c r="AD86" s="1"/>
  <c r="Y86"/>
  <c r="AA86" s="1"/>
  <c r="AC86" s="1"/>
  <c r="Z85"/>
  <c r="AB85" s="1"/>
  <c r="AD85" s="1"/>
  <c r="Y85"/>
  <c r="AA85" s="1"/>
  <c r="AC85" s="1"/>
  <c r="Z84"/>
  <c r="Y84"/>
  <c r="AA84" s="1"/>
  <c r="AC84" s="1"/>
  <c r="P84"/>
  <c r="L84" s="1"/>
  <c r="N84"/>
  <c r="Z83"/>
  <c r="AB83" s="1"/>
  <c r="AD83" s="1"/>
  <c r="Y83"/>
  <c r="AA83" s="1"/>
  <c r="AC83" s="1"/>
  <c r="Z82"/>
  <c r="Y82"/>
  <c r="AA82" s="1"/>
  <c r="N82"/>
  <c r="L82"/>
  <c r="K82"/>
  <c r="Z81"/>
  <c r="Y81"/>
  <c r="AA81" s="1"/>
  <c r="P81"/>
  <c r="N81"/>
  <c r="L81"/>
  <c r="K81"/>
  <c r="R80"/>
  <c r="O80"/>
  <c r="Q80" s="1"/>
  <c r="Y80" s="1"/>
  <c r="M80"/>
  <c r="K80"/>
  <c r="Z78"/>
  <c r="Y78"/>
  <c r="AA78" s="1"/>
  <c r="N78"/>
  <c r="L78"/>
  <c r="K78"/>
  <c r="Z77"/>
  <c r="AB77" s="1"/>
  <c r="Y77"/>
  <c r="AA77" s="1"/>
  <c r="P77"/>
  <c r="P74" s="1"/>
  <c r="L77"/>
  <c r="K77"/>
  <c r="Z76"/>
  <c r="Y76"/>
  <c r="N76"/>
  <c r="M76"/>
  <c r="L76"/>
  <c r="K76"/>
  <c r="Z75"/>
  <c r="Y75"/>
  <c r="O75"/>
  <c r="N75"/>
  <c r="M75"/>
  <c r="L75"/>
  <c r="K75"/>
  <c r="R74"/>
  <c r="Q74"/>
  <c r="Y74" s="1"/>
  <c r="O74"/>
  <c r="M74"/>
  <c r="K74"/>
  <c r="Y72"/>
  <c r="AA72" s="1"/>
  <c r="R72"/>
  <c r="Z72" s="1"/>
  <c r="P72"/>
  <c r="L72" s="1"/>
  <c r="N72"/>
  <c r="K72"/>
  <c r="Z71"/>
  <c r="AB71" s="1"/>
  <c r="Y71"/>
  <c r="AA71" s="1"/>
  <c r="L71"/>
  <c r="K71"/>
  <c r="Y70"/>
  <c r="AA70" s="1"/>
  <c r="R70"/>
  <c r="Z70" s="1"/>
  <c r="AB70" s="1"/>
  <c r="P70"/>
  <c r="L70" s="1"/>
  <c r="K70"/>
  <c r="Z69"/>
  <c r="Y69"/>
  <c r="AA69" s="1"/>
  <c r="AC69" s="1"/>
  <c r="N69"/>
  <c r="L69"/>
  <c r="Y68"/>
  <c r="AA68" s="1"/>
  <c r="R68"/>
  <c r="Z68" s="1"/>
  <c r="AB68" s="1"/>
  <c r="L68"/>
  <c r="K68"/>
  <c r="Y67"/>
  <c r="AA67" s="1"/>
  <c r="T67"/>
  <c r="Z67" s="1"/>
  <c r="AB67" s="1"/>
  <c r="L67"/>
  <c r="K67"/>
  <c r="Z66"/>
  <c r="Y66"/>
  <c r="AA66" s="1"/>
  <c r="AC66" s="1"/>
  <c r="N66"/>
  <c r="L66"/>
  <c r="Z65"/>
  <c r="AB65" s="1"/>
  <c r="Y65"/>
  <c r="AA65" s="1"/>
  <c r="AC65" s="1"/>
  <c r="P65"/>
  <c r="L65" s="1"/>
  <c r="Z64"/>
  <c r="AB64" s="1"/>
  <c r="AD64" s="1"/>
  <c r="Y64"/>
  <c r="AA64" s="1"/>
  <c r="AC64" s="1"/>
  <c r="Z63"/>
  <c r="Y63"/>
  <c r="AA63" s="1"/>
  <c r="AC63" s="1"/>
  <c r="N63"/>
  <c r="L63"/>
  <c r="Z62"/>
  <c r="Y62"/>
  <c r="AA62" s="1"/>
  <c r="AC62" s="1"/>
  <c r="P62"/>
  <c r="N62"/>
  <c r="L62"/>
  <c r="Z61"/>
  <c r="AB61" s="1"/>
  <c r="Y61"/>
  <c r="AA61" s="1"/>
  <c r="L61"/>
  <c r="K61"/>
  <c r="Z60"/>
  <c r="AB60" s="1"/>
  <c r="Y60"/>
  <c r="AA60" s="1"/>
  <c r="P60"/>
  <c r="L60" s="1"/>
  <c r="K60"/>
  <c r="Z59"/>
  <c r="AB59" s="1"/>
  <c r="Y59"/>
  <c r="AA59" s="1"/>
  <c r="AC59" s="1"/>
  <c r="L59"/>
  <c r="Z58"/>
  <c r="AB58" s="1"/>
  <c r="AD58" s="1"/>
  <c r="Y58"/>
  <c r="AA58" s="1"/>
  <c r="AC58" s="1"/>
  <c r="Z57"/>
  <c r="AB57" s="1"/>
  <c r="Y57"/>
  <c r="AA57" s="1"/>
  <c r="P57"/>
  <c r="L57" s="1"/>
  <c r="K57"/>
  <c r="Z56"/>
  <c r="AB56" s="1"/>
  <c r="AD56" s="1"/>
  <c r="Y56"/>
  <c r="AA56" s="1"/>
  <c r="AC56" s="1"/>
  <c r="Z55"/>
  <c r="Y55"/>
  <c r="AA55" s="1"/>
  <c r="AC55" s="1"/>
  <c r="P55"/>
  <c r="N55"/>
  <c r="L55"/>
  <c r="Z54"/>
  <c r="AB54" s="1"/>
  <c r="Y54"/>
  <c r="AA54" s="1"/>
  <c r="P54"/>
  <c r="L54" s="1"/>
  <c r="K54"/>
  <c r="Z53"/>
  <c r="AB53" s="1"/>
  <c r="Y53"/>
  <c r="AA53" s="1"/>
  <c r="L53"/>
  <c r="K53"/>
  <c r="Y52"/>
  <c r="AA52" s="1"/>
  <c r="R52"/>
  <c r="Z52" s="1"/>
  <c r="AB52" s="1"/>
  <c r="L52"/>
  <c r="K52"/>
  <c r="Z51"/>
  <c r="Y51"/>
  <c r="AA51" s="1"/>
  <c r="AC51" s="1"/>
  <c r="N51"/>
  <c r="L51"/>
  <c r="Z50"/>
  <c r="AB50" s="1"/>
  <c r="AD50" s="1"/>
  <c r="Y50"/>
  <c r="AA50" s="1"/>
  <c r="AC50" s="1"/>
  <c r="Z49"/>
  <c r="Y49"/>
  <c r="AA49" s="1"/>
  <c r="N49"/>
  <c r="L49"/>
  <c r="K49"/>
  <c r="Z48"/>
  <c r="AB48" s="1"/>
  <c r="Y48"/>
  <c r="AA48" s="1"/>
  <c r="AC48" s="1"/>
  <c r="O47"/>
  <c r="Q47" s="1"/>
  <c r="M47"/>
  <c r="K47"/>
  <c r="O46"/>
  <c r="Q46" s="1"/>
  <c r="M46"/>
  <c r="K46"/>
  <c r="Q45"/>
  <c r="K45"/>
  <c r="O44"/>
  <c r="Q44" s="1"/>
  <c r="Y44" s="1"/>
  <c r="M44"/>
  <c r="K44"/>
  <c r="Z42"/>
  <c r="Y42"/>
  <c r="AA42" s="1"/>
  <c r="AC42" s="1"/>
  <c r="N42"/>
  <c r="L42"/>
  <c r="Z41"/>
  <c r="Y41"/>
  <c r="AA41" s="1"/>
  <c r="N41"/>
  <c r="L41"/>
  <c r="K41"/>
  <c r="Z40"/>
  <c r="Y40"/>
  <c r="AA40" s="1"/>
  <c r="AC40" s="1"/>
  <c r="N40"/>
  <c r="L40"/>
  <c r="R39"/>
  <c r="P39"/>
  <c r="M38"/>
  <c r="O39" s="1"/>
  <c r="Q39" s="1"/>
  <c r="Y39" s="1"/>
  <c r="AA37"/>
  <c r="AC37" s="1"/>
  <c r="R37"/>
  <c r="O37"/>
  <c r="Q37" s="1"/>
  <c r="N37"/>
  <c r="L37"/>
  <c r="AA36"/>
  <c r="AC36" s="1"/>
  <c r="R36"/>
  <c r="Z36" s="1"/>
  <c r="O36"/>
  <c r="Q36" s="1"/>
  <c r="N36"/>
  <c r="L36"/>
  <c r="AA35"/>
  <c r="AC35" s="1"/>
  <c r="Z35"/>
  <c r="O35"/>
  <c r="N35"/>
  <c r="L35"/>
  <c r="Y34"/>
  <c r="AA34" s="1"/>
  <c r="AC34" s="1"/>
  <c r="P34"/>
  <c r="AA33"/>
  <c r="AC33" s="1"/>
  <c r="Z33"/>
  <c r="O33"/>
  <c r="N33"/>
  <c r="L33"/>
  <c r="AA32"/>
  <c r="AC32" s="1"/>
  <c r="Z32"/>
  <c r="AB32" s="1"/>
  <c r="L32"/>
  <c r="AA31"/>
  <c r="AC31" s="1"/>
  <c r="Z31"/>
  <c r="AB31" s="1"/>
  <c r="AD31" s="1"/>
  <c r="AA30"/>
  <c r="AC30" s="1"/>
  <c r="R30"/>
  <c r="Z30" s="1"/>
  <c r="O30"/>
  <c r="Q30" s="1"/>
  <c r="N30"/>
  <c r="L30"/>
  <c r="Z29"/>
  <c r="N29"/>
  <c r="M29"/>
  <c r="AA29" s="1"/>
  <c r="L29"/>
  <c r="K29"/>
  <c r="AA28"/>
  <c r="AC28" s="1"/>
  <c r="R28"/>
  <c r="Z28" s="1"/>
  <c r="O28"/>
  <c r="Q28" s="1"/>
  <c r="N28"/>
  <c r="L28"/>
  <c r="AA27"/>
  <c r="AC27" s="1"/>
  <c r="R27"/>
  <c r="O27"/>
  <c r="T27" s="1"/>
  <c r="N27"/>
  <c r="L27"/>
  <c r="R26"/>
  <c r="Z26" s="1"/>
  <c r="Q26"/>
  <c r="N26"/>
  <c r="M26"/>
  <c r="AA26" s="1"/>
  <c r="L26"/>
  <c r="K26"/>
  <c r="R25"/>
  <c r="Z25" s="1"/>
  <c r="Q25"/>
  <c r="N25"/>
  <c r="M25"/>
  <c r="AA25" s="1"/>
  <c r="L25"/>
  <c r="K25"/>
  <c r="AA24"/>
  <c r="AC24" s="1"/>
  <c r="Z24"/>
  <c r="AB24" s="1"/>
  <c r="AD24" s="1"/>
  <c r="AA23"/>
  <c r="AC23" s="1"/>
  <c r="R23"/>
  <c r="Z23" s="1"/>
  <c r="Q23"/>
  <c r="N23"/>
  <c r="L23"/>
  <c r="AA22"/>
  <c r="AC22" s="1"/>
  <c r="R22"/>
  <c r="Z22" s="1"/>
  <c r="Q22"/>
  <c r="N22"/>
  <c r="L22"/>
  <c r="AA21"/>
  <c r="AC21" s="1"/>
  <c r="R21"/>
  <c r="Z21" s="1"/>
  <c r="Q21"/>
  <c r="N21"/>
  <c r="L21"/>
  <c r="AA20"/>
  <c r="AC20" s="1"/>
  <c r="R20"/>
  <c r="Z20" s="1"/>
  <c r="Q20"/>
  <c r="N20"/>
  <c r="L20"/>
  <c r="AA19"/>
  <c r="AC19" s="1"/>
  <c r="R19"/>
  <c r="Z19" s="1"/>
  <c r="Q19"/>
  <c r="N19"/>
  <c r="L19"/>
  <c r="AA18"/>
  <c r="AC18" s="1"/>
  <c r="Z18"/>
  <c r="AB18" s="1"/>
  <c r="Q18"/>
  <c r="P17"/>
  <c r="O17"/>
  <c r="Q17" s="1"/>
  <c r="Y17" s="1"/>
  <c r="AB1549" i="4"/>
  <c r="AD1549" s="1"/>
  <c r="AA1549"/>
  <c r="AC1549" s="1"/>
  <c r="AB1548"/>
  <c r="AD1548" s="1"/>
  <c r="AA1548"/>
  <c r="AC1548" s="1"/>
  <c r="AB1547"/>
  <c r="AD1547" s="1"/>
  <c r="AA1547"/>
  <c r="AC1547" s="1"/>
  <c r="AB1546"/>
  <c r="AD1546" s="1"/>
  <c r="AA1546"/>
  <c r="AC1546" s="1"/>
  <c r="AB1544"/>
  <c r="AD1544" s="1"/>
  <c r="AA1544"/>
  <c r="AC1544" s="1"/>
  <c r="AB1543"/>
  <c r="AD1543" s="1"/>
  <c r="AA1543"/>
  <c r="AC1543" s="1"/>
  <c r="AB1542"/>
  <c r="AD1542" s="1"/>
  <c r="AA1542"/>
  <c r="AC1542" s="1"/>
  <c r="AB1541"/>
  <c r="AD1541" s="1"/>
  <c r="AA1541"/>
  <c r="AC1541" s="1"/>
  <c r="AB1540"/>
  <c r="AD1540" s="1"/>
  <c r="AA1540"/>
  <c r="AC1540" s="1"/>
  <c r="AB1539"/>
  <c r="AD1539" s="1"/>
  <c r="AA1539"/>
  <c r="AC1539" s="1"/>
  <c r="AB1537"/>
  <c r="AD1537" s="1"/>
  <c r="AA1537"/>
  <c r="AC1537" s="1"/>
  <c r="AB1536"/>
  <c r="AD1536" s="1"/>
  <c r="AA1536"/>
  <c r="AC1536" s="1"/>
  <c r="AB1535"/>
  <c r="AD1535" s="1"/>
  <c r="AA1535"/>
  <c r="AC1535" s="1"/>
  <c r="AB1534"/>
  <c r="AD1534" s="1"/>
  <c r="AA1534"/>
  <c r="AC1534" s="1"/>
  <c r="AB1533"/>
  <c r="AD1533" s="1"/>
  <c r="AA1533"/>
  <c r="AC1533" s="1"/>
  <c r="AB1532"/>
  <c r="AD1532" s="1"/>
  <c r="AA1532"/>
  <c r="AC1532" s="1"/>
  <c r="AB1531"/>
  <c r="AD1531" s="1"/>
  <c r="AA1531"/>
  <c r="AC1531" s="1"/>
  <c r="AB1530"/>
  <c r="AD1530" s="1"/>
  <c r="AA1530"/>
  <c r="AC1530" s="1"/>
  <c r="AB1529"/>
  <c r="AD1529" s="1"/>
  <c r="AA1529"/>
  <c r="AC1529" s="1"/>
  <c r="AB1528"/>
  <c r="AD1528" s="1"/>
  <c r="AA1528"/>
  <c r="AC1528" s="1"/>
  <c r="AB1527"/>
  <c r="AD1527" s="1"/>
  <c r="AA1527"/>
  <c r="AC1527" s="1"/>
  <c r="AB1526"/>
  <c r="AD1526" s="1"/>
  <c r="AA1526"/>
  <c r="AC1526" s="1"/>
  <c r="AB1525"/>
  <c r="AD1525" s="1"/>
  <c r="AA1525"/>
  <c r="AC1525" s="1"/>
  <c r="AB1524"/>
  <c r="AD1524" s="1"/>
  <c r="AA1524"/>
  <c r="AC1524" s="1"/>
  <c r="AB1523"/>
  <c r="AD1523" s="1"/>
  <c r="AA1523"/>
  <c r="AC1523" s="1"/>
  <c r="AB1522"/>
  <c r="AD1522" s="1"/>
  <c r="AA1522"/>
  <c r="AC1522" s="1"/>
  <c r="AB1521"/>
  <c r="AD1521" s="1"/>
  <c r="AA1521"/>
  <c r="AC1521" s="1"/>
  <c r="AB1520"/>
  <c r="AD1520" s="1"/>
  <c r="AA1520"/>
  <c r="AC1520" s="1"/>
  <c r="AB1519"/>
  <c r="AD1519" s="1"/>
  <c r="AA1519"/>
  <c r="AC1519" s="1"/>
  <c r="AB1518"/>
  <c r="AD1518" s="1"/>
  <c r="AA1518"/>
  <c r="AC1518" s="1"/>
  <c r="AB1517"/>
  <c r="AD1517" s="1"/>
  <c r="AA1517"/>
  <c r="AC1517" s="1"/>
  <c r="AB1516"/>
  <c r="AD1516" s="1"/>
  <c r="AA1516"/>
  <c r="AC1516" s="1"/>
  <c r="AB1515"/>
  <c r="AD1515" s="1"/>
  <c r="AA1515"/>
  <c r="AC1515" s="1"/>
  <c r="AB1511"/>
  <c r="AD1511" s="1"/>
  <c r="AA1511"/>
  <c r="AC1511" s="1"/>
  <c r="P1510"/>
  <c r="P1483" s="1"/>
  <c r="N1510"/>
  <c r="AB1510" s="1"/>
  <c r="L1510"/>
  <c r="AB1509"/>
  <c r="AD1509" s="1"/>
  <c r="AA1509"/>
  <c r="AC1509" s="1"/>
  <c r="AB1504"/>
  <c r="AD1504" s="1"/>
  <c r="AA1504"/>
  <c r="AC1504" s="1"/>
  <c r="AB1503"/>
  <c r="AD1503" s="1"/>
  <c r="AA1503"/>
  <c r="AC1503" s="1"/>
  <c r="AB1502"/>
  <c r="AD1502" s="1"/>
  <c r="AA1502"/>
  <c r="AC1502" s="1"/>
  <c r="AB1501"/>
  <c r="AD1501" s="1"/>
  <c r="AA1501"/>
  <c r="AC1501" s="1"/>
  <c r="AB1500"/>
  <c r="AD1500" s="1"/>
  <c r="AA1500"/>
  <c r="AC1500" s="1"/>
  <c r="AB1499"/>
  <c r="AD1499" s="1"/>
  <c r="AA1499"/>
  <c r="AC1499" s="1"/>
  <c r="AB1498"/>
  <c r="AA1498"/>
  <c r="AC1498" s="1"/>
  <c r="AB1496"/>
  <c r="AA1496"/>
  <c r="AB1495"/>
  <c r="AD1495" s="1"/>
  <c r="AA1495"/>
  <c r="AC1495" s="1"/>
  <c r="AB1494"/>
  <c r="AD1494" s="1"/>
  <c r="AA1494"/>
  <c r="AC1494" s="1"/>
  <c r="AB1493"/>
  <c r="AD1493" s="1"/>
  <c r="AA1493"/>
  <c r="AC1493" s="1"/>
  <c r="AB1492"/>
  <c r="AD1492" s="1"/>
  <c r="AA1492"/>
  <c r="AC1492" s="1"/>
  <c r="AB1491"/>
  <c r="AD1491" s="1"/>
  <c r="AA1491"/>
  <c r="AC1491" s="1"/>
  <c r="AA1490"/>
  <c r="AC1490" s="1"/>
  <c r="AB1490"/>
  <c r="AD1490" s="1"/>
  <c r="AB1489"/>
  <c r="AD1489" s="1"/>
  <c r="AA1489"/>
  <c r="AC1489" s="1"/>
  <c r="AB1488"/>
  <c r="AD1488" s="1"/>
  <c r="AA1488"/>
  <c r="AC1488" s="1"/>
  <c r="AB1487"/>
  <c r="AD1487" s="1"/>
  <c r="AA1487"/>
  <c r="AC1487" s="1"/>
  <c r="AA1486"/>
  <c r="AC1486" s="1"/>
  <c r="AB1486"/>
  <c r="AD1486" s="1"/>
  <c r="AB1485"/>
  <c r="AD1485" s="1"/>
  <c r="AA1485"/>
  <c r="AC1485" s="1"/>
  <c r="R1484"/>
  <c r="N1484"/>
  <c r="L1484"/>
  <c r="AC835" i="5" l="1"/>
  <c r="AB1202"/>
  <c r="AB1488"/>
  <c r="N1727"/>
  <c r="AB1727" s="1"/>
  <c r="AD1727" s="1"/>
  <c r="AB168"/>
  <c r="AD168" s="1"/>
  <c r="AC1209"/>
  <c r="AB980"/>
  <c r="AD980" s="1"/>
  <c r="AB1691"/>
  <c r="AD1691" s="1"/>
  <c r="Q719"/>
  <c r="S1296"/>
  <c r="AA156"/>
  <c r="AC156" s="1"/>
  <c r="AA166"/>
  <c r="AC166" s="1"/>
  <c r="AB776"/>
  <c r="AC87"/>
  <c r="AA203"/>
  <c r="N203" s="1"/>
  <c r="Y1481"/>
  <c r="L1483" i="4"/>
  <c r="L1482" s="1"/>
  <c r="N1483"/>
  <c r="N1482" s="1"/>
  <c r="AB1484"/>
  <c r="R1483"/>
  <c r="AB133" i="5"/>
  <c r="AD133" s="1"/>
  <c r="AA157"/>
  <c r="AC157" s="1"/>
  <c r="AA189"/>
  <c r="AC189" s="1"/>
  <c r="BH1054"/>
  <c r="AC1197"/>
  <c r="AB1201"/>
  <c r="AD1201" s="1"/>
  <c r="AB1281"/>
  <c r="AC1769"/>
  <c r="AB66"/>
  <c r="AD66" s="1"/>
  <c r="AA892"/>
  <c r="AA894"/>
  <c r="AC894" s="1"/>
  <c r="AB1272"/>
  <c r="AD1272" s="1"/>
  <c r="AB1291"/>
  <c r="AD1291" s="1"/>
  <c r="R1470"/>
  <c r="Y1483"/>
  <c r="AA1483" s="1"/>
  <c r="AC1483" s="1"/>
  <c r="Z39"/>
  <c r="AD52"/>
  <c r="AC414"/>
  <c r="AD827"/>
  <c r="AC850"/>
  <c r="N1062"/>
  <c r="Y1062"/>
  <c r="P1488"/>
  <c r="Q1488" s="1"/>
  <c r="AD1496"/>
  <c r="O1514"/>
  <c r="AC1615"/>
  <c r="N1628"/>
  <c r="AB1628" s="1"/>
  <c r="AC1677"/>
  <c r="AC1678" s="1"/>
  <c r="L1676" s="1"/>
  <c r="AC1699"/>
  <c r="N1755"/>
  <c r="R1067" i="4"/>
  <c r="Z1067" s="1"/>
  <c r="Z1213"/>
  <c r="Z118" i="5"/>
  <c r="X118" s="1"/>
  <c r="AC904"/>
  <c r="AC974"/>
  <c r="AB1774"/>
  <c r="AD1774" s="1"/>
  <c r="Z90"/>
  <c r="AB94"/>
  <c r="AD94" s="1"/>
  <c r="AC77"/>
  <c r="AB187"/>
  <c r="AD187" s="1"/>
  <c r="AC798"/>
  <c r="AB897"/>
  <c r="AD897" s="1"/>
  <c r="Z1062"/>
  <c r="AB1062" s="1"/>
  <c r="AD1062" s="1"/>
  <c r="W1113"/>
  <c r="AB1724"/>
  <c r="L1723" s="1"/>
  <c r="AD719"/>
  <c r="AA1139"/>
  <c r="AC1139" s="1"/>
  <c r="AB1229"/>
  <c r="AD1229" s="1"/>
  <c r="AB1230"/>
  <c r="L80"/>
  <c r="AA169"/>
  <c r="AC169" s="1"/>
  <c r="AA200"/>
  <c r="AC200" s="1"/>
  <c r="AA423"/>
  <c r="AC423" s="1"/>
  <c r="AB428"/>
  <c r="AD428" s="1"/>
  <c r="AB460"/>
  <c r="AD460" s="1"/>
  <c r="AD1300"/>
  <c r="Y1461"/>
  <c r="O1468"/>
  <c r="AB1586"/>
  <c r="AD1586" s="1"/>
  <c r="AB1590"/>
  <c r="AD1590" s="1"/>
  <c r="AB1735"/>
  <c r="AB62"/>
  <c r="AD62" s="1"/>
  <c r="AA155"/>
  <c r="AC155" s="1"/>
  <c r="AA167"/>
  <c r="AC167" s="1"/>
  <c r="AA195"/>
  <c r="AC195" s="1"/>
  <c r="AB200"/>
  <c r="AD200" s="1"/>
  <c r="AB906"/>
  <c r="AD906" s="1"/>
  <c r="N1215"/>
  <c r="L1302"/>
  <c r="O1503"/>
  <c r="AB1622"/>
  <c r="AC72"/>
  <c r="AD813"/>
  <c r="AD812" s="1"/>
  <c r="AC849"/>
  <c r="AA1213"/>
  <c r="AC1213" s="1"/>
  <c r="O1481"/>
  <c r="AC1592"/>
  <c r="AB1604"/>
  <c r="AD1604" s="1"/>
  <c r="AB1706"/>
  <c r="AD1706" s="1"/>
  <c r="AA76"/>
  <c r="AC76" s="1"/>
  <c r="AC114"/>
  <c r="Y382"/>
  <c r="AA382" s="1"/>
  <c r="AC382" s="1"/>
  <c r="AB541"/>
  <c r="AD541" s="1"/>
  <c r="AB545"/>
  <c r="AD545" s="1"/>
  <c r="AD848"/>
  <c r="AC906"/>
  <c r="AA997"/>
  <c r="Y1464"/>
  <c r="AD1468"/>
  <c r="AB1751"/>
  <c r="L1751" s="1"/>
  <c r="AB1766"/>
  <c r="AC1712"/>
  <c r="N34"/>
  <c r="AB188"/>
  <c r="AD188" s="1"/>
  <c r="AB462"/>
  <c r="AD462" s="1"/>
  <c r="AB534"/>
  <c r="AB543"/>
  <c r="AD543" s="1"/>
  <c r="AA906"/>
  <c r="AA1151"/>
  <c r="AC1151" s="1"/>
  <c r="AC1158" s="1"/>
  <c r="AC1579"/>
  <c r="N1689"/>
  <c r="AB1689" s="1"/>
  <c r="AC71"/>
  <c r="AA94"/>
  <c r="AC94" s="1"/>
  <c r="AB99"/>
  <c r="AD99" s="1"/>
  <c r="R108"/>
  <c r="AB110"/>
  <c r="AD110" s="1"/>
  <c r="AC115"/>
  <c r="AB236"/>
  <c r="AD236" s="1"/>
  <c r="AD255" s="1"/>
  <c r="AC325"/>
  <c r="L561"/>
  <c r="AB567"/>
  <c r="Q616"/>
  <c r="AD649"/>
  <c r="AA793"/>
  <c r="AC793" s="1"/>
  <c r="AC830"/>
  <c r="AD884"/>
  <c r="AD890"/>
  <c r="AC909"/>
  <c r="AB912"/>
  <c r="AD912" s="1"/>
  <c r="AB914"/>
  <c r="AD914" s="1"/>
  <c r="AA941"/>
  <c r="AC941" s="1"/>
  <c r="AC942"/>
  <c r="AD943"/>
  <c r="AD953"/>
  <c r="Q1011"/>
  <c r="Y1011" s="1"/>
  <c r="AC1011" s="1"/>
  <c r="BI1051"/>
  <c r="AV1060"/>
  <c r="BD1060" s="1"/>
  <c r="BF1060" s="1"/>
  <c r="BH1060" s="1"/>
  <c r="BG1063"/>
  <c r="BI1063" s="1"/>
  <c r="BE1067"/>
  <c r="AI1118"/>
  <c r="AB1216"/>
  <c r="AD1216" s="1"/>
  <c r="AB1220"/>
  <c r="AD1220" s="1"/>
  <c r="AB1224"/>
  <c r="AD1224" s="1"/>
  <c r="AB1273"/>
  <c r="AD1273" s="1"/>
  <c r="AB1278"/>
  <c r="AD1278" s="1"/>
  <c r="L1317"/>
  <c r="AB1482"/>
  <c r="AD1482" s="1"/>
  <c r="Q1483"/>
  <c r="Y1486"/>
  <c r="AA1486" s="1"/>
  <c r="AC1486" s="1"/>
  <c r="AC1583"/>
  <c r="AC1593"/>
  <c r="AD1614"/>
  <c r="N1655"/>
  <c r="AB1655" s="1"/>
  <c r="AB1658"/>
  <c r="AD1658" s="1"/>
  <c r="AB1661"/>
  <c r="AD1661" s="1"/>
  <c r="AB1677"/>
  <c r="AD1677" s="1"/>
  <c r="AD1678" s="1"/>
  <c r="AB1699"/>
  <c r="AD1699" s="1"/>
  <c r="AB1715"/>
  <c r="AD1715" s="1"/>
  <c r="AC1720"/>
  <c r="AC1721" s="1"/>
  <c r="AB1768"/>
  <c r="AD1768" s="1"/>
  <c r="AC99"/>
  <c r="AB132"/>
  <c r="AD132" s="1"/>
  <c r="AB470"/>
  <c r="AD470" s="1"/>
  <c r="AB547"/>
  <c r="AD547" s="1"/>
  <c r="AC779"/>
  <c r="L34"/>
  <c r="AA75"/>
  <c r="N74"/>
  <c r="AB101"/>
  <c r="AD101" s="1"/>
  <c r="AD104"/>
  <c r="AB112"/>
  <c r="AD112" s="1"/>
  <c r="AB113"/>
  <c r="AD113" s="1"/>
  <c r="AD115"/>
  <c r="M143"/>
  <c r="AA143" s="1"/>
  <c r="AC143" s="1"/>
  <c r="AB169"/>
  <c r="AD169" s="1"/>
  <c r="AA185"/>
  <c r="AC185" s="1"/>
  <c r="AA190"/>
  <c r="AC190" s="1"/>
  <c r="AA197"/>
  <c r="AC197" s="1"/>
  <c r="AA201"/>
  <c r="AC201" s="1"/>
  <c r="AB265"/>
  <c r="AD265" s="1"/>
  <c r="AD271" s="1"/>
  <c r="AD273"/>
  <c r="AD279" s="1"/>
  <c r="AB326"/>
  <c r="AD326" s="1"/>
  <c r="AD372" s="1"/>
  <c r="AB423"/>
  <c r="AD423" s="1"/>
  <c r="AD433" s="1"/>
  <c r="AA534"/>
  <c r="AC534" s="1"/>
  <c r="AA797"/>
  <c r="AC797" s="1"/>
  <c r="AA803"/>
  <c r="AC803" s="1"/>
  <c r="L842"/>
  <c r="AB892"/>
  <c r="AD892" s="1"/>
  <c r="AC944"/>
  <c r="AC967"/>
  <c r="AC968"/>
  <c r="AD1118"/>
  <c r="W1128"/>
  <c r="AB1193"/>
  <c r="AD1193" s="1"/>
  <c r="AC1196"/>
  <c r="N1239"/>
  <c r="AB1241"/>
  <c r="AD1241" s="1"/>
  <c r="AB1279"/>
  <c r="U1296"/>
  <c r="AB1298"/>
  <c r="AD1298" s="1"/>
  <c r="O1459"/>
  <c r="Y1463"/>
  <c r="AA1463" s="1"/>
  <c r="AC1463" s="1"/>
  <c r="M1483"/>
  <c r="M1511"/>
  <c r="AA1511" s="1"/>
  <c r="AC1511" s="1"/>
  <c r="AD1514"/>
  <c r="Z1545"/>
  <c r="AB1581"/>
  <c r="AD1581" s="1"/>
  <c r="AB1588"/>
  <c r="AD1588" s="1"/>
  <c r="AD1606"/>
  <c r="AB1613"/>
  <c r="AD1613" s="1"/>
  <c r="AC1620"/>
  <c r="AC1626"/>
  <c r="AB1647"/>
  <c r="AD1647" s="1"/>
  <c r="AB1712"/>
  <c r="AD1712" s="1"/>
  <c r="AA212"/>
  <c r="AC212" s="1"/>
  <c r="AB20"/>
  <c r="AD20" s="1"/>
  <c r="AB22"/>
  <c r="AD22" s="1"/>
  <c r="AC26"/>
  <c r="Q27"/>
  <c r="AB29"/>
  <c r="AD29" s="1"/>
  <c r="L39"/>
  <c r="AB49"/>
  <c r="AD49" s="1"/>
  <c r="AB55"/>
  <c r="AD55" s="1"/>
  <c r="AD59"/>
  <c r="AC61"/>
  <c r="AA74"/>
  <c r="AC74" s="1"/>
  <c r="AB75"/>
  <c r="AD75" s="1"/>
  <c r="AC106"/>
  <c r="AB125"/>
  <c r="AD125" s="1"/>
  <c r="AA161"/>
  <c r="AC161" s="1"/>
  <c r="AA168"/>
  <c r="AC168" s="1"/>
  <c r="AA171"/>
  <c r="AC171" s="1"/>
  <c r="AB180"/>
  <c r="AD180" s="1"/>
  <c r="AA199"/>
  <c r="AC199" s="1"/>
  <c r="AB212"/>
  <c r="AD212" s="1"/>
  <c r="AA261"/>
  <c r="AC261" s="1"/>
  <c r="AB480"/>
  <c r="AD480" s="1"/>
  <c r="Y616"/>
  <c r="Y719"/>
  <c r="AB1641"/>
  <c r="AB26"/>
  <c r="AD26" s="1"/>
  <c r="Z27"/>
  <c r="AB27" s="1"/>
  <c r="AD27" s="1"/>
  <c r="AB33"/>
  <c r="AD33" s="1"/>
  <c r="AB41"/>
  <c r="AD41" s="1"/>
  <c r="AB42"/>
  <c r="AD42" s="1"/>
  <c r="AA44"/>
  <c r="AC44" s="1"/>
  <c r="AC57"/>
  <c r="AD61"/>
  <c r="AC81"/>
  <c r="N80"/>
  <c r="AD87"/>
  <c r="AA101"/>
  <c r="AC101" s="1"/>
  <c r="AB103"/>
  <c r="AD103" s="1"/>
  <c r="AD105"/>
  <c r="AD106"/>
  <c r="AB124"/>
  <c r="AD124" s="1"/>
  <c r="AB149"/>
  <c r="AD149" s="1"/>
  <c r="AA150"/>
  <c r="AC150" s="1"/>
  <c r="AA151"/>
  <c r="AC151" s="1"/>
  <c r="AA152"/>
  <c r="AC152" s="1"/>
  <c r="AA153"/>
  <c r="AC153" s="1"/>
  <c r="AA154"/>
  <c r="AC154" s="1"/>
  <c r="AB156"/>
  <c r="AD156" s="1"/>
  <c r="AB157"/>
  <c r="AD157" s="1"/>
  <c r="AA158"/>
  <c r="AC158" s="1"/>
  <c r="AA160"/>
  <c r="AC160" s="1"/>
  <c r="Z161"/>
  <c r="AB161" s="1"/>
  <c r="AD161" s="1"/>
  <c r="AA163"/>
  <c r="AC163" s="1"/>
  <c r="AA188"/>
  <c r="AC188" s="1"/>
  <c r="AB261"/>
  <c r="AD261" s="1"/>
  <c r="AD263" s="1"/>
  <c r="AB386"/>
  <c r="AD386" s="1"/>
  <c r="AC433"/>
  <c r="AB454"/>
  <c r="AD454" s="1"/>
  <c r="AB468"/>
  <c r="AD468" s="1"/>
  <c r="Q561"/>
  <c r="AB594"/>
  <c r="AD594" s="1"/>
  <c r="AD32"/>
  <c r="AB36"/>
  <c r="AD36" s="1"/>
  <c r="R34"/>
  <c r="Q38"/>
  <c r="AC53"/>
  <c r="AC68"/>
  <c r="AC82"/>
  <c r="AC98"/>
  <c r="AD100"/>
  <c r="AA162"/>
  <c r="AC162" s="1"/>
  <c r="AA193"/>
  <c r="AC193" s="1"/>
  <c r="AC203"/>
  <c r="AA208"/>
  <c r="AC208" s="1"/>
  <c r="AA216"/>
  <c r="AC216" s="1"/>
  <c r="AB282"/>
  <c r="AD282" s="1"/>
  <c r="AD288" s="1"/>
  <c r="AB302"/>
  <c r="AD302" s="1"/>
  <c r="AD312" s="1"/>
  <c r="AB464"/>
  <c r="AD464" s="1"/>
  <c r="AB482"/>
  <c r="AD482" s="1"/>
  <c r="AB484"/>
  <c r="AD484" s="1"/>
  <c r="AB526"/>
  <c r="AD526" s="1"/>
  <c r="AA776"/>
  <c r="AC776" s="1"/>
  <c r="AA794"/>
  <c r="AC794" s="1"/>
  <c r="AD828"/>
  <c r="AA869"/>
  <c r="AC869" s="1"/>
  <c r="AC972"/>
  <c r="Q1015"/>
  <c r="Y1015" s="1"/>
  <c r="AA1015" s="1"/>
  <c r="AA1055"/>
  <c r="AC1055" s="1"/>
  <c r="AB1056"/>
  <c r="AD1056" s="1"/>
  <c r="AA1059"/>
  <c r="AC1059" s="1"/>
  <c r="AU1060"/>
  <c r="BH1065"/>
  <c r="L1165"/>
  <c r="AB1255"/>
  <c r="AD1255" s="1"/>
  <c r="AB1261"/>
  <c r="AD1261" s="1"/>
  <c r="N1315"/>
  <c r="AB1315" s="1"/>
  <c r="AD1315" s="1"/>
  <c r="AD1333"/>
  <c r="R1458"/>
  <c r="O1485"/>
  <c r="AC1589"/>
  <c r="AD1597"/>
  <c r="AC1651"/>
  <c r="AC1653" s="1"/>
  <c r="AC1697"/>
  <c r="AB1720"/>
  <c r="AD1720" s="1"/>
  <c r="AB1730"/>
  <c r="AD1730" s="1"/>
  <c r="L1742"/>
  <c r="AB1784"/>
  <c r="AD1784" s="1"/>
  <c r="AD1785" s="1"/>
  <c r="AC832"/>
  <c r="AD904"/>
  <c r="AC966"/>
  <c r="BG1083"/>
  <c r="BI1083" s="1"/>
  <c r="AB1124"/>
  <c r="AD1124" s="1"/>
  <c r="AB1185"/>
  <c r="AD1185" s="1"/>
  <c r="AB1186"/>
  <c r="AD1186" s="1"/>
  <c r="AB1187"/>
  <c r="AD1187" s="1"/>
  <c r="AB1188"/>
  <c r="AD1188" s="1"/>
  <c r="U1338"/>
  <c r="AB1481"/>
  <c r="AD1481" s="1"/>
  <c r="AD1503"/>
  <c r="Y1567"/>
  <c r="AB1579"/>
  <c r="AD1579" s="1"/>
  <c r="AC1582"/>
  <c r="AB894"/>
  <c r="AD894" s="1"/>
  <c r="AD951"/>
  <c r="AC971"/>
  <c r="P985"/>
  <c r="AB977"/>
  <c r="AD977" s="1"/>
  <c r="AB978"/>
  <c r="AD978" s="1"/>
  <c r="AB979"/>
  <c r="AD979" s="1"/>
  <c r="AA1017"/>
  <c r="AB1114"/>
  <c r="AD1114" s="1"/>
  <c r="W1121"/>
  <c r="AB1231"/>
  <c r="AD1231" s="1"/>
  <c r="R1302"/>
  <c r="Z1302" s="1"/>
  <c r="AD1312"/>
  <c r="AD1324"/>
  <c r="AB1493"/>
  <c r="AD1493" s="1"/>
  <c r="AB1510"/>
  <c r="Z1540"/>
  <c r="Z1567"/>
  <c r="AC1590"/>
  <c r="AC1591"/>
  <c r="AB1600"/>
  <c r="AD1600" s="1"/>
  <c r="AC1630"/>
  <c r="AC1660"/>
  <c r="AA801"/>
  <c r="AC801" s="1"/>
  <c r="AA802"/>
  <c r="AC802" s="1"/>
  <c r="AA804"/>
  <c r="AC804" s="1"/>
  <c r="AA806"/>
  <c r="AC806" s="1"/>
  <c r="AA807"/>
  <c r="AA828"/>
  <c r="AC828" s="1"/>
  <c r="AB829"/>
  <c r="AC833"/>
  <c r="AC848"/>
  <c r="AD853"/>
  <c r="AB969"/>
  <c r="AD969" s="1"/>
  <c r="AC1030"/>
  <c r="BH1053"/>
  <c r="AS1060"/>
  <c r="AT1067"/>
  <c r="AV1067" s="1"/>
  <c r="BD1067" s="1"/>
  <c r="BF1067" s="1"/>
  <c r="BH1067" s="1"/>
  <c r="BG1069"/>
  <c r="BG1067" s="1"/>
  <c r="BI1067" s="1"/>
  <c r="AH1124"/>
  <c r="AD1202"/>
  <c r="AB1270"/>
  <c r="AD1270" s="1"/>
  <c r="AB1461"/>
  <c r="AD1461" s="1"/>
  <c r="AB1462"/>
  <c r="AD1462" s="1"/>
  <c r="AB1463"/>
  <c r="AD1463" s="1"/>
  <c r="AB1464"/>
  <c r="AD1464" s="1"/>
  <c r="O1467"/>
  <c r="AB1484"/>
  <c r="AC1526"/>
  <c r="AC1527"/>
  <c r="P1571"/>
  <c r="AB1630"/>
  <c r="AD1630" s="1"/>
  <c r="AB1632"/>
  <c r="AD1632" s="1"/>
  <c r="N1666"/>
  <c r="AB1666" s="1"/>
  <c r="AB1673"/>
  <c r="AD1673" s="1"/>
  <c r="AB1680"/>
  <c r="AD1680" s="1"/>
  <c r="AD1697"/>
  <c r="N1695"/>
  <c r="AB1695" s="1"/>
  <c r="AB1729"/>
  <c r="AD1729" s="1"/>
  <c r="AB1732"/>
  <c r="AD1732" s="1"/>
  <c r="AB1747"/>
  <c r="AD1775"/>
  <c r="AD1776"/>
  <c r="AD1510" i="4"/>
  <c r="AB1497"/>
  <c r="AD1497" s="1"/>
  <c r="AB1059" i="5"/>
  <c r="AD1059" s="1"/>
  <c r="AA1061"/>
  <c r="AC1061" s="1"/>
  <c r="AB1066"/>
  <c r="Z1328"/>
  <c r="AB1328" s="1"/>
  <c r="AD1328" s="1"/>
  <c r="M1484"/>
  <c r="L1711"/>
  <c r="AB134"/>
  <c r="AD134" s="1"/>
  <c r="N155"/>
  <c r="AB160"/>
  <c r="AD160" s="1"/>
  <c r="AB178"/>
  <c r="AD178" s="1"/>
  <c r="AB192"/>
  <c r="AD192" s="1"/>
  <c r="AA1068"/>
  <c r="AC1068" s="1"/>
  <c r="U1290"/>
  <c r="Q1300"/>
  <c r="Y1300" s="1"/>
  <c r="AA1300" s="1"/>
  <c r="AC1300" s="1"/>
  <c r="S1289"/>
  <c r="AB1303"/>
  <c r="AD1303" s="1"/>
  <c r="AB1304"/>
  <c r="AD1304" s="1"/>
  <c r="AD1467"/>
  <c r="O1487"/>
  <c r="O1493"/>
  <c r="AD1495"/>
  <c r="O1501"/>
  <c r="M1505"/>
  <c r="AA1505" s="1"/>
  <c r="AC1505" s="1"/>
  <c r="M1507"/>
  <c r="AA1507" s="1"/>
  <c r="AC1507" s="1"/>
  <c r="L1578"/>
  <c r="L1612"/>
  <c r="AD1619"/>
  <c r="AD1701"/>
  <c r="AD1702"/>
  <c r="AB1060"/>
  <c r="AD1060" s="1"/>
  <c r="L1735"/>
  <c r="AD1735" s="1"/>
  <c r="AB195"/>
  <c r="AD195" s="1"/>
  <c r="AB207"/>
  <c r="AD207" s="1"/>
  <c r="AD555"/>
  <c r="P1049"/>
  <c r="AB1061"/>
  <c r="AD1061" s="1"/>
  <c r="AA1063"/>
  <c r="AC1063" s="1"/>
  <c r="AA1064"/>
  <c r="AC1064" s="1"/>
  <c r="AA1069"/>
  <c r="AC1069" s="1"/>
  <c r="AA1071"/>
  <c r="AC1071" s="1"/>
  <c r="U1293"/>
  <c r="U1297"/>
  <c r="AB1320"/>
  <c r="AD1320" s="1"/>
  <c r="V1336"/>
  <c r="O1460"/>
  <c r="O1483"/>
  <c r="AD1501"/>
  <c r="M1504"/>
  <c r="AA1504" s="1"/>
  <c r="AC1504" s="1"/>
  <c r="O1505"/>
  <c r="O1506"/>
  <c r="AD1512"/>
  <c r="AD1659"/>
  <c r="L1666"/>
  <c r="Q1049"/>
  <c r="U1319"/>
  <c r="L1470"/>
  <c r="AD1591"/>
  <c r="AD1603"/>
  <c r="L1622"/>
  <c r="L1689"/>
  <c r="L1727"/>
  <c r="AB119"/>
  <c r="AD119" s="1"/>
  <c r="AB140"/>
  <c r="AD140" s="1"/>
  <c r="AB171"/>
  <c r="AD171" s="1"/>
  <c r="AB199"/>
  <c r="AD199" s="1"/>
  <c r="AB211"/>
  <c r="AD211" s="1"/>
  <c r="AB1063"/>
  <c r="AD1063" s="1"/>
  <c r="AA1075"/>
  <c r="AC1075" s="1"/>
  <c r="P1302"/>
  <c r="U1302" s="1"/>
  <c r="U1318"/>
  <c r="S1319"/>
  <c r="O1484"/>
  <c r="AD1505"/>
  <c r="AD1515"/>
  <c r="AD1593"/>
  <c r="L1596"/>
  <c r="AD1602"/>
  <c r="AD1625"/>
  <c r="L1650"/>
  <c r="AD1739"/>
  <c r="W1232" i="4"/>
  <c r="W1234"/>
  <c r="W1236"/>
  <c r="W1233"/>
  <c r="W1216"/>
  <c r="W1215"/>
  <c r="W1217"/>
  <c r="AC1076"/>
  <c r="AD1061"/>
  <c r="AD1065" s="1"/>
  <c r="AD1066" s="1"/>
  <c r="AB488" i="5"/>
  <c r="AD488" s="1"/>
  <c r="AD528"/>
  <c r="AB452"/>
  <c r="AD452" s="1"/>
  <c r="AB458"/>
  <c r="AD458" s="1"/>
  <c r="AB551"/>
  <c r="AD551" s="1"/>
  <c r="AB126"/>
  <c r="AD126" s="1"/>
  <c r="N176"/>
  <c r="AB189"/>
  <c r="AD189" s="1"/>
  <c r="AB193"/>
  <c r="AD193" s="1"/>
  <c r="AB127"/>
  <c r="AD127" s="1"/>
  <c r="AB182"/>
  <c r="AD182" s="1"/>
  <c r="AB185"/>
  <c r="AD185" s="1"/>
  <c r="N205"/>
  <c r="AB208"/>
  <c r="AD208" s="1"/>
  <c r="AA999"/>
  <c r="AC999"/>
  <c r="AC993"/>
  <c r="AA993"/>
  <c r="AC989"/>
  <c r="AA989"/>
  <c r="AC279"/>
  <c r="AB965"/>
  <c r="AD965" s="1"/>
  <c r="N964"/>
  <c r="AB964" s="1"/>
  <c r="AD964" s="1"/>
  <c r="AC1021"/>
  <c r="AA1021"/>
  <c r="AC1032"/>
  <c r="AA1032"/>
  <c r="AB1205"/>
  <c r="AD1205" s="1"/>
  <c r="N1204"/>
  <c r="AB1204" s="1"/>
  <c r="AD1204" s="1"/>
  <c r="AD957"/>
  <c r="AB956"/>
  <c r="AD956" s="1"/>
  <c r="AA1019"/>
  <c r="AC1019"/>
  <c r="AD1207"/>
  <c r="AA1008"/>
  <c r="AC1008"/>
  <c r="AC1025"/>
  <c r="AA1025"/>
  <c r="AZ1086"/>
  <c r="BB1086" s="1"/>
  <c r="AZ1106"/>
  <c r="BB1106" s="1"/>
  <c r="U1122"/>
  <c r="W1122" s="1"/>
  <c r="U1134"/>
  <c r="W1134" s="1"/>
  <c r="AB72"/>
  <c r="AD72" s="1"/>
  <c r="N17"/>
  <c r="L17"/>
  <c r="AB30"/>
  <c r="AD30" s="1"/>
  <c r="N39"/>
  <c r="N44"/>
  <c r="AC54"/>
  <c r="AC78"/>
  <c r="AD114"/>
  <c r="N198"/>
  <c r="AB202"/>
  <c r="AD202" s="1"/>
  <c r="N210"/>
  <c r="AA211"/>
  <c r="AC211" s="1"/>
  <c r="AC234"/>
  <c r="AD538"/>
  <c r="AB578"/>
  <c r="AD578" s="1"/>
  <c r="P737"/>
  <c r="K792"/>
  <c r="AC965"/>
  <c r="AC970"/>
  <c r="AB1234"/>
  <c r="AD1234" s="1"/>
  <c r="K17"/>
  <c r="R17"/>
  <c r="AC29"/>
  <c r="M39"/>
  <c r="AA39" s="1"/>
  <c r="AC39" s="1"/>
  <c r="AB40"/>
  <c r="AD40" s="1"/>
  <c r="AC52"/>
  <c r="AD53"/>
  <c r="AC60"/>
  <c r="AD65"/>
  <c r="AC67"/>
  <c r="AC75"/>
  <c r="AB76"/>
  <c r="AD76" s="1"/>
  <c r="AD77"/>
  <c r="AB78"/>
  <c r="AD78" s="1"/>
  <c r="N90"/>
  <c r="AB93"/>
  <c r="AD93" s="1"/>
  <c r="AC95"/>
  <c r="AD96"/>
  <c r="AC97"/>
  <c r="AB98"/>
  <c r="AD98" s="1"/>
  <c r="AA100"/>
  <c r="AC100" s="1"/>
  <c r="AC102"/>
  <c r="AA103"/>
  <c r="AC103" s="1"/>
  <c r="AB111"/>
  <c r="AD111" s="1"/>
  <c r="AB122"/>
  <c r="AD122" s="1"/>
  <c r="AB130"/>
  <c r="AD130" s="1"/>
  <c r="Y136"/>
  <c r="AA136" s="1"/>
  <c r="AC136" s="1"/>
  <c r="Y139"/>
  <c r="AA139" s="1"/>
  <c r="AC139" s="1"/>
  <c r="AA144"/>
  <c r="AC144" s="1"/>
  <c r="AA145"/>
  <c r="AC145" s="1"/>
  <c r="AA146"/>
  <c r="AC146" s="1"/>
  <c r="AB177"/>
  <c r="AD177" s="1"/>
  <c r="AA178"/>
  <c r="AC178" s="1"/>
  <c r="AB181"/>
  <c r="AD181" s="1"/>
  <c r="AA182"/>
  <c r="AC182" s="1"/>
  <c r="AA184"/>
  <c r="AC184" s="1"/>
  <c r="AB196"/>
  <c r="AD196" s="1"/>
  <c r="AB221"/>
  <c r="AD221" s="1"/>
  <c r="AD234" s="1"/>
  <c r="AC312"/>
  <c r="AC320"/>
  <c r="AB390"/>
  <c r="AD390" s="1"/>
  <c r="AD396" s="1"/>
  <c r="AC408"/>
  <c r="P561"/>
  <c r="AB466"/>
  <c r="AD466" s="1"/>
  <c r="AB472"/>
  <c r="AD472" s="1"/>
  <c r="AB478"/>
  <c r="AD478" s="1"/>
  <c r="AB486"/>
  <c r="AD486" s="1"/>
  <c r="AB530"/>
  <c r="AD530" s="1"/>
  <c r="AB549"/>
  <c r="AD549" s="1"/>
  <c r="AB553"/>
  <c r="AD553" s="1"/>
  <c r="AD557"/>
  <c r="P611"/>
  <c r="AD579"/>
  <c r="Z792"/>
  <c r="AA800"/>
  <c r="AC800" s="1"/>
  <c r="AC821"/>
  <c r="AC890"/>
  <c r="AC897"/>
  <c r="AB967"/>
  <c r="AD967" s="1"/>
  <c r="AC969"/>
  <c r="AB973"/>
  <c r="AD973" s="1"/>
  <c r="AQ1060"/>
  <c r="U1150"/>
  <c r="W1150" s="1"/>
  <c r="AA1027"/>
  <c r="AC1027"/>
  <c r="AD1074"/>
  <c r="AB1073"/>
  <c r="AD54"/>
  <c r="AD70"/>
  <c r="AB374"/>
  <c r="AD374" s="1"/>
  <c r="AD379" s="1"/>
  <c r="AD388" s="1"/>
  <c r="AA177"/>
  <c r="AC177" s="1"/>
  <c r="AA179"/>
  <c r="AC179" s="1"/>
  <c r="AA181"/>
  <c r="AC181" s="1"/>
  <c r="Z210"/>
  <c r="AC255"/>
  <c r="AD585"/>
  <c r="P783"/>
  <c r="Z812"/>
  <c r="AC827"/>
  <c r="Q987"/>
  <c r="Y987" s="1"/>
  <c r="M1206"/>
  <c r="AA1206" s="1"/>
  <c r="AC25"/>
  <c r="AB35"/>
  <c r="AD35" s="1"/>
  <c r="AC41"/>
  <c r="AC49"/>
  <c r="AD57"/>
  <c r="AB63"/>
  <c r="AD63" s="1"/>
  <c r="AD67"/>
  <c r="AD68"/>
  <c r="AB69"/>
  <c r="AD69" s="1"/>
  <c r="AC70"/>
  <c r="AD71"/>
  <c r="L74"/>
  <c r="AB81"/>
  <c r="AD81" s="1"/>
  <c r="AB84"/>
  <c r="AD84" s="1"/>
  <c r="P80"/>
  <c r="AA93"/>
  <c r="AC93" s="1"/>
  <c r="AB95"/>
  <c r="AD95" s="1"/>
  <c r="AB97"/>
  <c r="AD97" s="1"/>
  <c r="L90"/>
  <c r="AB102"/>
  <c r="AD102" s="1"/>
  <c r="N108"/>
  <c r="L108"/>
  <c r="N118"/>
  <c r="AB121"/>
  <c r="AD121" s="1"/>
  <c r="AB123"/>
  <c r="AD123" s="1"/>
  <c r="AB128"/>
  <c r="AD128" s="1"/>
  <c r="AB129"/>
  <c r="AD129" s="1"/>
  <c r="AB131"/>
  <c r="AD131" s="1"/>
  <c r="AB137"/>
  <c r="AD137" s="1"/>
  <c r="Z139"/>
  <c r="AB139" s="1"/>
  <c r="AD139" s="1"/>
  <c r="AB144"/>
  <c r="AD144" s="1"/>
  <c r="AB145"/>
  <c r="AD145" s="1"/>
  <c r="AB146"/>
  <c r="AD146" s="1"/>
  <c r="AA147"/>
  <c r="AC147" s="1"/>
  <c r="AA149"/>
  <c r="AC149" s="1"/>
  <c r="AB150"/>
  <c r="AD150" s="1"/>
  <c r="AB151"/>
  <c r="AD151" s="1"/>
  <c r="AB152"/>
  <c r="AD152" s="1"/>
  <c r="AB153"/>
  <c r="AD153" s="1"/>
  <c r="AA164"/>
  <c r="AC164" s="1"/>
  <c r="AB167"/>
  <c r="AD167" s="1"/>
  <c r="O169"/>
  <c r="AB173"/>
  <c r="AD173" s="1"/>
  <c r="AB179"/>
  <c r="AD179" s="1"/>
  <c r="AA180"/>
  <c r="AC180" s="1"/>
  <c r="AB186"/>
  <c r="AD186" s="1"/>
  <c r="AA187"/>
  <c r="AC187" s="1"/>
  <c r="O188"/>
  <c r="AA194"/>
  <c r="AC194" s="1"/>
  <c r="Q217"/>
  <c r="AB315"/>
  <c r="AD315" s="1"/>
  <c r="AD320" s="1"/>
  <c r="AC379"/>
  <c r="Z382"/>
  <c r="AB382" s="1"/>
  <c r="AD382" s="1"/>
  <c r="AD384" s="1"/>
  <c r="AB416"/>
  <c r="AD416" s="1"/>
  <c r="AD420" s="1"/>
  <c r="AA424"/>
  <c r="AC424" s="1"/>
  <c r="AC425" s="1"/>
  <c r="AB456"/>
  <c r="AD456" s="1"/>
  <c r="AD515"/>
  <c r="AD517"/>
  <c r="AB536"/>
  <c r="AD536" s="1"/>
  <c r="AD559"/>
  <c r="AB596"/>
  <c r="AC807"/>
  <c r="AC834"/>
  <c r="AC836"/>
  <c r="AC952"/>
  <c r="AB971"/>
  <c r="AD971" s="1"/>
  <c r="AC973"/>
  <c r="AB981"/>
  <c r="AD981" s="1"/>
  <c r="BI1069"/>
  <c r="AA1010"/>
  <c r="AA1013"/>
  <c r="AA1038"/>
  <c r="BG1064"/>
  <c r="BI1064" s="1"/>
  <c r="BF1069"/>
  <c r="BH1069" s="1"/>
  <c r="BL1089"/>
  <c r="AB1213"/>
  <c r="AD1213" s="1"/>
  <c r="Y1311"/>
  <c r="N1317"/>
  <c r="R1317"/>
  <c r="Z1317" s="1"/>
  <c r="Q1326"/>
  <c r="P1336"/>
  <c r="N1450"/>
  <c r="O1466"/>
  <c r="N1470"/>
  <c r="Z1470"/>
  <c r="AB1483"/>
  <c r="AD1483" s="1"/>
  <c r="Q1484"/>
  <c r="M1491"/>
  <c r="M1490" s="1"/>
  <c r="N1492"/>
  <c r="M1493"/>
  <c r="M1498"/>
  <c r="AA1498" s="1"/>
  <c r="AC1498" s="1"/>
  <c r="O1499"/>
  <c r="M1500"/>
  <c r="AA1500" s="1"/>
  <c r="AC1500" s="1"/>
  <c r="AC1587"/>
  <c r="AD1598"/>
  <c r="AB1605"/>
  <c r="AD1605" s="1"/>
  <c r="AD1641"/>
  <c r="N1645"/>
  <c r="AD1652"/>
  <c r="L1655"/>
  <c r="AC1662"/>
  <c r="AC1709"/>
  <c r="AD1724"/>
  <c r="AD1725" s="1"/>
  <c r="AC1743"/>
  <c r="AC1745" s="1"/>
  <c r="L1794"/>
  <c r="AD1491"/>
  <c r="AD1490" s="1"/>
  <c r="AD1592"/>
  <c r="L1628"/>
  <c r="AB1794"/>
  <c r="AB513"/>
  <c r="AD513" s="1"/>
  <c r="AD520"/>
  <c r="AB524"/>
  <c r="AD524" s="1"/>
  <c r="N583"/>
  <c r="AB583" s="1"/>
  <c r="AD583" s="1"/>
  <c r="L737"/>
  <c r="M737" s="1"/>
  <c r="AD781"/>
  <c r="AD782" s="1"/>
  <c r="AD776"/>
  <c r="AA796"/>
  <c r="AC796" s="1"/>
  <c r="AC799"/>
  <c r="AA809"/>
  <c r="AC809" s="1"/>
  <c r="AA811"/>
  <c r="AC811" s="1"/>
  <c r="K816"/>
  <c r="L824"/>
  <c r="AB842"/>
  <c r="AB909"/>
  <c r="AD909" s="1"/>
  <c r="AA912"/>
  <c r="AC912" s="1"/>
  <c r="AD933"/>
  <c r="AD938"/>
  <c r="P960"/>
  <c r="AC947"/>
  <c r="AD948"/>
  <c r="AC950"/>
  <c r="AB975"/>
  <c r="AD975" s="1"/>
  <c r="AB987"/>
  <c r="AD987" s="1"/>
  <c r="AD1036"/>
  <c r="AB1055"/>
  <c r="AD1055" s="1"/>
  <c r="AA1057"/>
  <c r="AC1057" s="1"/>
  <c r="AB1058"/>
  <c r="AD1058" s="1"/>
  <c r="BE1060"/>
  <c r="BI1062"/>
  <c r="Q1062"/>
  <c r="P1062"/>
  <c r="P1104" s="1"/>
  <c r="AU1089" s="1"/>
  <c r="AB1064"/>
  <c r="AD1064" s="1"/>
  <c r="AA1070"/>
  <c r="AC1070" s="1"/>
  <c r="BB1087"/>
  <c r="BB1103"/>
  <c r="W1117"/>
  <c r="W1120"/>
  <c r="W1129"/>
  <c r="U1139"/>
  <c r="W1139" s="1"/>
  <c r="W1140"/>
  <c r="AB1184"/>
  <c r="AD1184" s="1"/>
  <c r="AB1191"/>
  <c r="AD1191" s="1"/>
  <c r="AB1212"/>
  <c r="AD1212" s="1"/>
  <c r="AB1217"/>
  <c r="AD1217" s="1"/>
  <c r="AB1218"/>
  <c r="AD1218" s="1"/>
  <c r="AB1219"/>
  <c r="AD1219" s="1"/>
  <c r="AB1221"/>
  <c r="AD1221" s="1"/>
  <c r="AB1222"/>
  <c r="AD1222" s="1"/>
  <c r="AB1223"/>
  <c r="AD1223" s="1"/>
  <c r="AB1225"/>
  <c r="AD1225" s="1"/>
  <c r="AB1226"/>
  <c r="AD1226" s="1"/>
  <c r="AB1227"/>
  <c r="AD1227" s="1"/>
  <c r="AB1259"/>
  <c r="AD1259" s="1"/>
  <c r="N1277"/>
  <c r="AB1277" s="1"/>
  <c r="AD1277" s="1"/>
  <c r="S1290"/>
  <c r="S1293"/>
  <c r="Y1293" s="1"/>
  <c r="AA1293" s="1"/>
  <c r="AC1293" s="1"/>
  <c r="AB1294"/>
  <c r="AD1294" s="1"/>
  <c r="U1294"/>
  <c r="AB1295"/>
  <c r="AD1295" s="1"/>
  <c r="S1297"/>
  <c r="AB1299"/>
  <c r="AD1299" s="1"/>
  <c r="AD1316"/>
  <c r="P1317"/>
  <c r="S1320"/>
  <c r="N1336"/>
  <c r="AB1337"/>
  <c r="AD1337" s="1"/>
  <c r="S1338"/>
  <c r="AB1459"/>
  <c r="AD1459" s="1"/>
  <c r="AD1465"/>
  <c r="AD1469"/>
  <c r="P1470"/>
  <c r="M1481"/>
  <c r="AA1481" s="1"/>
  <c r="AC1481" s="1"/>
  <c r="Q1481"/>
  <c r="M1482"/>
  <c r="AA1482" s="1"/>
  <c r="AC1482" s="1"/>
  <c r="O1486"/>
  <c r="AD1487"/>
  <c r="AD1486" s="1"/>
  <c r="Y1494"/>
  <c r="AD1498"/>
  <c r="AD1499"/>
  <c r="M1503"/>
  <c r="AA1503" s="1"/>
  <c r="AC1503" s="1"/>
  <c r="M1508"/>
  <c r="AA1508" s="1"/>
  <c r="AC1508" s="1"/>
  <c r="M1510"/>
  <c r="AA1510" s="1"/>
  <c r="AC1510" s="1"/>
  <c r="M1512"/>
  <c r="AA1512" s="1"/>
  <c r="AC1512" s="1"/>
  <c r="M1514"/>
  <c r="AA1514" s="1"/>
  <c r="AC1514" s="1"/>
  <c r="P1492"/>
  <c r="AB1516"/>
  <c r="AD1516" s="1"/>
  <c r="Z1528"/>
  <c r="Z1548"/>
  <c r="Y1561"/>
  <c r="AB1567"/>
  <c r="AB1585"/>
  <c r="AD1585" s="1"/>
  <c r="AC1588"/>
  <c r="AB1601"/>
  <c r="AD1601" s="1"/>
  <c r="AC1606"/>
  <c r="AB1609"/>
  <c r="AD1609" s="1"/>
  <c r="N1612"/>
  <c r="AB1612" s="1"/>
  <c r="AB1617"/>
  <c r="AD1617" s="1"/>
  <c r="AB1638"/>
  <c r="AD1638" s="1"/>
  <c r="AD1639" s="1"/>
  <c r="AD1660"/>
  <c r="AC1661"/>
  <c r="AB1668"/>
  <c r="AD1668" s="1"/>
  <c r="AB1669"/>
  <c r="AD1669" s="1"/>
  <c r="AD1700"/>
  <c r="AD1736"/>
  <c r="AC1737"/>
  <c r="AC1740" s="1"/>
  <c r="AB1744"/>
  <c r="AD1744" s="1"/>
  <c r="AB1748"/>
  <c r="AD1748" s="1"/>
  <c r="AD1749" s="1"/>
  <c r="AB1763"/>
  <c r="AD1763" s="1"/>
  <c r="AB1771"/>
  <c r="AD1771" s="1"/>
  <c r="AC1784"/>
  <c r="AC1785" s="1"/>
  <c r="AD1790"/>
  <c r="AD1796"/>
  <c r="AB1003"/>
  <c r="AD1003" s="1"/>
  <c r="Q1006"/>
  <c r="Y1006" s="1"/>
  <c r="AB1011"/>
  <c r="AD1011" s="1"/>
  <c r="AA1058"/>
  <c r="AC1058" s="1"/>
  <c r="AD1099"/>
  <c r="U1108"/>
  <c r="W1108" s="1"/>
  <c r="W1112"/>
  <c r="U1116"/>
  <c r="W1116" s="1"/>
  <c r="AG1114"/>
  <c r="W1118"/>
  <c r="U1127"/>
  <c r="W1127" s="1"/>
  <c r="W1154"/>
  <c r="W1155"/>
  <c r="AD1189"/>
  <c r="AB1203"/>
  <c r="AD1203" s="1"/>
  <c r="AC1210"/>
  <c r="AB1250"/>
  <c r="AD1250" s="1"/>
  <c r="AB1252"/>
  <c r="AD1252" s="1"/>
  <c r="AB1253"/>
  <c r="AD1253" s="1"/>
  <c r="AB1254"/>
  <c r="AD1254" s="1"/>
  <c r="N1251"/>
  <c r="AB1251" s="1"/>
  <c r="AD1251" s="1"/>
  <c r="AB1256"/>
  <c r="AD1256" s="1"/>
  <c r="AB1269"/>
  <c r="AD1269" s="1"/>
  <c r="AB1280"/>
  <c r="AB1289"/>
  <c r="AD1289" s="1"/>
  <c r="U1292"/>
  <c r="S1294"/>
  <c r="U1299"/>
  <c r="N1302"/>
  <c r="AD1311"/>
  <c r="S1328"/>
  <c r="R1336"/>
  <c r="U1337"/>
  <c r="Z1338"/>
  <c r="AB1338" s="1"/>
  <c r="AD1338" s="1"/>
  <c r="L1458"/>
  <c r="Q1460"/>
  <c r="O1461"/>
  <c r="O1462"/>
  <c r="O1463"/>
  <c r="O1464"/>
  <c r="O1465"/>
  <c r="AD1466"/>
  <c r="O1469"/>
  <c r="AD1484"/>
  <c r="Y1484"/>
  <c r="Q1485"/>
  <c r="AB1486"/>
  <c r="Y1493"/>
  <c r="M1496"/>
  <c r="AA1496" s="1"/>
  <c r="AC1496" s="1"/>
  <c r="O1498"/>
  <c r="AD1500"/>
  <c r="AB1504"/>
  <c r="Y1528"/>
  <c r="AB1582"/>
  <c r="AD1582" s="1"/>
  <c r="AB1584"/>
  <c r="AD1584" s="1"/>
  <c r="AB1587"/>
  <c r="AD1587" s="1"/>
  <c r="AB1589"/>
  <c r="AD1589" s="1"/>
  <c r="AB1607"/>
  <c r="AD1607" s="1"/>
  <c r="AB1608"/>
  <c r="AD1608" s="1"/>
  <c r="AC1608"/>
  <c r="AB1624"/>
  <c r="AD1624" s="1"/>
  <c r="AD1631"/>
  <c r="AB1646"/>
  <c r="AD1646" s="1"/>
  <c r="AD1657"/>
  <c r="AB1662"/>
  <c r="AB1676"/>
  <c r="AD1676" s="1"/>
  <c r="AD1684"/>
  <c r="AB1693"/>
  <c r="AD1693" s="1"/>
  <c r="L1695"/>
  <c r="N1711"/>
  <c r="AB1711" s="1"/>
  <c r="AD1711" s="1"/>
  <c r="AB1713"/>
  <c r="AD1713" s="1"/>
  <c r="N1718"/>
  <c r="AB1718" s="1"/>
  <c r="AD1718" s="1"/>
  <c r="N1723"/>
  <c r="AB1723" s="1"/>
  <c r="AD1723" s="1"/>
  <c r="AD1738"/>
  <c r="AB1761"/>
  <c r="AC1763"/>
  <c r="N1780"/>
  <c r="AB1780" s="1"/>
  <c r="AD1780" s="1"/>
  <c r="Y1074" i="4"/>
  <c r="O1068"/>
  <c r="L1068"/>
  <c r="L1067" s="1"/>
  <c r="N1074"/>
  <c r="N1068"/>
  <c r="W1218"/>
  <c r="W1231"/>
  <c r="W1235"/>
  <c r="Q1068"/>
  <c r="Y1068" s="1"/>
  <c r="AC892" i="5"/>
  <c r="AB23"/>
  <c r="AD23" s="1"/>
  <c r="AB25"/>
  <c r="AD25" s="1"/>
  <c r="Z44"/>
  <c r="AA176"/>
  <c r="AC176" s="1"/>
  <c r="AD18"/>
  <c r="AD48"/>
  <c r="AA90"/>
  <c r="AC90" s="1"/>
  <c r="AD60"/>
  <c r="AB74"/>
  <c r="AB19"/>
  <c r="AD19" s="1"/>
  <c r="AB21"/>
  <c r="AD21" s="1"/>
  <c r="AB28"/>
  <c r="AD28" s="1"/>
  <c r="L44"/>
  <c r="AA80"/>
  <c r="AC80" s="1"/>
  <c r="AC271"/>
  <c r="AC299"/>
  <c r="AC741"/>
  <c r="AB191"/>
  <c r="AD191" s="1"/>
  <c r="Z190"/>
  <c r="AB190" s="1"/>
  <c r="AD190" s="1"/>
  <c r="AA995"/>
  <c r="AC995"/>
  <c r="AB201"/>
  <c r="AD201" s="1"/>
  <c r="Z198"/>
  <c r="O206"/>
  <c r="O205" s="1"/>
  <c r="M205"/>
  <c r="AA205" s="1"/>
  <c r="AC205" s="1"/>
  <c r="AB216"/>
  <c r="AD216" s="1"/>
  <c r="Z215"/>
  <c r="AB215" s="1"/>
  <c r="AD215" s="1"/>
  <c r="N507"/>
  <c r="AB507" s="1"/>
  <c r="AD507" s="1"/>
  <c r="AB508"/>
  <c r="AD508" s="1"/>
  <c r="AD596"/>
  <c r="AC992"/>
  <c r="AA992"/>
  <c r="AC1001"/>
  <c r="AA1001"/>
  <c r="AA1051"/>
  <c r="AC1051" s="1"/>
  <c r="Y1049"/>
  <c r="AB51"/>
  <c r="AD51" s="1"/>
  <c r="AB82"/>
  <c r="AD82" s="1"/>
  <c r="AA174"/>
  <c r="AC174" s="1"/>
  <c r="AA175"/>
  <c r="AC175" s="1"/>
  <c r="Z37"/>
  <c r="Z34" s="1"/>
  <c r="N136"/>
  <c r="AB136" s="1"/>
  <c r="AD136" s="1"/>
  <c r="Z143"/>
  <c r="AB143" s="1"/>
  <c r="AD143" s="1"/>
  <c r="Z155"/>
  <c r="AA191"/>
  <c r="AC191" s="1"/>
  <c r="AA192"/>
  <c r="AC192" s="1"/>
  <c r="AA196"/>
  <c r="AC196" s="1"/>
  <c r="AA198"/>
  <c r="AC198" s="1"/>
  <c r="AA204"/>
  <c r="AC204" s="1"/>
  <c r="AA206"/>
  <c r="AC206" s="1"/>
  <c r="AA207"/>
  <c r="AC207" s="1"/>
  <c r="AB213"/>
  <c r="AD213" s="1"/>
  <c r="M215"/>
  <c r="AA215" s="1"/>
  <c r="AC215" s="1"/>
  <c r="R217"/>
  <c r="AB322"/>
  <c r="AD322" s="1"/>
  <c r="AD325" s="1"/>
  <c r="AC396"/>
  <c r="AB398"/>
  <c r="AD398" s="1"/>
  <c r="AD408" s="1"/>
  <c r="AD567"/>
  <c r="AC609"/>
  <c r="AC610" s="1"/>
  <c r="AB595"/>
  <c r="AD595" s="1"/>
  <c r="M792"/>
  <c r="AA792" s="1"/>
  <c r="Y635"/>
  <c r="AB635"/>
  <c r="AD635" s="1"/>
  <c r="Y816"/>
  <c r="AA818"/>
  <c r="AC818" s="1"/>
  <c r="AA994"/>
  <c r="AC994"/>
  <c r="AC1312"/>
  <c r="AA1311"/>
  <c r="AD1367"/>
  <c r="AB1364"/>
  <c r="AE1472"/>
  <c r="AE1468"/>
  <c r="AE1471"/>
  <c r="M561"/>
  <c r="AA507"/>
  <c r="AC507" s="1"/>
  <c r="AD793"/>
  <c r="AD865"/>
  <c r="AB864"/>
  <c r="AA1033"/>
  <c r="AC1033"/>
  <c r="AA1034"/>
  <c r="AC1034"/>
  <c r="AA1056"/>
  <c r="AC1056" s="1"/>
  <c r="M1049"/>
  <c r="AB120"/>
  <c r="AD120" s="1"/>
  <c r="M17"/>
  <c r="AA17" s="1"/>
  <c r="AC17" s="1"/>
  <c r="Z80"/>
  <c r="Z108"/>
  <c r="Z166"/>
  <c r="AB166" s="1"/>
  <c r="AD166" s="1"/>
  <c r="AA202"/>
  <c r="AC202" s="1"/>
  <c r="AD257"/>
  <c r="AD259" s="1"/>
  <c r="AC781"/>
  <c r="AC782" s="1"/>
  <c r="AC1003"/>
  <c r="AB204"/>
  <c r="AD204" s="1"/>
  <c r="Z203"/>
  <c r="AB206"/>
  <c r="AD206" s="1"/>
  <c r="Z205"/>
  <c r="Y387"/>
  <c r="AA387" s="1"/>
  <c r="AC387" s="1"/>
  <c r="AC388" s="1"/>
  <c r="AA386"/>
  <c r="AC386" s="1"/>
  <c r="Y561"/>
  <c r="AA451"/>
  <c r="AC1024"/>
  <c r="AA1024"/>
  <c r="AC1037"/>
  <c r="AA1037"/>
  <c r="AE1512"/>
  <c r="AE1513" s="1"/>
  <c r="AE1514" s="1"/>
  <c r="AE1515" s="1"/>
  <c r="AE1504"/>
  <c r="AE1507" s="1"/>
  <c r="AE1508" s="1"/>
  <c r="AE1509" s="1"/>
  <c r="AE1510" s="1"/>
  <c r="AE1511" s="1"/>
  <c r="O213"/>
  <c r="O210" s="1"/>
  <c r="M210"/>
  <c r="AA210" s="1"/>
  <c r="AC210" s="1"/>
  <c r="Z816"/>
  <c r="AB817"/>
  <c r="AD823"/>
  <c r="AB822"/>
  <c r="AD822" s="1"/>
  <c r="AB940"/>
  <c r="AD941"/>
  <c r="AC1016"/>
  <c r="AA1016"/>
  <c r="U1111"/>
  <c r="W1111" s="1"/>
  <c r="U1119"/>
  <c r="W1119" s="1"/>
  <c r="U1145"/>
  <c r="W1145" s="1"/>
  <c r="T1271"/>
  <c r="Z1271" s="1"/>
  <c r="AB1271" s="1"/>
  <c r="AD1271" s="1"/>
  <c r="Z1268"/>
  <c r="AB1268" s="1"/>
  <c r="AD1268" s="1"/>
  <c r="Z74"/>
  <c r="Z176"/>
  <c r="Z184"/>
  <c r="AB184" s="1"/>
  <c r="AD184" s="1"/>
  <c r="AA213"/>
  <c r="AC213" s="1"/>
  <c r="AC288"/>
  <c r="AC372"/>
  <c r="AB857"/>
  <c r="AD858"/>
  <c r="AD869"/>
  <c r="AC988"/>
  <c r="AA988"/>
  <c r="AA990"/>
  <c r="AC990"/>
  <c r="AC1000"/>
  <c r="AA1000"/>
  <c r="AC1004"/>
  <c r="AA1004"/>
  <c r="AC1009"/>
  <c r="AA1009"/>
  <c r="AA1022"/>
  <c r="AC1022"/>
  <c r="AC1031"/>
  <c r="AA1031"/>
  <c r="AB1057"/>
  <c r="AD1057" s="1"/>
  <c r="N1049"/>
  <c r="AZ1101"/>
  <c r="BB1101" s="1"/>
  <c r="S1291"/>
  <c r="U1291"/>
  <c r="P1288"/>
  <c r="W1291"/>
  <c r="S1295"/>
  <c r="W1295"/>
  <c r="Q1295"/>
  <c r="U1295"/>
  <c r="Q654"/>
  <c r="Q662"/>
  <c r="Q714"/>
  <c r="R737"/>
  <c r="Q985"/>
  <c r="AD983" s="1"/>
  <c r="AD984" s="1"/>
  <c r="AB1006"/>
  <c r="AD1006" s="1"/>
  <c r="R1049"/>
  <c r="AA1060"/>
  <c r="AC1060" s="1"/>
  <c r="Z561"/>
  <c r="Y651"/>
  <c r="AB651"/>
  <c r="AD651" s="1"/>
  <c r="AB688"/>
  <c r="AD688" s="1"/>
  <c r="Y688"/>
  <c r="Y812"/>
  <c r="AA815"/>
  <c r="AC817"/>
  <c r="AD825"/>
  <c r="AB824"/>
  <c r="AC996"/>
  <c r="AA996"/>
  <c r="AC1012"/>
  <c r="AA1012"/>
  <c r="AA1018"/>
  <c r="AC1018"/>
  <c r="AA1026"/>
  <c r="AC1026"/>
  <c r="Z1029"/>
  <c r="AB1029" s="1"/>
  <c r="AD1029" s="1"/>
  <c r="Q1029"/>
  <c r="Y1029" s="1"/>
  <c r="AC1035"/>
  <c r="AA1035"/>
  <c r="AB1050"/>
  <c r="AD1050" s="1"/>
  <c r="Z1049"/>
  <c r="BI1068"/>
  <c r="AB291"/>
  <c r="AD291" s="1"/>
  <c r="AD299" s="1"/>
  <c r="AB410"/>
  <c r="AD410" s="1"/>
  <c r="AC420"/>
  <c r="N451"/>
  <c r="N477"/>
  <c r="AB477" s="1"/>
  <c r="AD477" s="1"/>
  <c r="AD616"/>
  <c r="Q635"/>
  <c r="Z741"/>
  <c r="AB741" s="1"/>
  <c r="AC823"/>
  <c r="AD843"/>
  <c r="Z916"/>
  <c r="AA914"/>
  <c r="AC914" s="1"/>
  <c r="AC991"/>
  <c r="AC1023"/>
  <c r="AC1036"/>
  <c r="BG1065"/>
  <c r="BI1065" s="1"/>
  <c r="AB654"/>
  <c r="Y654"/>
  <c r="AB662"/>
  <c r="AD662" s="1"/>
  <c r="Y662"/>
  <c r="Y714"/>
  <c r="AB714"/>
  <c r="AD714" s="1"/>
  <c r="AD821"/>
  <c r="AB820"/>
  <c r="AD838"/>
  <c r="AB837"/>
  <c r="AA998"/>
  <c r="AC998"/>
  <c r="AA1007"/>
  <c r="AC1007"/>
  <c r="AC1020"/>
  <c r="AA1020"/>
  <c r="AC1028"/>
  <c r="AA1028"/>
  <c r="BI1061"/>
  <c r="AD1080"/>
  <c r="AB1079"/>
  <c r="AD1096"/>
  <c r="AB1095"/>
  <c r="AZ1105"/>
  <c r="BB1105" s="1"/>
  <c r="U1115"/>
  <c r="W1115" s="1"/>
  <c r="AD534"/>
  <c r="Q651"/>
  <c r="Q688"/>
  <c r="Z737"/>
  <c r="AB763"/>
  <c r="AD763" s="1"/>
  <c r="AB779"/>
  <c r="AD779" s="1"/>
  <c r="AB798"/>
  <c r="AD798" s="1"/>
  <c r="AC831"/>
  <c r="AB966"/>
  <c r="AD966" s="1"/>
  <c r="AB968"/>
  <c r="AD968" s="1"/>
  <c r="AB970"/>
  <c r="AD970" s="1"/>
  <c r="AB972"/>
  <c r="AD972" s="1"/>
  <c r="AB974"/>
  <c r="AD974" s="1"/>
  <c r="AB1015"/>
  <c r="AD1015" s="1"/>
  <c r="BL1083"/>
  <c r="BB1085"/>
  <c r="BD1085" s="1"/>
  <c r="BF1085" s="1"/>
  <c r="BH1085" s="1"/>
  <c r="U1107"/>
  <c r="W1107" s="1"/>
  <c r="AB1135"/>
  <c r="AD1135" s="1"/>
  <c r="Z1134"/>
  <c r="AB1134" s="1"/>
  <c r="AD1134" s="1"/>
  <c r="U1141"/>
  <c r="W1141" s="1"/>
  <c r="AB1152"/>
  <c r="AD1152" s="1"/>
  <c r="Z1151"/>
  <c r="AB1151" s="1"/>
  <c r="AD1151" s="1"/>
  <c r="U1156"/>
  <c r="W1156" s="1"/>
  <c r="R1288"/>
  <c r="Z1288" s="1"/>
  <c r="Z1290"/>
  <c r="AB1290" s="1"/>
  <c r="AD1290" s="1"/>
  <c r="N1288"/>
  <c r="AB1292"/>
  <c r="AD1292" s="1"/>
  <c r="AB424"/>
  <c r="AD424" s="1"/>
  <c r="R561"/>
  <c r="N976"/>
  <c r="AB976" s="1"/>
  <c r="AD976" s="1"/>
  <c r="M1062"/>
  <c r="BB1102"/>
  <c r="W1133"/>
  <c r="AB1215"/>
  <c r="AD1215" s="1"/>
  <c r="AB1232"/>
  <c r="AD1232" s="1"/>
  <c r="AB1296"/>
  <c r="AD1296" s="1"/>
  <c r="AB1297"/>
  <c r="AD1297" s="1"/>
  <c r="AD1085"/>
  <c r="AB1083"/>
  <c r="U1123"/>
  <c r="W1123" s="1"/>
  <c r="U1130"/>
  <c r="W1130" s="1"/>
  <c r="U1135"/>
  <c r="W1135" s="1"/>
  <c r="AB1141"/>
  <c r="AD1141" s="1"/>
  <c r="Z1139"/>
  <c r="AB1139" s="1"/>
  <c r="AD1139" s="1"/>
  <c r="U1152"/>
  <c r="W1152" s="1"/>
  <c r="N1267"/>
  <c r="AB1267" s="1"/>
  <c r="AD1267" s="1"/>
  <c r="BB1088"/>
  <c r="W1110"/>
  <c r="W1144"/>
  <c r="AD1214"/>
  <c r="Z1239"/>
  <c r="AB1274"/>
  <c r="AD1274" s="1"/>
  <c r="L1288"/>
  <c r="AB1293"/>
  <c r="AD1293" s="1"/>
  <c r="AD1090"/>
  <c r="AB1089"/>
  <c r="U1149"/>
  <c r="W1149" s="1"/>
  <c r="S1298"/>
  <c r="U1298"/>
  <c r="BG1089"/>
  <c r="BI1089" s="1"/>
  <c r="N1165"/>
  <c r="AB1165" s="1"/>
  <c r="AB1190"/>
  <c r="AD1190" s="1"/>
  <c r="AD1230"/>
  <c r="AB1262"/>
  <c r="AD1262" s="1"/>
  <c r="AB1275"/>
  <c r="AD1275" s="1"/>
  <c r="U1114"/>
  <c r="W1114" s="1"/>
  <c r="W1124"/>
  <c r="U1289"/>
  <c r="W1292"/>
  <c r="W1299"/>
  <c r="AA1461"/>
  <c r="AC1461" s="1"/>
  <c r="AA1462"/>
  <c r="AC1462" s="1"/>
  <c r="AA1464"/>
  <c r="AC1464" s="1"/>
  <c r="AC1671"/>
  <c r="Z1458"/>
  <c r="Y1460"/>
  <c r="W1136"/>
  <c r="W1142"/>
  <c r="W1146"/>
  <c r="W1153"/>
  <c r="AB1306"/>
  <c r="AD1306" s="1"/>
  <c r="AB1307"/>
  <c r="AD1307" s="1"/>
  <c r="AB1327"/>
  <c r="AD1327" s="1"/>
  <c r="AB1318"/>
  <c r="AD1318" s="1"/>
  <c r="AB1319"/>
  <c r="AD1319" s="1"/>
  <c r="AB1321"/>
  <c r="AD1321" s="1"/>
  <c r="M1495"/>
  <c r="AA1495" s="1"/>
  <c r="AC1495" s="1"/>
  <c r="O1495"/>
  <c r="AA1542"/>
  <c r="AC1542" s="1"/>
  <c r="Y1540"/>
  <c r="S1303"/>
  <c r="Q1306"/>
  <c r="W1306"/>
  <c r="W1307"/>
  <c r="Y1307" s="1"/>
  <c r="AA1307" s="1"/>
  <c r="AC1307" s="1"/>
  <c r="W1318"/>
  <c r="U1320"/>
  <c r="S1321"/>
  <c r="S1326"/>
  <c r="Z1326"/>
  <c r="AB1326" s="1"/>
  <c r="AD1326" s="1"/>
  <c r="Q1327"/>
  <c r="W1327"/>
  <c r="S1337"/>
  <c r="Y1337" s="1"/>
  <c r="AA1337" s="1"/>
  <c r="AC1337" s="1"/>
  <c r="Q1338"/>
  <c r="AB1352"/>
  <c r="Y1465"/>
  <c r="AA1465" s="1"/>
  <c r="AC1465" s="1"/>
  <c r="Y1466"/>
  <c r="AA1466" s="1"/>
  <c r="AC1466" s="1"/>
  <c r="Y1467"/>
  <c r="AA1467" s="1"/>
  <c r="AC1467" s="1"/>
  <c r="Y1468"/>
  <c r="AA1468" s="1"/>
  <c r="AC1468" s="1"/>
  <c r="Y1469"/>
  <c r="AA1469" s="1"/>
  <c r="AC1469" s="1"/>
  <c r="AD1480"/>
  <c r="AD1489"/>
  <c r="AD1497"/>
  <c r="AD1502"/>
  <c r="AB1507"/>
  <c r="M1509"/>
  <c r="AA1509" s="1"/>
  <c r="AC1509" s="1"/>
  <c r="AB1511"/>
  <c r="AA1528"/>
  <c r="AA1561"/>
  <c r="AB1580"/>
  <c r="AD1580" s="1"/>
  <c r="N1578"/>
  <c r="AB1578" s="1"/>
  <c r="AB1583"/>
  <c r="AD1583" s="1"/>
  <c r="AB1618"/>
  <c r="AD1618" s="1"/>
  <c r="AD1620" s="1"/>
  <c r="AC1633"/>
  <c r="AB1645"/>
  <c r="AD1645" s="1"/>
  <c r="AC1648"/>
  <c r="AB1667"/>
  <c r="AD1667" s="1"/>
  <c r="AB1690"/>
  <c r="AD1690" s="1"/>
  <c r="AB1692"/>
  <c r="AD1692" s="1"/>
  <c r="AB1694"/>
  <c r="AD1694" s="1"/>
  <c r="AB1698"/>
  <c r="AD1698" s="1"/>
  <c r="AC1714"/>
  <c r="AC1733"/>
  <c r="AB1731"/>
  <c r="AD1731" s="1"/>
  <c r="AD1747"/>
  <c r="AD1766"/>
  <c r="AB1787"/>
  <c r="AD1787" s="1"/>
  <c r="AC1790"/>
  <c r="AC1792" s="1"/>
  <c r="AC1471"/>
  <c r="M1494"/>
  <c r="O1494"/>
  <c r="L1492"/>
  <c r="AA1547"/>
  <c r="Y1545"/>
  <c r="Z1561"/>
  <c r="AB1562"/>
  <c r="W1304"/>
  <c r="U1306"/>
  <c r="U1327"/>
  <c r="W1328"/>
  <c r="Q1461"/>
  <c r="Q1462"/>
  <c r="Q1463"/>
  <c r="Q1464"/>
  <c r="Q1465"/>
  <c r="Q1466"/>
  <c r="Q1467"/>
  <c r="Q1468"/>
  <c r="Q1469"/>
  <c r="AD1494"/>
  <c r="AC1580"/>
  <c r="AB1656"/>
  <c r="AD1656" s="1"/>
  <c r="AD1662"/>
  <c r="AD1663"/>
  <c r="AC1690"/>
  <c r="AD1707"/>
  <c r="AD1709" s="1"/>
  <c r="AB1737"/>
  <c r="AD1737" s="1"/>
  <c r="AB1742"/>
  <c r="AB1743"/>
  <c r="AD1743" s="1"/>
  <c r="AD1797"/>
  <c r="AD1471"/>
  <c r="Y1485"/>
  <c r="AB1485"/>
  <c r="AD1485" s="1"/>
  <c r="AD1541"/>
  <c r="AB1540"/>
  <c r="AD1550"/>
  <c r="AB1548"/>
  <c r="AA1567"/>
  <c r="AC1568"/>
  <c r="W1303"/>
  <c r="U1304"/>
  <c r="W1321"/>
  <c r="W1326"/>
  <c r="Q1328"/>
  <c r="AE1489"/>
  <c r="AD1703"/>
  <c r="M1489"/>
  <c r="L1488"/>
  <c r="AD1488" s="1"/>
  <c r="O1489"/>
  <c r="M1497"/>
  <c r="AA1497" s="1"/>
  <c r="AC1497" s="1"/>
  <c r="O1497"/>
  <c r="M1502"/>
  <c r="AA1502" s="1"/>
  <c r="AC1502" s="1"/>
  <c r="O1502"/>
  <c r="M1506"/>
  <c r="AA1506" s="1"/>
  <c r="AC1506" s="1"/>
  <c r="AB1506"/>
  <c r="AD1506" s="1"/>
  <c r="M1513"/>
  <c r="AA1513" s="1"/>
  <c r="AC1513" s="1"/>
  <c r="O1513"/>
  <c r="AB1528"/>
  <c r="AD1529"/>
  <c r="AD1546"/>
  <c r="AB1545"/>
  <c r="AA1550"/>
  <c r="AC1550" s="1"/>
  <c r="Y1548"/>
  <c r="AB1599"/>
  <c r="AD1599" s="1"/>
  <c r="N1596"/>
  <c r="AB1596" s="1"/>
  <c r="Z1364"/>
  <c r="Z1450" s="1"/>
  <c r="AB1375"/>
  <c r="P1458"/>
  <c r="M1459"/>
  <c r="AA1459" s="1"/>
  <c r="AD1513"/>
  <c r="AB1633"/>
  <c r="AD1633" s="1"/>
  <c r="AB1637"/>
  <c r="AD1637" s="1"/>
  <c r="AB1642"/>
  <c r="AD1642" s="1"/>
  <c r="AD1643" s="1"/>
  <c r="AB1650"/>
  <c r="AB1651"/>
  <c r="AD1651" s="1"/>
  <c r="AD1653" s="1"/>
  <c r="AB1681"/>
  <c r="AD1681" s="1"/>
  <c r="AD1682" s="1"/>
  <c r="AD1685"/>
  <c r="AD1686" s="1"/>
  <c r="AB1714"/>
  <c r="AD1714" s="1"/>
  <c r="AB1719"/>
  <c r="AD1719" s="1"/>
  <c r="AB1752"/>
  <c r="AD1752" s="1"/>
  <c r="AD1753" s="1"/>
  <c r="L1755"/>
  <c r="AC1778"/>
  <c r="AD1777"/>
  <c r="AD1791"/>
  <c r="AB1795"/>
  <c r="AD1795" s="1"/>
  <c r="AC1798"/>
  <c r="Q1499"/>
  <c r="AB1509"/>
  <c r="M1480"/>
  <c r="AA1480" s="1"/>
  <c r="AC1480" s="1"/>
  <c r="Z1492"/>
  <c r="Q1501"/>
  <c r="Q1515"/>
  <c r="M1516"/>
  <c r="AA1516" s="1"/>
  <c r="AC1516" s="1"/>
  <c r="AD1498" i="4"/>
  <c r="Y1296" i="5" l="1"/>
  <c r="AA1296" s="1"/>
  <c r="AC1296" s="1"/>
  <c r="AB1302"/>
  <c r="AD1302" s="1"/>
  <c r="AB203"/>
  <c r="AD203" s="1"/>
  <c r="AA1484"/>
  <c r="AC1484" s="1"/>
  <c r="AB1239"/>
  <c r="AD1239" s="1"/>
  <c r="AB176"/>
  <c r="AD176" s="1"/>
  <c r="AD1578"/>
  <c r="AD1165"/>
  <c r="AC1235"/>
  <c r="AC1236" s="1"/>
  <c r="AD1721"/>
  <c r="AA1062"/>
  <c r="AC1062" s="1"/>
  <c r="Y1294"/>
  <c r="AA1294" s="1"/>
  <c r="AC1294" s="1"/>
  <c r="AD1751"/>
  <c r="Y1233" i="4"/>
  <c r="AA1233" s="1"/>
  <c r="AC1233" s="1"/>
  <c r="P1517" i="5"/>
  <c r="AC1704"/>
  <c r="Y1236" i="4"/>
  <c r="AA1236" s="1"/>
  <c r="AC1236" s="1"/>
  <c r="R1482"/>
  <c r="AC1664" i="5"/>
  <c r="AD1612"/>
  <c r="Y1297"/>
  <c r="AA1297" s="1"/>
  <c r="AC1297" s="1"/>
  <c r="Y1231" i="4"/>
  <c r="AA1231" s="1"/>
  <c r="AC1231" s="1"/>
  <c r="AA1494" i="5"/>
  <c r="AC1494" s="1"/>
  <c r="AC1716"/>
  <c r="AD1626"/>
  <c r="W1302"/>
  <c r="AD1615"/>
  <c r="Y1218" i="4"/>
  <c r="AA1218" s="1"/>
  <c r="AC1218" s="1"/>
  <c r="AD1484"/>
  <c r="AD1550" s="1"/>
  <c r="AD1551" s="1"/>
  <c r="AB1483"/>
  <c r="AB1482" s="1"/>
  <c r="AB1068"/>
  <c r="AD1068" s="1"/>
  <c r="N1067"/>
  <c r="Y1232"/>
  <c r="AA1232" s="1"/>
  <c r="AC1232" s="1"/>
  <c r="Y1215"/>
  <c r="AA1215" s="1"/>
  <c r="AC1215" s="1"/>
  <c r="Y1234"/>
  <c r="AA1234" s="1"/>
  <c r="AC1234" s="1"/>
  <c r="Y1217"/>
  <c r="AA1217" s="1"/>
  <c r="AC1217" s="1"/>
  <c r="Y1216"/>
  <c r="AA1216" s="1"/>
  <c r="AC1216" s="1"/>
  <c r="Y1235"/>
  <c r="AA1235" s="1"/>
  <c r="AC1235" s="1"/>
  <c r="Y1328" i="5"/>
  <c r="AA1328" s="1"/>
  <c r="AC1328" s="1"/>
  <c r="AD74"/>
  <c r="U1336"/>
  <c r="AD1666"/>
  <c r="AD1655"/>
  <c r="Y1470"/>
  <c r="AB205"/>
  <c r="AD205" s="1"/>
  <c r="AB155"/>
  <c r="AD155" s="1"/>
  <c r="AD1622"/>
  <c r="AD1648"/>
  <c r="Z1488"/>
  <c r="Z1486" s="1"/>
  <c r="O1492"/>
  <c r="AC816"/>
  <c r="Z17"/>
  <c r="AB611"/>
  <c r="AD609" s="1"/>
  <c r="AD610" s="1"/>
  <c r="AT1060"/>
  <c r="AA1011"/>
  <c r="AD1742"/>
  <c r="AC1594"/>
  <c r="AC1635"/>
  <c r="BG1060"/>
  <c r="BI1060" s="1"/>
  <c r="AC1015"/>
  <c r="AA816"/>
  <c r="Y1492"/>
  <c r="Z1336"/>
  <c r="AB1336" s="1"/>
  <c r="AD1336" s="1"/>
  <c r="AC1610"/>
  <c r="Z1158"/>
  <c r="AB1755"/>
  <c r="AD1755" s="1"/>
  <c r="AA1493"/>
  <c r="AC1493" s="1"/>
  <c r="AC1492" s="1"/>
  <c r="AB210"/>
  <c r="AD210" s="1"/>
  <c r="AB1470"/>
  <c r="AA1540"/>
  <c r="Y1304"/>
  <c r="AA1304" s="1"/>
  <c r="AC1304" s="1"/>
  <c r="AB90"/>
  <c r="AD90" s="1"/>
  <c r="O737"/>
  <c r="AB1206"/>
  <c r="AD1792"/>
  <c r="AD1733"/>
  <c r="M1470"/>
  <c r="AD1798"/>
  <c r="U1288"/>
  <c r="P1342"/>
  <c r="Y1292"/>
  <c r="AA1292" s="1"/>
  <c r="AC1292" s="1"/>
  <c r="AB198"/>
  <c r="AD198" s="1"/>
  <c r="Y1290"/>
  <c r="AA1290" s="1"/>
  <c r="AC1290" s="1"/>
  <c r="Y1319"/>
  <c r="AA1319" s="1"/>
  <c r="AC1319" s="1"/>
  <c r="BG1340" s="1"/>
  <c r="BI1339" s="1"/>
  <c r="S1302"/>
  <c r="W1336"/>
  <c r="S1336"/>
  <c r="AD1610"/>
  <c r="AD1594"/>
  <c r="P44"/>
  <c r="AD1635"/>
  <c r="AD1596"/>
  <c r="AD1695"/>
  <c r="U1317"/>
  <c r="AD1689"/>
  <c r="AD1650"/>
  <c r="AD1628"/>
  <c r="Y1321"/>
  <c r="AA1321" s="1"/>
  <c r="AC1321" s="1"/>
  <c r="AB1074" i="4"/>
  <c r="AD1074" s="1"/>
  <c r="M1068"/>
  <c r="AA1068" s="1"/>
  <c r="AC1068" s="1"/>
  <c r="AA1074"/>
  <c r="AC1074" s="1"/>
  <c r="Q1470" i="5"/>
  <c r="O1470"/>
  <c r="AA987"/>
  <c r="AC987"/>
  <c r="AD1671"/>
  <c r="AD1761"/>
  <c r="AD1778" s="1"/>
  <c r="AD1704"/>
  <c r="Y1326"/>
  <c r="AA1326" s="1"/>
  <c r="AC1326" s="1"/>
  <c r="Y1299"/>
  <c r="AA1299" s="1"/>
  <c r="AC1299" s="1"/>
  <c r="AD1158"/>
  <c r="AB1288"/>
  <c r="AD1288" s="1"/>
  <c r="AG1159"/>
  <c r="Q737"/>
  <c r="AB916"/>
  <c r="AC792"/>
  <c r="AB39"/>
  <c r="AD39" s="1"/>
  <c r="AD1794"/>
  <c r="AC1006"/>
  <c r="AA1006"/>
  <c r="AD1740"/>
  <c r="AC1105"/>
  <c r="AC1106" s="1"/>
  <c r="AD1716"/>
  <c r="AD1745"/>
  <c r="Y737"/>
  <c r="N561"/>
  <c r="R44"/>
  <c r="AB108"/>
  <c r="AD108" s="1"/>
  <c r="AA916"/>
  <c r="AB1317"/>
  <c r="AD1317" s="1"/>
  <c r="AB783"/>
  <c r="AD741"/>
  <c r="AD784" s="1"/>
  <c r="AD785" s="1"/>
  <c r="AB1561"/>
  <c r="AB1571" s="1"/>
  <c r="AD1572" s="1"/>
  <c r="AD1562"/>
  <c r="AD1569" s="1"/>
  <c r="AD1570" s="1"/>
  <c r="AC1459"/>
  <c r="AB737"/>
  <c r="AD737" s="1"/>
  <c r="AD654"/>
  <c r="Y1291"/>
  <c r="AA1291" s="1"/>
  <c r="AC1291" s="1"/>
  <c r="S1288"/>
  <c r="AB960"/>
  <c r="AD961" s="1"/>
  <c r="AD962" s="1"/>
  <c r="AD940"/>
  <c r="AD1492"/>
  <c r="AA1485"/>
  <c r="Y1458"/>
  <c r="S1317"/>
  <c r="AD1235"/>
  <c r="AD1236" s="1"/>
  <c r="Y1289"/>
  <c r="AC784"/>
  <c r="AC785" s="1"/>
  <c r="AB17"/>
  <c r="AD17" s="1"/>
  <c r="AB37"/>
  <c r="AA812"/>
  <c r="AC815"/>
  <c r="AC812" s="1"/>
  <c r="AD817"/>
  <c r="AD816" s="1"/>
  <c r="AB816"/>
  <c r="AC1547"/>
  <c r="AC1569" s="1"/>
  <c r="AC1570" s="1"/>
  <c r="AA1545"/>
  <c r="Q1336"/>
  <c r="Y1338"/>
  <c r="AA1338" s="1"/>
  <c r="AC1338" s="1"/>
  <c r="AC1336" s="1"/>
  <c r="Y1295"/>
  <c r="AA1295" s="1"/>
  <c r="AC1295" s="1"/>
  <c r="Q1288"/>
  <c r="AE1473"/>
  <c r="AE1469"/>
  <c r="AE1474" s="1"/>
  <c r="M1492"/>
  <c r="AD1664"/>
  <c r="AA1548"/>
  <c r="W1317"/>
  <c r="Y1303"/>
  <c r="AA1303" s="1"/>
  <c r="AC1303" s="1"/>
  <c r="Z940"/>
  <c r="AA1049"/>
  <c r="AC1049" s="1"/>
  <c r="AB118"/>
  <c r="AD118" s="1"/>
  <c r="M1488"/>
  <c r="AA1488" s="1"/>
  <c r="AC1488" s="1"/>
  <c r="O1488"/>
  <c r="L1490"/>
  <c r="AF1492"/>
  <c r="Q1458"/>
  <c r="O1458"/>
  <c r="AD1352"/>
  <c r="AB1450"/>
  <c r="AB1351"/>
  <c r="Y1306"/>
  <c r="AA1306" s="1"/>
  <c r="AC1306" s="1"/>
  <c r="Q1302"/>
  <c r="AA1029"/>
  <c r="AC1029"/>
  <c r="AA561"/>
  <c r="AC451"/>
  <c r="AC561" s="1"/>
  <c r="AB1492"/>
  <c r="AD1470"/>
  <c r="Y1327"/>
  <c r="AA1327" s="1"/>
  <c r="AC1327" s="1"/>
  <c r="Y1320"/>
  <c r="AA1320" s="1"/>
  <c r="AC1320" s="1"/>
  <c r="Y1318"/>
  <c r="Y1298"/>
  <c r="AA1298" s="1"/>
  <c r="AC1298" s="1"/>
  <c r="AB1049"/>
  <c r="AD1049" s="1"/>
  <c r="AD1102" s="1"/>
  <c r="AD1103" s="1"/>
  <c r="AB451"/>
  <c r="W1288"/>
  <c r="AB792"/>
  <c r="AD792" s="1"/>
  <c r="AB80"/>
  <c r="AD80" s="1"/>
  <c r="AB44"/>
  <c r="AD44" s="1"/>
  <c r="AC1102" l="1"/>
  <c r="AC1103" s="1"/>
  <c r="AA1492"/>
  <c r="AC1801"/>
  <c r="AB1067" i="4"/>
  <c r="Y1302" i="5"/>
  <c r="AA1302" s="1"/>
  <c r="AC1302" s="1"/>
  <c r="AC1572"/>
  <c r="AB1104"/>
  <c r="AD1105" s="1"/>
  <c r="AD1106" s="1"/>
  <c r="Y1336"/>
  <c r="AA1336" s="1"/>
  <c r="AD1801"/>
  <c r="AD1078" i="4"/>
  <c r="AD1079" s="1"/>
  <c r="AC1078"/>
  <c r="AC1079" s="1"/>
  <c r="AB1342" i="5"/>
  <c r="AD1340" s="1"/>
  <c r="AD1341" s="1"/>
  <c r="BH1339" s="1"/>
  <c r="AD451"/>
  <c r="AD561" s="1"/>
  <c r="AB561"/>
  <c r="AA1318"/>
  <c r="Y1317"/>
  <c r="AD37"/>
  <c r="AB34"/>
  <c r="AD34" s="1"/>
  <c r="Y1288"/>
  <c r="AA1289"/>
  <c r="AC1485"/>
  <c r="AC1470" s="1"/>
  <c r="AA1470"/>
  <c r="AC961"/>
  <c r="AC1318" l="1"/>
  <c r="AC1317" s="1"/>
  <c r="AA1317"/>
  <c r="AC962"/>
  <c r="AC983"/>
  <c r="AC984" s="1"/>
  <c r="AC1289"/>
  <c r="AC1288" s="1"/>
  <c r="AA1288"/>
  <c r="AC1340" l="1"/>
  <c r="AC1341" s="1"/>
  <c r="AB968" i="4" l="1"/>
  <c r="AD968" s="1"/>
  <c r="AA968"/>
  <c r="AC968" s="1"/>
  <c r="AA967"/>
  <c r="AC967" s="1"/>
  <c r="N967"/>
  <c r="L967"/>
  <c r="AA966"/>
  <c r="AC966" s="1"/>
  <c r="AA965"/>
  <c r="AC965" s="1"/>
  <c r="AA964"/>
  <c r="AC964" s="1"/>
  <c r="AA963"/>
  <c r="AC963" s="1"/>
  <c r="AA962"/>
  <c r="AC962" s="1"/>
  <c r="L962"/>
  <c r="AA961"/>
  <c r="AC961" s="1"/>
  <c r="AA960"/>
  <c r="K960"/>
  <c r="AA959"/>
  <c r="K959"/>
  <c r="AA958"/>
  <c r="K958"/>
  <c r="AA957"/>
  <c r="K957"/>
  <c r="AA956"/>
  <c r="K956"/>
  <c r="AA955"/>
  <c r="K955"/>
  <c r="AA954"/>
  <c r="K954"/>
  <c r="AA953"/>
  <c r="K953"/>
  <c r="AA952"/>
  <c r="K952"/>
  <c r="AA951"/>
  <c r="K951"/>
  <c r="AA950"/>
  <c r="AC950" s="1"/>
  <c r="L950"/>
  <c r="R1370"/>
  <c r="Z1370" s="1"/>
  <c r="P1370"/>
  <c r="P1358" s="1"/>
  <c r="N1370"/>
  <c r="L1370"/>
  <c r="R1366"/>
  <c r="Z1366" s="1"/>
  <c r="L1366"/>
  <c r="R1359"/>
  <c r="L1359"/>
  <c r="R1343"/>
  <c r="Z1343" s="1"/>
  <c r="L1343"/>
  <c r="L1336"/>
  <c r="AC988" l="1"/>
  <c r="L1335"/>
  <c r="R1358"/>
  <c r="Z1358" s="1"/>
  <c r="AB1359"/>
  <c r="R1335"/>
  <c r="Z1335" s="1"/>
  <c r="Z1336"/>
  <c r="L949"/>
  <c r="L1358"/>
  <c r="AB1370"/>
  <c r="AD1370" s="1"/>
  <c r="AC989"/>
  <c r="AB964"/>
  <c r="AD964" s="1"/>
  <c r="AB965"/>
  <c r="AD965" s="1"/>
  <c r="AB966"/>
  <c r="AD966" s="1"/>
  <c r="AB967"/>
  <c r="AD967" s="1"/>
  <c r="N950"/>
  <c r="AC951"/>
  <c r="AC952"/>
  <c r="AC953"/>
  <c r="AC954"/>
  <c r="AC955"/>
  <c r="AC956"/>
  <c r="AC957"/>
  <c r="AC958"/>
  <c r="AC959"/>
  <c r="AC960"/>
  <c r="AB951"/>
  <c r="AD951" s="1"/>
  <c r="AB952"/>
  <c r="AD952" s="1"/>
  <c r="AB953"/>
  <c r="AD953" s="1"/>
  <c r="AB954"/>
  <c r="AD954" s="1"/>
  <c r="AB955"/>
  <c r="AD955" s="1"/>
  <c r="AB956"/>
  <c r="AD956" s="1"/>
  <c r="AB957"/>
  <c r="AD957" s="1"/>
  <c r="AB958"/>
  <c r="AD958" s="1"/>
  <c r="AB959"/>
  <c r="AD959" s="1"/>
  <c r="AB960"/>
  <c r="AD960" s="1"/>
  <c r="AB961"/>
  <c r="AD961" s="1"/>
  <c r="AB963"/>
  <c r="AD963" s="1"/>
  <c r="N962"/>
  <c r="AB962" s="1"/>
  <c r="AD962" s="1"/>
  <c r="N1336"/>
  <c r="N1366"/>
  <c r="N1343"/>
  <c r="AB1343" s="1"/>
  <c r="AD1343" s="1"/>
  <c r="AB1336" l="1"/>
  <c r="AB1335" s="1"/>
  <c r="N1335"/>
  <c r="AB950"/>
  <c r="AB949" s="1"/>
  <c r="N949"/>
  <c r="AB1366"/>
  <c r="AD1366" s="1"/>
  <c r="N1358"/>
  <c r="AD1359"/>
  <c r="AD950" l="1"/>
  <c r="AD1336"/>
  <c r="AD1356" s="1"/>
  <c r="AD1357" s="1"/>
  <c r="AD1372"/>
  <c r="AD1373" s="1"/>
  <c r="AB1358"/>
  <c r="P1056"/>
  <c r="L1055"/>
  <c r="N1052"/>
  <c r="N1050"/>
  <c r="AB1050" s="1"/>
  <c r="AD1050" s="1"/>
  <c r="N1186"/>
  <c r="N1179"/>
  <c r="AB1179" s="1"/>
  <c r="AD1179" s="1"/>
  <c r="N1178"/>
  <c r="N1175"/>
  <c r="AB1175" s="1"/>
  <c r="AD1175" s="1"/>
  <c r="N1173"/>
  <c r="AB1173" s="1"/>
  <c r="AD1173" s="1"/>
  <c r="N1172"/>
  <c r="AB1172" s="1"/>
  <c r="AD1172" s="1"/>
  <c r="N1171"/>
  <c r="P1044"/>
  <c r="R1043"/>
  <c r="Z1043" s="1"/>
  <c r="P1043"/>
  <c r="N1043"/>
  <c r="R1042"/>
  <c r="Z1042" s="1"/>
  <c r="P1042"/>
  <c r="N1042"/>
  <c r="L1041"/>
  <c r="P1040"/>
  <c r="N1040"/>
  <c r="AB1040" s="1"/>
  <c r="AD1040" s="1"/>
  <c r="P1039"/>
  <c r="N1039"/>
  <c r="AB1039" s="1"/>
  <c r="AD1039" s="1"/>
  <c r="P1038"/>
  <c r="N1038"/>
  <c r="AB1038" s="1"/>
  <c r="AD1038" s="1"/>
  <c r="P1037"/>
  <c r="N1037"/>
  <c r="AB1037" s="1"/>
  <c r="AD1037" s="1"/>
  <c r="P1036"/>
  <c r="N1036"/>
  <c r="AB1036" s="1"/>
  <c r="AD1036" s="1"/>
  <c r="P1035"/>
  <c r="N1035"/>
  <c r="AB1035" s="1"/>
  <c r="AD1035" s="1"/>
  <c r="P1034"/>
  <c r="N1034"/>
  <c r="AB1034" s="1"/>
  <c r="AD1034" s="1"/>
  <c r="P1033"/>
  <c r="I1033"/>
  <c r="P1032"/>
  <c r="P1031"/>
  <c r="P1030"/>
  <c r="P1029"/>
  <c r="L1028"/>
  <c r="AD989" l="1"/>
  <c r="AD988"/>
  <c r="P1041"/>
  <c r="P1028"/>
  <c r="Y1178"/>
  <c r="AA1178" s="1"/>
  <c r="AC1178" s="1"/>
  <c r="N1185"/>
  <c r="AB1185" s="1"/>
  <c r="AD1185" s="1"/>
  <c r="AB1186"/>
  <c r="AD1186" s="1"/>
  <c r="AB1178"/>
  <c r="AD1178" s="1"/>
  <c r="N1177"/>
  <c r="AB1177" s="1"/>
  <c r="AD1177" s="1"/>
  <c r="N1170"/>
  <c r="AB1171"/>
  <c r="AD1171" s="1"/>
  <c r="N1051"/>
  <c r="AB1051" s="1"/>
  <c r="AB1052"/>
  <c r="AD1052" s="1"/>
  <c r="L1051"/>
  <c r="L1027" s="1"/>
  <c r="AD1055"/>
  <c r="AB1042"/>
  <c r="AD1042" s="1"/>
  <c r="N1045"/>
  <c r="AB1045" s="1"/>
  <c r="AD1045" s="1"/>
  <c r="AB1043"/>
  <c r="AD1043" s="1"/>
  <c r="N1041"/>
  <c r="R1041"/>
  <c r="Z1041" s="1"/>
  <c r="R1028"/>
  <c r="N1028"/>
  <c r="P1027" l="1"/>
  <c r="Z1028"/>
  <c r="AB1028" s="1"/>
  <c r="R1027"/>
  <c r="Z1027" s="1"/>
  <c r="N1027"/>
  <c r="AB1170"/>
  <c r="AD1170" s="1"/>
  <c r="AD1191" s="1"/>
  <c r="AD1192" s="1"/>
  <c r="N1169"/>
  <c r="AD1051"/>
  <c r="AB1041"/>
  <c r="AD1041" s="1"/>
  <c r="AB202"/>
  <c r="M202"/>
  <c r="O202" s="1"/>
  <c r="O201" s="1"/>
  <c r="L202"/>
  <c r="R201"/>
  <c r="Z201" s="1"/>
  <c r="Q201"/>
  <c r="Y201" s="1"/>
  <c r="AB200"/>
  <c r="AD200" s="1"/>
  <c r="AA200"/>
  <c r="AC200" s="1"/>
  <c r="O200"/>
  <c r="M199"/>
  <c r="O199" s="1"/>
  <c r="M198"/>
  <c r="M197"/>
  <c r="O197" s="1"/>
  <c r="R196"/>
  <c r="Z196" s="1"/>
  <c r="Q196"/>
  <c r="Y196" s="1"/>
  <c r="M195"/>
  <c r="O195" s="1"/>
  <c r="M194"/>
  <c r="O194" s="1"/>
  <c r="M193"/>
  <c r="O193" s="1"/>
  <c r="R192"/>
  <c r="Z192" s="1"/>
  <c r="K192"/>
  <c r="N190"/>
  <c r="M191"/>
  <c r="O191" s="1"/>
  <c r="O190" s="1"/>
  <c r="R190"/>
  <c r="Z190" s="1"/>
  <c r="Q190"/>
  <c r="Y190" s="1"/>
  <c r="L190"/>
  <c r="L111" s="1"/>
  <c r="K190"/>
  <c r="O189"/>
  <c r="M189"/>
  <c r="O188"/>
  <c r="M188"/>
  <c r="O187"/>
  <c r="M187"/>
  <c r="M186"/>
  <c r="R185"/>
  <c r="Z185" s="1"/>
  <c r="Q185"/>
  <c r="Y185" s="1"/>
  <c r="M185"/>
  <c r="AB184"/>
  <c r="AD184" s="1"/>
  <c r="M184"/>
  <c r="M183"/>
  <c r="O183" s="1"/>
  <c r="M182"/>
  <c r="O182" s="1"/>
  <c r="AB181"/>
  <c r="AD181" s="1"/>
  <c r="M181"/>
  <c r="O181" s="1"/>
  <c r="M180"/>
  <c r="O180" s="1"/>
  <c r="M179"/>
  <c r="O179" s="1"/>
  <c r="M178"/>
  <c r="O178" s="1"/>
  <c r="X177"/>
  <c r="V177"/>
  <c r="R177"/>
  <c r="Q177"/>
  <c r="Y177" s="1"/>
  <c r="M177"/>
  <c r="O177" s="1"/>
  <c r="M176"/>
  <c r="O176" s="1"/>
  <c r="M175"/>
  <c r="O175" s="1"/>
  <c r="M174"/>
  <c r="O174" s="1"/>
  <c r="M173"/>
  <c r="O173" s="1"/>
  <c r="M172"/>
  <c r="O172" s="1"/>
  <c r="X171"/>
  <c r="V171"/>
  <c r="R171"/>
  <c r="M171"/>
  <c r="O171" s="1"/>
  <c r="AD170"/>
  <c r="AC170"/>
  <c r="M170"/>
  <c r="O170" s="1"/>
  <c r="M169"/>
  <c r="M168"/>
  <c r="O168" s="1"/>
  <c r="M167"/>
  <c r="O167" s="1"/>
  <c r="M166"/>
  <c r="O166" s="1"/>
  <c r="M165"/>
  <c r="O165" s="1"/>
  <c r="M164"/>
  <c r="O164" s="1"/>
  <c r="X163"/>
  <c r="R163"/>
  <c r="Q163"/>
  <c r="Y163" s="1"/>
  <c r="K163"/>
  <c r="M163" s="1"/>
  <c r="O163" s="1"/>
  <c r="AB162"/>
  <c r="AD162" s="1"/>
  <c r="M162"/>
  <c r="O162" s="1"/>
  <c r="AB161"/>
  <c r="AD161" s="1"/>
  <c r="M161"/>
  <c r="O161" s="1"/>
  <c r="AC160"/>
  <c r="M160"/>
  <c r="M159"/>
  <c r="O159" s="1"/>
  <c r="M158"/>
  <c r="O158" s="1"/>
  <c r="M157"/>
  <c r="O157" s="1"/>
  <c r="M156"/>
  <c r="O156" s="1"/>
  <c r="X155"/>
  <c r="V155"/>
  <c r="R155"/>
  <c r="Q155"/>
  <c r="Y155" s="1"/>
  <c r="M155"/>
  <c r="O155" s="1"/>
  <c r="AB154"/>
  <c r="AD154" s="1"/>
  <c r="M154"/>
  <c r="AB153"/>
  <c r="AD153" s="1"/>
  <c r="M153"/>
  <c r="AB152"/>
  <c r="AD152" s="1"/>
  <c r="M152"/>
  <c r="X151"/>
  <c r="V151"/>
  <c r="R151"/>
  <c r="Q151"/>
  <c r="Y151" s="1"/>
  <c r="M151"/>
  <c r="M150"/>
  <c r="M148"/>
  <c r="M147"/>
  <c r="M146"/>
  <c r="X145"/>
  <c r="V145"/>
  <c r="R145"/>
  <c r="Z145" s="1"/>
  <c r="Q145"/>
  <c r="Y145" s="1"/>
  <c r="K145"/>
  <c r="M145" s="1"/>
  <c r="AB144"/>
  <c r="AD144" s="1"/>
  <c r="M144"/>
  <c r="M143"/>
  <c r="M142"/>
  <c r="M141"/>
  <c r="M140"/>
  <c r="V139"/>
  <c r="R139"/>
  <c r="Q139"/>
  <c r="Y139" s="1"/>
  <c r="M139"/>
  <c r="M138"/>
  <c r="M137"/>
  <c r="M136"/>
  <c r="M135"/>
  <c r="X134"/>
  <c r="V134"/>
  <c r="R134"/>
  <c r="Q134"/>
  <c r="Y134" s="1"/>
  <c r="AB133"/>
  <c r="AD133" s="1"/>
  <c r="AA133"/>
  <c r="AC133" s="1"/>
  <c r="AA132"/>
  <c r="AC132" s="1"/>
  <c r="X131"/>
  <c r="W131"/>
  <c r="V131"/>
  <c r="R131"/>
  <c r="Q131"/>
  <c r="AA130"/>
  <c r="AC130" s="1"/>
  <c r="N129" s="1"/>
  <c r="X129"/>
  <c r="W129"/>
  <c r="V129"/>
  <c r="Q129"/>
  <c r="AA128"/>
  <c r="AC128" s="1"/>
  <c r="AA127"/>
  <c r="AC127" s="1"/>
  <c r="AA126"/>
  <c r="AC126" s="1"/>
  <c r="AA125"/>
  <c r="AC125" s="1"/>
  <c r="AA124"/>
  <c r="AC124" s="1"/>
  <c r="AA123"/>
  <c r="AC123" s="1"/>
  <c r="AA122"/>
  <c r="AC122" s="1"/>
  <c r="AA121"/>
  <c r="AC121" s="1"/>
  <c r="AA120"/>
  <c r="AC120" s="1"/>
  <c r="AA119"/>
  <c r="AC119" s="1"/>
  <c r="AA118"/>
  <c r="AC118" s="1"/>
  <c r="AA117"/>
  <c r="AC117" s="1"/>
  <c r="AA116"/>
  <c r="AC116" s="1"/>
  <c r="AA115"/>
  <c r="AC115" s="1"/>
  <c r="AA114"/>
  <c r="AC114" s="1"/>
  <c r="AA113"/>
  <c r="AC113" s="1"/>
  <c r="R112"/>
  <c r="Q112"/>
  <c r="V111" l="1"/>
  <c r="AB1169"/>
  <c r="Z129"/>
  <c r="AB129" s="1"/>
  <c r="AD129" s="1"/>
  <c r="Y131"/>
  <c r="AA131" s="1"/>
  <c r="AC131" s="1"/>
  <c r="Z163"/>
  <c r="AD1028"/>
  <c r="AD1058" s="1"/>
  <c r="AD1059" s="1"/>
  <c r="AB1027"/>
  <c r="Z112"/>
  <c r="R111"/>
  <c r="Z111" s="1"/>
  <c r="Y112"/>
  <c r="AA112" s="1"/>
  <c r="AC112" s="1"/>
  <c r="Z139"/>
  <c r="AB139" s="1"/>
  <c r="AD139" s="1"/>
  <c r="Z177"/>
  <c r="AB177" s="1"/>
  <c r="AD177" s="1"/>
  <c r="Z134"/>
  <c r="AB134" s="1"/>
  <c r="AD134" s="1"/>
  <c r="Z151"/>
  <c r="AB151" s="1"/>
  <c r="AD151" s="1"/>
  <c r="Y129"/>
  <c r="AA129" s="1"/>
  <c r="AC129" s="1"/>
  <c r="Z131"/>
  <c r="AB131" s="1"/>
  <c r="AD131" s="1"/>
  <c r="Z155"/>
  <c r="AB155" s="1"/>
  <c r="AD155" s="1"/>
  <c r="Z171"/>
  <c r="AB171" s="1"/>
  <c r="AD171" s="1"/>
  <c r="M134"/>
  <c r="AA134" s="1"/>
  <c r="AC134" s="1"/>
  <c r="N192"/>
  <c r="M196"/>
  <c r="AA196" s="1"/>
  <c r="AC196" s="1"/>
  <c r="AB201"/>
  <c r="AD201" s="1"/>
  <c r="AB197"/>
  <c r="AD197" s="1"/>
  <c r="AA177"/>
  <c r="AC177" s="1"/>
  <c r="AB127"/>
  <c r="AD127" s="1"/>
  <c r="AB146"/>
  <c r="AD146" s="1"/>
  <c r="AA150"/>
  <c r="AC150" s="1"/>
  <c r="AB179"/>
  <c r="AD179" s="1"/>
  <c r="AA151"/>
  <c r="AC151" s="1"/>
  <c r="AA197"/>
  <c r="AC197" s="1"/>
  <c r="AA187"/>
  <c r="AC187" s="1"/>
  <c r="AA152"/>
  <c r="AC152" s="1"/>
  <c r="AA178"/>
  <c r="AC178" s="1"/>
  <c r="AB116"/>
  <c r="AD116" s="1"/>
  <c r="AB121"/>
  <c r="AD121" s="1"/>
  <c r="AB130"/>
  <c r="AD130" s="1"/>
  <c r="AB132"/>
  <c r="AD132" s="1"/>
  <c r="AA161"/>
  <c r="AC161" s="1"/>
  <c r="AB164"/>
  <c r="AD164" s="1"/>
  <c r="AB165"/>
  <c r="AD165" s="1"/>
  <c r="AB166"/>
  <c r="AD166" s="1"/>
  <c r="AB167"/>
  <c r="AD167" s="1"/>
  <c r="AA138"/>
  <c r="AC138" s="1"/>
  <c r="AA168"/>
  <c r="AC168" s="1"/>
  <c r="AA172"/>
  <c r="AC172" s="1"/>
  <c r="AA173"/>
  <c r="AC173" s="1"/>
  <c r="AA186"/>
  <c r="AC186" s="1"/>
  <c r="AA148"/>
  <c r="AC148" s="1"/>
  <c r="AB174"/>
  <c r="AD174" s="1"/>
  <c r="AB193"/>
  <c r="AD193" s="1"/>
  <c r="AB194"/>
  <c r="AD194" s="1"/>
  <c r="AA195"/>
  <c r="AC195" s="1"/>
  <c r="AA167"/>
  <c r="AC167" s="1"/>
  <c r="AA155"/>
  <c r="AC155" s="1"/>
  <c r="AB156"/>
  <c r="AD156" s="1"/>
  <c r="AB157"/>
  <c r="AD157" s="1"/>
  <c r="AB158"/>
  <c r="AD158" s="1"/>
  <c r="AA165"/>
  <c r="AC165" s="1"/>
  <c r="AA166"/>
  <c r="AC166" s="1"/>
  <c r="AB168"/>
  <c r="AD168" s="1"/>
  <c r="AB175"/>
  <c r="AD175" s="1"/>
  <c r="AB195"/>
  <c r="AD195" s="1"/>
  <c r="AB115"/>
  <c r="AD115" s="1"/>
  <c r="AB118"/>
  <c r="AD118" s="1"/>
  <c r="AA135"/>
  <c r="AC135" s="1"/>
  <c r="AA136"/>
  <c r="AC136" s="1"/>
  <c r="AA137"/>
  <c r="AC137" s="1"/>
  <c r="AA144"/>
  <c r="AC144" s="1"/>
  <c r="AA145"/>
  <c r="AC145" s="1"/>
  <c r="AA153"/>
  <c r="AC153" s="1"/>
  <c r="AA154"/>
  <c r="AC154" s="1"/>
  <c r="AA159"/>
  <c r="AC159" s="1"/>
  <c r="AA171"/>
  <c r="AC171" s="1"/>
  <c r="AA174"/>
  <c r="AC174" s="1"/>
  <c r="AA176"/>
  <c r="AC176" s="1"/>
  <c r="AA185"/>
  <c r="AC185" s="1"/>
  <c r="AB186"/>
  <c r="AD186" s="1"/>
  <c r="AA189"/>
  <c r="AC189" s="1"/>
  <c r="AA199"/>
  <c r="AC199" s="1"/>
  <c r="AB189"/>
  <c r="AD189" s="1"/>
  <c r="AB198"/>
  <c r="AD198" s="1"/>
  <c r="AB199"/>
  <c r="AD199" s="1"/>
  <c r="AB135"/>
  <c r="AD135" s="1"/>
  <c r="AB136"/>
  <c r="AD136" s="1"/>
  <c r="AB137"/>
  <c r="AD137" s="1"/>
  <c r="AB169"/>
  <c r="AD169" s="1"/>
  <c r="AB172"/>
  <c r="AD172" s="1"/>
  <c r="AB180"/>
  <c r="AD180" s="1"/>
  <c r="AB188"/>
  <c r="AD188" s="1"/>
  <c r="AB120"/>
  <c r="AD120" s="1"/>
  <c r="AB125"/>
  <c r="AD125" s="1"/>
  <c r="N145"/>
  <c r="AB182"/>
  <c r="AD182" s="1"/>
  <c r="AB183"/>
  <c r="AD183" s="1"/>
  <c r="N112"/>
  <c r="AA175"/>
  <c r="AC175" s="1"/>
  <c r="AA188"/>
  <c r="AC188" s="1"/>
  <c r="AB117"/>
  <c r="AD117" s="1"/>
  <c r="AB123"/>
  <c r="AD123" s="1"/>
  <c r="AB126"/>
  <c r="AD126" s="1"/>
  <c r="AB128"/>
  <c r="AD128" s="1"/>
  <c r="AA139"/>
  <c r="AC139" s="1"/>
  <c r="AB140"/>
  <c r="AD140" s="1"/>
  <c r="AB141"/>
  <c r="AD141" s="1"/>
  <c r="AB142"/>
  <c r="AD142" s="1"/>
  <c r="AB143"/>
  <c r="AD143" s="1"/>
  <c r="AB147"/>
  <c r="AD147" s="1"/>
  <c r="AA156"/>
  <c r="AC156" s="1"/>
  <c r="AA157"/>
  <c r="AC157" s="1"/>
  <c r="AB160"/>
  <c r="AD160" s="1"/>
  <c r="AA182"/>
  <c r="AC182" s="1"/>
  <c r="AA183"/>
  <c r="AC183" s="1"/>
  <c r="AB190"/>
  <c r="AD190" s="1"/>
  <c r="AB191"/>
  <c r="AD191" s="1"/>
  <c r="AA193"/>
  <c r="AC193" s="1"/>
  <c r="AD202"/>
  <c r="AA164"/>
  <c r="AC164" s="1"/>
  <c r="AA180"/>
  <c r="AC180" s="1"/>
  <c r="O192"/>
  <c r="AA158"/>
  <c r="AC158" s="1"/>
  <c r="AB187"/>
  <c r="AD187" s="1"/>
  <c r="AA194"/>
  <c r="AC194" s="1"/>
  <c r="AB113"/>
  <c r="AD113" s="1"/>
  <c r="AB119"/>
  <c r="AD119" s="1"/>
  <c r="AB122"/>
  <c r="AD122" s="1"/>
  <c r="AB124"/>
  <c r="AD124" s="1"/>
  <c r="AA140"/>
  <c r="AC140" s="1"/>
  <c r="AA141"/>
  <c r="AC141" s="1"/>
  <c r="AA142"/>
  <c r="AC142" s="1"/>
  <c r="AA143"/>
  <c r="AC143" s="1"/>
  <c r="AA146"/>
  <c r="AC146" s="1"/>
  <c r="AA147"/>
  <c r="AC147" s="1"/>
  <c r="AB150"/>
  <c r="AD150" s="1"/>
  <c r="AB159"/>
  <c r="AD159" s="1"/>
  <c r="N163"/>
  <c r="AA169"/>
  <c r="AC169" s="1"/>
  <c r="AB173"/>
  <c r="AD173" s="1"/>
  <c r="AB176"/>
  <c r="AD176" s="1"/>
  <c r="AB178"/>
  <c r="AD178" s="1"/>
  <c r="AA179"/>
  <c r="AC179" s="1"/>
  <c r="AA184"/>
  <c r="AC184" s="1"/>
  <c r="M190"/>
  <c r="AA191"/>
  <c r="AC191" s="1"/>
  <c r="AA198"/>
  <c r="AC198" s="1"/>
  <c r="M201"/>
  <c r="AA202"/>
  <c r="AC202" s="1"/>
  <c r="AA163"/>
  <c r="AC163" s="1"/>
  <c r="AA162"/>
  <c r="AC162" s="1"/>
  <c r="AA181"/>
  <c r="AC181" s="1"/>
  <c r="M192"/>
  <c r="AA192" s="1"/>
  <c r="AC192" s="1"/>
  <c r="AB114"/>
  <c r="AD114" s="1"/>
  <c r="AB138"/>
  <c r="AD138" s="1"/>
  <c r="AB148"/>
  <c r="AD148" s="1"/>
  <c r="O160"/>
  <c r="O169"/>
  <c r="N185"/>
  <c r="O198"/>
  <c r="O196" s="1"/>
  <c r="N196"/>
  <c r="N111" l="1"/>
  <c r="AB192"/>
  <c r="AD192" s="1"/>
  <c r="AA201"/>
  <c r="AC201" s="1"/>
  <c r="AA190"/>
  <c r="AC190" s="1"/>
  <c r="AB145"/>
  <c r="AD145" s="1"/>
  <c r="AB163"/>
  <c r="AD163" s="1"/>
  <c r="AB112"/>
  <c r="AB196"/>
  <c r="AD196" s="1"/>
  <c r="AB185"/>
  <c r="AD185" s="1"/>
  <c r="AD112" l="1"/>
  <c r="AD203" s="1"/>
  <c r="AD204" s="1"/>
  <c r="AB111"/>
  <c r="AC203"/>
  <c r="AC204" s="1"/>
  <c r="Q1024"/>
  <c r="R1020"/>
  <c r="P1020"/>
  <c r="L1020"/>
  <c r="Q1017"/>
  <c r="R1013"/>
  <c r="Z1013" s="1"/>
  <c r="P1013"/>
  <c r="Y1013" s="1"/>
  <c r="AA1013" s="1"/>
  <c r="AC1013" s="1"/>
  <c r="N1013"/>
  <c r="R1010"/>
  <c r="Z1010" s="1"/>
  <c r="P1010"/>
  <c r="N1010"/>
  <c r="Q1008"/>
  <c r="Q1007"/>
  <c r="R1005"/>
  <c r="Z1005" s="1"/>
  <c r="P1005"/>
  <c r="N1005"/>
  <c r="L1005"/>
  <c r="AB1004"/>
  <c r="AD1004" s="1"/>
  <c r="AB1003"/>
  <c r="AD1003" s="1"/>
  <c r="AA1003"/>
  <c r="AC1003" s="1"/>
  <c r="AB1002"/>
  <c r="AD1002" s="1"/>
  <c r="AB1001"/>
  <c r="AD1001" s="1"/>
  <c r="AB1000"/>
  <c r="AD1000" s="1"/>
  <c r="AB999"/>
  <c r="AD999" s="1"/>
  <c r="AA999"/>
  <c r="AC999" s="1"/>
  <c r="AB998"/>
  <c r="AD998" s="1"/>
  <c r="AA998"/>
  <c r="AC998" s="1"/>
  <c r="AB997"/>
  <c r="AD997" s="1"/>
  <c r="AB996"/>
  <c r="AD996" s="1"/>
  <c r="AA995"/>
  <c r="AC995" s="1"/>
  <c r="AB994"/>
  <c r="AD994" s="1"/>
  <c r="AA994"/>
  <c r="AC994" s="1"/>
  <c r="AB993"/>
  <c r="AD993" s="1"/>
  <c r="R991"/>
  <c r="P991"/>
  <c r="N991"/>
  <c r="L991"/>
  <c r="R367"/>
  <c r="Z367" s="1"/>
  <c r="N367"/>
  <c r="L367"/>
  <c r="N362"/>
  <c r="AB362" s="1"/>
  <c r="R348"/>
  <c r="Z348" s="1"/>
  <c r="N348"/>
  <c r="L348"/>
  <c r="R346"/>
  <c r="Z346" s="1"/>
  <c r="N346"/>
  <c r="L346"/>
  <c r="R343"/>
  <c r="R290"/>
  <c r="Z290" s="1"/>
  <c r="N290"/>
  <c r="L290"/>
  <c r="AA285"/>
  <c r="AC285" s="1"/>
  <c r="R285"/>
  <c r="Z285" s="1"/>
  <c r="N285"/>
  <c r="L285"/>
  <c r="Z280"/>
  <c r="N280"/>
  <c r="L280"/>
  <c r="N260"/>
  <c r="AB260" s="1"/>
  <c r="L260"/>
  <c r="R258"/>
  <c r="Z258" s="1"/>
  <c r="N258"/>
  <c r="L258"/>
  <c r="R222"/>
  <c r="AA222"/>
  <c r="AC222" s="1"/>
  <c r="N222"/>
  <c r="L222"/>
  <c r="R990" l="1"/>
  <c r="Y1008"/>
  <c r="AA1008" s="1"/>
  <c r="AC1008" s="1"/>
  <c r="Z1020"/>
  <c r="AB1020" s="1"/>
  <c r="AD1020" s="1"/>
  <c r="P990"/>
  <c r="L990"/>
  <c r="Y1007"/>
  <c r="AA1007" s="1"/>
  <c r="AC1007" s="1"/>
  <c r="Y1017"/>
  <c r="AA1017" s="1"/>
  <c r="AC1017" s="1"/>
  <c r="Y1024"/>
  <c r="AA1024" s="1"/>
  <c r="AC1024" s="1"/>
  <c r="N990"/>
  <c r="P220"/>
  <c r="N221"/>
  <c r="N220" s="1"/>
  <c r="Y280"/>
  <c r="AA280" s="1"/>
  <c r="AC280" s="1"/>
  <c r="AC371" s="1"/>
  <c r="AC372" s="1"/>
  <c r="Z343"/>
  <c r="AB343" s="1"/>
  <c r="AD343" s="1"/>
  <c r="Z222"/>
  <c r="AB222" s="1"/>
  <c r="L221"/>
  <c r="L220" s="1"/>
  <c r="AD362"/>
  <c r="AB367"/>
  <c r="AD367" s="1"/>
  <c r="AB346"/>
  <c r="AD346" s="1"/>
  <c r="AB348"/>
  <c r="AD348" s="1"/>
  <c r="AD292"/>
  <c r="AB290"/>
  <c r="AD290" s="1"/>
  <c r="AB280"/>
  <c r="AD280" s="1"/>
  <c r="AD276"/>
  <c r="AD260"/>
  <c r="AD234"/>
  <c r="AB258"/>
  <c r="AD258" s="1"/>
  <c r="AB1013"/>
  <c r="AD1013" s="1"/>
  <c r="AB1005"/>
  <c r="AD1005" s="1"/>
  <c r="AB1010"/>
  <c r="AD1010" s="1"/>
  <c r="AB995"/>
  <c r="AD995" s="1"/>
  <c r="AA991"/>
  <c r="AC991" s="1"/>
  <c r="AC1025" s="1"/>
  <c r="AC1026" s="1"/>
  <c r="AB285"/>
  <c r="AD285" s="1"/>
  <c r="AA992"/>
  <c r="AC992" s="1"/>
  <c r="AA996"/>
  <c r="AC996" s="1"/>
  <c r="AA1000"/>
  <c r="AC1000" s="1"/>
  <c r="AA993"/>
  <c r="AC993" s="1"/>
  <c r="AA997"/>
  <c r="AC997" s="1"/>
  <c r="AA1001"/>
  <c r="AC1001" s="1"/>
  <c r="AA1004"/>
  <c r="AC1004" s="1"/>
  <c r="AA1002"/>
  <c r="AC1002" s="1"/>
  <c r="AD222" l="1"/>
  <c r="V1417"/>
  <c r="T1417"/>
  <c r="T1415" s="1"/>
  <c r="R1417"/>
  <c r="P1417"/>
  <c r="W1417" s="1"/>
  <c r="N1417"/>
  <c r="L1417"/>
  <c r="R1416"/>
  <c r="Z1416" s="1"/>
  <c r="P1416"/>
  <c r="N1416"/>
  <c r="L1416"/>
  <c r="X1415"/>
  <c r="O1415"/>
  <c r="M1415"/>
  <c r="K1415"/>
  <c r="T1414"/>
  <c r="R1414"/>
  <c r="P1414"/>
  <c r="U1414" s="1"/>
  <c r="N1414"/>
  <c r="L1414"/>
  <c r="R1413"/>
  <c r="Z1413" s="1"/>
  <c r="P1413"/>
  <c r="N1413"/>
  <c r="L1413"/>
  <c r="R1412"/>
  <c r="Z1412" s="1"/>
  <c r="P1412"/>
  <c r="N1412"/>
  <c r="L1412"/>
  <c r="AB1411"/>
  <c r="AA1411"/>
  <c r="AC1411" s="1"/>
  <c r="L1411"/>
  <c r="R1410"/>
  <c r="P1410"/>
  <c r="N1410"/>
  <c r="L1410"/>
  <c r="R1409"/>
  <c r="P1409"/>
  <c r="W1409" s="1"/>
  <c r="N1409"/>
  <c r="L1409"/>
  <c r="R1408"/>
  <c r="P1408"/>
  <c r="N1408"/>
  <c r="R1407"/>
  <c r="P1407"/>
  <c r="W1407" s="1"/>
  <c r="N1407"/>
  <c r="L1407"/>
  <c r="X1406"/>
  <c r="V1406"/>
  <c r="Q1406"/>
  <c r="O1406"/>
  <c r="M1406"/>
  <c r="K1406"/>
  <c r="L1405"/>
  <c r="AD1405" s="1"/>
  <c r="L1404"/>
  <c r="AD1404" s="1"/>
  <c r="L1403"/>
  <c r="AD1403" s="1"/>
  <c r="R1402"/>
  <c r="P1402"/>
  <c r="W1402" s="1"/>
  <c r="N1402"/>
  <c r="L1402"/>
  <c r="R1401"/>
  <c r="Z1401" s="1"/>
  <c r="P1401"/>
  <c r="N1401"/>
  <c r="L1401"/>
  <c r="L1400"/>
  <c r="AD1400" s="1"/>
  <c r="R1399"/>
  <c r="Z1399" s="1"/>
  <c r="P1399"/>
  <c r="N1399"/>
  <c r="L1399"/>
  <c r="R1398"/>
  <c r="Z1398" s="1"/>
  <c r="P1398"/>
  <c r="S1398" s="1"/>
  <c r="N1398"/>
  <c r="L1398"/>
  <c r="X1397"/>
  <c r="V1397"/>
  <c r="O1397"/>
  <c r="M1397"/>
  <c r="K1397"/>
  <c r="R1396"/>
  <c r="P1396"/>
  <c r="L1396"/>
  <c r="R1395"/>
  <c r="P1395"/>
  <c r="W1395" s="1"/>
  <c r="N1395"/>
  <c r="L1395"/>
  <c r="R1394"/>
  <c r="P1394"/>
  <c r="N1394"/>
  <c r="L1394"/>
  <c r="R1393"/>
  <c r="P1393"/>
  <c r="W1393" s="1"/>
  <c r="N1393"/>
  <c r="L1393"/>
  <c r="R1392"/>
  <c r="P1392"/>
  <c r="W1392" s="1"/>
  <c r="N1392"/>
  <c r="L1392"/>
  <c r="R1391"/>
  <c r="Z1391" s="1"/>
  <c r="P1391"/>
  <c r="N1391"/>
  <c r="L1391"/>
  <c r="R1390"/>
  <c r="P1390"/>
  <c r="W1390" s="1"/>
  <c r="N1390"/>
  <c r="L1390"/>
  <c r="R1389"/>
  <c r="P1389"/>
  <c r="W1389" s="1"/>
  <c r="N1389"/>
  <c r="L1389"/>
  <c r="R1388"/>
  <c r="Z1388" s="1"/>
  <c r="P1388"/>
  <c r="N1388"/>
  <c r="L1388"/>
  <c r="R1387"/>
  <c r="P1387"/>
  <c r="N1387"/>
  <c r="L1387"/>
  <c r="R1386"/>
  <c r="P1386"/>
  <c r="W1386" s="1"/>
  <c r="N1386"/>
  <c r="L1386"/>
  <c r="R1385"/>
  <c r="P1385"/>
  <c r="W1385" s="1"/>
  <c r="N1385"/>
  <c r="L1385"/>
  <c r="X1384"/>
  <c r="V1384"/>
  <c r="O1384"/>
  <c r="M1384"/>
  <c r="K1384"/>
  <c r="W1408" l="1"/>
  <c r="L1408"/>
  <c r="L1384"/>
  <c r="Z1396"/>
  <c r="AB1396" s="1"/>
  <c r="AD1396" s="1"/>
  <c r="Z1417"/>
  <c r="AB1417" s="1"/>
  <c r="AD1417" s="1"/>
  <c r="Z1414"/>
  <c r="AB1414" s="1"/>
  <c r="AD1414" s="1"/>
  <c r="T1385"/>
  <c r="Z1385" s="1"/>
  <c r="AB1385" s="1"/>
  <c r="AD1385" s="1"/>
  <c r="T1387"/>
  <c r="T1393"/>
  <c r="T1395"/>
  <c r="W1388"/>
  <c r="S1388"/>
  <c r="T1402"/>
  <c r="Z1402" s="1"/>
  <c r="AB1402" s="1"/>
  <c r="AD1402" s="1"/>
  <c r="T1408"/>
  <c r="S1408" s="1"/>
  <c r="T1409"/>
  <c r="T1410"/>
  <c r="T1390"/>
  <c r="T1394"/>
  <c r="W1399"/>
  <c r="S1399"/>
  <c r="T1386"/>
  <c r="T1389"/>
  <c r="W1391"/>
  <c r="T1407"/>
  <c r="AB1416"/>
  <c r="AD1416" s="1"/>
  <c r="AB1401"/>
  <c r="AD1401" s="1"/>
  <c r="AB1398"/>
  <c r="AD1398" s="1"/>
  <c r="AB1399"/>
  <c r="AD1399" s="1"/>
  <c r="AB1388"/>
  <c r="AD1388" s="1"/>
  <c r="AB1391"/>
  <c r="AD1391" s="1"/>
  <c r="L1415"/>
  <c r="AB1412"/>
  <c r="AD1412" s="1"/>
  <c r="AD1411"/>
  <c r="L1406"/>
  <c r="P1384"/>
  <c r="P1406"/>
  <c r="L1397"/>
  <c r="U1399"/>
  <c r="N1415"/>
  <c r="U1417"/>
  <c r="AB1413"/>
  <c r="AD1413" s="1"/>
  <c r="V1415"/>
  <c r="V1383" s="1"/>
  <c r="W1414"/>
  <c r="Q1414"/>
  <c r="R1397"/>
  <c r="R1415"/>
  <c r="Q1396"/>
  <c r="Q1412"/>
  <c r="W1412"/>
  <c r="Q1413"/>
  <c r="S1414"/>
  <c r="S1417"/>
  <c r="W1387"/>
  <c r="W1416"/>
  <c r="Y1416" s="1"/>
  <c r="N1384"/>
  <c r="R1384"/>
  <c r="P1397"/>
  <c r="U1398"/>
  <c r="N1406"/>
  <c r="R1406"/>
  <c r="P1415"/>
  <c r="S1415" s="1"/>
  <c r="U1391"/>
  <c r="W1394"/>
  <c r="W1398"/>
  <c r="W1401"/>
  <c r="W1413"/>
  <c r="Q1417"/>
  <c r="W1410"/>
  <c r="Q1391"/>
  <c r="N1397"/>
  <c r="W1406" l="1"/>
  <c r="L1383"/>
  <c r="N1383"/>
  <c r="Y1398"/>
  <c r="AA1398" s="1"/>
  <c r="AC1398" s="1"/>
  <c r="Z1410"/>
  <c r="AB1410" s="1"/>
  <c r="AD1410" s="1"/>
  <c r="Y1409"/>
  <c r="AA1409" s="1"/>
  <c r="AC1409" s="1"/>
  <c r="Z1387"/>
  <c r="AB1387" s="1"/>
  <c r="AD1387" s="1"/>
  <c r="Y1391"/>
  <c r="AA1391" s="1"/>
  <c r="AC1391" s="1"/>
  <c r="Z1415"/>
  <c r="AB1415" s="1"/>
  <c r="AD1415" s="1"/>
  <c r="Y1389"/>
  <c r="AA1389" s="1"/>
  <c r="AC1389" s="1"/>
  <c r="Y1393"/>
  <c r="AA1393" s="1"/>
  <c r="AC1393" s="1"/>
  <c r="Z1393"/>
  <c r="AB1393" s="1"/>
  <c r="AD1393" s="1"/>
  <c r="Y1394"/>
  <c r="AA1394" s="1"/>
  <c r="AC1394" s="1"/>
  <c r="Y1410"/>
  <c r="AA1410" s="1"/>
  <c r="AC1410" s="1"/>
  <c r="Z1394"/>
  <c r="AB1394" s="1"/>
  <c r="AD1394" s="1"/>
  <c r="Z1389"/>
  <c r="AB1389" s="1"/>
  <c r="AD1389" s="1"/>
  <c r="Y1417"/>
  <c r="AA1417" s="1"/>
  <c r="AC1417" s="1"/>
  <c r="Y1412"/>
  <c r="AA1412" s="1"/>
  <c r="AC1412" s="1"/>
  <c r="Y1414"/>
  <c r="AA1414" s="1"/>
  <c r="AC1414" s="1"/>
  <c r="Y1392"/>
  <c r="AA1392" s="1"/>
  <c r="AC1392" s="1"/>
  <c r="Y1386"/>
  <c r="AA1386" s="1"/>
  <c r="AC1386" s="1"/>
  <c r="Y1395"/>
  <c r="AA1395" s="1"/>
  <c r="AC1395" s="1"/>
  <c r="Y1387"/>
  <c r="AA1387" s="1"/>
  <c r="AC1387" s="1"/>
  <c r="Z1395"/>
  <c r="AB1395" s="1"/>
  <c r="AD1395" s="1"/>
  <c r="Z1390"/>
  <c r="AB1390" s="1"/>
  <c r="AD1390" s="1"/>
  <c r="Z1408"/>
  <c r="AB1408" s="1"/>
  <c r="AD1408" s="1"/>
  <c r="R1383"/>
  <c r="Y1396"/>
  <c r="AA1396" s="1"/>
  <c r="AC1396" s="1"/>
  <c r="Y1388"/>
  <c r="AA1388" s="1"/>
  <c r="AC1388" s="1"/>
  <c r="Y1399"/>
  <c r="AA1399" s="1"/>
  <c r="AC1399" s="1"/>
  <c r="Y1401"/>
  <c r="AA1401" s="1"/>
  <c r="AC1401" s="1"/>
  <c r="AA1416"/>
  <c r="AC1416" s="1"/>
  <c r="Y1413"/>
  <c r="AA1413" s="1"/>
  <c r="AC1413" s="1"/>
  <c r="P1383"/>
  <c r="Y1390"/>
  <c r="AA1390" s="1"/>
  <c r="AC1390" s="1"/>
  <c r="Y1408"/>
  <c r="AA1408" s="1"/>
  <c r="AC1408" s="1"/>
  <c r="Z1392"/>
  <c r="AB1392" s="1"/>
  <c r="AD1392" s="1"/>
  <c r="Z1386"/>
  <c r="AB1386" s="1"/>
  <c r="AD1386" s="1"/>
  <c r="Z1409"/>
  <c r="AB1409" s="1"/>
  <c r="AD1409" s="1"/>
  <c r="Z1407"/>
  <c r="AB1407" s="1"/>
  <c r="AD1407" s="1"/>
  <c r="S1385"/>
  <c r="T1384"/>
  <c r="Z1384" s="1"/>
  <c r="AB1384" s="1"/>
  <c r="T1406"/>
  <c r="Z1406" s="1"/>
  <c r="S1402"/>
  <c r="T1397"/>
  <c r="S1397" s="1"/>
  <c r="W1384"/>
  <c r="U1384"/>
  <c r="U1406"/>
  <c r="Q1397"/>
  <c r="Q1415"/>
  <c r="U1415"/>
  <c r="Q1384"/>
  <c r="W1397"/>
  <c r="U1397"/>
  <c r="W1415"/>
  <c r="Y1397" l="1"/>
  <c r="AA1397" s="1"/>
  <c r="AC1397" s="1"/>
  <c r="S1406"/>
  <c r="Y1406" s="1"/>
  <c r="AA1406" s="1"/>
  <c r="AC1406" s="1"/>
  <c r="Y1407"/>
  <c r="AA1407" s="1"/>
  <c r="AC1407" s="1"/>
  <c r="Y1402"/>
  <c r="AA1402" s="1"/>
  <c r="AC1402" s="1"/>
  <c r="S1384"/>
  <c r="Y1384" s="1"/>
  <c r="AA1384" s="1"/>
  <c r="AC1384" s="1"/>
  <c r="Y1385"/>
  <c r="AA1385" s="1"/>
  <c r="AC1385" s="1"/>
  <c r="Y1415"/>
  <c r="AA1415" s="1"/>
  <c r="AC1415" s="1"/>
  <c r="Z1397"/>
  <c r="AB1397" s="1"/>
  <c r="AD1397" s="1"/>
  <c r="T1383"/>
  <c r="Z1383" s="1"/>
  <c r="AB1406"/>
  <c r="AD1406" s="1"/>
  <c r="AD1384"/>
  <c r="AB1383" l="1"/>
  <c r="AD1418"/>
  <c r="AD1419" s="1"/>
  <c r="AC1418"/>
  <c r="AC1419" s="1"/>
  <c r="S1262"/>
  <c r="N1262"/>
  <c r="L1262"/>
  <c r="X1254"/>
  <c r="V1254"/>
  <c r="T1254"/>
  <c r="S1254"/>
  <c r="AB1248"/>
  <c r="S1245"/>
  <c r="X1244"/>
  <c r="V1244"/>
  <c r="T1244"/>
  <c r="S1244"/>
  <c r="V1194" l="1"/>
  <c r="V1193" s="1"/>
  <c r="Z1244"/>
  <c r="Z1254"/>
  <c r="AB1254" s="1"/>
  <c r="AD1254" s="1"/>
  <c r="U1262"/>
  <c r="W1262" s="1"/>
  <c r="AB1262"/>
  <c r="AD1262" s="1"/>
  <c r="AD1248"/>
  <c r="N1194"/>
  <c r="L1194"/>
  <c r="U1245"/>
  <c r="W1238"/>
  <c r="W1242"/>
  <c r="W1241"/>
  <c r="U1244"/>
  <c r="W1244" s="1"/>
  <c r="W1239"/>
  <c r="U1254"/>
  <c r="W1254" s="1"/>
  <c r="W1240"/>
  <c r="T1194" l="1"/>
  <c r="Z1194" s="1"/>
  <c r="AB1244"/>
  <c r="AD1244" s="1"/>
  <c r="P1193"/>
  <c r="Y1260"/>
  <c r="AA1260" s="1"/>
  <c r="AC1260" s="1"/>
  <c r="Y1249"/>
  <c r="AA1249" s="1"/>
  <c r="AC1249" s="1"/>
  <c r="Y1257"/>
  <c r="AA1257" s="1"/>
  <c r="AC1257" s="1"/>
  <c r="Y1264"/>
  <c r="AA1264" s="1"/>
  <c r="AC1264" s="1"/>
  <c r="Y1241"/>
  <c r="AA1241" s="1"/>
  <c r="AC1241" s="1"/>
  <c r="Y1263"/>
  <c r="AA1263" s="1"/>
  <c r="AC1263" s="1"/>
  <c r="Y1254"/>
  <c r="AA1254" s="1"/>
  <c r="AC1254" s="1"/>
  <c r="Y1250"/>
  <c r="AA1250" s="1"/>
  <c r="AC1250" s="1"/>
  <c r="Y1256"/>
  <c r="AA1256" s="1"/>
  <c r="AC1256" s="1"/>
  <c r="Y1252"/>
  <c r="AA1252" s="1"/>
  <c r="AC1252" s="1"/>
  <c r="AD1219"/>
  <c r="Y1240"/>
  <c r="AA1240" s="1"/>
  <c r="AC1240" s="1"/>
  <c r="Y1255"/>
  <c r="AA1255" s="1"/>
  <c r="AC1255" s="1"/>
  <c r="Y1244"/>
  <c r="AA1244" s="1"/>
  <c r="AC1244" s="1"/>
  <c r="Y1247"/>
  <c r="AA1247" s="1"/>
  <c r="AC1247" s="1"/>
  <c r="Y1253"/>
  <c r="AA1253" s="1"/>
  <c r="AC1253" s="1"/>
  <c r="Y1265"/>
  <c r="AA1265" s="1"/>
  <c r="AC1265" s="1"/>
  <c r="Y1251"/>
  <c r="AA1251" s="1"/>
  <c r="AC1251" s="1"/>
  <c r="Y1261"/>
  <c r="AA1261" s="1"/>
  <c r="AC1261" s="1"/>
  <c r="Y1242"/>
  <c r="AA1242" s="1"/>
  <c r="AC1242" s="1"/>
  <c r="Y1238"/>
  <c r="AA1238" s="1"/>
  <c r="AC1238" s="1"/>
  <c r="Y1259"/>
  <c r="AA1259" s="1"/>
  <c r="AC1259" s="1"/>
  <c r="Y1262"/>
  <c r="AA1262" s="1"/>
  <c r="AC1262" s="1"/>
  <c r="Y1239"/>
  <c r="AA1239" s="1"/>
  <c r="AC1239" s="1"/>
  <c r="Y1248"/>
  <c r="AA1248" s="1"/>
  <c r="AC1248" s="1"/>
  <c r="Y1266"/>
  <c r="W1237"/>
  <c r="Y1237" s="1"/>
  <c r="W1245"/>
  <c r="W1243"/>
  <c r="Y1243" s="1"/>
  <c r="Y1246" l="1"/>
  <c r="AA1246" s="1"/>
  <c r="AC1246" s="1"/>
  <c r="AA1243"/>
  <c r="AC1243" s="1"/>
  <c r="AA1237"/>
  <c r="AC1237" s="1"/>
  <c r="Y1245"/>
  <c r="AA1245" s="1"/>
  <c r="AC1245" s="1"/>
  <c r="AA1266"/>
  <c r="AC1266" s="1"/>
  <c r="Y1258"/>
  <c r="AA1258" s="1"/>
  <c r="AC1258" s="1"/>
  <c r="AC1267"/>
  <c r="AC1268" s="1"/>
  <c r="N690" l="1"/>
  <c r="L690" l="1"/>
  <c r="R690"/>
  <c r="Z690" s="1"/>
  <c r="AC1333"/>
  <c r="AC1334" s="1"/>
  <c r="P847"/>
  <c r="L847"/>
  <c r="AD847" s="1"/>
  <c r="P842"/>
  <c r="L842"/>
  <c r="AD842" s="1"/>
  <c r="AD841"/>
  <c r="L839"/>
  <c r="AD839" s="1"/>
  <c r="N835"/>
  <c r="P829"/>
  <c r="N829"/>
  <c r="AB829" s="1"/>
  <c r="L829"/>
  <c r="K828"/>
  <c r="AC828" s="1"/>
  <c r="K827"/>
  <c r="AC827" s="1"/>
  <c r="K826"/>
  <c r="AC826" s="1"/>
  <c r="K825"/>
  <c r="AC825" s="1"/>
  <c r="K824"/>
  <c r="AC824" s="1"/>
  <c r="K823"/>
  <c r="AC823" s="1"/>
  <c r="K822"/>
  <c r="AC822" s="1"/>
  <c r="L821"/>
  <c r="AD821" s="1"/>
  <c r="M820"/>
  <c r="AA820" s="1"/>
  <c r="L820"/>
  <c r="AD820" s="1"/>
  <c r="K820"/>
  <c r="L819"/>
  <c r="AD819" s="1"/>
  <c r="R816"/>
  <c r="Z816" s="1"/>
  <c r="N816"/>
  <c r="AC815"/>
  <c r="R814"/>
  <c r="Z814" s="1"/>
  <c r="P814"/>
  <c r="N814"/>
  <c r="L814"/>
  <c r="L813"/>
  <c r="P812"/>
  <c r="N812"/>
  <c r="AB812" s="1"/>
  <c r="AB811"/>
  <c r="AD811" s="1"/>
  <c r="AA811"/>
  <c r="AC811" s="1"/>
  <c r="AB810"/>
  <c r="AD810" s="1"/>
  <c r="K810"/>
  <c r="AB809"/>
  <c r="AA809"/>
  <c r="K809"/>
  <c r="X808"/>
  <c r="W808"/>
  <c r="S808"/>
  <c r="R808"/>
  <c r="Q808"/>
  <c r="P808"/>
  <c r="O808"/>
  <c r="N808"/>
  <c r="M808"/>
  <c r="L808"/>
  <c r="L805"/>
  <c r="L804" s="1"/>
  <c r="X804"/>
  <c r="W804"/>
  <c r="V804"/>
  <c r="U804"/>
  <c r="S804"/>
  <c r="AB803"/>
  <c r="AD803" s="1"/>
  <c r="M803"/>
  <c r="K803"/>
  <c r="AB801"/>
  <c r="AD801" s="1"/>
  <c r="M801"/>
  <c r="K801"/>
  <c r="AB799"/>
  <c r="AD799" s="1"/>
  <c r="M799"/>
  <c r="K799"/>
  <c r="AB798"/>
  <c r="AD798" s="1"/>
  <c r="M798"/>
  <c r="K798"/>
  <c r="AA797"/>
  <c r="K797"/>
  <c r="AB796"/>
  <c r="AD796" s="1"/>
  <c r="M796"/>
  <c r="K796"/>
  <c r="AB795"/>
  <c r="AD795" s="1"/>
  <c r="M795"/>
  <c r="K795"/>
  <c r="AB794"/>
  <c r="AD794" s="1"/>
  <c r="M794"/>
  <c r="K794"/>
  <c r="AB793"/>
  <c r="AD793" s="1"/>
  <c r="M793"/>
  <c r="K793"/>
  <c r="M792"/>
  <c r="K792"/>
  <c r="AA791"/>
  <c r="K791"/>
  <c r="AB790"/>
  <c r="AA790"/>
  <c r="K790"/>
  <c r="N783" l="1"/>
  <c r="R783"/>
  <c r="Z783" s="1"/>
  <c r="AD790"/>
  <c r="AB784"/>
  <c r="P783"/>
  <c r="P834"/>
  <c r="AB835"/>
  <c r="AB834" s="1"/>
  <c r="N834"/>
  <c r="Y804"/>
  <c r="AA804" s="1"/>
  <c r="AC804" s="1"/>
  <c r="Z808"/>
  <c r="R1269"/>
  <c r="Z804"/>
  <c r="AB804" s="1"/>
  <c r="Y808"/>
  <c r="AB690"/>
  <c r="L1269"/>
  <c r="L1193" s="1"/>
  <c r="AD829"/>
  <c r="AB814"/>
  <c r="AD814" s="1"/>
  <c r="AB816"/>
  <c r="AC820"/>
  <c r="L812"/>
  <c r="AD812" s="1"/>
  <c r="AD813"/>
  <c r="AD805"/>
  <c r="AD733"/>
  <c r="AD734" s="1"/>
  <c r="K808"/>
  <c r="AA793"/>
  <c r="AC793" s="1"/>
  <c r="AA795"/>
  <c r="AC795" s="1"/>
  <c r="L835"/>
  <c r="AC790"/>
  <c r="AC791"/>
  <c r="AA792"/>
  <c r="AC792" s="1"/>
  <c r="AA796"/>
  <c r="AC796" s="1"/>
  <c r="AA803"/>
  <c r="AC803" s="1"/>
  <c r="AA794"/>
  <c r="AC794" s="1"/>
  <c r="AA799"/>
  <c r="AC799" s="1"/>
  <c r="AA810"/>
  <c r="AC810" s="1"/>
  <c r="AA801"/>
  <c r="AC801" s="1"/>
  <c r="L816"/>
  <c r="AA798"/>
  <c r="AC798" s="1"/>
  <c r="AD809"/>
  <c r="AB808"/>
  <c r="AD808" s="1"/>
  <c r="AC809"/>
  <c r="L783" l="1"/>
  <c r="AD784"/>
  <c r="AB783"/>
  <c r="N1269"/>
  <c r="N1193" s="1"/>
  <c r="AC734"/>
  <c r="AD835"/>
  <c r="AD856" s="1"/>
  <c r="AD857" s="1"/>
  <c r="L834"/>
  <c r="R1193"/>
  <c r="AD816"/>
  <c r="AD804"/>
  <c r="AA808"/>
  <c r="AC808" s="1"/>
  <c r="AD832" l="1"/>
  <c r="AD833" s="1"/>
  <c r="AC832"/>
  <c r="AC833" s="1"/>
  <c r="M941"/>
  <c r="AA941" s="1"/>
  <c r="K941"/>
  <c r="M939"/>
  <c r="AA939" s="1"/>
  <c r="K939"/>
  <c r="AD937"/>
  <c r="AC935"/>
  <c r="K932"/>
  <c r="AC932" s="1"/>
  <c r="AB931"/>
  <c r="AA931"/>
  <c r="AC931" s="1"/>
  <c r="K930"/>
  <c r="AC930" s="1"/>
  <c r="M929"/>
  <c r="K929"/>
  <c r="R907"/>
  <c r="N907"/>
  <c r="AD921"/>
  <c r="M920"/>
  <c r="AA920" s="1"/>
  <c r="AC920" s="1"/>
  <c r="AD918"/>
  <c r="AD917"/>
  <c r="AD916"/>
  <c r="AD915"/>
  <c r="AD914"/>
  <c r="AD913"/>
  <c r="AD912"/>
  <c r="AD911"/>
  <c r="AD910"/>
  <c r="K909"/>
  <c r="AC909" s="1"/>
  <c r="AC947" l="1"/>
  <c r="AC948" s="1"/>
  <c r="Y923"/>
  <c r="AA923" s="1"/>
  <c r="AC923" s="1"/>
  <c r="Z928"/>
  <c r="AD943"/>
  <c r="AD931"/>
  <c r="AC941"/>
  <c r="AC939"/>
  <c r="AC929"/>
  <c r="L907"/>
  <c r="AD909"/>
  <c r="AB928" l="1"/>
  <c r="AD908"/>
  <c r="R903"/>
  <c r="Z903" s="1"/>
  <c r="P903"/>
  <c r="N903"/>
  <c r="L903"/>
  <c r="R901"/>
  <c r="Z901" s="1"/>
  <c r="P901"/>
  <c r="O901"/>
  <c r="N901"/>
  <c r="M901"/>
  <c r="L901"/>
  <c r="K901"/>
  <c r="R898"/>
  <c r="Z898" s="1"/>
  <c r="P898"/>
  <c r="N898"/>
  <c r="L898"/>
  <c r="P893"/>
  <c r="O893"/>
  <c r="N893"/>
  <c r="AB893" s="1"/>
  <c r="M893"/>
  <c r="AA893" s="1"/>
  <c r="L893"/>
  <c r="K893"/>
  <c r="N885"/>
  <c r="L885"/>
  <c r="R882"/>
  <c r="Z882" s="1"/>
  <c r="Q882"/>
  <c r="Y882" s="1"/>
  <c r="P882"/>
  <c r="O882"/>
  <c r="N882"/>
  <c r="M882"/>
  <c r="L882"/>
  <c r="K882"/>
  <c r="R880"/>
  <c r="Z880" s="1"/>
  <c r="Q880"/>
  <c r="Y880" s="1"/>
  <c r="P880"/>
  <c r="O880"/>
  <c r="N880"/>
  <c r="M880"/>
  <c r="L880"/>
  <c r="K880"/>
  <c r="R878"/>
  <c r="P878"/>
  <c r="O878"/>
  <c r="M878"/>
  <c r="AA878" s="1"/>
  <c r="L878"/>
  <c r="K878"/>
  <c r="R874"/>
  <c r="Z874" s="1"/>
  <c r="P874"/>
  <c r="N874"/>
  <c r="L874"/>
  <c r="Q859"/>
  <c r="R859"/>
  <c r="P859"/>
  <c r="L859"/>
  <c r="AD928" l="1"/>
  <c r="L858"/>
  <c r="R858"/>
  <c r="Z858" s="1"/>
  <c r="Z859"/>
  <c r="AB859" s="1"/>
  <c r="AD859" s="1"/>
  <c r="Y859"/>
  <c r="AA859" s="1"/>
  <c r="AC859" s="1"/>
  <c r="Z878"/>
  <c r="AB878" s="1"/>
  <c r="AD878" s="1"/>
  <c r="P858"/>
  <c r="N858"/>
  <c r="AB882"/>
  <c r="AD882" s="1"/>
  <c r="AA903"/>
  <c r="AC903" s="1"/>
  <c r="AB903"/>
  <c r="AD903" s="1"/>
  <c r="AA882"/>
  <c r="AC882" s="1"/>
  <c r="AC893"/>
  <c r="AB885"/>
  <c r="AD885" s="1"/>
  <c r="AD893"/>
  <c r="AB898"/>
  <c r="AD898" s="1"/>
  <c r="AB901"/>
  <c r="AD901" s="1"/>
  <c r="AA901"/>
  <c r="AC901" s="1"/>
  <c r="AC878"/>
  <c r="AB874"/>
  <c r="AD874" s="1"/>
  <c r="AA880"/>
  <c r="AC880" s="1"/>
  <c r="AB880"/>
  <c r="AD880" s="1"/>
  <c r="AB858" l="1"/>
  <c r="AC905"/>
  <c r="AC906" s="1"/>
  <c r="AD905"/>
  <c r="AD906" s="1"/>
  <c r="Z663" l="1"/>
  <c r="P663"/>
  <c r="N663"/>
  <c r="L663"/>
  <c r="L652"/>
  <c r="R650"/>
  <c r="Z650" s="1"/>
  <c r="L645"/>
  <c r="AA645"/>
  <c r="AC645" s="1"/>
  <c r="R645"/>
  <c r="Z645" s="1"/>
  <c r="N645"/>
  <c r="AB644"/>
  <c r="AD644" s="1"/>
  <c r="AA644"/>
  <c r="AC644" s="1"/>
  <c r="AB643"/>
  <c r="AD643" s="1"/>
  <c r="AA643"/>
  <c r="AC643" s="1"/>
  <c r="AB642"/>
  <c r="AD642" s="1"/>
  <c r="AA642"/>
  <c r="AC642" s="1"/>
  <c r="AB641"/>
  <c r="AD641" s="1"/>
  <c r="AA641"/>
  <c r="AC641" s="1"/>
  <c r="AB640"/>
  <c r="AD640" s="1"/>
  <c r="AA640"/>
  <c r="AC640" s="1"/>
  <c r="AB639"/>
  <c r="AD639" s="1"/>
  <c r="AA639"/>
  <c r="AC639" s="1"/>
  <c r="AB638"/>
  <c r="AD638" s="1"/>
  <c r="AA638"/>
  <c r="AC638" s="1"/>
  <c r="AB637"/>
  <c r="AD637" s="1"/>
  <c r="AA637"/>
  <c r="AC637" s="1"/>
  <c r="AB636"/>
  <c r="AD636" s="1"/>
  <c r="AA636"/>
  <c r="AC636" s="1"/>
  <c r="AB635"/>
  <c r="AD635" s="1"/>
  <c r="AA635"/>
  <c r="AC635" s="1"/>
  <c r="AA634"/>
  <c r="R634"/>
  <c r="N634"/>
  <c r="L634"/>
  <c r="Z634" l="1"/>
  <c r="AB634" s="1"/>
  <c r="R633"/>
  <c r="Z633" s="1"/>
  <c r="P633"/>
  <c r="L650"/>
  <c r="L633" s="1"/>
  <c r="AD652"/>
  <c r="AB663"/>
  <c r="AD663" s="1"/>
  <c r="AB645"/>
  <c r="AD645" s="1"/>
  <c r="N650"/>
  <c r="AB650" s="1"/>
  <c r="N633" l="1"/>
  <c r="AD634"/>
  <c r="AD674" s="1"/>
  <c r="AB633"/>
  <c r="AD650"/>
  <c r="R106"/>
  <c r="L106"/>
  <c r="K106"/>
  <c r="O106" s="1"/>
  <c r="U106" s="1"/>
  <c r="Y106" s="1"/>
  <c r="AA106" s="1"/>
  <c r="R105"/>
  <c r="L105"/>
  <c r="K105"/>
  <c r="O105" s="1"/>
  <c r="U105" s="1"/>
  <c r="Y105" s="1"/>
  <c r="AA105" s="1"/>
  <c r="AA103"/>
  <c r="AA102"/>
  <c r="N102"/>
  <c r="L102"/>
  <c r="AA101"/>
  <c r="AC101" s="1"/>
  <c r="P98"/>
  <c r="Q100"/>
  <c r="Y100" s="1"/>
  <c r="N100"/>
  <c r="L100"/>
  <c r="Z97"/>
  <c r="AB97" s="1"/>
  <c r="AA97"/>
  <c r="K97"/>
  <c r="Z96"/>
  <c r="AB96" s="1"/>
  <c r="AA96"/>
  <c r="AC96" s="1"/>
  <c r="Z95"/>
  <c r="AB95" s="1"/>
  <c r="AA95"/>
  <c r="AC95" s="1"/>
  <c r="Z94"/>
  <c r="M94"/>
  <c r="K94"/>
  <c r="Z93"/>
  <c r="AA93"/>
  <c r="K93"/>
  <c r="Z92"/>
  <c r="M92"/>
  <c r="K92"/>
  <c r="Z91"/>
  <c r="AB91" s="1"/>
  <c r="M91"/>
  <c r="K91"/>
  <c r="Z90"/>
  <c r="AA90"/>
  <c r="K90"/>
  <c r="Z89"/>
  <c r="AA89"/>
  <c r="K89"/>
  <c r="Z88"/>
  <c r="AA88"/>
  <c r="K88"/>
  <c r="Z87"/>
  <c r="AB87" s="1"/>
  <c r="AA87"/>
  <c r="AC87" s="1"/>
  <c r="Z86"/>
  <c r="AA86"/>
  <c r="K86"/>
  <c r="Z85"/>
  <c r="M85"/>
  <c r="K85"/>
  <c r="Z84"/>
  <c r="M84"/>
  <c r="K84"/>
  <c r="O82"/>
  <c r="M82"/>
  <c r="AA82" s="1"/>
  <c r="K82"/>
  <c r="R81"/>
  <c r="Z81" s="1"/>
  <c r="P81"/>
  <c r="K81"/>
  <c r="AB80"/>
  <c r="AD80" s="1"/>
  <c r="AA80"/>
  <c r="AC80" s="1"/>
  <c r="AB79"/>
  <c r="AA79"/>
  <c r="K79"/>
  <c r="AB78"/>
  <c r="AD78" s="1"/>
  <c r="AA78"/>
  <c r="AC78" s="1"/>
  <c r="AB77"/>
  <c r="AD77" s="1"/>
  <c r="AA77"/>
  <c r="AC77" s="1"/>
  <c r="AA76"/>
  <c r="AC76" s="1"/>
  <c r="L76"/>
  <c r="AB75"/>
  <c r="AA75"/>
  <c r="AC75" s="1"/>
  <c r="AA74"/>
  <c r="K74"/>
  <c r="AA73"/>
  <c r="K73"/>
  <c r="R72"/>
  <c r="Z72" s="1"/>
  <c r="O72"/>
  <c r="Q72" s="1"/>
  <c r="Y72" s="1"/>
  <c r="M72"/>
  <c r="K72"/>
  <c r="AA71"/>
  <c r="K71"/>
  <c r="AB70"/>
  <c r="AA70"/>
  <c r="K70"/>
  <c r="M69"/>
  <c r="K69"/>
  <c r="O68"/>
  <c r="M68"/>
  <c r="K68"/>
  <c r="AA66"/>
  <c r="R66"/>
  <c r="Z66" s="1"/>
  <c r="L66"/>
  <c r="K66"/>
  <c r="AB65"/>
  <c r="AA65"/>
  <c r="L65"/>
  <c r="K65"/>
  <c r="AA64"/>
  <c r="AB64"/>
  <c r="L64"/>
  <c r="K64"/>
  <c r="AA63"/>
  <c r="AC63" s="1"/>
  <c r="N63"/>
  <c r="L63"/>
  <c r="AA62"/>
  <c r="AB62"/>
  <c r="K62"/>
  <c r="AA61"/>
  <c r="AB61"/>
  <c r="K61"/>
  <c r="AA60"/>
  <c r="AC60" s="1"/>
  <c r="N60"/>
  <c r="L60"/>
  <c r="AB59"/>
  <c r="AA59"/>
  <c r="AC59" s="1"/>
  <c r="P59"/>
  <c r="P37" s="1"/>
  <c r="AB58"/>
  <c r="AD58" s="1"/>
  <c r="AA58"/>
  <c r="AC58" s="1"/>
  <c r="AA57"/>
  <c r="AC57" s="1"/>
  <c r="N57"/>
  <c r="L57"/>
  <c r="AA56"/>
  <c r="AC56" s="1"/>
  <c r="AB55"/>
  <c r="AA55"/>
  <c r="L55"/>
  <c r="K55"/>
  <c r="AB53"/>
  <c r="AA53"/>
  <c r="L53"/>
  <c r="K53"/>
  <c r="AB52"/>
  <c r="AA52"/>
  <c r="AC52" s="1"/>
  <c r="AB51"/>
  <c r="AD51" s="1"/>
  <c r="AA51"/>
  <c r="AC51" s="1"/>
  <c r="AB50"/>
  <c r="AA50"/>
  <c r="L50"/>
  <c r="K50"/>
  <c r="AB49"/>
  <c r="AD49" s="1"/>
  <c r="AA49"/>
  <c r="AC49" s="1"/>
  <c r="AA48"/>
  <c r="AC48" s="1"/>
  <c r="AB47"/>
  <c r="AA47"/>
  <c r="L47"/>
  <c r="K47"/>
  <c r="AB46"/>
  <c r="AA46"/>
  <c r="L46"/>
  <c r="K46"/>
  <c r="AA45"/>
  <c r="AB45"/>
  <c r="K45"/>
  <c r="AA44"/>
  <c r="AC44" s="1"/>
  <c r="N44"/>
  <c r="L44"/>
  <c r="AB43"/>
  <c r="AD43" s="1"/>
  <c r="AA43"/>
  <c r="AC43" s="1"/>
  <c r="AA42"/>
  <c r="L42"/>
  <c r="K42"/>
  <c r="AB41"/>
  <c r="AD41" s="1"/>
  <c r="AA41"/>
  <c r="AC41" s="1"/>
  <c r="K40"/>
  <c r="K39"/>
  <c r="Q38"/>
  <c r="K38"/>
  <c r="K37"/>
  <c r="AA35"/>
  <c r="K35"/>
  <c r="R33"/>
  <c r="Z33" s="1"/>
  <c r="O33"/>
  <c r="Q33" s="1"/>
  <c r="Y33" s="1"/>
  <c r="AA33" s="1"/>
  <c r="AC33" s="1"/>
  <c r="L33"/>
  <c r="R32"/>
  <c r="Z32" s="1"/>
  <c r="O32"/>
  <c r="Q32" s="1"/>
  <c r="Y32" s="1"/>
  <c r="AA32" s="1"/>
  <c r="AC32" s="1"/>
  <c r="L32"/>
  <c r="AA31"/>
  <c r="AC31" s="1"/>
  <c r="O31"/>
  <c r="L31"/>
  <c r="AA30"/>
  <c r="AC30" s="1"/>
  <c r="P30"/>
  <c r="AA29"/>
  <c r="AC29" s="1"/>
  <c r="L29"/>
  <c r="AA28"/>
  <c r="AC28" s="1"/>
  <c r="AB28"/>
  <c r="AA27"/>
  <c r="AC27" s="1"/>
  <c r="AB27"/>
  <c r="AD27" s="1"/>
  <c r="AA26"/>
  <c r="AC26" s="1"/>
  <c r="R26"/>
  <c r="Z26" s="1"/>
  <c r="L26"/>
  <c r="N25"/>
  <c r="M25"/>
  <c r="AA25" s="1"/>
  <c r="L25"/>
  <c r="K25"/>
  <c r="R24"/>
  <c r="Z24" s="1"/>
  <c r="O24"/>
  <c r="Q24" s="1"/>
  <c r="Y24" s="1"/>
  <c r="AA24" s="1"/>
  <c r="AC24" s="1"/>
  <c r="L24"/>
  <c r="R23"/>
  <c r="Z23" s="1"/>
  <c r="O23"/>
  <c r="L23"/>
  <c r="R22"/>
  <c r="Z22" s="1"/>
  <c r="Q22"/>
  <c r="Y22" s="1"/>
  <c r="M22"/>
  <c r="L22"/>
  <c r="K22"/>
  <c r="R21"/>
  <c r="Z21" s="1"/>
  <c r="Q21"/>
  <c r="Y21" s="1"/>
  <c r="M21"/>
  <c r="L21"/>
  <c r="K21"/>
  <c r="AA20"/>
  <c r="AC20" s="1"/>
  <c r="AB20"/>
  <c r="AD20" s="1"/>
  <c r="R19"/>
  <c r="Z19" s="1"/>
  <c r="Q19"/>
  <c r="Y19" s="1"/>
  <c r="AA19" s="1"/>
  <c r="AC19" s="1"/>
  <c r="L19"/>
  <c r="R18"/>
  <c r="Z18" s="1"/>
  <c r="Q18"/>
  <c r="Y18" s="1"/>
  <c r="AA18" s="1"/>
  <c r="AC18" s="1"/>
  <c r="L18"/>
  <c r="R17"/>
  <c r="Z17" s="1"/>
  <c r="Q17"/>
  <c r="Y17" s="1"/>
  <c r="AA17" s="1"/>
  <c r="AC17" s="1"/>
  <c r="L17"/>
  <c r="R16"/>
  <c r="Z16" s="1"/>
  <c r="Q16"/>
  <c r="Y16" s="1"/>
  <c r="AA16" s="1"/>
  <c r="AC16" s="1"/>
  <c r="L16"/>
  <c r="R15"/>
  <c r="Z15" s="1"/>
  <c r="Q15"/>
  <c r="Y15" s="1"/>
  <c r="AA15" s="1"/>
  <c r="AC15" s="1"/>
  <c r="L15"/>
  <c r="Q14"/>
  <c r="Y14" s="1"/>
  <c r="AA14" s="1"/>
  <c r="AC14" s="1"/>
  <c r="P13"/>
  <c r="K13"/>
  <c r="AA22" l="1"/>
  <c r="Y38"/>
  <c r="AA38" s="1"/>
  <c r="AC38" s="1"/>
  <c r="AA21"/>
  <c r="AC21" s="1"/>
  <c r="AD675"/>
  <c r="Z105"/>
  <c r="AB105" s="1"/>
  <c r="AD105" s="1"/>
  <c r="Z106"/>
  <c r="AB106" s="1"/>
  <c r="AD106" s="1"/>
  <c r="O81"/>
  <c r="Q81" s="1"/>
  <c r="Y81" s="1"/>
  <c r="M81"/>
  <c r="AC82"/>
  <c r="AD75"/>
  <c r="AB66"/>
  <c r="AD66" s="1"/>
  <c r="R37"/>
  <c r="Z37" s="1"/>
  <c r="N37"/>
  <c r="L59"/>
  <c r="AD59" s="1"/>
  <c r="AB31"/>
  <c r="AB25"/>
  <c r="AD25" s="1"/>
  <c r="AA68"/>
  <c r="AC68" s="1"/>
  <c r="AC22"/>
  <c r="Q23"/>
  <c r="Y23" s="1"/>
  <c r="AA23" s="1"/>
  <c r="AC23" s="1"/>
  <c r="AC50"/>
  <c r="AB56"/>
  <c r="AD56" s="1"/>
  <c r="AC93"/>
  <c r="AD61"/>
  <c r="AA67"/>
  <c r="AC67" s="1"/>
  <c r="AB69"/>
  <c r="AD69" s="1"/>
  <c r="AB73"/>
  <c r="AD73" s="1"/>
  <c r="AC71"/>
  <c r="AA85"/>
  <c r="AC85" s="1"/>
  <c r="AC89"/>
  <c r="AD45"/>
  <c r="AB57"/>
  <c r="AD57" s="1"/>
  <c r="AB84"/>
  <c r="AD84" s="1"/>
  <c r="AD87"/>
  <c r="AB92"/>
  <c r="AD92" s="1"/>
  <c r="AD96"/>
  <c r="AC86"/>
  <c r="L98"/>
  <c r="AC90"/>
  <c r="AA91"/>
  <c r="AC91" s="1"/>
  <c r="AC74"/>
  <c r="AB21"/>
  <c r="AD21" s="1"/>
  <c r="AB63"/>
  <c r="AD63" s="1"/>
  <c r="AB90"/>
  <c r="AD90" s="1"/>
  <c r="L30"/>
  <c r="AC42"/>
  <c r="AC45"/>
  <c r="AC64"/>
  <c r="R98"/>
  <c r="Z98" s="1"/>
  <c r="AB19"/>
  <c r="AD19" s="1"/>
  <c r="AC46"/>
  <c r="AC53"/>
  <c r="AB60"/>
  <c r="AD60" s="1"/>
  <c r="AC62"/>
  <c r="AD65"/>
  <c r="AA69"/>
  <c r="AC69" s="1"/>
  <c r="AD70"/>
  <c r="AC73"/>
  <c r="AA94"/>
  <c r="AB16"/>
  <c r="AD16" s="1"/>
  <c r="AB17"/>
  <c r="AD17" s="1"/>
  <c r="AB32"/>
  <c r="AD32" s="1"/>
  <c r="L34"/>
  <c r="AC35"/>
  <c r="AD55"/>
  <c r="AD62"/>
  <c r="AC66"/>
  <c r="AC70"/>
  <c r="AC88"/>
  <c r="AC105"/>
  <c r="AC106"/>
  <c r="Q34"/>
  <c r="Y34" s="1"/>
  <c r="M34"/>
  <c r="R30"/>
  <c r="Z30" s="1"/>
  <c r="AD64"/>
  <c r="AD28"/>
  <c r="N34"/>
  <c r="AC47"/>
  <c r="AD79"/>
  <c r="AD91"/>
  <c r="L13"/>
  <c r="AB15"/>
  <c r="AD15" s="1"/>
  <c r="AB18"/>
  <c r="AD18" s="1"/>
  <c r="AB26"/>
  <c r="AD26" s="1"/>
  <c r="AB42"/>
  <c r="AD42" s="1"/>
  <c r="AD52"/>
  <c r="AC55"/>
  <c r="AB76"/>
  <c r="AD76" s="1"/>
  <c r="AC79"/>
  <c r="L81"/>
  <c r="N98"/>
  <c r="AB101"/>
  <c r="AD101" s="1"/>
  <c r="AB103"/>
  <c r="AD103" s="1"/>
  <c r="AC61"/>
  <c r="R13"/>
  <c r="AB23"/>
  <c r="AD23" s="1"/>
  <c r="AC25"/>
  <c r="AB29"/>
  <c r="AD29" s="1"/>
  <c r="AB33"/>
  <c r="AD33" s="1"/>
  <c r="AB44"/>
  <c r="AD44" s="1"/>
  <c r="AD53"/>
  <c r="AB71"/>
  <c r="AD71" s="1"/>
  <c r="L72"/>
  <c r="AB74"/>
  <c r="P72"/>
  <c r="P12" s="1"/>
  <c r="AB89"/>
  <c r="AD89" s="1"/>
  <c r="AB93"/>
  <c r="AD93" s="1"/>
  <c r="AD95"/>
  <c r="Q37"/>
  <c r="Q39"/>
  <c r="Q13"/>
  <c r="Y13" s="1"/>
  <c r="Q40"/>
  <c r="AC97"/>
  <c r="AD46"/>
  <c r="AD47"/>
  <c r="N30"/>
  <c r="N81"/>
  <c r="AB85"/>
  <c r="AD85" s="1"/>
  <c r="AB68"/>
  <c r="AB14"/>
  <c r="AA100"/>
  <c r="AA98"/>
  <c r="AB100"/>
  <c r="AB24"/>
  <c r="AD24" s="1"/>
  <c r="AC65"/>
  <c r="AA72"/>
  <c r="N13"/>
  <c r="AB22"/>
  <c r="AD22" s="1"/>
  <c r="AB48"/>
  <c r="AD48" s="1"/>
  <c r="AD50"/>
  <c r="AA84"/>
  <c r="AC84" s="1"/>
  <c r="AB86"/>
  <c r="AD86" s="1"/>
  <c r="AB88"/>
  <c r="AD88" s="1"/>
  <c r="AA92"/>
  <c r="AC92" s="1"/>
  <c r="AB94"/>
  <c r="AD94" s="1"/>
  <c r="AD97"/>
  <c r="AB102"/>
  <c r="AD102" s="1"/>
  <c r="AB35"/>
  <c r="AD35" s="1"/>
  <c r="Y40" l="1"/>
  <c r="AA40" s="1"/>
  <c r="AC40" s="1"/>
  <c r="AA37"/>
  <c r="AC37" s="1"/>
  <c r="Y37"/>
  <c r="Y39"/>
  <c r="AA39" s="1"/>
  <c r="AC39" s="1"/>
  <c r="Z13"/>
  <c r="R12"/>
  <c r="Z12" s="1"/>
  <c r="N12"/>
  <c r="AC81"/>
  <c r="AB72"/>
  <c r="AD72" s="1"/>
  <c r="L37"/>
  <c r="L12" s="1"/>
  <c r="AB30"/>
  <c r="AD30" s="1"/>
  <c r="AC34"/>
  <c r="AA13"/>
  <c r="AC13" s="1"/>
  <c r="AB37"/>
  <c r="AD74"/>
  <c r="AB34"/>
  <c r="AB67"/>
  <c r="AD67" s="1"/>
  <c r="AD68"/>
  <c r="AD31"/>
  <c r="AD100"/>
  <c r="AB98"/>
  <c r="AD98" s="1"/>
  <c r="AB13"/>
  <c r="AD13" s="1"/>
  <c r="AD14"/>
  <c r="AB81"/>
  <c r="AD81" s="1"/>
  <c r="AC107" l="1"/>
  <c r="AC108" s="1"/>
  <c r="AD34"/>
  <c r="AB12"/>
  <c r="AD37"/>
  <c r="AD107" l="1"/>
  <c r="AD108" s="1"/>
  <c r="Y37" i="1"/>
  <c r="AA37" s="1"/>
  <c r="AC37" s="1"/>
  <c r="N37"/>
  <c r="L37"/>
  <c r="Z38"/>
  <c r="Z37" s="1"/>
  <c r="Y38"/>
  <c r="AA38" s="1"/>
  <c r="AC38" s="1"/>
  <c r="AC39" s="1"/>
  <c r="AC40" s="1"/>
  <c r="L38"/>
  <c r="P38" s="1"/>
  <c r="R29"/>
  <c r="Z33"/>
  <c r="Y33"/>
  <c r="AA33" s="1"/>
  <c r="AC33" s="1"/>
  <c r="N33"/>
  <c r="L33"/>
  <c r="Z32"/>
  <c r="Y32"/>
  <c r="AA32" s="1"/>
  <c r="AC32" s="1"/>
  <c r="L32"/>
  <c r="N32"/>
  <c r="Z31"/>
  <c r="Y31"/>
  <c r="AA31" s="1"/>
  <c r="AC31" s="1"/>
  <c r="N31"/>
  <c r="L30"/>
  <c r="L31"/>
  <c r="Y29"/>
  <c r="AA29" s="1"/>
  <c r="AC29" s="1"/>
  <c r="N1460" i="5" l="1"/>
  <c r="AB32" i="1"/>
  <c r="AD32" s="1"/>
  <c r="AB31"/>
  <c r="AD31" s="1"/>
  <c r="L29"/>
  <c r="AB38"/>
  <c r="AB37" s="1"/>
  <c r="N29"/>
  <c r="AB33"/>
  <c r="AD33" s="1"/>
  <c r="AB1460" i="5" l="1"/>
  <c r="M1460"/>
  <c r="AA1460" s="1"/>
  <c r="N1458"/>
  <c r="M1458" s="1"/>
  <c r="AD38" i="1"/>
  <c r="AD1460" i="5" l="1"/>
  <c r="AD1458" s="1"/>
  <c r="AC1518" s="1"/>
  <c r="AC1519" s="1"/>
  <c r="AB1458"/>
  <c r="AB1517" s="1"/>
  <c r="AD1518" s="1"/>
  <c r="AD1519" s="1"/>
  <c r="AC1460"/>
  <c r="AC1458" s="1"/>
  <c r="AA1458"/>
  <c r="Z30" i="1"/>
  <c r="Y30"/>
  <c r="AA30" s="1"/>
  <c r="AC30" s="1"/>
  <c r="AC34" s="1"/>
  <c r="AC35" s="1"/>
  <c r="P30"/>
  <c r="P29" s="1"/>
  <c r="P41" s="1"/>
  <c r="Z29" l="1"/>
  <c r="AB30"/>
  <c r="AB29" l="1"/>
  <c r="AD30"/>
  <c r="AC42" s="1"/>
  <c r="AC43" s="1"/>
  <c r="AD37"/>
  <c r="AD39" s="1"/>
  <c r="AD40" s="1"/>
  <c r="AD29" l="1"/>
  <c r="AD34" s="1"/>
  <c r="AD35" s="1"/>
  <c r="AB41"/>
  <c r="AD42" s="1"/>
  <c r="AD43" s="1"/>
  <c r="AB1213" i="4"/>
  <c r="AD1213" s="1"/>
  <c r="AB1207" l="1"/>
  <c r="AB1194" s="1"/>
  <c r="AD1207" l="1"/>
  <c r="AD1267" s="1"/>
  <c r="AD1268" s="1"/>
  <c r="Z941"/>
  <c r="AB941" s="1"/>
  <c r="AD941" s="1"/>
  <c r="T907"/>
  <c r="Z907" s="1"/>
  <c r="Z940"/>
  <c r="AB940" l="1"/>
  <c r="AB907" s="1"/>
  <c r="AD940" l="1"/>
  <c r="AD947" s="1"/>
  <c r="P1440" l="1"/>
  <c r="P1420" s="1"/>
  <c r="Z992"/>
  <c r="V991"/>
  <c r="V990" s="1"/>
  <c r="Z990" s="1"/>
  <c r="AB992" l="1"/>
  <c r="AD992" s="1"/>
  <c r="Z991"/>
  <c r="AB991" s="1"/>
  <c r="AB990" s="1"/>
  <c r="Y1105"/>
  <c r="AA1105" s="1"/>
  <c r="AC1105" s="1"/>
  <c r="AD991" l="1"/>
  <c r="AD1025" s="1"/>
  <c r="AD1026" s="1"/>
  <c r="T511"/>
  <c r="T510" s="1"/>
  <c r="Z511" l="1"/>
  <c r="AB511" s="1"/>
  <c r="AD511" s="1"/>
  <c r="T477"/>
  <c r="Z477" s="1"/>
  <c r="Z510"/>
  <c r="AB523" l="1"/>
  <c r="AD523" s="1"/>
  <c r="Z536"/>
  <c r="AB536" s="1"/>
  <c r="AD536" s="1"/>
  <c r="Z532"/>
  <c r="AB532" s="1"/>
  <c r="AB510" s="1"/>
  <c r="AB477" s="1"/>
  <c r="AD532" l="1"/>
  <c r="AD539" s="1"/>
  <c r="AD540" s="1"/>
  <c r="Z1193"/>
  <c r="T360" l="1"/>
  <c r="T353" s="1"/>
  <c r="T221" l="1"/>
  <c r="T220" s="1"/>
  <c r="Z353"/>
  <c r="AB353" s="1"/>
  <c r="AD353" l="1"/>
  <c r="Z361"/>
  <c r="AB361" s="1"/>
  <c r="AD361" s="1"/>
  <c r="R360"/>
  <c r="R221" s="1"/>
  <c r="R220" l="1"/>
  <c r="Z220" s="1"/>
  <c r="Z221"/>
  <c r="Z360"/>
  <c r="AB360" s="1"/>
  <c r="AD360" l="1"/>
  <c r="AD371" s="1"/>
  <c r="AD372" s="1"/>
  <c r="AB221"/>
  <c r="AB220" s="1"/>
  <c r="K650"/>
  <c r="AC650" s="1"/>
  <c r="T1327"/>
  <c r="Z1328"/>
  <c r="AB1328" s="1"/>
  <c r="AC674" l="1"/>
  <c r="AC675" s="1"/>
  <c r="Z1327"/>
  <c r="AD1328"/>
  <c r="AB1327"/>
  <c r="AD1327" l="1"/>
  <c r="T1269"/>
  <c r="T1193" s="1"/>
  <c r="T1329"/>
  <c r="Z1330"/>
  <c r="AB1330" s="1"/>
  <c r="AD1330" l="1"/>
  <c r="AB1329"/>
  <c r="Z1329"/>
  <c r="AD1329" l="1"/>
  <c r="AD1333" s="1"/>
  <c r="AD1334" s="1"/>
  <c r="AB1269"/>
  <c r="AB1193" s="1"/>
  <c r="Z1752"/>
  <c r="AB1752" s="1"/>
  <c r="AD1752" s="1"/>
  <c r="Z1753"/>
  <c r="AB1753" s="1"/>
  <c r="AD1753" s="1"/>
  <c r="AD1749"/>
  <c r="L1652"/>
  <c r="AD1747"/>
  <c r="AD1816" l="1"/>
  <c r="AD1817" s="1"/>
</calcChain>
</file>

<file path=xl/sharedStrings.xml><?xml version="1.0" encoding="utf-8"?>
<sst xmlns="http://schemas.openxmlformats.org/spreadsheetml/2006/main" count="22114" uniqueCount="4654">
  <si>
    <t>Evaluasi Terhadapa Hasil Renja Perangkat Daerah Lingkup Kabupaten/Kota</t>
  </si>
  <si>
    <t>No</t>
  </si>
  <si>
    <t>Sasaran</t>
  </si>
  <si>
    <t>Program</t>
  </si>
  <si>
    <t>(Outcome)/</t>
  </si>
  <si>
    <t>Kegiatan</t>
  </si>
  <si>
    <t>(Output)</t>
  </si>
  <si>
    <t>Target Rensta</t>
  </si>
  <si>
    <t>Perangkat</t>
  </si>
  <si>
    <t>Daerah Pada</t>
  </si>
  <si>
    <t>(Akhir</t>
  </si>
  <si>
    <t>Priode</t>
  </si>
  <si>
    <t>Renstra</t>
  </si>
  <si>
    <t>Daerah )</t>
  </si>
  <si>
    <t>Realisasi</t>
  </si>
  <si>
    <t>Capaian</t>
  </si>
  <si>
    <t>Konerja</t>
  </si>
  <si>
    <t>Daerah</t>
  </si>
  <si>
    <t>Sampai</t>
  </si>
  <si>
    <t>Dengan Renja</t>
  </si>
  <si>
    <t>Tahun Lalu</t>
  </si>
  <si>
    <t>Target Kinerja</t>
  </si>
  <si>
    <t>dan Anggaran</t>
  </si>
  <si>
    <t>Renja</t>
  </si>
  <si>
    <t>Daerah Tahun</t>
  </si>
  <si>
    <t>Berjalan</t>
  </si>
  <si>
    <t>yang</t>
  </si>
  <si>
    <t>dievaluasi</t>
  </si>
  <si>
    <t>Realisasi Kinerja Pada</t>
  </si>
  <si>
    <t>Triwulan</t>
  </si>
  <si>
    <t>I</t>
  </si>
  <si>
    <t>II</t>
  </si>
  <si>
    <t>1V</t>
  </si>
  <si>
    <t xml:space="preserve">Realisai </t>
  </si>
  <si>
    <t>Capaian Kinerja</t>
  </si>
  <si>
    <t xml:space="preserve">dan Anggaran </t>
  </si>
  <si>
    <t>Renja Perangkat</t>
  </si>
  <si>
    <t>Daerah yang</t>
  </si>
  <si>
    <t>Dievaluasi</t>
  </si>
  <si>
    <t>Realisasi  Kinerja</t>
  </si>
  <si>
    <t>Renstra Perangkat</t>
  </si>
  <si>
    <t>Daerah  s/d  Tahun</t>
  </si>
  <si>
    <t>(Akhir Tahun</t>
  </si>
  <si>
    <t>Pelaksanaan  Renja</t>
  </si>
  <si>
    <t>Perangkat Daerah</t>
  </si>
  <si>
    <t>Tingkat Capaian</t>
  </si>
  <si>
    <t>Kinerja Dan Realisasi</t>
  </si>
  <si>
    <t>(%)</t>
  </si>
  <si>
    <t>Unit Perangkat</t>
  </si>
  <si>
    <t>Penanggung</t>
  </si>
  <si>
    <t>Jawab</t>
  </si>
  <si>
    <t>K</t>
  </si>
  <si>
    <t>Faktor Penghambat Pencapaian Kinerja :</t>
  </si>
  <si>
    <t>Faktor Pendorong Keberasilan Kinerja :</t>
  </si>
  <si>
    <t>Tindak Lanjut yang diperlukan dalam triwulan berikutnya *):</t>
  </si>
  <si>
    <t>TindakLanjut yang diperlukan dalam Renja Perangkat Daerah Kabupaten/Kota berikut*) :</t>
  </si>
  <si>
    <t>Disusun</t>
  </si>
  <si>
    <t>....................., tanggal .......................</t>
  </si>
  <si>
    <t>Indikator dan Target Kineja Perangkat Daerah Kabupaten/Kota Yang Mengacu Pada Sasaran RKPD:</t>
  </si>
  <si>
    <t>Program / Kegiatan</t>
  </si>
  <si>
    <t>Kode Rekening</t>
  </si>
  <si>
    <t>14 = 7 +13</t>
  </si>
  <si>
    <t>15 = 14/6 X 100 %</t>
  </si>
  <si>
    <t>Indikator</t>
  </si>
  <si>
    <t>Kinerja</t>
  </si>
  <si>
    <t>02</t>
  </si>
  <si>
    <t>01</t>
  </si>
  <si>
    <t>21</t>
  </si>
  <si>
    <t>51</t>
  </si>
  <si>
    <t>Pengesahan Perubahan Perda RPJMD Kab.Pesisir Selatan</t>
  </si>
  <si>
    <t>Jumlah Dokumen Perencanaan yang disusun dan evaluasi (Dokumen)</t>
  </si>
  <si>
    <t>s/d di Tahun 2018</t>
  </si>
  <si>
    <t>Rp. (000)</t>
  </si>
  <si>
    <t>Program Perencanaan Pembangunan Daerah</t>
  </si>
  <si>
    <t>Tahun 2018</t>
  </si>
  <si>
    <t>Tahun 2021</t>
  </si>
  <si>
    <t>(Tahun 2018)</t>
  </si>
  <si>
    <t>Mewujudkan peencanaan pembangunan berbasis peta berstandar</t>
  </si>
  <si>
    <t>Meningkatkan  keselarasan dokumen perencanaan pembangunan</t>
  </si>
  <si>
    <t>Meningkatkan efektifitas pelaksanaan program/kegiatan pembangunan</t>
  </si>
  <si>
    <t>Terwujudnya akurasi keputusan pembangunan</t>
  </si>
  <si>
    <t xml:space="preserve">Rp. </t>
  </si>
  <si>
    <t>Bapedalitbang</t>
  </si>
  <si>
    <t>Evaluasi RKPD</t>
  </si>
  <si>
    <t>Perda Revisi RPJMD Kab.Pesisir Selatan (Buku)</t>
  </si>
  <si>
    <t>Monitoring, evaluasi, pengendalian dan pelaporan pelaksanaan rencana pemabngunan daerah</t>
  </si>
  <si>
    <t>Laporan evaluasi RKPD tahun berjalan (dokumen)</t>
  </si>
  <si>
    <t>Laporan Monev pelaksanaan Dak dan TP (dokumen)</t>
  </si>
  <si>
    <t>Penyusunan Rancangan RKPD</t>
  </si>
  <si>
    <t>Rata-Rata Capaian Kinerja</t>
  </si>
  <si>
    <t>Peringkat  Kinerja</t>
  </si>
  <si>
    <t>Renja Badan Perencanaan Daerah, Penelitian dan Pengembangan Kabupaten Pesisir Selatan</t>
  </si>
  <si>
    <t>Periode Pelaksanaan:  Triwulan I Tahun 2018</t>
  </si>
  <si>
    <t>08</t>
  </si>
  <si>
    <t>Program Perencanaan Tata Ruang</t>
  </si>
  <si>
    <t>04</t>
  </si>
  <si>
    <t>Pengesahan Perubahan Rencana Tata Ruang Wilayah Kab. Pessel</t>
  </si>
  <si>
    <t>Perbup RKPD (dokumen)</t>
  </si>
  <si>
    <t>Persentase dokumen tata ruang yang ditindak lanjuti (%)</t>
  </si>
  <si>
    <t>Perda Revisi RPJMD Kab.Pesisir Selatan (dokumen)</t>
  </si>
  <si>
    <t>Realisasi Anggaran Seluruh Program</t>
  </si>
  <si>
    <t xml:space="preserve">TOTAL RATA-RATA CAPAIAN KINERJA DAN ANGGARAN DARI SELURUH PROGRAM </t>
  </si>
  <si>
    <t>PERINGKAT KINERJA DARI SELURUH PROGRAM</t>
  </si>
  <si>
    <t>KEPALA BAPEDALITBANG</t>
  </si>
  <si>
    <t>KABUPATEN PESISIR SELATAN</t>
  </si>
  <si>
    <t>........................................</t>
  </si>
  <si>
    <t>KEPALA .. ......</t>
  </si>
  <si>
    <t>00</t>
  </si>
  <si>
    <t>Tersedianya dokumen perencanaan pembangunan jangka menengah yang ditetapkan dengan Perda (1 dokumen)</t>
  </si>
  <si>
    <t>Tersedianya dokumen perencanaan pembangunan tahunan yang ditetapkan dengan Perkada (1 dokumen)</t>
  </si>
  <si>
    <t>Tersedianya dokumen perencanaan tata ruang yang ditetapkan dengan Perda (1 dokumen)</t>
  </si>
  <si>
    <t>EVALUASI TERHADAP HASIL RENCANA KERJA PEMERINTAH DAERAH</t>
  </si>
  <si>
    <t>TRIWULAN I TAHUN 2018</t>
  </si>
  <si>
    <t>URUSAN PEMERINTAHAN WAJIB</t>
  </si>
  <si>
    <t>URUSAN PEMERINTAHAN WAJIB PELAYANAN DASAR</t>
  </si>
  <si>
    <t>URUSAN PENDIDIKAN</t>
  </si>
  <si>
    <t>URUSAN KESEHATAN</t>
  </si>
  <si>
    <t>URUSAN PEKERJAAN UMUM DAN PENATAAN RUANG</t>
  </si>
  <si>
    <t>Indikator Kinerja Program (Outcome)/(Output)</t>
  </si>
  <si>
    <t>Target Kinerja dan Anggaran RKPD Kabupaten Pesisir Selatan Tahun Berjalan (2018) yang Dievaluasi</t>
  </si>
  <si>
    <t>Realisasi Kinerja Pada Triwulan</t>
  </si>
  <si>
    <t>Target RPJMD Kabupaten Pesisir Selatan pada Tahun 2021</t>
  </si>
  <si>
    <t>III</t>
  </si>
  <si>
    <t>IV</t>
  </si>
  <si>
    <t>rusan/Bidang Urusan Pemerintahan Daerah Dan Program/Kegiatan</t>
  </si>
  <si>
    <t>Tingkat Capaian Kinerja dan Realisasi Anggaran RPJMD Kabupaten/kota s/d Tahun 2018 
(%)</t>
  </si>
  <si>
    <t>SKPD Penanggung Jawab</t>
  </si>
  <si>
    <t>Capaian Kinerja RPJMD Kabupaten Pesisir Selatan sampai dengan RKPD  Tahun Lalu (2017)</t>
  </si>
  <si>
    <t>Realisasi Kinerja dan Anggaran RPJMD s/d Tahun 2018 (Akhir Tahun Pelaksanaan RKPD tahun 2018)</t>
  </si>
  <si>
    <t>Realisasi Capaian 
Kinerja dan Anggaran RKPD  yang 
Dievaluasi</t>
  </si>
  <si>
    <t>URUSAN PERUMAHAN RAKYAT DAN KAWASAN PEMUKIMAN</t>
  </si>
  <si>
    <t>URUSAN SOSIAL</t>
  </si>
  <si>
    <t>URUSAN KETENTRAMAN, KETERTIBAN UMUM, DAN PERLINDUNGAN MASYARAKAT</t>
  </si>
  <si>
    <t>URUSAN TENAGA KERJA</t>
  </si>
  <si>
    <t>URUSAN PEMERINTAHAN WAJIB NON PELAYANAN DASAR</t>
  </si>
  <si>
    <t>URUSAN PEMBERDAYAAN PEREMPUAN DAN PERLINDUNGAN ANAK</t>
  </si>
  <si>
    <t>URUSAN PANGAN</t>
  </si>
  <si>
    <t>URUSAN PERTANAHAN</t>
  </si>
  <si>
    <t>URUSAN LINGKUNGAN HIDUP</t>
  </si>
  <si>
    <t>URUSAN ADMINISTRASI KEPENDUDUKAN DAN PENCATATAN SIPIL</t>
  </si>
  <si>
    <t>URUSAN PEMBERDAYAAN MASYARAKAT DAN DESA</t>
  </si>
  <si>
    <t>URUSAN PENGENDALIAN PENDUDUK DAN KELUARGA BERENCANA</t>
  </si>
  <si>
    <t>URUSAN PERHUBUNGAN</t>
  </si>
  <si>
    <t>URUSAN KOMUNIKASI DAN INFORMATIKA</t>
  </si>
  <si>
    <t>URUSAN KOPERASI, USAHA KECIL DAN MENENGAH</t>
  </si>
  <si>
    <t>URUSAN PENANAMAN MODAL DAN PELAYANAN PERIZINAN</t>
  </si>
  <si>
    <t>1</t>
  </si>
  <si>
    <t>Penyediaan Jasa Komunikasi, Sumber Daya Air dan Listrik</t>
  </si>
  <si>
    <t>Penyediaan jasa administrasi keuangan</t>
  </si>
  <si>
    <t>Penyediaan Jasa Kebersihan Kantor</t>
  </si>
  <si>
    <t>Penyediaan Alat Tulis Kantor</t>
  </si>
  <si>
    <t>Penyediaan Barang Cetakan dan Penggandaan</t>
  </si>
  <si>
    <t>Penyediaan Komponen Instalasi Listrik/Penerangan Bangunan Kantor</t>
  </si>
  <si>
    <t>Penyedian peralatan dan perlengkapan kantor</t>
  </si>
  <si>
    <t>-</t>
  </si>
  <si>
    <t>15</t>
  </si>
  <si>
    <t>Penyediaan Bahan Bacaan dan Peraturan Perundang-undangan</t>
  </si>
  <si>
    <t>Penyediaan Makanan dan Minuman</t>
  </si>
  <si>
    <t>Rapat-rapat Koordinasi dan Konsultasi ke Luar Daerah</t>
  </si>
  <si>
    <t>Rapat-rapat Koordinasi dan Konsultasi Dalam Daerah</t>
  </si>
  <si>
    <t>12</t>
  </si>
  <si>
    <t>05</t>
  </si>
  <si>
    <t>Program Peningkatan Sarana dan Prasarana Aparatur</t>
  </si>
  <si>
    <t>22</t>
  </si>
  <si>
    <t>42</t>
  </si>
  <si>
    <t>24</t>
  </si>
  <si>
    <t>16</t>
  </si>
  <si>
    <t>18</t>
  </si>
  <si>
    <t>Penunjang Operasional Perencanaan dan Pelaporan</t>
  </si>
  <si>
    <t>URUSAN KEPEMUDAAN DAN OLAHRAGA</t>
  </si>
  <si>
    <t>URUSAN STATISTIK</t>
  </si>
  <si>
    <t>URUSAN PERSANDIAN</t>
  </si>
  <si>
    <t>URUSAN KEBUDAYAAN</t>
  </si>
  <si>
    <t>Program Pengembangan Nilai Budaya</t>
  </si>
  <si>
    <t>Persentase seni budaya yang dilestarikan</t>
  </si>
  <si>
    <t>Dinas Pendiidkan dan Kebudayaan</t>
  </si>
  <si>
    <t>Pagelaran Seni dan Budaya</t>
  </si>
  <si>
    <t>Terlaksananya pagelaran seni dan budaya tingkat Kabupaten dan Provinsi</t>
  </si>
  <si>
    <t>28</t>
  </si>
  <si>
    <t>Fasilitasi dan Kegiatan Pendamping Festival Seni dan Budaya</t>
  </si>
  <si>
    <t>Terlaksananya fasilitasi dan kegiatan pendamping festival budaya maritim 2018</t>
  </si>
  <si>
    <t>34</t>
  </si>
  <si>
    <t>Pengiriman Tim Kesenian</t>
  </si>
  <si>
    <t>46</t>
  </si>
  <si>
    <t>Sumarak Pesisir Selatan</t>
  </si>
  <si>
    <t>Perawatan Cakar Budaya. Museum dan Peninggalan bawah air</t>
  </si>
  <si>
    <t>Program Pengelolaan Kekayaan Budaya</t>
  </si>
  <si>
    <t>Persentase cagar budaya yang dilestarikan</t>
  </si>
  <si>
    <t>Penyusunan Perda tentang Kurikulum Muatan Lokal BAMK Berbasis ABS-SBK</t>
  </si>
  <si>
    <t>Ranperda tentang kurikulum muatan lokal BAMK berbasis ABS-SBK</t>
  </si>
  <si>
    <t>Paket Seni Tradisional dan Moderen</t>
  </si>
  <si>
    <t xml:space="preserve">Terlaksananya 6 (enam) paket seni </t>
  </si>
  <si>
    <t>Pendokumentasian Simbol-simbol Adat Pada Setiap Nagari Yang Ada di Kabupaten Pesisir Selatan</t>
  </si>
  <si>
    <t>60 simbol adat atau karya adat di 15 kecamatan</t>
  </si>
  <si>
    <t>URUSAN PERPUSTAKAAN</t>
  </si>
  <si>
    <t>Penyediaan jasa komunikasi, sumber daya air dan listrik</t>
  </si>
  <si>
    <t>03</t>
  </si>
  <si>
    <t>06</t>
  </si>
  <si>
    <t>07</t>
  </si>
  <si>
    <t>Penyediaan jasa administrasi keuangan</t>
  </si>
  <si>
    <t>Penyediaan jasa kebersihan kantor</t>
  </si>
  <si>
    <t>09</t>
  </si>
  <si>
    <t>10</t>
  </si>
  <si>
    <t>Penyediaan Alat Tulis Kantor</t>
  </si>
  <si>
    <t>Penyediaan barang cetakan dan penggandaan</t>
  </si>
  <si>
    <t>Penyediaan komponen instalasi listrik/penerangan bangunan kantor</t>
  </si>
  <si>
    <t>Penyediaan makanan dan minuman</t>
  </si>
  <si>
    <t>Rapat-rapat kordinasi dan konsultasi ke luar daerah</t>
  </si>
  <si>
    <t>Rapat-rapat Koordinasi dan Konsultasi Dalam Daerah</t>
  </si>
  <si>
    <t>Pendidikan dan Pelatihan Formal</t>
  </si>
  <si>
    <t>URUSAN KEARSIPAN</t>
  </si>
  <si>
    <t>URUSAN PEMERINTAHAN PILIHAN</t>
  </si>
  <si>
    <t>URUSAN PERIKANAN</t>
  </si>
  <si>
    <t>URUSAN PARIWISATA</t>
  </si>
  <si>
    <t>URUSAN PERTANIAN</t>
  </si>
  <si>
    <t>URUSAN PERDAGANGAN</t>
  </si>
  <si>
    <t>URUSAN PERINDUSTRIAN</t>
  </si>
  <si>
    <t>URUSAN TRANSMIGRASI</t>
  </si>
  <si>
    <t>PENUNJANG URUSAN</t>
  </si>
  <si>
    <t>PERENCANAAN</t>
  </si>
  <si>
    <t>KEUANGAN</t>
  </si>
  <si>
    <t>Program Pelayanan Administrasi Perkantoran</t>
  </si>
  <si>
    <t>BADAN PENGELOLA KEUANGAN DAERAH</t>
  </si>
  <si>
    <t>Penyediaan makanan dan minuman</t>
  </si>
  <si>
    <t>Pemeliharaan Rutin/Berkala Kendaraan Dinas/Operasional</t>
  </si>
  <si>
    <t>Pemeliharaan Rutin/Berkala Perlengkapan Gedung Kantor</t>
  </si>
  <si>
    <t>Program Peningkatan Kapasitas Sumber Daya Aparatur</t>
  </si>
  <si>
    <t>Program Peningkatan Pengembangan Sistem Pelaporan Capaian Kinerja dan Keuangan</t>
  </si>
  <si>
    <t xml:space="preserve"> </t>
  </si>
  <si>
    <t>Adanya/Tersedianya Komunikasi, Sumber Daya Air dan Listrik  pada kantor</t>
  </si>
  <si>
    <t>Penyedia Jasa Administrasi Keuangan</t>
  </si>
  <si>
    <t>Tersedianya Jasa Administras Keuangan</t>
  </si>
  <si>
    <t>Penyedia Jasa Kebersihan Kantor</t>
  </si>
  <si>
    <t>Tersedianya Jasa kebersihan kantor</t>
  </si>
  <si>
    <t>Tersediannya Alat tulis Kantor Dinas Pendidikan dan Kebudayaan</t>
  </si>
  <si>
    <t>Penyediaan Barang Cetak dan Pengadaan</t>
  </si>
  <si>
    <t>Tesedianya Barang cetakan dan Pengadaan di Dinas Pendidikan dan Kebudayaan</t>
  </si>
  <si>
    <t>Tersedianya komponen instalasi listrik Dinas Pendidikan dan Kebudayaan</t>
  </si>
  <si>
    <t>Penyediaan Peralatan dan Perlengkapan Kantor</t>
  </si>
  <si>
    <t>Tersedianya fasilitas/peralatan pendukung/penunjang  untuk Kelancaran pelaksanaan pekerjaan aparatur dalam rangka pelayanan administrasi perkantoran</t>
  </si>
  <si>
    <t>Penyediaan Bahan Bacaan dan peraturan Perundang-undagan</t>
  </si>
  <si>
    <t>Tersedianya Bahan Bacaan dan Peratruan Perundang-undangan</t>
  </si>
  <si>
    <t xml:space="preserve">Penyediaan Mankanan dan Minuman </t>
  </si>
  <si>
    <t>Tersedianya Makan Minum Pegawai</t>
  </si>
  <si>
    <t>Rapat-Rapat Koordinasi dan Konsultasi Keluar Daerah</t>
  </si>
  <si>
    <t>Terlaksananya rapat koordinas keluar daerah</t>
  </si>
  <si>
    <t>Rapat-Rapat Koordinasi dan Konsultasi Dalam Daerah</t>
  </si>
  <si>
    <t>Terlaksananya rapat koordinasi dalam daerah</t>
  </si>
  <si>
    <t>Jumlah dokumen perencanaan dan pelaporan</t>
  </si>
  <si>
    <t>Penyediaan Biaya Operasional Unit kerja Bawahan</t>
  </si>
  <si>
    <t>Tercapainya kegiatan Penyediaan Biaya Operasiaonal Unit Kerja Bawahan</t>
  </si>
  <si>
    <t>Penyediaan Jasa Tenaga Kerja Non PNS</t>
  </si>
  <si>
    <t>Tersedianya tenaga guru di lingkungan sekolah tingkat  SD dan SMP dalam rangka peningkatan mutu pendidikan di tingkat dasar dan tenaga pegawai 
pada Kantor Dinas Pendidikan dan Kebudayaan dalam rangka pelayanan adminstasi perkantoran</t>
  </si>
  <si>
    <t>Peringatan Hari-Hari Besar Nasional</t>
  </si>
  <si>
    <t xml:space="preserve">Sebagai perwujudan nyata keikutsertaan Dinas Pendidikan dan Kebudayaan  dalam memperingati  Hari-Hari Besar Nasional </t>
  </si>
  <si>
    <t>Operasional UPTD Pendidikan dan Kebuayaan</t>
  </si>
  <si>
    <t>Tersedianya Operasiaonal UPTD Pendidikan dan Kebudayaan</t>
  </si>
  <si>
    <t>Program Peningkatan Sarana dan Prasarana Aparatur</t>
  </si>
  <si>
    <t>Pemeliharaan Rutin/Berkala Gedung Kantor</t>
  </si>
  <si>
    <t>Tersedianya bangunan yang aman dan nyaman untuk suasana kerja</t>
  </si>
  <si>
    <t>Pemeliharaan Rutin / Berkala Kendaraan Dinas/Operasiaonal</t>
  </si>
  <si>
    <t>Terpeliharanya secara berkala kendaraan dinas untuk operasional</t>
  </si>
  <si>
    <t>Pemeliharan Rutin / berkala Alat - Alat Kantor</t>
  </si>
  <si>
    <t>Terpeliharanya Alat-alat Kantor</t>
  </si>
  <si>
    <t>Program Peningkatan Kapasitas  Sumber Daya Aparatur</t>
  </si>
  <si>
    <t>Menghasilan tenaga ASN yang berkualitas</t>
  </si>
  <si>
    <t>Bimbingan Teknis Implementasi Peraturan Perundang-undangan</t>
  </si>
  <si>
    <t>Tterlaksananya Bintek Kepegawaian</t>
  </si>
  <si>
    <t>Pelatihan Penatausahaan Keuangan</t>
  </si>
  <si>
    <t>Menghasilan tenaga keuangan yang berkualitas</t>
  </si>
  <si>
    <t>Program Wajib Belajar Pendidikan Dasar Sembilan Tahun</t>
  </si>
  <si>
    <t>Persentase Kenaikan APK SD</t>
  </si>
  <si>
    <t>Persentase Kenaikan APM SD</t>
  </si>
  <si>
    <t>Persentase Kenaikan APK SMP</t>
  </si>
  <si>
    <t>Persentase Kenaikan APM SMP</t>
  </si>
  <si>
    <t>Pembangunan Taman, Lapangan Upacara dan Fasilitas Parkir</t>
  </si>
  <si>
    <t>Terpenuhinya kebutuhan prasarana parkir di sekolah</t>
  </si>
  <si>
    <t>100</t>
  </si>
  <si>
    <t>Pembangunan / Rehabilitasi Gedung dan Pengadaan Sarana dan Prasarana Sekolah Dasar (DAK Reguler 2018)</t>
  </si>
  <si>
    <t>Rehabilitasi Ruang Kelas, Pembangunan RKB, Jamban, Koleksi Perpustakaan</t>
  </si>
  <si>
    <t>Lomba Peningkatan Pendidikan Sekolah Menengah Pertama</t>
  </si>
  <si>
    <t>Lomba-lomba bagi siswa SMP yang menghasilkan utusan ke tingkat Propinsi dan Nasional</t>
  </si>
  <si>
    <t>104</t>
  </si>
  <si>
    <t>Operasional Sarana Mobilitas Daerah Terpencil</t>
  </si>
  <si>
    <t>Operasional Kapal dan Pemeliharaan Kapal SMPN 6 Koto XI Tarusan</t>
  </si>
  <si>
    <t>106</t>
  </si>
  <si>
    <t>Monitoring, Evaluasi Penggunaan  Dana BOS SMP</t>
  </si>
  <si>
    <t>Tercapainya Monitoring Evaluasi Penggunaan Dana BOS SMP</t>
  </si>
  <si>
    <t>117</t>
  </si>
  <si>
    <t>Pengadaan Mobiler Sekolah SMP</t>
  </si>
  <si>
    <t>125</t>
  </si>
  <si>
    <t>Penyelenggaraan Gebyar Pendidikan Tingkat Provinsi dan Pusat</t>
  </si>
  <si>
    <t>Perlombaan diBidang Seni</t>
  </si>
  <si>
    <t>59</t>
  </si>
  <si>
    <t>Penyelenggraan Tingkat Satuan Pendidikan Sekolah Menengah Pertama</t>
  </si>
  <si>
    <t>Tersusun naskah soal Penilaian Tengah Semester, Penilaian Akhir Semester, Pra Un dan Soal USBN tingkat SMP</t>
  </si>
  <si>
    <t>129</t>
  </si>
  <si>
    <t>Pengadaan Komputer Ujian Nasional Berbasis Komputer (UNBK) dan Ujian Kompetensi Guru (UKG)</t>
  </si>
  <si>
    <t>Terpenuhinya prasarana komputer untuk ujian nasional berbasis komputer (UNBK)</t>
  </si>
  <si>
    <t>131</t>
  </si>
  <si>
    <t>Pembangunan / Rehabilitasi Gedung dan Pengadaan Sarana dan Prasarana Sekolah Dasar  (DAK Afirmasi 2018)</t>
  </si>
  <si>
    <t>Pembangunan Rumah Dinas Guru</t>
  </si>
  <si>
    <t>132</t>
  </si>
  <si>
    <t>Pemb./Rehabilitasi Gedung dan Pengadaan Sarpras SMP (DAK Reguler 2018)</t>
  </si>
  <si>
    <t>Terpenuhinya kebutuhan sarpras dan tersedianya bangunan yang representatif di sekolah</t>
  </si>
  <si>
    <t>133</t>
  </si>
  <si>
    <t>Pemb./Rehabilitasi Gedung dan Pengadaan Sarpras SMP (DAK Afirmasi 2018)</t>
  </si>
  <si>
    <t>Tersedianya rumah dinas guru di sekolah</t>
  </si>
  <si>
    <t xml:space="preserve">Pengadaan Alat Praktik dan Peraga Siswa </t>
  </si>
  <si>
    <t>Pengadaan Alat Drum Band</t>
  </si>
  <si>
    <t>di rka 75 juta</t>
  </si>
  <si>
    <t>Rehabilitasi Sedang/Berat Taman, Lapangan Upacara dan Fasilitas Parkir</t>
  </si>
  <si>
    <t>Pembangunan Lapangan Upacara dan Pagar SD 38 Api-api</t>
  </si>
  <si>
    <t>127</t>
  </si>
  <si>
    <t>Pelatihan Penyusunan Kurikulum</t>
  </si>
  <si>
    <t>terlaksana pelatihan bagi Tim Pengembang Kurikulum Kabupaten dan dokumen kurikulum SD dan SMP telah diverifikasi dan divalidasi</t>
  </si>
  <si>
    <t>70</t>
  </si>
  <si>
    <t>Pembinaan Minat, Bakat dan Kreativitas Siswa</t>
  </si>
  <si>
    <t>Lomba O2SN dan FLS2N</t>
  </si>
  <si>
    <t>Penyelenggaraan Akreditasi Sekolah Dasar</t>
  </si>
  <si>
    <t>Penilaian Akreditasi SD dan SMP dengan Nilai B</t>
  </si>
  <si>
    <t>80</t>
  </si>
  <si>
    <t>Penyelenggara Pendidikan Sekolah Dasar</t>
  </si>
  <si>
    <t>Persiapan Ujian di Sekolah Dasar (naskah soal)</t>
  </si>
  <si>
    <t>81</t>
  </si>
  <si>
    <t>Lomba Tingkat Pendidikan Sekolah Dasar</t>
  </si>
  <si>
    <t>Lomba Matematika dan Sains tingkat SD</t>
  </si>
  <si>
    <t>83</t>
  </si>
  <si>
    <t>Monitoring, Evaluasi Penggunaan  Dana BOS SD</t>
  </si>
  <si>
    <t>Tercapainya Monitoring Evaluasi Penggunaan Dana BOS SD</t>
  </si>
  <si>
    <t>Sosialisasi dan Informasi Pendidikan Dasar</t>
  </si>
  <si>
    <t>Terlaksananya Sosialisasi dan Informasi Pendidikan Dasar</t>
  </si>
  <si>
    <t>944 (thn 2017) = kolom 7</t>
  </si>
  <si>
    <t>87</t>
  </si>
  <si>
    <t>Penyelenggaraan Pendidikan Karakter di Pendidikan Dasar</t>
  </si>
  <si>
    <t>Memberikan Pelatihan kepada guru-guru SD</t>
  </si>
  <si>
    <t>88</t>
  </si>
  <si>
    <t>Pembangunan Ruang Kelas Baru SD</t>
  </si>
  <si>
    <t>93</t>
  </si>
  <si>
    <t>Pengadaan Mobiler Sekolah SD</t>
  </si>
  <si>
    <t>'94</t>
  </si>
  <si>
    <t>Pembangunan Pagar SD</t>
  </si>
  <si>
    <t xml:space="preserve">Pembangunan Pagar Sekolah </t>
  </si>
  <si>
    <t>Program pendidikan anak usia dini</t>
  </si>
  <si>
    <t xml:space="preserve">Persentase Kenaikan APK PAUD </t>
  </si>
  <si>
    <t>45</t>
  </si>
  <si>
    <t>Lomba Tingkat Pendidikan Anak Usia Dini/Taman Kanak-kanak</t>
  </si>
  <si>
    <t>47</t>
  </si>
  <si>
    <t>Pelatihan Verifikasi Bantuan Program PTK PAUD</t>
  </si>
  <si>
    <t>48</t>
  </si>
  <si>
    <t>Pembinaan pada Lembaga PAUD Percontohan</t>
  </si>
  <si>
    <t>58</t>
  </si>
  <si>
    <t>Penyelenggaraan Koordinasi dan Kerjasama PAUD</t>
  </si>
  <si>
    <t>Program Pendidikan Non Formal</t>
  </si>
  <si>
    <t>Persentase kenaikan angka melek aksara penduduk dewasa usia di atas 15 tahun</t>
  </si>
  <si>
    <t>Pemberdayaan Tenaga Pendidik Non Formal</t>
  </si>
  <si>
    <t>Kelancaran pelaksanaan pelatihan tutor fungsional</t>
  </si>
  <si>
    <t>19</t>
  </si>
  <si>
    <t>Pelatihan LKP dan PKBM</t>
  </si>
  <si>
    <t>Meningkatnya mutu SDM Pengelola LKP dan PKBM</t>
  </si>
  <si>
    <t>23</t>
  </si>
  <si>
    <t>Penyelengaraan Paket C Setara SMA</t>
  </si>
  <si>
    <t>Terlaksananya Pendidikan Non Formal</t>
  </si>
  <si>
    <t>27</t>
  </si>
  <si>
    <t>Penyelenggaraan Pendidikan keluarga</t>
  </si>
  <si>
    <t>Terlaksananya sosialisasi pada guru PAUD tentang Pendidikan Keluarga</t>
  </si>
  <si>
    <t>Pelaksanaan UNPK B</t>
  </si>
  <si>
    <t>Berkurangnya anak-anak putus sekolah setara SMP</t>
  </si>
  <si>
    <t>29</t>
  </si>
  <si>
    <t>Pelaksanaan UNPK C</t>
  </si>
  <si>
    <t>Berkurangnya anak-anak putus sekolah setara SMA</t>
  </si>
  <si>
    <t>Hari Aksara Internasional (HAI)</t>
  </si>
  <si>
    <t>Bertambah wawasan dan pengembangan peserta lomba</t>
  </si>
  <si>
    <t>30</t>
  </si>
  <si>
    <t>Pelatihan Tutor Paket C</t>
  </si>
  <si>
    <t>Meningkatnya SDM Tutor Paket C</t>
  </si>
  <si>
    <t>20</t>
  </si>
  <si>
    <t>Program Peningkatan Mutu Pendidik dan Tenaga Kependidikan</t>
  </si>
  <si>
    <t>Jumlah guru SD dan SMP  Profesional</t>
  </si>
  <si>
    <t>Jumlah Kepala Sekolah Profesional</t>
  </si>
  <si>
    <t>Jumlah Pengawas Sekolah Profesional</t>
  </si>
  <si>
    <t>Pelaksanaan Sertifikasi Pendidik</t>
  </si>
  <si>
    <t>Terseleksinya bahan bahan sertifikasi guru sesuai dengan petunjuk teknis aturan sertifikasi</t>
  </si>
  <si>
    <t>Pembinaan Pusat Pendidikan dan Pelatihan Guru (PPPPG)</t>
  </si>
  <si>
    <t>Mengaktifkan Kegiatan Komunitas guru KKG dan MGMP</t>
  </si>
  <si>
    <t>Pengembangan mutu dan kualitas program pendidikan dan pelatihan bagi pendidik dan tenaga kependidikan</t>
  </si>
  <si>
    <t>Terlaksananya Diklat Manajemen kepala sekolah untuk pelatihan Asesor Penilaian kinerja</t>
  </si>
  <si>
    <t>Pengembangan sistem pendataan dan pemetaan pendidik dan tenaga kependidikan</t>
  </si>
  <si>
    <t>Dokumen analisis kebutuhan guru SD dan SMP</t>
  </si>
  <si>
    <t>Pengembangan Sistem Penghargaan dan Perlindungan terhadap Profesi Pendidik</t>
  </si>
  <si>
    <t>Terdapatnya guru, kepala sekolah dan pengawas berprestasi jenjang TK, SD dan SMP</t>
  </si>
  <si>
    <t>13</t>
  </si>
  <si>
    <t>Penilaian Angka Kredit Tenaga Pendidik</t>
  </si>
  <si>
    <t>Terlaksannya Penilaian Angka Kredit Tenaga Pendidik</t>
  </si>
  <si>
    <t>Sosialisasi juknis pelaksanaan jabatan fungsional guru dan angka kredit guru</t>
  </si>
  <si>
    <t>Terlaksannya Sosialisasi  Juknis</t>
  </si>
  <si>
    <t>14</t>
  </si>
  <si>
    <t>Pelatihan Kompetensi Tenaga Pendidik</t>
  </si>
  <si>
    <t>Terlaksananya Bimtek guru SMP mapel UN</t>
  </si>
  <si>
    <t>31</t>
  </si>
  <si>
    <t>Meningkatnya kopetensi tenaga pendidik PAUD</t>
  </si>
  <si>
    <t>32</t>
  </si>
  <si>
    <t>Magang Tenaga Pendidik PAUD</t>
  </si>
  <si>
    <t>39</t>
  </si>
  <si>
    <t>Bimtek Peningkatan Kompetensi Guru SD</t>
  </si>
  <si>
    <t>Peningkatan mutu pendidikan dengan toreasinya guru kelas SD 1 sampai kelas VI</t>
  </si>
  <si>
    <t>Pembinaan Tim Evaluasi Pembuatan Master Soal SMP</t>
  </si>
  <si>
    <t>Terlaksana pembinaan bagi tim evaluasi tingkat SMP kabupaten Pesisir Selatan</t>
  </si>
  <si>
    <t>Penilaian Hasil Belajar Tingkat Satuan Pendidikan</t>
  </si>
  <si>
    <t>Tersedia aplikasi E-rapor siswa SMP</t>
  </si>
  <si>
    <t>Penyediaan Jasa Tenaga Pendidik Non PNS</t>
  </si>
  <si>
    <t>Terlsedianya Jasa Tenaga Kerja Non PNS</t>
  </si>
  <si>
    <t>Program Manajemen Pelayanan Pendidikan</t>
  </si>
  <si>
    <t>Persentase SD  Berakreditasi B</t>
  </si>
  <si>
    <t>Persentase SMP Berakreditasi B</t>
  </si>
  <si>
    <t>Penerapan Sistem dan Informasi Manajemen Pendidikan</t>
  </si>
  <si>
    <t>Tersedianya media informasi manajemen pendidikan</t>
  </si>
  <si>
    <t>11</t>
  </si>
  <si>
    <t>Sosialisasi dan updating data pokok pendidikan (Dapodik)</t>
  </si>
  <si>
    <t>Jumlah sekolah yang memahami aplikasi dapodik setiap tahunnya</t>
  </si>
  <si>
    <t>Penyelenggaraan Akademi Komunitas</t>
  </si>
  <si>
    <t>Menyelenggarakan Akademi Komunitas</t>
  </si>
  <si>
    <t>Monitoring, Evaluasi dan Pelaporan ( Pelaksanaan Ujian Nasional )</t>
  </si>
  <si>
    <t>Terlaksana kegiatan monitoring dan evaluasi pelaksanaan ujian ujian di SD dan SMP</t>
  </si>
  <si>
    <t>Pendataan dan Pemetaan Capaian Standar Pelayanan Minimal (SPM) Bidang Pendidikan</t>
  </si>
  <si>
    <t>Jumlah sekolah yang telah terpetakan SPM</t>
  </si>
  <si>
    <t>Pengembangan Sistem Perencanaan Data Penjaminan Mutu Pendidikan</t>
  </si>
  <si>
    <t>Jumlah sekolah yang telah terpetakan  8 SNP</t>
  </si>
  <si>
    <t>Pelestarian nilai-nilai seni dan budaya</t>
  </si>
  <si>
    <t>BUDAYA</t>
  </si>
  <si>
    <t>Jumlah pengelola PAUD yang mengikuti pelatihan verifikasi PTK PAUD</t>
  </si>
  <si>
    <t>Jumlah peserta didik PAUD yang berpartisipasi dalam lomba tingkat kabupaten dan provinsi</t>
  </si>
  <si>
    <t>Jumlah PAUD yang dibina</t>
  </si>
  <si>
    <t>Jumlah PAUD yang dikoordinasikan</t>
  </si>
  <si>
    <t>Jumlah Tenaga Pendidik yang mengikuti magang</t>
  </si>
  <si>
    <t>Jumlah Event yang diikuti</t>
  </si>
  <si>
    <t>Jumlah Event yang diselenggarakan</t>
  </si>
  <si>
    <t>Jumlah cagar budaya (peninggalan sejarah, museum, dan peninggalan bawah air) yang dipelihara</t>
  </si>
  <si>
    <t>Meningkatkan pelayanan administrasi perkantoran</t>
  </si>
  <si>
    <t>Jumlah cakupan pelayanan admnistrasi perkantoran</t>
  </si>
  <si>
    <t>Dinas Pangan</t>
  </si>
  <si>
    <t>Terlaksananya pembayaran rekening listrik, air, telpon dan faks(bulan)</t>
  </si>
  <si>
    <t>Terlaksananya pembayaran honor dan operasional pengelola keuangan (bulan)</t>
  </si>
  <si>
    <t>Tersedianya alat tulis kantor (bulan)</t>
  </si>
  <si>
    <t>Tersedianya barang cetakan dan penggandaan (bulan)</t>
  </si>
  <si>
    <t>Tersedianya komponen instalasi listrik dan penerangan (bulan)</t>
  </si>
  <si>
    <t>Tersedianya jasa kebersihan dan bahan kebersihan kantor (bulan)</t>
  </si>
  <si>
    <t>Tersedianya  Bahan Bacaan dan Peraturan Perundang-undangan (bulan)</t>
  </si>
  <si>
    <t>17</t>
  </si>
  <si>
    <t>Tersedianya  Makanan dan Minuman (bulan)</t>
  </si>
  <si>
    <t>Tersedianya dana untuk Rapat-rapat Koordinasi dan Konsultasi ke Luar Daerah (bulan)</t>
  </si>
  <si>
    <t>Tersedianya dana untuk Rapat-rapat Koordinasi dan Konsultasi Dalam Daerah (bulan)</t>
  </si>
  <si>
    <t>Meningkatkan pelayanan sarana dan prasarana penunjang bagi aparatur</t>
  </si>
  <si>
    <t>Meningkatnya kecukupan sarana dan prasarana aparatur (persentase)</t>
  </si>
  <si>
    <t>Pengadaan Peralatan Gedung Kantor</t>
  </si>
  <si>
    <t>Tersedianya 1 unit komputer dan printer (unit)</t>
  </si>
  <si>
    <t>Terpeliharanya peralatan kantor (bulan)</t>
  </si>
  <si>
    <t>Pemeliharaan Rutin/Berkala Kendaraan Dinas/ Operasional</t>
  </si>
  <si>
    <t xml:space="preserve">Tersedianya Pemeliharaan Rutin/Berkala Kendaraan Dinas/Operasional (bulan) </t>
  </si>
  <si>
    <t>26</t>
  </si>
  <si>
    <t>Terpeliharanya perlengkapan kantor  (bulan)</t>
  </si>
  <si>
    <t xml:space="preserve">Meningkatkan ketersediaan pangan </t>
  </si>
  <si>
    <t>Program Peningkatan Ketahanan Pangan (Pertanian/ Perkebunan)</t>
  </si>
  <si>
    <t xml:space="preserve">Ketersediaan Energi (kkal/kapita/hari) </t>
  </si>
  <si>
    <t xml:space="preserve"> Protein (gram/kapita/hari)</t>
  </si>
  <si>
    <t>Penanganan Daerah Rawan Pangan</t>
  </si>
  <si>
    <t>Terlaksananya penanganan kasus pada daerah rawan pangan (kk)</t>
  </si>
  <si>
    <t>Pengembangan Desa Mandiri Pangan</t>
  </si>
  <si>
    <t>Jumlah kelompok desa mandiri pangan yang aktif (kelompok)</t>
  </si>
  <si>
    <t>43</t>
  </si>
  <si>
    <t>Penguatan Kelembagaan Cadangan Pangan Masyarakat</t>
  </si>
  <si>
    <t>Jumlah kelompok lumbung pangan yang aktif  (kelompok)</t>
  </si>
  <si>
    <t>Pemantauan Produksi Pangan, Jaringan Distribusi, Pasokan Pangan dan HBKN</t>
  </si>
  <si>
    <t>Tersedianya informasi produksi pangan, jaringan distribusi, pasokan pangan, dan HBKN di 15 Kecamatan (bulan)</t>
  </si>
  <si>
    <t>Penguatan Cadangan Pangan Pemerintah Kabupaten</t>
  </si>
  <si>
    <t>Tersedianya cadangan pangan pemerintah kabupaten pesisir selatan (ton)</t>
  </si>
  <si>
    <t>52</t>
  </si>
  <si>
    <t>Pengembangan Penguatan Lembaga Distribusi Pangan Masyarakat (P-LDPM)</t>
  </si>
  <si>
    <t>Jumlah LDPM  yang aktif (kelompok)</t>
  </si>
  <si>
    <t>57</t>
  </si>
  <si>
    <t>Pengembangan Kawasan Mandiri Pangan</t>
  </si>
  <si>
    <t>Terbentuknya kawasan mandiri pangan (nagari)</t>
  </si>
  <si>
    <t>61</t>
  </si>
  <si>
    <t>Penyusunan Data Base Ketahanan Pangan</t>
  </si>
  <si>
    <t>Tersusunnya dokumen database ketahanan pangan</t>
  </si>
  <si>
    <t>64</t>
  </si>
  <si>
    <t>Pengembangan Usaha Pangan Masyarakat/TTI</t>
  </si>
  <si>
    <t>Terlaksananya pembinaan TTI yang sudah terbentuk (kelompok)</t>
  </si>
  <si>
    <t>68</t>
  </si>
  <si>
    <t>Analisis Ketersediaan Pangan Berdasarkan Analisa Neraca Bahan Makanan (NBM)</t>
  </si>
  <si>
    <t>Jumlah dokumen analisis ketersediaan pangan (dokumen)</t>
  </si>
  <si>
    <t>69</t>
  </si>
  <si>
    <t>Pengembangan Sistem Kewaspadaan Pangan dan Gizi (SKPG)</t>
  </si>
  <si>
    <t>Tersedianya laporan kewaspadaan pangan (bulan)</t>
  </si>
  <si>
    <t>4.</t>
  </si>
  <si>
    <t>Meningkatkan penganekaragaman konsumsi pangan</t>
  </si>
  <si>
    <t>Program Peningkatan diversifikasi dan ketahanan pangan masyarakat</t>
  </si>
  <si>
    <t xml:space="preserve">Tingkat Konsumsi Energi (kkal/kapita/hari </t>
  </si>
  <si>
    <t>Protein (gram/kapita/hari)</t>
  </si>
  <si>
    <t>Peningkatan dan Pengembangan Promosi Penganekaragaman Konsumsi Pangan</t>
  </si>
  <si>
    <t>Jumlah pameran/promosi pangan yang diikuti (kali)</t>
  </si>
  <si>
    <t>Percepatan Penganekaragaman Konsumsi Pangan (Kelompok)</t>
  </si>
  <si>
    <t>Jumlah KRPL yang dibina dan dokumen identifikasi Calon Lokasi KRPL</t>
  </si>
  <si>
    <t>Peningkatan Penanganan Keamanan Pangan Tingkat Produsen dan Konsumen (kali)</t>
  </si>
  <si>
    <t>Jumlah sosialisasi keamanan pangan yang dilaksanakan</t>
  </si>
  <si>
    <t>Penyusunan Pola Pangan Harapan (dokumen)</t>
  </si>
  <si>
    <t>Tersedianya dokumen analisis pola pangan harapan</t>
  </si>
  <si>
    <t>Perumusan Kebijakan Ketahanan Pangan melalui Dewan Ketahanan Pangan (rumusan)</t>
  </si>
  <si>
    <t>Jumlah rumusan yang dihasilkan dari Dewan Ketahanan Pangan</t>
  </si>
  <si>
    <t xml:space="preserve">Tekhnologi Pengolahan Pangan Lokal </t>
  </si>
  <si>
    <t>Jumlah kelompok usaha pangan lokal yang aktif</t>
  </si>
  <si>
    <t>Model Percontohan Kemanan Pangan (nagari)</t>
  </si>
  <si>
    <t xml:space="preserve">persentas perkembangan  nagari aman pangan </t>
  </si>
  <si>
    <t>Gerakan Konsumsi B2SA (Beragam, Bergizi, Seimbang, dan Aman)</t>
  </si>
  <si>
    <t>Jumlah lomba cipta menu B2SA (kali)</t>
  </si>
  <si>
    <t>25</t>
  </si>
  <si>
    <t>Pengawasan Keamanan dan Mutu Pangan</t>
  </si>
  <si>
    <t>Persentase pangan yang aman (persentase)</t>
  </si>
  <si>
    <t>Penyusunan Naskah Akademis Ketahanan Pangan</t>
  </si>
  <si>
    <t>Jumlah naskah dokumen yang dihasilkan (dokumen)</t>
  </si>
  <si>
    <t>Program Pelayanan Administrasi Perkantoran</t>
  </si>
  <si>
    <t>Jumlah pelayanan administrasi perkantoran</t>
  </si>
  <si>
    <t>Dinas Perhubungan</t>
  </si>
  <si>
    <t>Lamanya penggunaan jasa komunikasi, sumber daya air dan listrik</t>
  </si>
  <si>
    <t>Penyediaan peralatan dan perlengkapan kantor</t>
  </si>
  <si>
    <t>Jumlah penyediaan peralatan dan perlengkapan kantor</t>
  </si>
  <si>
    <t>Lamanya penggunaan jasa administrasi keuangan</t>
  </si>
  <si>
    <t>Jumlah penggunaan jasa kebersihan kantor</t>
  </si>
  <si>
    <t>Penyediaan jasa perbaikan peralatan kerja</t>
  </si>
  <si>
    <t>Lamanya pemakaian jasa perbaikan peralatan kerja</t>
  </si>
  <si>
    <t>Lamanya pengunaan alat tulis kantor</t>
  </si>
  <si>
    <t>Lamanya penggunaan barang cetakan dan penggandaan</t>
  </si>
  <si>
    <t>Lamanya pengunaan komponen instalasi listrik/penerangan bangunan kantor</t>
  </si>
  <si>
    <t>Penyediaan bahan bacaan dan peraturan perundang-undangan</t>
  </si>
  <si>
    <t>Jumlah penyediaan bahan bacaan dan peraturan perundang- undangan</t>
  </si>
  <si>
    <t>Lamanya penyediaan makanan dan minuman</t>
  </si>
  <si>
    <t>Lamanya rapat-rapat  kordinasi dan konsultasi ke luar daerah</t>
  </si>
  <si>
    <t>Lamanya rapat-rapat  kordinasi dan konsultasi dalam daerah</t>
  </si>
  <si>
    <t>Penunjang operasional perencanaan dan pelaporan</t>
  </si>
  <si>
    <t>Jumlah penunjang operasional perencanaan dan pelaporan</t>
  </si>
  <si>
    <t>Penyediaan Jasa Tenaga Kerja Non PNS</t>
  </si>
  <si>
    <t>Jumlah jasa tenaga kerja non PNS</t>
  </si>
  <si>
    <t>Persentase peningkatan sarana dan prasarana aparatur</t>
  </si>
  <si>
    <t>Pengadaan meubiler</t>
  </si>
  <si>
    <t>Jumlah pengadaan kendaraan dinas/ operasional</t>
  </si>
  <si>
    <t>pemeliharaan rutin/ berkala gedung kantor</t>
  </si>
  <si>
    <t>Jumlah pemeliharaan rutin/ berkala gedung kantor</t>
  </si>
  <si>
    <t>pemeliharaan rutin/ berkala kendaraan dinas/ operasional</t>
  </si>
  <si>
    <t>Lamanya pemeliharaan  rutin/berkala kendaraan dinas/ operasional</t>
  </si>
  <si>
    <t>16,47</t>
  </si>
  <si>
    <t>Program Peningkatan Displin Aparatur</t>
  </si>
  <si>
    <t>Persentase peningkatan disiplin aparatur</t>
  </si>
  <si>
    <t>Pengadaan Pakaian Dinas Beserta Kelengkapannya (PDH)</t>
  </si>
  <si>
    <t>Terlaksananya Peningkatan Disiplin Aparatur</t>
  </si>
  <si>
    <t>Program Peningkatan Pengembangan Sistem Pelaporan Capaian Kinerja dan Keuangan</t>
  </si>
  <si>
    <t>Persentase Peningkatan Pengembangan Sistem Pelaporan Capaian Kinerja dan Keuangan</t>
  </si>
  <si>
    <t>Monitoring dan Evaluasi Kegiatan</t>
  </si>
  <si>
    <t>Jumlah Monitoring dan Evaluasi kegiatan</t>
  </si>
  <si>
    <t>Program Pembangunan Prasarana dan Fasilitas Perhubungan</t>
  </si>
  <si>
    <t>Jumlah Pembangunan Prasarana dan Fasilitas Perhubungan</t>
  </si>
  <si>
    <t>Pembangunan Fasilitas Transportasi (DAK)</t>
  </si>
  <si>
    <t>Jumlah pembangunan fasilitas transportasi</t>
  </si>
  <si>
    <t>Program Rehabilitasi dan Pemeliharaan Prasarana dan fasilitas LLAJ</t>
  </si>
  <si>
    <t>Jumlah Rehabilitasi dan Pemeliharaan Prasarana dan Fasilitas LLAJ</t>
  </si>
  <si>
    <t>Rehabilitasi/Pemeliharaan Alat Keselamatan Lalu Lintas</t>
  </si>
  <si>
    <t>Jumlah alat keselamatan lalu lintas yang terpelihara</t>
  </si>
  <si>
    <t>Rehabilitas Sarana dan Prasarana Fasilitas Pos Retribusi (TPR)</t>
  </si>
  <si>
    <t>Jumlah pos retribusi (TPR) yang dipelihara</t>
  </si>
  <si>
    <t>Program peningkatan pelayanan angkutan</t>
  </si>
  <si>
    <t>Persentase peningkatan pelayanan angkutan</t>
  </si>
  <si>
    <t>Pengawasan dan Pengendalian LLAJ</t>
  </si>
  <si>
    <t>Lamanya Pengawasan dan Pengendalian LLAJ</t>
  </si>
  <si>
    <t>Operasional pengamanan lalu lintas angkutan laut</t>
  </si>
  <si>
    <t>Lamanya Operasional  Pengamanan  Lalu Lintas Angkutan Laut</t>
  </si>
  <si>
    <t>Pembinaan dan penertiban lalu lintas angkutan laut</t>
  </si>
  <si>
    <t>Lamanya Pembinaan dan Penertiban Lalu Lintas Angkutan Laut</t>
  </si>
  <si>
    <t>Pelajar Pelopor Keselamatan Berlalu lintas</t>
  </si>
  <si>
    <t>Jumlah Pemilihan Pelajar Pelopor Keselamatan Berlalu Lintas</t>
  </si>
  <si>
    <t>Pemilihan Sopir Teladan (Abiyasa)</t>
  </si>
  <si>
    <t>Jumlah Pemilihan Sopir Teladan (Abiyasa)</t>
  </si>
  <si>
    <t>Operasional Transportasi Pelayanan Pendidikan</t>
  </si>
  <si>
    <t>Lamanya Operasional Transportasi Pelayanan pendidikan</t>
  </si>
  <si>
    <t>Program Pembangunan Sarana dan Prasarana Perhubungan</t>
  </si>
  <si>
    <t>Jumlah sarana dan prasarana perhubungan</t>
  </si>
  <si>
    <t>Pembangunan Pagar,Taman Kantor dan Papan Nama (Merk Dinas)</t>
  </si>
  <si>
    <t>Jumlah pembangunan pagar, taman kantor dan papan (merk dinas)</t>
  </si>
  <si>
    <t>Program Pengendalian Pengamanan Lalu lintas</t>
  </si>
  <si>
    <t>Jumlah Alat pengendali dan pengaman lalu lintas</t>
  </si>
  <si>
    <t>Pembangunan Penerangan jalan Umum</t>
  </si>
  <si>
    <t>Jumlah pembangunan penerangan jalan umum</t>
  </si>
  <si>
    <t>Pemeliharaan rutin/berkala Penerangan Jalan Umum</t>
  </si>
  <si>
    <t>Lamanya Pemeliharan rutin/berkala Penerangan Jalan umum</t>
  </si>
  <si>
    <t>Program peningkatan kelaikan pengoperasian kendaraan bermotor</t>
  </si>
  <si>
    <t>Persentase peningkatan kelaikan pengoperasian kendaraan bermotor</t>
  </si>
  <si>
    <t>Pelayanan Pengujian Kendaraan Bermotor</t>
  </si>
  <si>
    <t>Lamanya pelayanan pengujian kendaraan bermotor</t>
  </si>
  <si>
    <t>Pengadaan Alat Uji Mekanis PKB</t>
  </si>
  <si>
    <t>Jumlah Pengadaan alat uji mekanis PKB</t>
  </si>
  <si>
    <t>Program Peningkatan Pelayanan Terminal dan Perparkiran</t>
  </si>
  <si>
    <t>Persentase Peningkatan Pelayanan Terminal dan Perpakiran</t>
  </si>
  <si>
    <t>Pelayanan Terminal dan Perparkiran</t>
  </si>
  <si>
    <t>Lamanya Pelayanan Terminal dan Perparkiran</t>
  </si>
  <si>
    <t>3</t>
  </si>
  <si>
    <t>Progam Peningkatan dan Pengembangan Pengelolaan Keuangan Daerah</t>
  </si>
  <si>
    <t>Persentase Peningkatan dan Pengembangan Pengelolaan Keuangan</t>
  </si>
  <si>
    <t>Pelayanan Pemungutan Pajak dan Retribusi Daerah</t>
  </si>
  <si>
    <t>Lamanya Pelayanan Pemungutan Pajak dan Retribusi Daerah</t>
  </si>
  <si>
    <t>Rata-rata capaian kinerja (%)</t>
  </si>
  <si>
    <t>Predikat kinerja       : Sangat Baik</t>
  </si>
  <si>
    <t>Meningkatnya pelayanan,sarana,monitoring administrasi perkantoran</t>
  </si>
  <si>
    <t>Program Pelayanan Adminsitrasi Perkantoran</t>
  </si>
  <si>
    <t>Persentase Pelayanan Adminstrasi perkantoran</t>
  </si>
  <si>
    <t>Dinas Kominfo</t>
  </si>
  <si>
    <t>Penyedian Jasa Komunikasi,Sumber Daya Air dan Listrik</t>
  </si>
  <si>
    <t>Kebutuhan air,listrik dan jasa komunikasi</t>
  </si>
  <si>
    <t>Penyedian Jasa Adminstrasi Keuangan</t>
  </si>
  <si>
    <t>Kebutuhan Jasa adminstrasi keuangan (%)</t>
  </si>
  <si>
    <t>Penyediaan  Jasa Kebersihan Kantor</t>
  </si>
  <si>
    <t>Kebutuhan jasa kebersihan kantor (%)</t>
  </si>
  <si>
    <t>Penyediaan  Jasa Perbaikan Peralatan Kerja</t>
  </si>
  <si>
    <t>Peralatan kerja yang terkondisi dengan baik (%)</t>
  </si>
  <si>
    <t>Kebutuhan Alat Tulis Kantor (%)</t>
  </si>
  <si>
    <t>Barang cetakan dan penggandaan untuk kantor (%)</t>
  </si>
  <si>
    <t>Penyediaan Komponen Instalansi listrik Penerangan Bangunan Kantor</t>
  </si>
  <si>
    <t>Komponen penerangan bangunan kantor (%)</t>
  </si>
  <si>
    <t>Penyediaan Bahan Bacaan  dan Peraturan Perundang-undangan</t>
  </si>
  <si>
    <t>Bahan bacaan (surat Kabar) media informasi ( 3 media)</t>
  </si>
  <si>
    <t>Makan minum rapat dan tamu</t>
  </si>
  <si>
    <t>Rapat-rapat koordinasi dan konsultasi keluar daerah</t>
  </si>
  <si>
    <t>Pelaksanaan rapat-rapat koordinasi luar daerah (%)</t>
  </si>
  <si>
    <t>Rapat-rapat koordinasi dan konsultasi dalam daerah</t>
  </si>
  <si>
    <t>Pelaksaanan rapat-rapat koordinasi dalam daerah (%)</t>
  </si>
  <si>
    <t>Jumlah Penyusunan laporan perencanaan (dokumen)</t>
  </si>
  <si>
    <t>Persentase peningkatan saran prasarana kantor</t>
  </si>
  <si>
    <t>Pemeliharaan rutin berkala gedung dan halaman kantor (%)</t>
  </si>
  <si>
    <t>Pemeliharaan rutin berkala kendaraan dinas</t>
  </si>
  <si>
    <t>Pengadaan Kendaraan Roda 2</t>
  </si>
  <si>
    <t>Jumlah Kendaraaan Roda 2</t>
  </si>
  <si>
    <t>Pengadaan Peralatan Kantor</t>
  </si>
  <si>
    <t>Jumlah Peralatan Kantor</t>
  </si>
  <si>
    <t>Program  Peningkatan Kapasitas Sumber Daya Aparatur</t>
  </si>
  <si>
    <t>Jumlah data pelaksanaan kegiatan</t>
  </si>
  <si>
    <t>Monitoring dan Evaluasi Kegiatan</t>
  </si>
  <si>
    <t>Data dan informasi realisasi Pelaksanaan program dan Kegiatan</t>
  </si>
  <si>
    <t>Meningkatnya layanan komunikasi dan informatika</t>
  </si>
  <si>
    <t>Program Kerjasma Informasi dan Media Massa</t>
  </si>
  <si>
    <t>Jumlah informasi pemerintah daerah yang dipublikasi dan evaluasi (Dokumen)</t>
  </si>
  <si>
    <t>Pengumpulan dan Penyebaran Informasi Daerah melalui Website</t>
  </si>
  <si>
    <t>Penyebaran informasi  kebijakan pemerintah daerah (berita dan artikel)</t>
  </si>
  <si>
    <t>Publikasi dan Promosi Daerah</t>
  </si>
  <si>
    <t>Terpublikasi dan terpromosinya daerah  (TV dan media online)</t>
  </si>
  <si>
    <t>Program Peningkatan Akses Informasi dan Komunikasi</t>
  </si>
  <si>
    <t>Laporan evaluasi dari askses informasi komunikasi (dokumen)</t>
  </si>
  <si>
    <t>Pengembangan dan pemberdayaan Kelompok Informasi Masyarakat</t>
  </si>
  <si>
    <t>Tersedianya Kelompok Informasi Masyarakat</t>
  </si>
  <si>
    <t>Operasional Penerangan Keliling,Pameran dan Posko Informasi</t>
  </si>
  <si>
    <t>Operasional Penyebaran informasi Pemda melalui Mopen dan Pameran (%)</t>
  </si>
  <si>
    <t>Operasional LPPL Radio Langkisau FM</t>
  </si>
  <si>
    <t>Penyebaran informasi Pemda melalui radio Langkisau FM (%)</t>
  </si>
  <si>
    <t>Operasional Pelayanan Informasi Publik</t>
  </si>
  <si>
    <t>Sumber Daya Manusia yang mampu melayani masyarakat dalam pelayanan informasi publik (orang)</t>
  </si>
  <si>
    <t>Meningkatnya kualitas layanana teknologi informasi</t>
  </si>
  <si>
    <t>Program Pengembangan Komunikasi,Informasi dan Media Massa</t>
  </si>
  <si>
    <t>Laporan evaluasi dari Pearturan tentang Kominfo (dokumen)</t>
  </si>
  <si>
    <t>Perencanaan  dan Pengembangan Kebijakan Komunikasi dan Informatika</t>
  </si>
  <si>
    <t>Peraturan Perundang-undangan bid.kominfo (dokumen)</t>
  </si>
  <si>
    <t>Sosialisasi Peraturan Perundang-undangan Komunikasi dan Informatika</t>
  </si>
  <si>
    <t>Pelaksanaan Sosialisasi Peraturan Perundang-undangan Kominfo (orang)</t>
  </si>
  <si>
    <t>Program Fasilitasi Peningkatan SDM Bidang Komunikasi dan Informatika</t>
  </si>
  <si>
    <t>Peningkatan kualitas SDM IT</t>
  </si>
  <si>
    <t>Pelatihan /Bimbingan Teknis SDM TIK</t>
  </si>
  <si>
    <t>Bimtek peningkatan SDM bidang TIK (orang)</t>
  </si>
  <si>
    <t>Program Peningkatan  Akses Informasi dan Komunikasi</t>
  </si>
  <si>
    <t>Akses Informasi dan Komunikasi Pemerintah Daerah</t>
  </si>
  <si>
    <t>Pembuatan Master Plan Teknologi Informasi Komunikasi Kab.Pesisir Selatan</t>
  </si>
  <si>
    <t>Buku Perencanaan dan Panduan Penyusunan Perencanaan Pengembangan TIK Kab.Pessel (dokumen)</t>
  </si>
  <si>
    <t>Pembangunan infrastruktur TIK Kab.Pessel</t>
  </si>
  <si>
    <t>Penguatan signal  selular dan pemasangan CCTV (%)</t>
  </si>
  <si>
    <t>Program Penyelengaraan E Government</t>
  </si>
  <si>
    <t>Pembangunan dan Pengembangan Program Aplikasi Elektronik</t>
  </si>
  <si>
    <t>Aplikasi Elektronik Pemerintah (%)</t>
  </si>
  <si>
    <t>Pengembangan Smart City</t>
  </si>
  <si>
    <t>Layanan internet dan intranet (perangkat Daerah)</t>
  </si>
  <si>
    <t>Pengawasan dan Pengendalian Jaringan dan Data TIK (%)</t>
  </si>
  <si>
    <t>Perawatan jaringandan komunikasi data</t>
  </si>
  <si>
    <t>Meningkatnya kualitas data pemerintah daerah</t>
  </si>
  <si>
    <t>Data Statistik sektoral untuk Perangkat Daerah</t>
  </si>
  <si>
    <t>Pengumpulan data statistik sektoral</t>
  </si>
  <si>
    <t>Data Sektoral Perangkat Daerah (buku)</t>
  </si>
  <si>
    <t>Penyediaan Data Pesisir Selatan Dalam Angka</t>
  </si>
  <si>
    <t>Data Pesisir Selatan Dalam Angka (buku)</t>
  </si>
  <si>
    <t>Penyelenggaraan Persandian dan Keamanan  informasi daerah</t>
  </si>
  <si>
    <t>Pengamanan aplikasi pemerintah daerah (aplikasi)</t>
  </si>
  <si>
    <t>Meningkatnya Pelayanan Administrasi Perkantoran</t>
  </si>
  <si>
    <t>DPMDPPKB</t>
  </si>
  <si>
    <t>Meningkatkan Pelayanan administrasi  Perkantoran</t>
  </si>
  <si>
    <t>Penyedian Jasa Komunikasi, Sumber Daya Air dan  Listrik</t>
  </si>
  <si>
    <t>telpon, air, listrik (12 Bulan)</t>
  </si>
  <si>
    <t>Penyedian Jasa Pemeliharaan dan Perizinan Kendaraan Dinas/Operasional</t>
  </si>
  <si>
    <t>Roda 4 sebanyak 6 Unit</t>
  </si>
  <si>
    <t>Roda 2 sebanyak 70 Unit</t>
  </si>
  <si>
    <t>Penyedian Jasa Administrasi keuangan</t>
  </si>
  <si>
    <t>Honor penunjang kelancaran administrasi perkantoran(12 Bulan)</t>
  </si>
  <si>
    <t>Penyedian jasa kebersihan Kantor</t>
  </si>
  <si>
    <t>biaya kebersihan Kantor</t>
  </si>
  <si>
    <t>Penyedian jasa perbaikan peralatan kerja</t>
  </si>
  <si>
    <t>Perbaikan Genset</t>
  </si>
  <si>
    <t>Perbaikan Laptop</t>
  </si>
  <si>
    <t>Perbaikan AC, Sound System dan Mesin Tik</t>
  </si>
  <si>
    <t>Penyedian alat tulis kantor</t>
  </si>
  <si>
    <t>ATK Klantor</t>
  </si>
  <si>
    <t>Penyedian Barang cetak dan pengandaan</t>
  </si>
  <si>
    <t xml:space="preserve">Cetak dan penggandaan </t>
  </si>
  <si>
    <t>Penyedian kompopnen intalasi listrik/penerangan Bangunan Kantor</t>
  </si>
  <si>
    <t>alat alat elektronik kantor</t>
  </si>
  <si>
    <t>alat perlengkapan kantor</t>
  </si>
  <si>
    <t>lemari arsip</t>
  </si>
  <si>
    <t>Penyedian Bahan bacaan dan Peraturan Perundang undangan</t>
  </si>
  <si>
    <t>Koran 2 terbitan</t>
  </si>
  <si>
    <t>Penyedian makan dan minunm</t>
  </si>
  <si>
    <t>makan minum tamu</t>
  </si>
  <si>
    <t>makan minum rapat</t>
  </si>
  <si>
    <t>Rapat rapat koordinasi dan konsultasi keluar daerah</t>
  </si>
  <si>
    <t>Rapat Koordinasi dalam propionsi</t>
  </si>
  <si>
    <t>Rapat Kooerdinasi Luar Propinsi</t>
  </si>
  <si>
    <t>Rapat rapat koordinasi dan konsultasi Dalam daerah</t>
  </si>
  <si>
    <t>Rapat koordinasi dalam daerah</t>
  </si>
  <si>
    <t>Pemeliharaan Rutin/Berkala gedung dan kantor</t>
  </si>
  <si>
    <t>ganti pintu mushola</t>
  </si>
  <si>
    <t>Ganti Pagar</t>
  </si>
  <si>
    <t>Cor Halaman Kantor</t>
  </si>
  <si>
    <t>Program Peningkatan Keberdayaan Masyarakat Perdesaan</t>
  </si>
  <si>
    <t>Meningkatnya Partisipasi Masyarakat Nagari</t>
  </si>
  <si>
    <t>Pencanangan dan Penilaian Bulan Bhakti Gotong royong Masyarakat (BBGRM) Tingjkat Kabupaten</t>
  </si>
  <si>
    <t>1 kali pencanangan BBGRM TK. Kab. Pessel</t>
  </si>
  <si>
    <t>Meningkatkan Nagari yang berkembang</t>
  </si>
  <si>
    <t>Pemuthakhiran Data Profil dan Data IDM Nagari</t>
  </si>
  <si>
    <t>182 data IDM</t>
  </si>
  <si>
    <t>Pembinaan Nagari Berprestasi Tingkat Kabupaten</t>
  </si>
  <si>
    <t>Nagari Berprestasi</t>
  </si>
  <si>
    <t>Program Pengembangan Lembaga Ekonomi Perdesaan/ Nagari</t>
  </si>
  <si>
    <t>Pembinaan dan Pelatihan Bumnag dan Lembaga Ekonomi Masyarakat Nagari</t>
  </si>
  <si>
    <t>Rakor Bumnag</t>
  </si>
  <si>
    <t>Program Peningkatan Partisipasi Masyarakat Dalam Membangun Desa/Nagari</t>
  </si>
  <si>
    <t>Pendampingan Pelaksanaan TMND</t>
  </si>
  <si>
    <t>TMMN/TMMD</t>
  </si>
  <si>
    <t>Program Pemberdayaan Lembaga Pemerintahan Desa/ Nagari</t>
  </si>
  <si>
    <t>Fasilitasi Pemekaran, Penilaian Bamus Nagari dan Wali Nagari</t>
  </si>
  <si>
    <t>Pemilihan 105 Nagari</t>
  </si>
  <si>
    <t>Pembinaan dan Monitoring Pemerintahan Nagari</t>
  </si>
  <si>
    <t>monev 90 Keuangan Nagari</t>
  </si>
  <si>
    <t>Penyusnan Ranperda dan peraturan Bupati Pesisir Selatan Tentang Pemerintahan Nagari</t>
  </si>
  <si>
    <t>4 Perbub</t>
  </si>
  <si>
    <t>Penyelesaian Konflik Pemerintahan Nagari</t>
  </si>
  <si>
    <t>25 Nagari</t>
  </si>
  <si>
    <t>Pemberdayaan Lembaga Sosial dan Ekonomi Masyarakat/ Nagari</t>
  </si>
  <si>
    <t>Pembinaan Administrasi Program Pembangunan Desa dan Pemberdayaan Masyaerakat Desa/Nagari (P3MD)</t>
  </si>
  <si>
    <t>Rakor P3MD 4 Kali</t>
  </si>
  <si>
    <t>Pemberdayaan Kelembagaan Tim Penggerak PKK Kabupaten</t>
  </si>
  <si>
    <t>Orientasi  PKK</t>
  </si>
  <si>
    <t>Jambore PKK</t>
  </si>
  <si>
    <t>HKG PKK</t>
  </si>
  <si>
    <t>Lomba Dasa wisma</t>
  </si>
  <si>
    <t>Lomba Posyandu</t>
  </si>
  <si>
    <t>Pemberdayaan Keberlanjutan Badan Pengelolah Sarana Prasarana Air Minum dan Sanitasi Nagari (BP-SPAMS)</t>
  </si>
  <si>
    <t>Monev 105 BP-SPAMS</t>
  </si>
  <si>
    <t>Program Pengembangan Kawasan Perdesaan</t>
  </si>
  <si>
    <t>Pembinaan Potensi Kawasan Perdesaan /Nagari</t>
  </si>
  <si>
    <t>Monev 3 Kawasan</t>
  </si>
  <si>
    <t>Pembentukan 1 kawasan</t>
  </si>
  <si>
    <t>Program Peningkatan Sara dan Prasarana Aparatur</t>
  </si>
  <si>
    <t>Peningkatan Sarana dan Prasarana Pelayanan Keluarga Berencana (DAK Bidang Keluarga Berencana)</t>
  </si>
  <si>
    <t>Pengadaan Sarana dan Prasarana Pelayanan Keluarga Berencana (DAK Fisik KB)</t>
  </si>
  <si>
    <t xml:space="preserve">Pengadaan Komputer </t>
  </si>
  <si>
    <t>LCD Proyektor</t>
  </si>
  <si>
    <t>Lemari penyimpanan alokon</t>
  </si>
  <si>
    <t>Pengadaan Sarana dan Prasarana Pelayanan Keluarga Berencana (Penunjang DAK Fisik KB)</t>
  </si>
  <si>
    <t>Honor Penagadaan Barang Jasa</t>
  </si>
  <si>
    <t>Honor Penerima Barang dan Jasa</t>
  </si>
  <si>
    <t>Operasional  Balai Penyuluh  Keluarga Berencana ( DAK Non Fisik KB)</t>
  </si>
  <si>
    <t>ATK Balai Penyulu</t>
  </si>
  <si>
    <t>Listrik Balai Penyuluh</t>
  </si>
  <si>
    <t>Internet Balai Penyuluh</t>
  </si>
  <si>
    <t>Air Balai Penyuluh</t>
  </si>
  <si>
    <t>Program Penguatan Kelembagaan</t>
  </si>
  <si>
    <t>Membangun jaringan Kemitraan dengan institusi peduliu kependudukan keluarga berencana dan pembangunan keluarga</t>
  </si>
  <si>
    <t>Pemilihan KB Lestari</t>
  </si>
  <si>
    <t>Pemilihsn Keluarga Harmonis</t>
  </si>
  <si>
    <t>Jambore Saka Kencana</t>
  </si>
  <si>
    <t>Perbaikan alat alat kerja kantor</t>
  </si>
  <si>
    <t>Program Pelayanan Keluarga Berencana</t>
  </si>
  <si>
    <t>Bhakti KB Kes IBI/IDI/TNI/Bahangkara/PKK dan Jambore</t>
  </si>
  <si>
    <t>IUD</t>
  </si>
  <si>
    <t>MOW</t>
  </si>
  <si>
    <t>MOP</t>
  </si>
  <si>
    <t>Pencan Bhakti IBI KB</t>
  </si>
  <si>
    <t>Pencan Bhakti TNI KB Kes</t>
  </si>
  <si>
    <t>Pencan Bhakti PKK KB Kes</t>
  </si>
  <si>
    <t>Program Pengembangan Pemasaran Parawisata</t>
  </si>
  <si>
    <t>Pelaksanaan Pestival Langkisau</t>
  </si>
  <si>
    <t>festival Langkisau</t>
  </si>
  <si>
    <t>Festifal Mandeh</t>
  </si>
  <si>
    <t>Meningkatkan nilai Produksi peternakan</t>
  </si>
  <si>
    <t>Program Peningkatan Produksi Hasil Peternakan</t>
  </si>
  <si>
    <t>Populasi ternak</t>
  </si>
  <si>
    <t>Dinas Peternakan dan Kesehatan Hewan</t>
  </si>
  <si>
    <t>- Sapi Potong</t>
  </si>
  <si>
    <t>- Kerbau</t>
  </si>
  <si>
    <t>- Kambing</t>
  </si>
  <si>
    <t>- Ayam Buras</t>
  </si>
  <si>
    <t>- Ayam Ras Petelur</t>
  </si>
  <si>
    <t>- Ayam Ras Pedaging</t>
  </si>
  <si>
    <t>- Itik</t>
  </si>
  <si>
    <t>Produksi ternak (kg)</t>
  </si>
  <si>
    <t xml:space="preserve">- Daging Sapi </t>
  </si>
  <si>
    <t>- Daging Kerbau</t>
  </si>
  <si>
    <t>- Daging Kambing</t>
  </si>
  <si>
    <t>- Daging Ayam Buras</t>
  </si>
  <si>
    <t>- Daging Ayam Ras Petelur</t>
  </si>
  <si>
    <t>- Daging Ayam Ras Pedaging</t>
  </si>
  <si>
    <t>- Daging Itik</t>
  </si>
  <si>
    <t>- Telur Ayam Ras</t>
  </si>
  <si>
    <t>- Telur Ayam Buras</t>
  </si>
  <si>
    <t>- Telur Itik</t>
  </si>
  <si>
    <t>Pembibitan dan Perawatan Ternak</t>
  </si>
  <si>
    <t>Terlaksananya operasionnal pemeliharaan ternak di P4 Lengayang</t>
  </si>
  <si>
    <t>Disnakkeswan</t>
  </si>
  <si>
    <t>Pembelian dan Pendistribusian Vaksin dan Pakan Ternak</t>
  </si>
  <si>
    <t>Tersedianya vaksin dan obat2an ternak</t>
  </si>
  <si>
    <t>Peningkatan Mutu Genetik Melalui IB</t>
  </si>
  <si>
    <t>Terlayaninya akseptor IB</t>
  </si>
  <si>
    <t>Pemberdayaan Kelembagaan dan Usaha Peternakan</t>
  </si>
  <si>
    <t>Jumlah petani ternak yang dilatih dan mendapat sosialisasi</t>
  </si>
  <si>
    <t>Budidaya Itik Bayang</t>
  </si>
  <si>
    <t xml:space="preserve">Terlaksananya penetasan telur itik yang distribusikan ke kelompok tani ternak </t>
  </si>
  <si>
    <t>Budidaya ayam lokal</t>
  </si>
  <si>
    <t>Terlaksananya penetasan telur ayam lokal dan budidaya ayam lokal</t>
  </si>
  <si>
    <t>Peningkatan Sarana Prasarana Peternakan (DAK)</t>
  </si>
  <si>
    <t>Terlaksananya pembangunan sarana prasarana petternakan</t>
  </si>
  <si>
    <t>Pengembangan ternak untuk menunjang percepatan pembangunan</t>
  </si>
  <si>
    <t>Terdistribusikannya ternak kepada masyarakat</t>
  </si>
  <si>
    <t>Program Pengembangan Agribisnis Peternakan</t>
  </si>
  <si>
    <t>Pencapaian swasembada daging sapi dan kerbau</t>
  </si>
  <si>
    <t>tersedianya operasional kegiatan APBN</t>
  </si>
  <si>
    <t>Program Pencegahan   dan penanggulangan penyakit menular</t>
  </si>
  <si>
    <t xml:space="preserve">-Jumlah hewan ternak yang divaksinasi </t>
  </si>
  <si>
    <t xml:space="preserve">- biosecurity </t>
  </si>
  <si>
    <t>- vaksin SE</t>
  </si>
  <si>
    <t>- vaksin rabies</t>
  </si>
  <si>
    <t>- penanganan gangguan reproduksi</t>
  </si>
  <si>
    <t>Program Peningkatan Pemasaran Hasil Produksi Ternak</t>
  </si>
  <si>
    <t>Even Promosi yang diikuti</t>
  </si>
  <si>
    <t>Promosi atas hasil Produksi Peternakan Unggulan Daerah</t>
  </si>
  <si>
    <t>Even Promosi</t>
  </si>
  <si>
    <t>Program Peningkatan Penerapan Teknologi Peternakan</t>
  </si>
  <si>
    <t>Jumlah teknologi yang diterapkan</t>
  </si>
  <si>
    <t>Penerapan Teknologi Peternakan</t>
  </si>
  <si>
    <t xml:space="preserve">jumlah teknologi yang diterapkan kelompok </t>
  </si>
  <si>
    <t>Program Peningkatan Sarana Prasarana Peternakan</t>
  </si>
  <si>
    <t xml:space="preserve">Jumlah sarana prasarana peternakan yang tersedia </t>
  </si>
  <si>
    <t>Peningkatan Sarana Prasarana Peternakan</t>
  </si>
  <si>
    <t>Tersedianya sarana prasarana peternakan</t>
  </si>
  <si>
    <t>Menurunnya kejadian penyakit hewan menular dan zoonosis</t>
  </si>
  <si>
    <t>Pemeliharaan Kesehatan Hewan</t>
  </si>
  <si>
    <t>Pengendalian dan Pemberantasan Penyakit Rabies</t>
  </si>
  <si>
    <t>Terkendalinya ternak yang terjangkit penyakit endemik</t>
  </si>
  <si>
    <t>Pengawasan Perdagangan Ternak Antar Daerah</t>
  </si>
  <si>
    <t xml:space="preserve">terlaksananya pengawasan lalu lintas ternak, bahan asal ternak dan hasil bahan asal ternak </t>
  </si>
  <si>
    <t>Penyusunan Ranperda Rabies</t>
  </si>
  <si>
    <t>Tersedianya Ranperda Rabies</t>
  </si>
  <si>
    <t>Tersedianya sarana prasarana pelayanan administrasi perkantoran</t>
  </si>
  <si>
    <t>Program pelayanan administrasi peerkantoran</t>
  </si>
  <si>
    <t>terlaksananya pelayanan administrasi perkantoran</t>
  </si>
  <si>
    <t>Penyediaan jasa komunikasi, sumber daya air dan listrik</t>
  </si>
  <si>
    <t>Terlaksananya pembayaran rekening listrik, air dan telpon kantor</t>
  </si>
  <si>
    <t>Terlaksananya pembayaran honor jasa administrasi keuangan</t>
  </si>
  <si>
    <t>Penyediaan jasa kebersihan kantor</t>
  </si>
  <si>
    <t>Terlaksananya pemeliharaan kebersihan kantor</t>
  </si>
  <si>
    <t>Penyediaan jasa perbaikan peralatan kerja</t>
  </si>
  <si>
    <t>Terlaksananya perbaikan peralatan dan perlengkapan kantor</t>
  </si>
  <si>
    <t>Penyediaan alat tulis kantor</t>
  </si>
  <si>
    <t xml:space="preserve">Tersedianya ATK </t>
  </si>
  <si>
    <t>Penyediaan barang cetakan dan penggandaan</t>
  </si>
  <si>
    <t>Terlaksananya administrasi perkantoran</t>
  </si>
  <si>
    <t>Penyediaan komponen instalasi listrik/penerangan bangunan kantor</t>
  </si>
  <si>
    <t>Tersedianya komponen listrik /penerangan gedung kantor</t>
  </si>
  <si>
    <t>Penyediaan bahan bacaan dan peraturan perundang-undangan</t>
  </si>
  <si>
    <t>Tersedianya bahan bacaan dan peraturan perundang-undangan</t>
  </si>
  <si>
    <t>Tersedianya makanan dan minuman untuk peserta rapat dan tamu dinas</t>
  </si>
  <si>
    <t>Rapat-rapat koordinasai dan konsultasi keluar daerah</t>
  </si>
  <si>
    <t>Terlaksananya koordinasi dan konsultasi keluar daerah</t>
  </si>
  <si>
    <t>Rapat-rapat koordinasai dan konsultasi dalam daerah</t>
  </si>
  <si>
    <t>Terlaksananya koordinasi dan konsultasi dalam daerah</t>
  </si>
  <si>
    <t>Penunjang operasional perencanaan</t>
  </si>
  <si>
    <t>Terlaksananya penunjang operasional perencanaan</t>
  </si>
  <si>
    <t>Program Peningkatan  Sarana dan Prasarana Aparatur</t>
  </si>
  <si>
    <t>Pengadaan mobeleur</t>
  </si>
  <si>
    <t>Tersedianya mobeleur kantor</t>
  </si>
  <si>
    <t>Pemeliharaan rutin/berkala gedung kator</t>
  </si>
  <si>
    <t>Terpeliharanya gedung kantor</t>
  </si>
  <si>
    <t xml:space="preserve">Pemeliharaan rutin/berkala kendaraan operasional </t>
  </si>
  <si>
    <t xml:space="preserve">terpeliharanya kendaraan dinas/operasional </t>
  </si>
  <si>
    <t>Pengadaan peralatan kantor</t>
  </si>
  <si>
    <t>tersedianya peralatan kantor</t>
  </si>
  <si>
    <t>Penyusunan Laporan Tahunan dan Statistik</t>
  </si>
  <si>
    <t>Tersusunnya laporan tahunan</t>
  </si>
  <si>
    <t>INSPEKTORAT</t>
  </si>
  <si>
    <t>KEPEGAWAIAN</t>
  </si>
  <si>
    <t>PENELITIAN DAN PENGEMBANGAN</t>
  </si>
  <si>
    <t>DINAS PETERNAKAN</t>
  </si>
  <si>
    <t>DINAS TANAMAN PANGAN, HORTIKULTURA DAN PERKEBUNAN</t>
  </si>
  <si>
    <t>BADAN PENDAPATAN DAERAH</t>
  </si>
  <si>
    <t>Terlaksananya Program Pelayanan Administrasi Perkantoran</t>
  </si>
  <si>
    <t>Badan Pendapatan</t>
  </si>
  <si>
    <t>Meningkatnya pelayanan dalam penyelenggaraan pemerintahan dan pelayanan umum lainnya untuk memfasilitasi pelaksanaan program-program pembangunan daerah.</t>
  </si>
  <si>
    <t xml:space="preserve">Terlaksananya jasa komunikasi sumber daya air dan listrik </t>
  </si>
  <si>
    <t>Terlaksananya Program Peningkatan Sarana dan Prasarana Aparatur</t>
  </si>
  <si>
    <t>Pembangunan baru pagar dan Merk Kantor Bapen</t>
  </si>
  <si>
    <t>Terlaksananya pembangunan pagar</t>
  </si>
  <si>
    <t xml:space="preserve">Pengecoran Beton Halaman Kantor </t>
  </si>
  <si>
    <t>Terlaksananya Pengecoran halaman kantor</t>
  </si>
  <si>
    <t>Pembangunan Tempat Parkir Roda 4 dan  roda 2</t>
  </si>
  <si>
    <t>Terlaksananya Pembangunan Tempat Parkir Roda 4 dan  roda 3</t>
  </si>
  <si>
    <t>Pembuatan Baru Baliho Permanen Informasi Pajak Daerah</t>
  </si>
  <si>
    <t>Terlaksananya Pembuatan Baru Baliho Permanen Informasi Pajak Daerah</t>
  </si>
  <si>
    <t xml:space="preserve">Pembuatan Baru Videotron  informasi Pelayanan Pajak ukuran 2 M x 3 M </t>
  </si>
  <si>
    <t>Tersedianya papan informasi yang representatif</t>
  </si>
  <si>
    <t xml:space="preserve">Pembuatan DED Pembangunan Baru  Gedung Badan Pendapatan Lantai II </t>
  </si>
  <si>
    <t xml:space="preserve">Tersedianya DED Pembangunan Baru  Gedung Badan Pendapatan Lantai II </t>
  </si>
  <si>
    <t>Pembuatan UKL dan UPL</t>
  </si>
  <si>
    <t>tersedianya dokumen UPL dan UKL</t>
  </si>
  <si>
    <t>Pembangunan gedung baru dua lantai</t>
  </si>
  <si>
    <t>Tersedianya gedung baru dua lantai</t>
  </si>
  <si>
    <t>Pengadaan Mesin Prin Tonic</t>
  </si>
  <si>
    <t>Tersedianya Mesin Prin Tonic</t>
  </si>
  <si>
    <t>Pengadaan Perlengkapan Gedung Kantor</t>
  </si>
  <si>
    <t>Tersedianya Perlengkapan Gedung Kantor</t>
  </si>
  <si>
    <t>Tersedianya  Peralatan Gedung Kantor</t>
  </si>
  <si>
    <t>Pengadaan Meubiler</t>
  </si>
  <si>
    <t>Tersedianya  Meubiler</t>
  </si>
  <si>
    <t>Terlaksananya Pemeliharaan Rutin/Berkala Gedung Kantor</t>
  </si>
  <si>
    <t>Pemeliharaan Rutin/Berkala Kenderaan Dinas</t>
  </si>
  <si>
    <t>Terlaksananya Pemeliharaan Rutin/Berkala Kenderaan Dinas</t>
  </si>
  <si>
    <t>Penyediaan Jasa Perbaikan Peralatan Kantor</t>
  </si>
  <si>
    <t>Terlaksananya Operasional kantor</t>
  </si>
  <si>
    <t>Terlaksananya peningkatan kapasitas Sumber Daya Aparatur</t>
  </si>
  <si>
    <t>Meningkatnya Kapasitas Aparatur Sipil Negara (ASN) Badan Pendapatan</t>
  </si>
  <si>
    <t>Terlaksananya pengembangan Data/Informasi</t>
  </si>
  <si>
    <t>Penyebarluasan Informasi Pembangunan</t>
  </si>
  <si>
    <t>Tersusunnya Laaporan Capaian Kinerja</t>
  </si>
  <si>
    <t>Penyusunan Laporan Capaian Kinerja dan Ikhtisar Realisasi Kinerja SKPD</t>
  </si>
  <si>
    <t>Terlaksananya Peningkatan Pengembangan Pengelolaan Keuangan Daerah</t>
  </si>
  <si>
    <t>Terwujudnya peningkatan pengendalian monitoring pelaporan dan rekonsiliasi dengan instansi terkait</t>
  </si>
  <si>
    <t>Terwujudnya Penerimaan dan Pendapatan Asli Daerah</t>
  </si>
  <si>
    <t>Pemutakhiran Data piutang PBB-P2</t>
  </si>
  <si>
    <t>Tersedianya piutang PBB P2 yang pasti</t>
  </si>
  <si>
    <t>Terwujudnya pembinaan penertiban pajak dan retribusi penggalian potensi sumber sumber pendapatan asli daerah</t>
  </si>
  <si>
    <t>Rekonsiliasi dan optimalisasi Penerimaan PAD</t>
  </si>
  <si>
    <t>Terlaksananya Rekonsiliasi dan optimalisasi Penerimaan PAD</t>
  </si>
  <si>
    <t>Pembuatan Ranperda Jasa Umum</t>
  </si>
  <si>
    <t>Tersedianya peraturan tentang retribusi jasa umum</t>
  </si>
  <si>
    <t>Pembuatan Ranperda Jasa Usaha</t>
  </si>
  <si>
    <t>Tersedianya peraturan tentang retribusi jasa usaha</t>
  </si>
  <si>
    <t xml:space="preserve">Pembuatan Ranperda Retribusi Perizinan tertentu </t>
  </si>
  <si>
    <t>Tersedianya peraturan tentang retribusi perizinan tertentu</t>
  </si>
  <si>
    <t>Revisi peraturan daerah tentang pajak BPHTB</t>
  </si>
  <si>
    <t>Terpahaminya peraturan tentang pajak dan retribusi</t>
  </si>
  <si>
    <t>tersedianya aplikasi penunjang sismiop</t>
  </si>
  <si>
    <t xml:space="preserve">tersedianya data potensi PAD </t>
  </si>
  <si>
    <t>Tersedianya data pajak yang akurat</t>
  </si>
  <si>
    <t>Tersedianya data NJOP yang akurat</t>
  </si>
  <si>
    <t>Pemetaan Potensi Reklame</t>
  </si>
  <si>
    <t>Penyediaan barang cetakan dan pengadaan</t>
  </si>
  <si>
    <t>Rapat-rapat koordinasi dan konsultasi ke luar daerah</t>
  </si>
  <si>
    <t>Penunjang Operasional Perencanaan dan Pelaporan SKPD</t>
  </si>
  <si>
    <t>Tersusunnya Laporan Keuangan (Bulanan, Triwulan, Semester dan Tahunan)</t>
  </si>
  <si>
    <t>Terciptanya suasana kantor yang bersih dan nyaman</t>
  </si>
  <si>
    <t>Terpenuhinya Kebutuhan Alat Tulis Kantor dalam 12 Bulan</t>
  </si>
  <si>
    <t>Terpenuhinya Kebutuhan Barang Cetakan dan Penggandaan</t>
  </si>
  <si>
    <t>Terpenuhinya kebutuhan instalasi listrik/penerangan bangunan kantor</t>
  </si>
  <si>
    <t>Tersedianya Bahan Bacaan dan Buku Referensi Perundang-undangan</t>
  </si>
  <si>
    <t>Terpenuhinya makan-minum tamu dan piket</t>
  </si>
  <si>
    <t>Terlaksananya kegiatan rapat-rapat koordinasi dan konsultasi ke luar daerah</t>
  </si>
  <si>
    <t>Terlaksananya kegiatan rapat-rapat koordinasi dan konsultasi dalam daerah</t>
  </si>
  <si>
    <t>Tersusunnya Dokumen Perencanaan dan Pelaporan (Renja, Renstra, KUA PPAS, RKA, DPA, LAKIP, TAPKIN dan SAKIP)</t>
  </si>
  <si>
    <t>Program Pengembangan Data/Informasi</t>
  </si>
  <si>
    <t>Program Peningk.Pengemb.Pengelolaan Keuangan Daerah</t>
  </si>
  <si>
    <t>Intensifikasi dan Ekstensifikasi sumber-sumber pendapatan daerah</t>
  </si>
  <si>
    <t>Terdatanya seluruh objek pajak yang ada di Kabupaten Pesisir Selatan</t>
  </si>
  <si>
    <t>Rekonsiliasi Pendapatan Asli Daerah</t>
  </si>
  <si>
    <t>Diperolehnya data Pendapatan Asli Daerah dari Berbagai sumber  yang akurat dan terkini</t>
  </si>
  <si>
    <t>Penyusunan laporan PAD</t>
  </si>
  <si>
    <t>Tersusunnya Laporan Pendapatan Asli Daerah</t>
  </si>
  <si>
    <t>Monitoring dan Evaluasi PBB-P2</t>
  </si>
  <si>
    <t>Terlaksananya Monitoring PBB-P2</t>
  </si>
  <si>
    <t>Monitoring dan Evaluasi PAD</t>
  </si>
  <si>
    <t>Diperolehnya Data Objek Pajak PBB-P2 yang Akurat dan Terkini</t>
  </si>
  <si>
    <t>Cetak Massal dan pengadaan bahan-bahan Dokumen PBB-P2</t>
  </si>
  <si>
    <t>Tersedianya Blanko SKP PBB-P2</t>
  </si>
  <si>
    <t>Pengadaan barang kuasi</t>
  </si>
  <si>
    <t>Tersedianya Karcis Retribusi/tanda masuk/parkir</t>
  </si>
  <si>
    <t>Penunjang Sisitem E -PAD</t>
  </si>
  <si>
    <t>Tersedianya Operasional Sistem e-PAD</t>
  </si>
  <si>
    <t>Pelayanan peningkatan pemungutan pajak daerah wilayah I</t>
  </si>
  <si>
    <t>Terlaksananya Pelayanan dan Peningkatan Pemungutan Pajak Daerah Wilayah I</t>
  </si>
  <si>
    <t>Pelayanan peningkatan pemungutan pajak daerah wilayah II</t>
  </si>
  <si>
    <t>Terlaksananya Pelayanan dan Peningkatan Pemungutan Pajak Daerah Wilayah II</t>
  </si>
  <si>
    <t>Pelayanan peningkatan pemungutan pajak daerah wilayah III</t>
  </si>
  <si>
    <t>Terlaksananya Pelayanan dan Peningkatan Pemungutan Pajak Daerah Wilayah III</t>
  </si>
  <si>
    <t>Pendataan dan verifikasi nomor objek pajak PBB-P2</t>
  </si>
  <si>
    <t>Diperolehnya data capaian pajak PBB-P2</t>
  </si>
  <si>
    <t>Sosialisasi pajak daerah</t>
  </si>
  <si>
    <t>Terlaksananya Sosialisasi Pajak Daerah</t>
  </si>
  <si>
    <t>Penunjang SISMIOP</t>
  </si>
  <si>
    <t>Pemetaan Potensi Pendapatan Asli Daerah</t>
  </si>
  <si>
    <t>Verifikasi Penetapan Pajak Daerah</t>
  </si>
  <si>
    <t>Pemutakhiran Nilai Jual Objek Pajak (NJOP)</t>
  </si>
  <si>
    <t>PENDIDIKAN DAN PELATIHAN</t>
  </si>
  <si>
    <t>URUSAN PENDUKUNG</t>
  </si>
  <si>
    <t>SEKRETARIAT DAERAH</t>
  </si>
  <si>
    <t>SEKRETARIAT DPRD</t>
  </si>
  <si>
    <t>KECAMATAN KOTO XI TARUSAN</t>
  </si>
  <si>
    <t>KECAMATAN BAYANG UTARA</t>
  </si>
  <si>
    <t>KECAMATAN IV JURAI</t>
  </si>
  <si>
    <t>KECAMATAN BATANG KAPAS</t>
  </si>
  <si>
    <t>KECAMATAN SUTERA</t>
  </si>
  <si>
    <t>KECAMATAN LENGAYANG</t>
  </si>
  <si>
    <t>KECAMATAN</t>
  </si>
  <si>
    <t>KECAMATAN RANAH PESISIR</t>
  </si>
  <si>
    <t>KECAMATAN LINGGO SARI BAGANTI</t>
  </si>
  <si>
    <t>KECAMATAN AIRPURA</t>
  </si>
  <si>
    <t>KECAMATAN PANCUNG SOAL</t>
  </si>
  <si>
    <t>KECAMATAN BASA AMPEK BALAI TAPAN</t>
  </si>
  <si>
    <t>KECAMATAN IV NAGARI BAYANG</t>
  </si>
  <si>
    <t>KECAMATAN RANAH IV HULU TAPAN</t>
  </si>
  <si>
    <t>KECAMATAN LUNANG</t>
  </si>
  <si>
    <t>KECAMATAN SILAUT</t>
  </si>
  <si>
    <t>Meningkatkan Akuntabilitas Keuangan dan Kinerja Pemerintah Dearah</t>
  </si>
  <si>
    <t>Persentase pemenuhan layanan adminstrasi perkantoran</t>
  </si>
  <si>
    <t xml:space="preserve">Menurunkan Tingkat Pencemaran dan Perusakan Lingkungan Hidup </t>
  </si>
  <si>
    <t>Program Pengembangan Kinerja Pengelolaan Persampahan</t>
  </si>
  <si>
    <t>Meningkatkan Kualitas air, kualitas udara dan kualitas tanah di bawah baku mutu</t>
  </si>
  <si>
    <t>Dinas PU dan Penataan Ruang</t>
  </si>
  <si>
    <t>Bimbingan teknis persampahan</t>
  </si>
  <si>
    <t>Sosialisasi kebijakan pengelolaan persampahan</t>
  </si>
  <si>
    <t>Pembinaan Peran Serta Masyarakat Dalam Program Pengelolaan Bank Sampah dan 3R</t>
  </si>
  <si>
    <t>Terlaksananya Pembinaan Peran Serta Masyarakat Dalam Program Pengelolaan Bank Sampah dan 3R</t>
  </si>
  <si>
    <t>Sosialisasi Program Pengelolaan Bank Sampah dan 3R</t>
  </si>
  <si>
    <t>Pembangunan Pengelolaan Limbah Cair Permukiman Masyarakat (Ipal Komunal)</t>
  </si>
  <si>
    <t>Pembangunan Septik Tank dan MCK Komunal</t>
  </si>
  <si>
    <t>Penyusunan Laporan Periodik Volume Sampah</t>
  </si>
  <si>
    <t>Jumlah Kecamatan</t>
  </si>
  <si>
    <t>Sosialisasi pembinaan pemanfaatan air</t>
  </si>
  <si>
    <t xml:space="preserve"> Meningkatnya Kualitas Informasi dan Peran Serta Masyarakat dalam pengelolaan lingkungan hidup</t>
  </si>
  <si>
    <t>Program Pengendalian Pencemaran dan Perusakan Lingkungan Hidup</t>
  </si>
  <si>
    <t>Peningkatan Peluang Partisipasi dalam Pengelolaan Lingkungan</t>
  </si>
  <si>
    <t>Dinas Lingkungan Hidup</t>
  </si>
  <si>
    <t>Koordinasi Penilaian Kota Sehat/Adipura</t>
  </si>
  <si>
    <t>Jumlah Lokasi Titik Pantau dan Frekwensi Pemantauan</t>
  </si>
  <si>
    <t>13 ( 2 Kali )</t>
  </si>
  <si>
    <t>13 ( 1 Kali )</t>
  </si>
  <si>
    <t>Pemantauan Kualitas Lingkungan (DAK)</t>
  </si>
  <si>
    <t>Terpantaunya Kualitas Lingkungan</t>
  </si>
  <si>
    <t>Persentase Kualitas Lingkungan</t>
  </si>
  <si>
    <t>7 Paket</t>
  </si>
  <si>
    <t>Pengawasan pelaksanaan kebijakan bidang lingkungan hidup</t>
  </si>
  <si>
    <t>Jumlah Kegiatan Yang Diawasi</t>
  </si>
  <si>
    <t>10 Buku Pengawasan</t>
  </si>
  <si>
    <t>18 Perusahaan</t>
  </si>
  <si>
    <t>Pembuatan Standar Pelayanan Minimum (SPM) Lingkungan Hidup</t>
  </si>
  <si>
    <t>Jumlah Buku Standar Pelayanan Minimal ( SPM ) LH</t>
  </si>
  <si>
    <t>Peringatan Hari Lingkungan Hidup Sedunia di Kabupaten Pesisir Selatan</t>
  </si>
  <si>
    <t>Jumlah Peringatan Hari Lingkungan Hidup Yang Diaksanakan ( Kali )</t>
  </si>
  <si>
    <t>Memperingati</t>
  </si>
  <si>
    <t>Pemantauan Kualitas Lingkungan (Penunjang DAK)</t>
  </si>
  <si>
    <t>Pemantauan Kualitas Lingkungan</t>
  </si>
  <si>
    <t>Persentase kualitas lingkungan</t>
  </si>
  <si>
    <t>Penunjang Operasional Laboratorium</t>
  </si>
  <si>
    <t>Jumlah Opersional Laboratorium Yang Tersedia ( Bulan )</t>
  </si>
  <si>
    <t>Kelancaran labor</t>
  </si>
  <si>
    <t>Koordinasi Gerakan Sumatera Barat Bersih (GSB)</t>
  </si>
  <si>
    <t>Jumlah Kegiatan GSB Yang Dkordinasikan</t>
  </si>
  <si>
    <t>Kecamatan Bersih,Teduh dan Hijau</t>
  </si>
  <si>
    <t>Penilaian Kalpataru</t>
  </si>
  <si>
    <t>Terlaksananya Pembinaan kalpataru</t>
  </si>
  <si>
    <t>Pelaku Peduli Lingkungan</t>
  </si>
  <si>
    <t>1 Kelompok Masyarakat</t>
  </si>
  <si>
    <t>40</t>
  </si>
  <si>
    <t>Pengadaan Kit dan Accecoris Laboratorium</t>
  </si>
  <si>
    <t>44</t>
  </si>
  <si>
    <t>Pelaksanaan Program Penilaian Kinerja Usaha Tingkat Daerah (PROPERDA)</t>
  </si>
  <si>
    <t>Kajian penetapan pengendalian kerusakan tanah pada sumber dampak (degradasi lahan)</t>
  </si>
  <si>
    <t>Pengkajian penetapan daya dukung dan daya tampung lingkungan hidup kabupaten pesisir selatan</t>
  </si>
  <si>
    <t>53</t>
  </si>
  <si>
    <t>Sosialisasi produk lingkungan</t>
  </si>
  <si>
    <t>54</t>
  </si>
  <si>
    <t>Identifikasi sumber pencemar lingkungan berdasarkan sumber pencemar lingkungan</t>
  </si>
  <si>
    <t>55</t>
  </si>
  <si>
    <t>Penggadaan sarana pendukung pengendalian lingkungan</t>
  </si>
  <si>
    <t>56</t>
  </si>
  <si>
    <t>Pelatihan Fungsional PPLHD</t>
  </si>
  <si>
    <t>Pembinaan Pelaksanaan PROKLIM dan KALPATARU</t>
  </si>
  <si>
    <t>Jumlah Calon Yang Masuk Seleksi Nasional</t>
  </si>
  <si>
    <t xml:space="preserve">Kampung Iklim </t>
  </si>
  <si>
    <t xml:space="preserve">Calon Penerima Kalpataru </t>
  </si>
  <si>
    <t>Sekolah Berbudaya dan Berwawasan Lingkungan ( ADIWIYATA )</t>
  </si>
  <si>
    <t>Jumlah Sekolah Adiwiyata yang juara</t>
  </si>
  <si>
    <t>Tingkat Mandiri</t>
  </si>
  <si>
    <t>Tingkat Nasional</t>
  </si>
  <si>
    <t>Tingkat Provinsi</t>
  </si>
  <si>
    <t>Tingkat Kabupaten</t>
  </si>
  <si>
    <t>Program Peningkatan Kualitas dan akses Informasi SDA dan Lingkungan</t>
  </si>
  <si>
    <t>Peningkatan Kualitas Dokumen Lingkungan</t>
  </si>
  <si>
    <t>Pembuatan Buku Laporan Status Lingkungan Hidup Daerah (SLHD)</t>
  </si>
  <si>
    <t>Jumlah Buku Laporan SLHD</t>
  </si>
  <si>
    <t>Sosialisasi Pemahaman Pengelolaan Lingkungan Hidup Bagi SKPD se Kabupaten Pesisir Selatan</t>
  </si>
  <si>
    <t>Pembahasan Dokumen AMDAL dan UKL-UPL</t>
  </si>
  <si>
    <t>Jumlah Dokumen  Lingkungan Hidup</t>
  </si>
  <si>
    <t>UKL/UPL</t>
  </si>
  <si>
    <t>SPPL</t>
  </si>
  <si>
    <t>Pembinaan, Pelaksanaan dan Implementasi AMDAL-UKL-UPL dan SPPL</t>
  </si>
  <si>
    <t>Tindak Lanjut Pengaduan Masyarakat di Bidang Lingkungan Hidup</t>
  </si>
  <si>
    <t>Jumlah Pengaduan Masyarakat dibidang LH yang ditindak lanjuti ( kasus )</t>
  </si>
  <si>
    <t>Pembinaan Sekolah Berbudaya dan Berwawasan Lingkungan (Adiwiyata)</t>
  </si>
  <si>
    <t>Sosialisasi Adiwiyata</t>
  </si>
  <si>
    <t>terlaksananya sosialisasi dan binaan ke sekolah</t>
  </si>
  <si>
    <t>Sosialisasi terhadap pemilik kegiatan tentang kewajiban penyusunan laporan semester 1 x 6 bulan</t>
  </si>
  <si>
    <t>Peningkatan pemahaman masyarakat terhadap dampak yang timbulkan oleh suatu kegiatan</t>
  </si>
  <si>
    <t>Penguatan Komisi AMDAL Kab.Pessel dengan Lisensi</t>
  </si>
  <si>
    <t>36</t>
  </si>
  <si>
    <t>Pembinaan dan Pelaksanaan Adaptasi dan Mitigasi Perubahan Iklim (Pembinaan Pelaksanaan PROIKLIM &amp; KALPATARU)</t>
  </si>
  <si>
    <t>Terbinanya dan terlaksananya adaptasi dan mitigasi perubahan iklim</t>
  </si>
  <si>
    <t>Pengelolaan tutupan vegetasi</t>
  </si>
  <si>
    <t>37</t>
  </si>
  <si>
    <t>Penyusunan RPPLH Kabupaten Pesisir Selatan</t>
  </si>
  <si>
    <t>Jumlah Dokumen RPPLH Yang Disusun</t>
  </si>
  <si>
    <t>dokumen</t>
  </si>
  <si>
    <t>Penyusunan Dokumen KLHS</t>
  </si>
  <si>
    <t>3.73%</t>
  </si>
  <si>
    <t>Sosialisasi penyelesaian permasalahan lingkungan</t>
  </si>
  <si>
    <t>41</t>
  </si>
  <si>
    <t>Sosialisasi izin penyimpanan sementara limbah B3 dan  izin pembuangan limbah cair (IPLC) ke Media Lingkungan</t>
  </si>
  <si>
    <t>Penyusunan Dokumen SPPL UMKM</t>
  </si>
  <si>
    <t>Sosialisasi pengelolaan lingkungan industri</t>
  </si>
  <si>
    <t>Peningkatan kompetensi tenaga teknis dalam peningkatan kapasitas lingkungan</t>
  </si>
  <si>
    <t>Sosialisasi CSR ke Perusahaan</t>
  </si>
  <si>
    <t>Peningkatan pemahaman pemilik kegiatan terhadap izin PPLH</t>
  </si>
  <si>
    <t>Pembangunan pos pengaduan lingkungan hidup</t>
  </si>
  <si>
    <t>49</t>
  </si>
  <si>
    <t>Inventarisasi Kegiatan yang belum memiliki izin lingkungan</t>
  </si>
  <si>
    <t>Jumlah Kegiatan Yang Belum Memiliki Izin Lingkungan Yang Terinventarisir</t>
  </si>
  <si>
    <t>data kegiatan yang memiliki izin lingkungan</t>
  </si>
  <si>
    <t>Sosialisasi Penegakan Hukum Lingkungan</t>
  </si>
  <si>
    <t>Adanya sosialisasi penegakan hukum lingkungan</t>
  </si>
  <si>
    <t>tersosialisasi penegakan hukum lingkungan</t>
  </si>
  <si>
    <t>Jumlah Dokumen KLHS Yang Disusun</t>
  </si>
  <si>
    <t>Program Peningkatan Pengendalian Polusi</t>
  </si>
  <si>
    <t>Pemantauan Kualitas Media Skala Kabupaten</t>
  </si>
  <si>
    <t>Jumlah Sungai Yang Terpantau</t>
  </si>
  <si>
    <t>Kondisi kualitas air sungai, embung dan tanah</t>
  </si>
  <si>
    <t>Pemantauan Kualitas Udara Emisi</t>
  </si>
  <si>
    <t>Evaluasi Kualitas Udara Kota Painan</t>
  </si>
  <si>
    <t>Inventarisasi Lahan Akses Terbuka</t>
  </si>
  <si>
    <t>Meningkatnya Kualitas Pemanfaatan Sumber Daya Alam</t>
  </si>
  <si>
    <t>Program Pelestarian Keanekaragaman Hayati Daerah Kab. Pessel</t>
  </si>
  <si>
    <t>Meningkatkan Luasan Tutupan Lahan Terbuka</t>
  </si>
  <si>
    <t>Penanaman Pohon  Pelindung Sepanjang Jalan Raya Keanekaragaman dengan Tanaman Khas Daerah/Nagari</t>
  </si>
  <si>
    <t>Penetapan Ikon Flora/Fauna Kab. Pessel</t>
  </si>
  <si>
    <t>Disaian Pembangunan Taman KEHATI Kab. Pessel</t>
  </si>
  <si>
    <t>Pembangunan Taman Keanekaragaman Hayati Kab. Pessel</t>
  </si>
  <si>
    <t>Penyusunan profil keanekaragaman hayati</t>
  </si>
  <si>
    <t>Jumlah Dokumen KEHATI</t>
  </si>
  <si>
    <t>Program Perlindungan dan Konservasi Sumber Daya Alam</t>
  </si>
  <si>
    <t>pencegahan dan recovery erosi di Sempadan Sungai dengan penanaman</t>
  </si>
  <si>
    <t>inventarisasi data pelestarian kawasan pesisir laut</t>
  </si>
  <si>
    <t>pembangunan bank bibit tanaman</t>
  </si>
  <si>
    <t>gerakan lingkungan kawasan wisata bersih</t>
  </si>
  <si>
    <t>pencegahan dan recovery abrasi di Sempadan pantai dan penanaman</t>
  </si>
  <si>
    <t>Program Pengelolaan Ruang terbuka Hijau (RTH)</t>
  </si>
  <si>
    <t xml:space="preserve">Peningkatan peran serta Masyarakat dalam pengelolaan Ruang terbuka hijau </t>
  </si>
  <si>
    <t>Program penataan Administrasi Kependudukan</t>
  </si>
  <si>
    <t>Peningkatan pelayanan publik dalam bidang kependudukan</t>
  </si>
  <si>
    <t>pelayanan E- KTP</t>
  </si>
  <si>
    <t>Program pelayanan administrasi perkantoran</t>
  </si>
  <si>
    <t>Lancarnya Pelayanan Adminisitrasi Perkantoran</t>
  </si>
  <si>
    <t>Jumlah jasa komunikasi, sumber daya air dan listrik yang tersedia ( Bulan )</t>
  </si>
  <si>
    <t>Jumlah jasa administrasi keuangan yang tersedia( Bulan )</t>
  </si>
  <si>
    <t>Jumlah jasa kebersihan kantor yang tersedia ( Bulan )</t>
  </si>
  <si>
    <t>Penyediaan jasa perbaikan peralatan kerja yang tersedia ( Bulan )</t>
  </si>
  <si>
    <t>Jumlah ketersediaan Alat Tulis Kantor</t>
  </si>
  <si>
    <t>Jumlah barang cetakan dan Penggandaan yang tersedia ( Bulan )</t>
  </si>
  <si>
    <t>Penyusunan Rencana Strategis SKPD</t>
  </si>
  <si>
    <t>Jumlah Dokumen Revisi Renstra Yang Dihasilkan</t>
  </si>
  <si>
    <t>Jumlah Ketersediaan komponen instalasi listrik/penerangan bangunan kantor ( Bulan )</t>
  </si>
  <si>
    <t>Jumlah Ketersediaan bahan bacaan dan peraturan perundang-undangan ( Bulan )</t>
  </si>
  <si>
    <t>Jumlah Ketersediaan Makanan dan Minuman</t>
  </si>
  <si>
    <t>Jumlah Rapat Koordinasi dan Konsultasi Luar Daerah Yang Dihasiri</t>
  </si>
  <si>
    <t>Jumlah Rapat Koordinasi dan Konsultasi Luar Dalam Yang Dihadiri</t>
  </si>
  <si>
    <t>Jenis Laporan Yang Disampaikan</t>
  </si>
  <si>
    <t>Laporan APBD-P ( Dokumen )</t>
  </si>
  <si>
    <t>RAPBD 2019 ( Dokumen )</t>
  </si>
  <si>
    <t>Laporan Bulanan</t>
  </si>
  <si>
    <t>Laporan Triwulan</t>
  </si>
  <si>
    <t>Laporan Lainnya ( Paket )</t>
  </si>
  <si>
    <t>Meningkatnya Sarana dan prasarana Aparatur</t>
  </si>
  <si>
    <t>Pengadaan kendaraan dinas/operasional</t>
  </si>
  <si>
    <t>Jumlah Kendaraan Dinas / Operasional Yang Dipelihara</t>
  </si>
  <si>
    <t>Mobil ( Unit )</t>
  </si>
  <si>
    <t>Sepeda Motor ( Unit</t>
  </si>
  <si>
    <t>Pengadaan perlengkapan gedung kantor</t>
  </si>
  <si>
    <t>Jumlah Perlengkapan gedung kantor</t>
  </si>
  <si>
    <t>AC ( Unit )</t>
  </si>
  <si>
    <t>Komputer PC ( Unit )</t>
  </si>
  <si>
    <t>Infokus ( Unit )</t>
  </si>
  <si>
    <t>Printer ( Unit )</t>
  </si>
  <si>
    <t>Pengadaan meubiler</t>
  </si>
  <si>
    <t>Pemeliharaan rutin/berkala kendaraan dinas/operasional</t>
  </si>
  <si>
    <t>Adanya Pemeliharaan Rutin/berkala kendaraan dinas/operasional</t>
  </si>
  <si>
    <t>Rehabilitasi sedang/berat gedung kantor</t>
  </si>
  <si>
    <t>Luas Gedung Kantor Yang Direhab</t>
  </si>
  <si>
    <t>Gedung ( M2 )</t>
  </si>
  <si>
    <t>Halaman ( M2 )</t>
  </si>
  <si>
    <t>Program Peningkatan Kapasitas Sumber Daya Aparatur</t>
  </si>
  <si>
    <t>Meningkatnya Kapasitas Sumberdaya Aparatur</t>
  </si>
  <si>
    <t>Pendidikan dan Pelatihan Formal</t>
  </si>
  <si>
    <t>Meningkatnya Sumber Daya Aparatur</t>
  </si>
  <si>
    <t>Program Peningkatan Pengembangan Sistem Pelaporan Capaian Kinerja dan Keuangan</t>
  </si>
  <si>
    <t>Berkembanya Sistem Pelaporan Capaian Kinerja dan Keuangan</t>
  </si>
  <si>
    <t>Penyusunan laporan capaian kinerja dan ikhtisar realisasi kinerja SKPD</t>
  </si>
  <si>
    <t>Laporan LAKIP, LKPj, Tapkin, LPPD, Laporan lainnya ( Paket )</t>
  </si>
  <si>
    <t>Predikat kinerja</t>
  </si>
  <si>
    <t>Sangat Rendah</t>
  </si>
  <si>
    <t>BKPSDM</t>
  </si>
  <si>
    <t>Meningkatkan pelayanan kepegawaian</t>
  </si>
  <si>
    <t>Pengelolaan Sistem Informasi Manajemen Kepegawaian (SIMPEG)</t>
  </si>
  <si>
    <t>Jumlah data PNS yang dientry dalam jaringan database (data)</t>
  </si>
  <si>
    <t>Pengelolaan Administrasi Kepangkatan dan Pemakaian Gelar Pegawai</t>
  </si>
  <si>
    <t>Jumlah berkas PNS yang diproses untuk usulan kenaikan pangkat dan pemakaian gelar (berkas)</t>
  </si>
  <si>
    <t>Pengelolaan Administrasi Pensiun Pegawai</t>
  </si>
  <si>
    <t>Jumlah berkas PNS yang diproses untuk usulan BUP, janda/duda, APS dan MPP (berkas)</t>
  </si>
  <si>
    <t>Pembekalan ASN yang memasuki purnabakti</t>
  </si>
  <si>
    <t>Jumlah PNS yang mengikuti pembekalan sebelum pensiun (orang)</t>
  </si>
  <si>
    <t>Pengelolaan administrasi karpeg, karis/karsu dan taspen</t>
  </si>
  <si>
    <t>Jumlah berkas PNS yang diprose usulan karpeg, karis/karsu dan taspen (berkas)</t>
  </si>
  <si>
    <t>Pelaksanaan Pengkoreksian Angka Kredit</t>
  </si>
  <si>
    <t>Jumlah berkas PNS yang diproses untuk usulan pengkoreksian angka kredit bagi jabatan fungsional (berkas)</t>
  </si>
  <si>
    <t>Program Pembinaan dan Pengembangan Aparatur</t>
  </si>
  <si>
    <t>Meningkatnya sistem karir PNS</t>
  </si>
  <si>
    <t>Seleksi Penerimaan Calon PNS</t>
  </si>
  <si>
    <t>Jumlah Pelamar yang Mengikuti Seleksi dan Diterima Menjadi PNS (orang)</t>
  </si>
  <si>
    <t>Pemberian Bantuan Tugas Belajar dan Ikatan Dinas</t>
  </si>
  <si>
    <t>Jumlah PNS yang Mendapatkan Bantuan Tugas Belajar dan Ikatan Dinas (orang)</t>
  </si>
  <si>
    <t>Penyelenggaraan Badan Pertimbangan Jabatan dan Kepangkatan</t>
  </si>
  <si>
    <t>Jumlah sidang yang dilakukan oleh Tim Badan Pertimbangan Jabatan dan Kepangkatan (kali)</t>
  </si>
  <si>
    <t>Pengambilan Sumpah PNS dan Pelantikan Jabatan</t>
  </si>
  <si>
    <t>Jumlah diadakan acara Pengambilan Sumpah dan Pelantikan Jabatan (kali)</t>
  </si>
  <si>
    <t>Seleksi Jabatan Pimpinan Tinggi</t>
  </si>
  <si>
    <t>Jumlah Peserta Seleksi Jabatan Pimpinan Tinggi (orang)</t>
  </si>
  <si>
    <t>Penyelenggaraan Majelis Pertimbangan Pegawai</t>
  </si>
  <si>
    <t>Jumlah sidang yang dilakukan oleh Tim Majelis Pertimbangan Pegawai (kali)</t>
  </si>
  <si>
    <t>Pemberian Satyalencana Karya Satya X, XX, dan XXX Tahun</t>
  </si>
  <si>
    <t>Jumlah berkas PNS yang diusulkan untuk menerima Satya lencana karya satya X, XX, dan XXX Tahun (berkas)</t>
  </si>
  <si>
    <t>Penyusunan Formasi PNS</t>
  </si>
  <si>
    <t>Tercapainya Penyusunan Formasi PNS (orang)</t>
  </si>
  <si>
    <t>Pengelolaan administrasi mutasi pegawai</t>
  </si>
  <si>
    <t>Jumlah PNS yang melakukan Mutasi Pindah dan Mutasi Jabatan fungsional (orang)</t>
  </si>
  <si>
    <t>Pemeriksaan Kasus PNS dan Masalah Perceraian</t>
  </si>
  <si>
    <t>Jumlah PNS yang melanggar disiplin dan masalah perceraian yang diberikan rekomendasi (orang)</t>
  </si>
  <si>
    <t>Pemetaan Potensi Pejabat Struktural</t>
  </si>
  <si>
    <t>Jumlah peserta yang mengikuti pemetaan potensi pejabat struktural (orang)</t>
  </si>
  <si>
    <t>Program Pendidikan Kedinasan</t>
  </si>
  <si>
    <t>Peningkatan keterampilan dan profesionalisme</t>
  </si>
  <si>
    <t>Jumlah PNS yang Mengikuti Pendidikan Pim II dan Pim III (orang)</t>
  </si>
  <si>
    <t>Diklat Kepemimpinan Tk. IV</t>
  </si>
  <si>
    <t>Jumlah Pegawai ASN yang mengikuti Diklat PIM Tk. IV (orang)</t>
  </si>
  <si>
    <t>Diklat Prajabatan bagi Calon PNS</t>
  </si>
  <si>
    <t>Jumlah Peserta yang Mengikuti Diklat Prajabatan (orang)</t>
  </si>
  <si>
    <t>Diklat Pengelolaan Keuangan Daerah</t>
  </si>
  <si>
    <t>Jumlah Pegawai ASN yang mengikuti Diklat Pengelolaan Keuangan Daerah (orang)</t>
  </si>
  <si>
    <t>Diklat Teknnis Manajemen Kinerja ASN</t>
  </si>
  <si>
    <t>Jumlah peserta yang mengikuti Bimtek manajemen kinerja ASN (orang)</t>
  </si>
  <si>
    <t>Pelaksanaan Achivment Motivation Training</t>
  </si>
  <si>
    <t>Jumlah Pegawai ASN yang mengikuti Achivment Motivation Training (orang)</t>
  </si>
  <si>
    <t>Penyediaan Jasa Komunikasi, Sumber Daya, Air dan Listrik</t>
  </si>
  <si>
    <t>Tersedianya jasa telpon, sumber daya air dan listrik (%)</t>
  </si>
  <si>
    <t>Penyediaan Jasa Peralatan dan Perlengkapan Kantor</t>
  </si>
  <si>
    <t>Tersedianya jasaperalatan dan perlengkapan kantor (%)</t>
  </si>
  <si>
    <t>Penyediaan Jasa Administrasi Keuangan</t>
  </si>
  <si>
    <t>Tersedianya pembayaran/honorarium tenaga administrasi keuangan BKPSDM  (%)</t>
  </si>
  <si>
    <t>Tersedianya petugas kebersihan kantor (%)</t>
  </si>
  <si>
    <t>Tersedianya alat tulis kantor untuk operasional BKPSDM (%)</t>
  </si>
  <si>
    <t>Tersedianya barang cetakan dan penggadaan pada BKPSDM (%)</t>
  </si>
  <si>
    <t>Tersedianya komponen instalasi listrik bangunan kantor BKPSDM  (%)</t>
  </si>
  <si>
    <t>Penyediaan Bahan Bacaan dan Peraturan Perundang-Undangan</t>
  </si>
  <si>
    <t>Tersedianya bahan bacaan (koran) dan peraturan perundang-undangan  (%)</t>
  </si>
  <si>
    <t>Tersedianya makanan dan minuman pada BKPSDM  (%)</t>
  </si>
  <si>
    <t>Terwujudnya koordinasi dan konsultasi ke luar daerah dengan instansi terkait (%)</t>
  </si>
  <si>
    <t>Terwujudnya koordinasi dan konsultasi kedalam daerah dengan instansi terkait (%)</t>
  </si>
  <si>
    <t>Tersampaikannya informasi pembangunan (Festival Langkisau, Pawai Legoris, Acara HUT RI)  (%)</t>
  </si>
  <si>
    <t>Jumlah Pengadaan Perlengkapan Gedung Kantor (jenis)</t>
  </si>
  <si>
    <t>Jumlah Pengadaan Peralatan Gedung Kantor (unit)</t>
  </si>
  <si>
    <t>Pemeliharaan rutin/berkala Gedung Kantor</t>
  </si>
  <si>
    <t>Terpeliharanya secara rutin/berkala Gedung Kantor (jenis)</t>
  </si>
  <si>
    <t>Pemeliharan Rutin/ Berkala Kendaraan Dinas/Operasional</t>
  </si>
  <si>
    <t>Jumlah kendaraan dinas/operasional yang dipelihara secara rutin/berkala (%)</t>
  </si>
  <si>
    <t>Pemeliharaan Rutin/Berkala Peralatan Gedung Kantor</t>
  </si>
  <si>
    <t>Jumlah peralatan gedung kantor yang dipelihara secara rutin/berkala (unit)</t>
  </si>
  <si>
    <t>Tersusunnya dokumen laporan akuntabilitas kinerja BKPSDM (laporan)</t>
  </si>
  <si>
    <t>Meningkatkan produksi pertanian</t>
  </si>
  <si>
    <t>Program Peningkatan Penerapan Teknologi Pertanian/ Perkebunan</t>
  </si>
  <si>
    <t>Jumlah kelompok tani pemanfaat alsintan (kelompok)</t>
  </si>
  <si>
    <t>Dinas Tanaman Pangan Hortikultura dan Perkebunan Kab. Pesisir Selatan</t>
  </si>
  <si>
    <t>Jumlah kelompok tani yang menggunakan teknologi tepat guna (kelompok)</t>
  </si>
  <si>
    <t>Pengadaan sarana dan prasarana teknologi pertanian/perkebunan tepat guna</t>
  </si>
  <si>
    <t>Jumlah alat dan mesin pertanian (unit)</t>
  </si>
  <si>
    <t>Pemeliharaan rutin berkala sarana dan prasarana teknologi pertanian/perkebunan tepat guna</t>
  </si>
  <si>
    <t>Jumlah alat dan mesin pertanian bribage tanam yang dipelihara (unit)</t>
  </si>
  <si>
    <t>Pelatihan dan Bimbingan Pengoperasian Teknologi Pertanian/Perkebunan Tepat Guna</t>
  </si>
  <si>
    <t>Jumlah petani yang dilatih menjadi operator alsintan (orang)</t>
  </si>
  <si>
    <t>Pengembangan Teknologi Budidaya Padi SRI</t>
  </si>
  <si>
    <t>Jumlah petani yang mengikuti sosialisasi dan pembinaan budidaya padi SRI (orang)</t>
  </si>
  <si>
    <t>Program Peningkatan Produksi Pertanian/ Perkebunan</t>
  </si>
  <si>
    <t>Jumlah Produksi Padi (Ton)</t>
  </si>
  <si>
    <t>Jumlah Produksi jagung (Ton)</t>
  </si>
  <si>
    <t>Jumlah Produksi Cabe (Ton)</t>
  </si>
  <si>
    <t>Jumlah produksi bawang merah (Ton)</t>
  </si>
  <si>
    <t>Jumlah produksi Buah-buahan (Ton)</t>
  </si>
  <si>
    <t>Jumlah Produksi Kelapa Sawit (Ton)</t>
  </si>
  <si>
    <t>Jumlah Produksi Karet (Ton)</t>
  </si>
  <si>
    <t>Jumlah Produksi gambir (Ton)</t>
  </si>
  <si>
    <t>Jumlah Produksi Pala (Ton)</t>
  </si>
  <si>
    <t>Jumlah Produksi kakao (Ton)</t>
  </si>
  <si>
    <t>Jumlah Produksi Kopi (Ton)</t>
  </si>
  <si>
    <t>Jumlah Produksi Cengkeh (Ton)</t>
  </si>
  <si>
    <t>Pengembangan Bibit Unggul Perkebunan</t>
  </si>
  <si>
    <t>Tersedianya bibit unggul tanaman Perkebunan (batang)</t>
  </si>
  <si>
    <t>Pembenahan dan Pengolahan Data Statistik Pertanian</t>
  </si>
  <si>
    <t>Jumlah buku statistik pertanian (buku)</t>
  </si>
  <si>
    <t>Pengendalian Hama Penyakit/OPT</t>
  </si>
  <si>
    <t>Jumlah pengamatan dan pengendalian OPT</t>
  </si>
  <si>
    <t>Pengembangan Bibit Unggul Pertanian</t>
  </si>
  <si>
    <t>Jumlah pertemuan kelompok penangkar (kali)</t>
  </si>
  <si>
    <t>Pengembangan Tanaman Hortikultura</t>
  </si>
  <si>
    <t>Jumlah petani yang mengikuti pelatihan penangkar tanaman hortikultura (orang)</t>
  </si>
  <si>
    <t>Pengujian Mutu Pupuk dan Pestisida</t>
  </si>
  <si>
    <t>Jumlah sampel pupuk dan pestisida yang diuji (sampel)</t>
  </si>
  <si>
    <t>Penyusunan Data Base Lahan Pertanian Pangan Berkelanjutan (LP2B)</t>
  </si>
  <si>
    <t>Jumlah peta LP2B (peta)</t>
  </si>
  <si>
    <t>Sekolah Lapang Budidaya Kakao</t>
  </si>
  <si>
    <t>Jumlah petani yang mengikuti sekolah lapang (orang)</t>
  </si>
  <si>
    <t>Pelatihan Teknis Budidaya Tanaman Karet</t>
  </si>
  <si>
    <t>Jumlah petani yang mengikuti pelatihan teknis budidaya tanaman karet (orang)</t>
  </si>
  <si>
    <t>Pengendalian Hama Perkebunan</t>
  </si>
  <si>
    <t>Jumlah gerakan pengendalian hama perkebunan (gerakan)</t>
  </si>
  <si>
    <t>Pembinaan dan Pengembangan Tanaman Perkebunan</t>
  </si>
  <si>
    <t>Jumlah kelompok penangkar yang dibina (kelompok)</t>
  </si>
  <si>
    <t>Penunjang Kegiatan Provinsi dan Pusat Bidang Tanaman Pangan Hortikultura Perkebunan</t>
  </si>
  <si>
    <t>Terfasilitasinya kegiatan pusat dan provinsi yang ada di daerah (bulan)</t>
  </si>
  <si>
    <t>LOAN IPDMIP</t>
  </si>
  <si>
    <t>Jumlah petani yang mengikuti SL Budidaya Padi (orang)</t>
  </si>
  <si>
    <t>Pemberdayaan Penyuluh Pertanian Lapangan</t>
  </si>
  <si>
    <t>Rasio Penyuluh Terhadap Kelompok Tani</t>
  </si>
  <si>
    <t>Jumlah Penyuluh Berprestasi (orang)</t>
  </si>
  <si>
    <t>Peningkatan Kapasitas Tenaga Penyuluh Pertanian/Perkebunan</t>
  </si>
  <si>
    <t>Jumlah PPL yang difasilitasi operasional (orang)</t>
  </si>
  <si>
    <t>Penyusunan Programa Penyuluh Pertanian/Perkebunan</t>
  </si>
  <si>
    <t>Jumlah programa penyuluhan yang dihasilkan (dokumen)</t>
  </si>
  <si>
    <t>Program Peningkatan Kelembagaan Petani</t>
  </si>
  <si>
    <t>Jumlah Gapoktan Berprestasi (gapoktan)</t>
  </si>
  <si>
    <t>Jumlah Kelompok Tani Berprestasi (kelompok)</t>
  </si>
  <si>
    <t>Jumlah Petani Berprestasi (orang)</t>
  </si>
  <si>
    <t>Peningkatan Kemampuan Kelembagaan  Petani (LKMA)</t>
  </si>
  <si>
    <t>Jumlah LKMA yang dibina</t>
  </si>
  <si>
    <t>Fasilitasi Pembentukan Kelompok Tani Berbadan Hukum</t>
  </si>
  <si>
    <t>Jumlah kelompok tani yang berbadan hukum (kelompok)</t>
  </si>
  <si>
    <t>Fasilitasi Asuransi Usaha Tanaman Padi</t>
  </si>
  <si>
    <t>Luas lahan usaha tani yang difasilitasi (ha)</t>
  </si>
  <si>
    <t>Meningkatkan nilai tambah hasil pertanian</t>
  </si>
  <si>
    <t>Program Peningkatan Nilai Tambah, Daya Saing, Industri Hilir, Pemasaran dan Ekspor Hasil Pertanian</t>
  </si>
  <si>
    <t>Jumlah Diversifikasi Hasil Olahan Tanaman Pangan (jenis)</t>
  </si>
  <si>
    <t>Jumlah Diversifikasi Hasil Olahan Tanaman Hortikultura (jenis)</t>
  </si>
  <si>
    <t>Jumlah Diversifikasi Hasil Olahan Tanaman Perkebunan (jenis)</t>
  </si>
  <si>
    <t>Peningkatan Nilai Tambah dan Penekanan Susut Hasil Komoditi Tanaman Pangan</t>
  </si>
  <si>
    <t>Terlaksananya revitalisasi RMU</t>
  </si>
  <si>
    <t>Pengembangan Pasca Panen Komoditi Tanaman Perkebunan</t>
  </si>
  <si>
    <t xml:space="preserve">Terlaksananya pelatihan pengolahan hasil karet, gambir, dan kelapa </t>
  </si>
  <si>
    <t>Peningkatan Kelompok Pengolahan Hasil Tanaman Hortikultura</t>
  </si>
  <si>
    <t>Tersedianya sarana pengolahan hasil tanaman hortikultura</t>
  </si>
  <si>
    <t>Promosi Atas Hasil Produksi Pertanian Unggulan Daerah</t>
  </si>
  <si>
    <t>Jumlah kegiatan promosi yang diikuti (kegiatan)</t>
  </si>
  <si>
    <t>Penumbuhan Agrowisata</t>
  </si>
  <si>
    <t>Jumlah peserta yang mengikuti pelatihan budidaya sehat tanaman jeruk pada lokasi agrowisata (orang)</t>
  </si>
  <si>
    <t>Pengembangan Jaringan Pemasaran Produksi Perkebunan</t>
  </si>
  <si>
    <t>Rapat - rapat koordinasi dan asosiasi bidang perkebunan yang dilaksanakan (bulan)</t>
  </si>
  <si>
    <t>Penilaian Uji Mutu Hasil Usaha Tanaman Perkebunan</t>
  </si>
  <si>
    <t>Dokumen hasil uji rendemen tanaman perkebunan (dokumen)</t>
  </si>
  <si>
    <t>Program Penyediaan dan Pengembangan Sarana dan Prasarana Pertanian/ Perkebunan</t>
  </si>
  <si>
    <t>Meningkatnya sarana dan prasarana pertanian/perkebunan yang memadai (%)</t>
  </si>
  <si>
    <t>Pengembangan Prasarana dan sarana pertanian (penunjang satker 08)</t>
  </si>
  <si>
    <t>Terfasilitasinya kegiatan pusat (satker 08) (kegiatan)</t>
  </si>
  <si>
    <t>Pembangunan/Rehabilitasi Infrastruktur Pertanian</t>
  </si>
  <si>
    <t>Panjang Jalan Produksi/ Jalan Usaha Tani yang dibangun/ direhabilitasi (paket)</t>
  </si>
  <si>
    <t>DAK Bidang Pertanian dan Pendamping</t>
  </si>
  <si>
    <t>Jumlah embung/ dam parit saluran yang dibangun/ direhabilitasi (unit)</t>
  </si>
  <si>
    <t>Penunjang DAK Bidang Pertanian</t>
  </si>
  <si>
    <t>Lancarnya pelaksanaan kegiatan DAK Bidang Pertanian (kegiatan)</t>
  </si>
  <si>
    <t>Tercapainya pelayanan administrasi yang prima (%)</t>
  </si>
  <si>
    <t>Tersedianya jasa komunikasi, sumber daya air dan listrik (bulan)</t>
  </si>
  <si>
    <t>Tersedianya layanan jasa administrasi keuangan perkantoran (bulan)</t>
  </si>
  <si>
    <t>Tersedianya layanan jasa kebersihan kantor/ cleaning service (bulan)</t>
  </si>
  <si>
    <t>Penyediaan Jasa Perbaikan Peralatan Kerja</t>
  </si>
  <si>
    <t>Terpeliharanya peralatan kerja dinas (bulan)</t>
  </si>
  <si>
    <t>Tersedianya ATK dinas dan UPTD/ BPK (bulan)</t>
  </si>
  <si>
    <t>Tersedianya cetakan dan penggandaan dinas (bulan)</t>
  </si>
  <si>
    <t>Tersedianya komponen listrik kantor (bulan)</t>
  </si>
  <si>
    <t>Teredianya bahan bacaan dan perundang - undangan (bulan)</t>
  </si>
  <si>
    <t>Tersedianya makan minum rapat dinas dan tamu dinas (bulan)</t>
  </si>
  <si>
    <t>Lancarnya koordinasi dan konsultasi dengan lembaga di luar daerah (bulan)</t>
  </si>
  <si>
    <t>Lancarnya koordinasi dan konsultasi dengan lembaga di dalam daerah (bulan)</t>
  </si>
  <si>
    <t>Program Peningkatan Prasarana dan Sarana Aparatur</t>
  </si>
  <si>
    <t>Meningkatnya sarana dan prasarana kantor yang representatif (%)</t>
  </si>
  <si>
    <t>Pengadaan Kendaraan Dinas/Operasional</t>
  </si>
  <si>
    <t>Tersedianya kendaraan roda dua dinas (unit)</t>
  </si>
  <si>
    <t>Tersedianya mebeleur yang representatif (unit)</t>
  </si>
  <si>
    <t>Terpeliharanya gedung kantor (paket)</t>
  </si>
  <si>
    <t>Terpeliharanya kendaraan dinas roda empat dan roda dua (unit)</t>
  </si>
  <si>
    <t>Tersedianya peralatan dan perlengkapan kantor yang representati (paket)</t>
  </si>
  <si>
    <t xml:space="preserve">Rata-Rata Capaian Kinerja (%) : </t>
  </si>
  <si>
    <t xml:space="preserve">Rata-rata capaian kinerja </t>
  </si>
  <si>
    <t>Predikat Kinerja : Baik</t>
  </si>
  <si>
    <t>Faktor Pendorong Keberhasilan Kinerja : Kendaraan Operasional, Peralatan dan Perlengkapan Kantor yang memadai</t>
  </si>
  <si>
    <t>Faktor Penghambat Pencapaian Kinerja : Pergeseran Anggaran dan Perubahan Juknis DAK</t>
  </si>
  <si>
    <t>Tindak Lanjut yang Diperlukan Dalam Triwulan Berikutnya : Percepatan Pelaksanaan Kegiatan agar target tercapai</t>
  </si>
  <si>
    <t>Tindak Lanjut yang Diperlukan Dalam RKPD Berikutnya : Evaluasi Pelaksanaan Program/Kegiatan Thaun Berjalan</t>
  </si>
  <si>
    <t>I N S P E K T O R A T</t>
  </si>
  <si>
    <t>Jumlah Tagihan Rekening listrik, telepon dan air</t>
  </si>
  <si>
    <t>Jumlah biaya honorarium pengelola keuangan</t>
  </si>
  <si>
    <t>Jumlah sarana Kebersihan</t>
  </si>
  <si>
    <t>Penyediaan jasa perbaikan perlatan kerja</t>
  </si>
  <si>
    <t>Jumlah Perbaikan Peralatan Kerja</t>
  </si>
  <si>
    <t>Penyediaan Alat       Tulis Kantor</t>
  </si>
  <si>
    <t>Jumlah ATK</t>
  </si>
  <si>
    <t>Jumlah cetakan penggandaan</t>
  </si>
  <si>
    <t>Jumlah komponen instalasi listrik penerangan bangunan</t>
  </si>
  <si>
    <t>Jumlah surat Kabar dean Buku Per-UU</t>
  </si>
  <si>
    <t>Jumlah biaya jamuan makan dan minum</t>
  </si>
  <si>
    <t>Jumlah Koordinasi dan Kosultasi yang diikuti luar daerah</t>
  </si>
  <si>
    <t>Jumlah Koordinasi dan Kosultasi yang diikuti dalam daerah</t>
  </si>
  <si>
    <t>Kegiatan Penyebarluaskan Informasi Pembangunan</t>
  </si>
  <si>
    <t xml:space="preserve">Jumlah kegiatan penyampaian nformasi pembangunan </t>
  </si>
  <si>
    <t>Persentase sarana dan prasarana aparatur dalam kondisi baik</t>
  </si>
  <si>
    <t>Pengadaan perlengkapan gedung kantor</t>
  </si>
  <si>
    <t>Jumlah pengadaan perlengkapan gedung kantor</t>
  </si>
  <si>
    <t>Pengadaan peralatan  gedung kantor</t>
  </si>
  <si>
    <t>Jumlah pengadaan peralatan gedung kantor</t>
  </si>
  <si>
    <t>Pengadaan Mobileur</t>
  </si>
  <si>
    <t>Jumlah Pengadaan Mobileur</t>
  </si>
  <si>
    <t>Pemel. Rutin/Berkala Gedung Kantor</t>
  </si>
  <si>
    <t>Jumlah pemeliharaan gedung kantor</t>
  </si>
  <si>
    <t>Pemel. Rutin/Berkala Kendaraan Dinas/Operasional</t>
  </si>
  <si>
    <t>Jumlah pemeliharaan kendaraan dinas</t>
  </si>
  <si>
    <t>Pemel. Rutin/Berkala peralatan gedung kantor</t>
  </si>
  <si>
    <t>Jumlah pemeliharaan rutin/berkala peralatan gedung kantor</t>
  </si>
  <si>
    <t>Pengadaan kendaraan roda 4 dan roda 2</t>
  </si>
  <si>
    <t>Jumlah Pengadaan kendaraan roda 4</t>
  </si>
  <si>
    <t>Rehabilitasi sedang/berat gedung kantor</t>
  </si>
  <si>
    <t>Persentase Rehabilitasi sedang/berat gedung kantor</t>
  </si>
  <si>
    <t>Program Peningkatan Disiplin Aparatur</t>
  </si>
  <si>
    <t>Terlaksananya peningkatan sistem pengawasan internal dan pengendalian pelaksanaan kebijakan KDH</t>
  </si>
  <si>
    <t>Pengadaan  Pakaian Dinas beserta Perlengkapannya</t>
  </si>
  <si>
    <t>Jumlah Pengadaan Pakaian Dinas beserta perlengkapannya</t>
  </si>
  <si>
    <t>Pengadaan Pakaian Khusus hari-hari tertentu</t>
  </si>
  <si>
    <t>Jumlah Pengadaan Pakaian Khusus hari-hari tertentu</t>
  </si>
  <si>
    <t>Program Peningkatan Kapasitas Sumber Daya Manusia</t>
  </si>
  <si>
    <t>Jumlah aparatur yang mengikuti pendidikan dan pelatihan formal</t>
  </si>
  <si>
    <t>Program Peningkatan Profesionalisme Tenaga Pemeriksaan dan Aparatur Pengawasan</t>
  </si>
  <si>
    <t>Terlaksananya Peningkatan Profesionalisme Tenaga Pemeriksa dan Aparatur Pengawasan</t>
  </si>
  <si>
    <t>Pelaksanaan Pengawasan Internal Secara Berkala</t>
  </si>
  <si>
    <t>Jumlah Pengawasan Internal secara Berkala</t>
  </si>
  <si>
    <t>Penanganan Kasus Pengaduan di Lingkungan Pemda</t>
  </si>
  <si>
    <t>Jumlah kasus pengaduan dilingkungan Pemerintahan Daerah</t>
  </si>
  <si>
    <t>Inventarisasi temuan Pengawasan</t>
  </si>
  <si>
    <t>Jumlah temuan pengawasan yang telah terinventarisir</t>
  </si>
  <si>
    <t>Tindak Lanjut Hasil Temuan Pengawasan</t>
  </si>
  <si>
    <t>Jumlah  Hasil Temuan Pengawasan yang telah ditindak lanjuti</t>
  </si>
  <si>
    <t>Pelaksanaan Pembangunan Zona Integritas</t>
  </si>
  <si>
    <t>Jumlah OPD yang melaksanakan Pembangunan Zona Integritas</t>
  </si>
  <si>
    <t>Pelaksanaan Reformasi Birokrasi</t>
  </si>
  <si>
    <t>Jumlah Perangkat Daerah yang mengikuti Kegiatan/sosialisasi Reformasi Birokrasi</t>
  </si>
  <si>
    <t> Meningkatnya Maturitas SPIP</t>
  </si>
  <si>
    <t>Pelaksanaan Matuitas SPIP</t>
  </si>
  <si>
    <t>Jumlah OPD yang mengimplemtasikan SPIP</t>
  </si>
  <si>
    <t>Pelaksanaan Unit Pengendalian Gratifikasi (UPG)</t>
  </si>
  <si>
    <t>Jumlah OPD yang melaksanakan Pengendalian Gratifikasi</t>
  </si>
  <si>
    <t>Review Laporan Keuangan Pemerintah Daerah</t>
  </si>
  <si>
    <t>Jumlah LKPD yang direview</t>
  </si>
  <si>
    <t>Evaluasi Laporan Akuntabilitas kinerja Instansi Pemerintah</t>
  </si>
  <si>
    <t>Jumlah Akuntabilitas Kinerja Instansi Pemerintah yang dievaluasi</t>
  </si>
  <si>
    <t>Evaluasi Rencana Kerja dan Anggaran (RKA)/RKA Perubahan OPD</t>
  </si>
  <si>
    <t>Jumlah Rencana Kerja dan Anggaran (RKA) dan Perubahan RKA yang di evaluasi</t>
  </si>
  <si>
    <t>Revieu Rencana Strategis (Renstra)</t>
  </si>
  <si>
    <t>Jumlah OPD yang telah membuat Renstra sesuai aturan</t>
  </si>
  <si>
    <t>Evaluai Penetapan Kinerja</t>
  </si>
  <si>
    <t>Persentase Penetapan Kinerja yang terlaksana</t>
  </si>
  <si>
    <t>Evaluasi Pengadaaan Barang dan Jasa Pemerintah</t>
  </si>
  <si>
    <t>Persentase Pelaksanaan Pengadaan Barang/jasa sesuai aturan</t>
  </si>
  <si>
    <t xml:space="preserve"> Sosialisasi Tata Cara Penilaian Laporan Kinerja</t>
  </si>
  <si>
    <t>Jumlah APIP yang melakukan penilaian kinerja sesuai ketentuan</t>
  </si>
  <si>
    <t>Evaluasi RPJMD</t>
  </si>
  <si>
    <t>Jumlah RPJMD yang dievaluasi</t>
  </si>
  <si>
    <t>Sosialisasi LHKPN</t>
  </si>
  <si>
    <t>Jumlah OPD yang mengikuti Sosialisasi LHKPN</t>
  </si>
  <si>
    <t>Program Peningkatan Profesionalisme Tenaga Pemeriksa dan Aparatur Pengawasan</t>
  </si>
  <si>
    <t>Pelatihan Pengembangan Tenaga Pemeriksa dan Aparatur Pengawasan</t>
  </si>
  <si>
    <t xml:space="preserve">Jumlah APIP yang  mengikuti diklat </t>
  </si>
  <si>
    <t>Pelatihan Khusus Aparatur Pengawasan Pada Kantor Sendiri</t>
  </si>
  <si>
    <t>Jumlah APIP yang mengikuti Pelatihan Kantor Sendiri</t>
  </si>
  <si>
    <t>Faktor penghambat pencapaian kinerja:</t>
  </si>
  <si>
    <t>Tindak lanjut yang diperlukan dalam triwulan berikutnya:</t>
  </si>
  <si>
    <t>Tindak lanjut yang diperlukan dalam Renja Perangkat Daerah Kabupaten Pesisir Selatan berikutnya:</t>
  </si>
  <si>
    <t>Pengamanan Agama, Pelestarian Budaya dan Kearifan Lokal dlm Kehidupan Bermasyarakat</t>
  </si>
  <si>
    <t>Penyediaan Jasa Komunikasi Sumber Daya Air dan Listrik</t>
  </si>
  <si>
    <t>Adanya biaya jasa telepon dan listrik</t>
  </si>
  <si>
    <t>DINAS TENAGA KERJA DAN TRANSMIGRASI</t>
  </si>
  <si>
    <t>Tersedianya biaya jasa telepon dan listrik</t>
  </si>
  <si>
    <t>Adanya Pembayaran biaya jasa Petugas Administrasi Keuangan</t>
  </si>
  <si>
    <t>Tersedianya jasa administrasi keuangan.</t>
  </si>
  <si>
    <t>Adanya jasa petugas kebersihan kantor</t>
  </si>
  <si>
    <t>Tersedinya jasa petugas kebersihan kantor.</t>
  </si>
  <si>
    <t>Penyediaan alat Tulis Kantor</t>
  </si>
  <si>
    <t>Adanya  ATK untuk menunjang pelaksanaan pekerjaan.</t>
  </si>
  <si>
    <t>Tersedianya Alat Tulis Kantor.</t>
  </si>
  <si>
    <t>Penyediaan barang cetakan dan penggandaan.</t>
  </si>
  <si>
    <t>Adanya barang cetakan dan penggandaan untuk menunjang pelaksanaan pekerjaan.</t>
  </si>
  <si>
    <t>Tersedianya barang cetakan dan pengandaan.</t>
  </si>
  <si>
    <t>Penyediaan komponen instalasi listrik/penerangan bangunan kantor.</t>
  </si>
  <si>
    <t>Bangunan kantor menjadi terang.</t>
  </si>
  <si>
    <t>Tersedianya komponen instalasi listrik/penerangan bangunan kantor.</t>
  </si>
  <si>
    <t>Penyediaan bahan bacaan dan peraturan perundang undangan.</t>
  </si>
  <si>
    <t>Diperolehnya informasi dari berbagai sumber.</t>
  </si>
  <si>
    <t>Tersedianya bahan bacaan/surat kabar.</t>
  </si>
  <si>
    <t xml:space="preserve">Penyediaan Makanan dan Minuman </t>
  </si>
  <si>
    <t>Adanya makan minum untuk penjaga kantor, rapat dan tamu kantor</t>
  </si>
  <si>
    <t>Tersedianya makan minum rapat dan tamu kantor.</t>
  </si>
  <si>
    <t>Rapat- rapat koordinasi dan konsultasi ke luar daerah</t>
  </si>
  <si>
    <t>Diperolehnya informasi dari berbagai sumber dalam rangka pelaksanaan tugas.</t>
  </si>
  <si>
    <t>Adanya rapat- rapat koordinasi dan konsultasi baik dalam propinsi maupun luar propinsi.</t>
  </si>
  <si>
    <t>Terlaksananya revisi renstra dinas tenaga kerja dan transmigrasi</t>
  </si>
  <si>
    <t>Tersedianya dokumen perencanaan jangka menengah dinas tenaga kerja dan transmigrasi.</t>
  </si>
  <si>
    <t>Rapat- rapat koordinasi dan konsultasi dalam  daerah</t>
  </si>
  <si>
    <t>Adanya rapat- rapat koordinasi dan konsultasi se kecamatan dalam kabupaten.</t>
  </si>
  <si>
    <t>Monitoring dan evaluasi pelaksanaan program dan kegiatan</t>
  </si>
  <si>
    <t>Tersedianya data perkembangan hasil pelaksanaan kegiatan.</t>
  </si>
  <si>
    <t>Tersusunya data perkembangan hasil pelaksanaan kegiatan.</t>
  </si>
  <si>
    <t>Pemeliharaan Rutin/Berkala Kendaraan Dinas/Operasional.</t>
  </si>
  <si>
    <t>Tersedinya kendaraan dinas/Operasional yang layak dan siap pakai.</t>
  </si>
  <si>
    <t>Terlaksananya pemeliharaan kendaraan dinas/Operasional.</t>
  </si>
  <si>
    <t>Pengadaan Peralatan  Kantor</t>
  </si>
  <si>
    <t>Adanya peralatan gedung kantor yang dapat menunjang pekerjaan.</t>
  </si>
  <si>
    <t>Tersedianya peralatan kantor.</t>
  </si>
  <si>
    <t>Pemeliharaan Rutin/Berkala peralatan gedung kantor.</t>
  </si>
  <si>
    <t>Gedung dan halaman kantor menjadi bersih dan asri.</t>
  </si>
  <si>
    <t>Terlaksananya pemeliharaan peralatan gedung dan halaman kantor.</t>
  </si>
  <si>
    <t>Pengadaan Mobiler</t>
  </si>
  <si>
    <t>Terpenuhinya mobiler kantor yang dapat menunjang pekerjaan kantor</t>
  </si>
  <si>
    <t>Tersedianya mobiler kantor.</t>
  </si>
  <si>
    <t>Pemeliharaan rutin/berkala gedung kantor</t>
  </si>
  <si>
    <t>Terlaksananya pemeliharaan gedung kantor.</t>
  </si>
  <si>
    <t>Rehab sedang/ berat gedung kantor</t>
  </si>
  <si>
    <t>Terciptanya sarana/ prasarana BLK yang layak digunakan bagi siswa</t>
  </si>
  <si>
    <t>Tersedianya rehab sedang/ berat sarana dan prasarana BLK</t>
  </si>
  <si>
    <t>Pengadaan Gedung Asrama Siswa Pelatihan</t>
  </si>
  <si>
    <t>Terpenuhinya kebutuhan pelatihan siswa</t>
  </si>
  <si>
    <t>Terciptanya suasana pelatihan yang nyaman bagi siswa pelatihan</t>
  </si>
  <si>
    <t>Pengadaan Alat Rumah Tangga</t>
  </si>
  <si>
    <t xml:space="preserve">Terpenuhi kebutuhan perlengkapan alat-alat kantor </t>
  </si>
  <si>
    <t xml:space="preserve">Tersedianya alat-alat rumah tangga </t>
  </si>
  <si>
    <t xml:space="preserve">Terpenuhinya sarana dan prasarana peralatan kerja </t>
  </si>
  <si>
    <t>Tersedianya peralatan kerja</t>
  </si>
  <si>
    <t>Pengadaan Peralatan komputer</t>
  </si>
  <si>
    <t xml:space="preserve">Terpenuhinya peralatan kantor </t>
  </si>
  <si>
    <t>Pengadaan Alat Studio</t>
  </si>
  <si>
    <t>Tersedianya peralata kantor</t>
  </si>
  <si>
    <t>Pengadaan Alat Studio dan Film</t>
  </si>
  <si>
    <t xml:space="preserve">Terpnuhinya peralatan kantor </t>
  </si>
  <si>
    <t>Pengadaan Kendaraan Operasional</t>
  </si>
  <si>
    <t xml:space="preserve">Terpenuhinya  kebutuhan operasional kendaraan dinas kantor </t>
  </si>
  <si>
    <t>Tersedianya Kendaraan Dinas/ Opreasional</t>
  </si>
  <si>
    <t>Pengadaan Selasar Gedung  Kantor</t>
  </si>
  <si>
    <t xml:space="preserve">meningkatnya kebersihan dan keindahan kantor </t>
  </si>
  <si>
    <t>Tersedianya jasa kebersihan kantor</t>
  </si>
  <si>
    <t>Bimbingan Teknis implementasi peraturan perundang-undangan.</t>
  </si>
  <si>
    <t>Meningkatnya wawasan serta pengetahuan aparatur.</t>
  </si>
  <si>
    <t>Adanya bimbingan teknis implementasi peratutan perundang undangan.</t>
  </si>
  <si>
    <t xml:space="preserve">meningkatnya Ketersediaan Tenaga Kerja terlatih </t>
  </si>
  <si>
    <t>Jumlah tenaga kerja yang terampil dan mempunyai keahlian (orang)</t>
  </si>
  <si>
    <t>Pendidikan dan pelatihan keterampilan bagi pencari kerja.</t>
  </si>
  <si>
    <t>Terciptanya lulusan pendidikan keterampilan yang mempunyai skill dan daya saing.</t>
  </si>
  <si>
    <t>Tersedianya pendidikan dan keterampilan bagi pencari kerja.</t>
  </si>
  <si>
    <t>Pemeliharaan Rutin/ Berkala Sarana dan Prasarana BLK</t>
  </si>
  <si>
    <t>Terpeliharanya peralatan dan sarana dan prasarana BLK</t>
  </si>
  <si>
    <t>Tersedianya peralatan dan sarana dan prasarana BLK</t>
  </si>
  <si>
    <t>Pengadaan Peralatan Pendidikan dan Keterampilan Bagi Pencari Kerja</t>
  </si>
  <si>
    <t xml:space="preserve">Tersedianya sarana pendidikan dan keterampilan bagi pencari kerja </t>
  </si>
  <si>
    <t xml:space="preserve">Meningkatnya sarana pendidikan dan keterampilan bagi pencari kerja </t>
  </si>
  <si>
    <t>Pemeliharaan peralatan Workshop BLK Painan</t>
  </si>
  <si>
    <t xml:space="preserve">Terpenuhinya peralatan workshop untuk memudahkan siswa dalam praktek/ kerja </t>
  </si>
  <si>
    <t>Tersedianya peralatan workshop bagi siswa BLK</t>
  </si>
  <si>
    <t xml:space="preserve">Meningkatnya Kesempatan Kerja </t>
  </si>
  <si>
    <t xml:space="preserve">Persentase tenaga kerja yang mendapatkan pekerjaan di Luar Negeri </t>
  </si>
  <si>
    <t>Penyebarluasan informasi bursa tenaga kerja.</t>
  </si>
  <si>
    <t>Mengetahui jumlah perusahaan yang mendapatkan informasi kerja melalui SIKD dan BKOL.</t>
  </si>
  <si>
    <t>Adanya penyebarluasan informasi bursa tenaga kerja</t>
  </si>
  <si>
    <t>Pengadaan aplikasi pelayanan kartu pencari kerja (setelah perubahan berubah menjadi sosialisasi aplikasi pembuatan kartu pencari kerja)</t>
  </si>
  <si>
    <t>Terlaksananya kegiatan aplikasi kartu pencari kerja secara Online.</t>
  </si>
  <si>
    <t>Adanya monitoring aplikasi pelayanan kartu pencari kerja.</t>
  </si>
  <si>
    <t>Penyusunan Perencanaan Tenaga Kerja Daerah (PTKD)</t>
  </si>
  <si>
    <t>Tersusunnya perencanaan tenaga kerja daerah</t>
  </si>
  <si>
    <t>terlaksananya perencanaan tenaga kerja daerah</t>
  </si>
  <si>
    <t>Perluasan Kesempatan Kerja Melalui Tenaga Kerja Mandiri (TKM)</t>
  </si>
  <si>
    <t>Jumlah Peserta yang menjadi TKM</t>
  </si>
  <si>
    <t>tersedianya peserta menjadi TKM</t>
  </si>
  <si>
    <t>Persentase perusahaan yang menerapkan aturan-aturan ketenagakerjaan</t>
  </si>
  <si>
    <t>Peningkatan pengawasan, perlindungan dan penegakan hukum terhadap keselamatan dan kesehatan kerja.</t>
  </si>
  <si>
    <t>Mengetahui jumlah perusahaan yang layak yang menerapkan norma keselamatan dan kesehatan kerja ( K3 ).</t>
  </si>
  <si>
    <t>Adanya peningkatan, pengawasan, perlindungan dan penegakan hukum terhadap keselamatan kerja.</t>
  </si>
  <si>
    <t>Peningkatan Pembinaan Hubungan Industrial</t>
  </si>
  <si>
    <t xml:space="preserve">Jumlah tenaga kerja yang telah mengikuti sosialisasi peraturan perundang-undang tentang ketenakerjaan </t>
  </si>
  <si>
    <t xml:space="preserve">terlaksananaya sosialisasi peraturan perundangundang terntang ketenagakerjaan bagi tenaga kerja </t>
  </si>
  <si>
    <t>Pemantauan Kinerja Lembaga Penyalur Tenaga Kerja</t>
  </si>
  <si>
    <t xml:space="preserve">Terlaksananaya pemantauan kinerja lembaga penyalur tenaga kerja </t>
  </si>
  <si>
    <t>Meningkatnya Pembangunan Dikawasan Transmigrasi (KTM)</t>
  </si>
  <si>
    <t>Persentase sarana dan prasarana pendukung di wilayah KTM dalam kondisi baik (persen)</t>
  </si>
  <si>
    <t>Fasilitas Dukungan KTM Lunang Silaut</t>
  </si>
  <si>
    <t>Terkendalinya pelaksanaan KTM Lunang Silaut</t>
  </si>
  <si>
    <t xml:space="preserve">Adanya Fasilitas Dukungan KTM </t>
  </si>
  <si>
    <t>Pendampingan dana pembantuan KTM Lunang Silaut.</t>
  </si>
  <si>
    <t>Terkendalinya pelaksanaan pembangunan, pengembangan KTM Lunang Silaut.</t>
  </si>
  <si>
    <t>Adanya pemdampingan dana pembantuan KTM Lunang Silaut.</t>
  </si>
  <si>
    <t>Meningkatnya Kemandirian Lembaga Ekonomi Masyarakat</t>
  </si>
  <si>
    <t>Pembinaan Usaha Transmigrasi</t>
  </si>
  <si>
    <t>Meningkatnya lembaga transmigrasi dan masyarakat sekitarnya.</t>
  </si>
  <si>
    <t>Adanya pembinaan usaha transmigrasi</t>
  </si>
  <si>
    <t>Perencanaan Fasilitas dukungan KTM</t>
  </si>
  <si>
    <t>Terlaksananya perencanaan pembangunan dikawasan KTM Lunang Silaut.</t>
  </si>
  <si>
    <t>Adanya perencanaan fasilitas dukungan KTM Lunang Silaut.</t>
  </si>
  <si>
    <t>Penempatan Transmigrasi Baru ( PTB ) KTM Lunang Silaut</t>
  </si>
  <si>
    <t>Terlaksananya penempatan transmigrasi baru.</t>
  </si>
  <si>
    <t>Adanya penempatan transmigrasi baru.</t>
  </si>
  <si>
    <t>Operasional Unit pelaksanaan teknis Kota Terpadu Mandiri ( KTM ) Lunang Silaut.</t>
  </si>
  <si>
    <t>Terlaksananya kegiatan pengelolaan KTM</t>
  </si>
  <si>
    <t>Adanya operasional unit pelaksanaan teknis Kota Terpadu Mandiri.</t>
  </si>
  <si>
    <t>Operasional UPTD KTM Lunang Silaut / lembaga pengelola kawasan transmigrasi</t>
  </si>
  <si>
    <t xml:space="preserve">Jumlah badan pengelola </t>
  </si>
  <si>
    <t>Penyiapan Kawasan Pemukiman Transmigrasi Pugar</t>
  </si>
  <si>
    <t>Tersedianya kawasan permukiman transmigrasi pugar</t>
  </si>
  <si>
    <t>Operasional Pengelola KTM Lunang Silaut</t>
  </si>
  <si>
    <t>Terpenuhinya kebutuhan badan pengelola</t>
  </si>
  <si>
    <t>tersedianya kebutuhan badan pengelola</t>
  </si>
  <si>
    <t>Pembinaan Sosial Budaya Kawasan Transmigrasi</t>
  </si>
  <si>
    <t>Tersedianya perlekapan kesenian kawasan transmigrasi</t>
  </si>
  <si>
    <t>Terpenuhinya perlengkapn kesian dokawasan transmigrasi</t>
  </si>
  <si>
    <t>Program Pelayanan Administrasi Perkantoran</t>
  </si>
  <si>
    <t>12 bulan</t>
  </si>
  <si>
    <t>PUTR</t>
  </si>
  <si>
    <t>kebutuhan air, listrik dan jasa komunikasi</t>
  </si>
  <si>
    <t>Penyediaan Jasa Jaminan Barang Milik Daerah</t>
  </si>
  <si>
    <t>inventarisasi aset</t>
  </si>
  <si>
    <t>12 Bulan</t>
  </si>
  <si>
    <t>kebutuhan jasa administrasi keuangan (% )</t>
  </si>
  <si>
    <t>kebutuhan jasa kebersihan kantor (% )</t>
  </si>
  <si>
    <t>Kebutuhan alat tulis kantor ( % )</t>
  </si>
  <si>
    <t>Barang cetakan dan penggandaan untuk kantor ( % )</t>
  </si>
  <si>
    <t>Komponen penerangan bangunan kantor ( % )</t>
  </si>
  <si>
    <t>Penyediaan Peralatan dan Perlengkapan kantor</t>
  </si>
  <si>
    <t>Jumlah peralatan dan perlengkapan kantor</t>
  </si>
  <si>
    <t>makan minum rapat dan tamu</t>
  </si>
  <si>
    <t>Pelaksanaan rapat - rapat koordinasi luar daerah (% )</t>
  </si>
  <si>
    <t>Pelaksanaan rapat - rapat koordinasi dalam daerah (% )</t>
  </si>
  <si>
    <t>Peringkat Kinerja</t>
  </si>
  <si>
    <t>Meningkatnya sarana dan prasarana pelayanan publik</t>
  </si>
  <si>
    <t>Program Peningkatan Sarana dan Prasarana Aparatur</t>
  </si>
  <si>
    <t>persentase sarana dan prasarana aparatur dalam kondisi baik</t>
  </si>
  <si>
    <t>Pembangunan Gedung Kantor</t>
  </si>
  <si>
    <t xml:space="preserve">Jumlah pembangunan gedung pemerintah </t>
  </si>
  <si>
    <t>3 unit</t>
  </si>
  <si>
    <t>ada pekerjaan yg multiyears smpi tahun2018</t>
  </si>
  <si>
    <t>Perencanaan Prasarana Gedung Kantor</t>
  </si>
  <si>
    <t>jumlah dokumen perencanaan</t>
  </si>
  <si>
    <t>3 paket</t>
  </si>
  <si>
    <t>Pengadaan Sound System Gedung DPRD Kab. Pesisir Selatan</t>
  </si>
  <si>
    <t>Pengadaan soundsystem</t>
  </si>
  <si>
    <t>Interior Ruangan Pimpinan DPRD Kab. Pesisir Selatan</t>
  </si>
  <si>
    <t>Lanscape Dinas PU dan Penataan Ruang</t>
  </si>
  <si>
    <t>Lanscape DPRD Kab. Pesisir Selatan</t>
  </si>
  <si>
    <t>Pengadaan Genset</t>
  </si>
  <si>
    <t>Jumlah pengadaan genset</t>
  </si>
  <si>
    <t>Pemeliharaan Rutin / Berkala Kendaraan Dinas Operasional</t>
  </si>
  <si>
    <t>Pemeliharaan/ operasional kendaraan dinas</t>
  </si>
  <si>
    <t>Pemeliharaan Rutin / Berkala Peralatan Gedung Kantor</t>
  </si>
  <si>
    <t>Pemeliharaan peralatan gedung kantor</t>
  </si>
  <si>
    <t>Pemeliharaan Rutin / Berkala Gedung kantor</t>
  </si>
  <si>
    <t>Pemeliharaan  gedung kantor</t>
  </si>
  <si>
    <t xml:space="preserve">Sharing pendanaan pengembangan objek wisata carocok painan ( pedistrian, panggung)(bantuan keuangan yang bersifat khusus propinsi tahun 2017 ) </t>
  </si>
  <si>
    <t>Pemotongan lahan rest area puncak paku - koto XI tarusan</t>
  </si>
  <si>
    <t xml:space="preserve">Pembangunan UDKP Kec. Lengayang </t>
  </si>
  <si>
    <t>Pemebangunan gedung UDKP</t>
  </si>
  <si>
    <t xml:space="preserve">Pemeliharaan Rumah Dinas Eselon II </t>
  </si>
  <si>
    <t>Pemeliharaan  rumah dinas kantor</t>
  </si>
  <si>
    <t xml:space="preserve">Pembangunan Pos Jaga, Ruang Konsultasi dan Mushalla Kejaksaan Negeri Paina  </t>
  </si>
  <si>
    <t>Pembangunan Pagar SMP 1 Painan</t>
  </si>
  <si>
    <t>Pemeliharaan Rutin / Berkala Rumah Dinas</t>
  </si>
  <si>
    <t>Rehabilitasi Sedang / Berat Gedung Kantor</t>
  </si>
  <si>
    <t> Program Peningkatan Kapasitas Sumber Daya Aparatur</t>
  </si>
  <si>
    <t>Persentase peningkatan kemampuan aparatur</t>
  </si>
  <si>
    <t>Persentase pelatihan formal</t>
  </si>
  <si>
    <t>PROGRAM PENINGKATAN DISIPLIN  APARATUR</t>
  </si>
  <si>
    <t>Persentase peningkatan Displin aparatiur</t>
  </si>
  <si>
    <t>Pengadaan Pakaian Kerja Lapangan</t>
  </si>
  <si>
    <t>Jumlah pakaian kerja lapangan</t>
  </si>
  <si>
    <t>Program Pengadaan, Peningkatan Sarana dan Prasarana  Rumah Sakit / Rumah Sakit Jiwa / Rumah Sakit Paru- Paru / Rumah Sakit Mata</t>
  </si>
  <si>
    <t>Persentase Pengadaan, Peningkatan Sarana dan Prasarana  Rumah Sakit / Rumah Sakit Jiwa / Rumah Sakit Paru- Paru / Rumah Sakit Mata</t>
  </si>
  <si>
    <t>Pembuatan AMDAL RSUD Baru</t>
  </si>
  <si>
    <t>Pembuatan AMDAL RSUD</t>
  </si>
  <si>
    <t>Lanjutan keg.2016</t>
  </si>
  <si>
    <t>Manajemen Konstruksi RSUD Baru ( Lanjutan 2016 )</t>
  </si>
  <si>
    <t>Manajemen Konstruksi RSUD</t>
  </si>
  <si>
    <t>Operasional Pembangunan RSUD M. Zein Painan ( Lanjutan 2016 )</t>
  </si>
  <si>
    <t xml:space="preserve">Persentase Operasional Pembangunan RSUD </t>
  </si>
  <si>
    <t>Penyusunan Master Plan dan Perencanaan Teknis RSUD Baru (lanjutan2015)</t>
  </si>
  <si>
    <t>Master Plan RSUD</t>
  </si>
  <si>
    <t>Lanjutan keg.2015</t>
  </si>
  <si>
    <t>Pembangunan Relokasi RSUD dr. M.Zein Painan /PIP (lanjutan 2015)</t>
  </si>
  <si>
    <t xml:space="preserve">Pembangunan Relokasi RSUD </t>
  </si>
  <si>
    <t>Program Pembangunan Saluran Drainase/Gorong-Gorong</t>
  </si>
  <si>
    <t>Pembangunan Saluran Drainase/Gorong-gorong (km)</t>
  </si>
  <si>
    <t>Pembangunan Saluran Drainase/ Gorong-gorong</t>
  </si>
  <si>
    <t>Persentase Pembangunan Saluran Drainase/ Gorong-gorong</t>
  </si>
  <si>
    <t>Pemeliharaan rutin drainase kota</t>
  </si>
  <si>
    <t>Persentase Pemeliharaan  drainase </t>
  </si>
  <si>
    <t>Perencanaan Drainase dan Trotoar</t>
  </si>
  <si>
    <t>Jumlah dokumen perencanaan</t>
  </si>
  <si>
    <t>Pembangunan Saluran Drainase dan trotoar</t>
  </si>
  <si>
    <t>Persentase Pembangunan Saluran Drainase dan trotoar</t>
  </si>
  <si>
    <t>Perencanaan Pembangunan Saluran Drainase dan trotoar</t>
  </si>
  <si>
    <t>Meningkatnya kualitas infrastruktur jalan dan jembatan</t>
  </si>
  <si>
    <t>Program Rehabilitasi/ Pemeliharaan Jalan dan Jembatan</t>
  </si>
  <si>
    <t>Terpeliharanya jalan kab. (km) dan Jembatan Kab ( Unit )</t>
  </si>
  <si>
    <t>Pemeliharaan Jalan Kabupaten</t>
  </si>
  <si>
    <t xml:space="preserve">Pemeliharaan Jalan </t>
  </si>
  <si>
    <t>Pemeliharaan Jembatan Kabupaten</t>
  </si>
  <si>
    <t xml:space="preserve">Pemeliharaan Jembatan </t>
  </si>
  <si>
    <t>Pemeliharaan Berkala / Rehabilitasi jalan Kabupaten ( DAK 2017 )</t>
  </si>
  <si>
    <t>Rehab Jembatan gantung</t>
  </si>
  <si>
    <t>Rehabilitasi Peningkatan Jembatan</t>
  </si>
  <si>
    <t xml:space="preserve">Rehab Jembatan </t>
  </si>
  <si>
    <t>Program Pengembangan Wilayah Strategis dan Cepat Tumbuh</t>
  </si>
  <si>
    <t>Persentase Pengembangan Wilayah Strategis dan  Cepat Tumbuh</t>
  </si>
  <si>
    <t>Pembangunan/Peningkatan Infrastruktur</t>
  </si>
  <si>
    <t>Persentase Pembangunan/ Peningkatan Infrastruktur</t>
  </si>
  <si>
    <t>5 paket</t>
  </si>
  <si>
    <t>Pembangunan Infrastruktur kawasan Destinasi wisata</t>
  </si>
  <si>
    <t>5 Paket</t>
  </si>
  <si>
    <t>Penyusunan Dokumen Amdal Mesjid Terapung</t>
  </si>
  <si>
    <t>Sayembara Desain Mesjid Terapung</t>
  </si>
  <si>
    <t>Batal</t>
  </si>
  <si>
    <t>Perencanaan alun - alun kota Painan</t>
  </si>
  <si>
    <t xml:space="preserve">Dokumen perencanaan </t>
  </si>
  <si>
    <t>Perencanaan Pembangunan Infrastruktur Kawasan Destinasi wisata</t>
  </si>
  <si>
    <t>Pembangunan Gerbang Kawasan Wisata Mandeh</t>
  </si>
  <si>
    <t>Meningkatnya pemenuhan kebutuhan sarana dan prasarana layanan sosial berupa air bersih dan layanan sanitasi</t>
  </si>
  <si>
    <t>Program Pembangunan Infrastruktur Perdesaan</t>
  </si>
  <si>
    <t>Persentase Pembangunan Infrastruktur Perdesaan</t>
  </si>
  <si>
    <t>Pembangunan IPAL Komunal</t>
  </si>
  <si>
    <t>Optimalisasi Peningkatan Program Pamsimas ( DDUB )</t>
  </si>
  <si>
    <t>Jumlah pamsimas yang terbangun</t>
  </si>
  <si>
    <t>Penunjang Kegiatan Pamsimas</t>
  </si>
  <si>
    <t>Penunjang  Pamsimas</t>
  </si>
  <si>
    <t>Peningkatan Akses Sanitasi melalui Sambungan Rumah ( SR ) Kec. Koto XI Tarusan</t>
  </si>
  <si>
    <t>jumlah SR</t>
  </si>
  <si>
    <t xml:space="preserve">Penunjang Sanimas IDB </t>
  </si>
  <si>
    <t xml:space="preserve">Penunjang Sanimas </t>
  </si>
  <si>
    <t>Pengembangan Program Hibah Air Minum</t>
  </si>
  <si>
    <t>Pembangunan Pamsimas Reguler APBD</t>
  </si>
  <si>
    <t>Pembangunan Kantor KAN Tapan</t>
  </si>
  <si>
    <t>Pengadaan Sumur Bor</t>
  </si>
  <si>
    <t>PROGRAM MONITORING, EVALUASI DAN PELAPORAN</t>
  </si>
  <si>
    <t>PERSENTASE MONITORING, EVALUASI DAN PELAPORAN</t>
  </si>
  <si>
    <t>Monitoring Evaluasi dan Pelaporan</t>
  </si>
  <si>
    <t>Monitoring kegiatan fisik dan pembuatan laporan</t>
  </si>
  <si>
    <t>Sinkronisasi Program DAK dan APBN</t>
  </si>
  <si>
    <t>Koordinasi kegiatan DAK dan APBN</t>
  </si>
  <si>
    <t>Rencana Program dan Sinkronisasi RPI2JM- CIPTA KARYA</t>
  </si>
  <si>
    <t>Penyusunan Dokumen RPI2JM- CIPTA KARYA</t>
  </si>
  <si>
    <t>Penyusunan Dokumen HSBGN</t>
  </si>
  <si>
    <t>Meningkatnya kualitas lingkungan dan kawasan ruang terbuka hijau</t>
  </si>
  <si>
    <t>Program Pemeliharaan Sarana dan Prasarana Petamanan</t>
  </si>
  <si>
    <t>Pemeliharaan Rutin/berkala taman kota (paket)</t>
  </si>
  <si>
    <t>Pemeliharaan dan Operasional Pertamanan</t>
  </si>
  <si>
    <t>Pemeliharaan taman</t>
  </si>
  <si>
    <t>Pemeliharaan Rutin / Berkala Penerangan Jalan Umum</t>
  </si>
  <si>
    <t>Pemeliharaan PJU</t>
  </si>
  <si>
    <t>Program Pembangunan dan Peningkatan Jalan dan Jembatan</t>
  </si>
  <si>
    <t>Persentase jalan kondisi baik</t>
  </si>
  <si>
    <t>Peningkatan Jalan Kabupaten ( DAK 2017 )</t>
  </si>
  <si>
    <t>Peningkatan Jalan Kabupaten ( DAK 2018 )</t>
  </si>
  <si>
    <t>Peningkatan Jalan (DAU )</t>
  </si>
  <si>
    <t>Pembangunan Jembatan Kabupaten</t>
  </si>
  <si>
    <t>Persentase jembatan kondisi baik</t>
  </si>
  <si>
    <t xml:space="preserve">ada pekerjaan yg multiyears smpi tahun 2018 </t>
  </si>
  <si>
    <t>Perencanaan Infrastruktur Jalan Kabupaten</t>
  </si>
  <si>
    <t>Dokumen perencanaan jalan</t>
  </si>
  <si>
    <t xml:space="preserve">Perencanaan Pembangunan dan peningkatan Jalan </t>
  </si>
  <si>
    <t xml:space="preserve">Perencanaan Pembangunan Jembatan </t>
  </si>
  <si>
    <t>Dokumen perencanaan jembatan</t>
  </si>
  <si>
    <t>Pembangunan Jalan Kabupaten</t>
  </si>
  <si>
    <t>Pembangunan Jalan Dan Jembatan Salido Carocok</t>
  </si>
  <si>
    <t>Kegiatan batal</t>
  </si>
  <si>
    <t>Pembangunan dan Peningkatan Jalan Kecamatan Tarusan</t>
  </si>
  <si>
    <t>Pembangunan dan Peningkatan Jalan Kecamatan Bayang</t>
  </si>
  <si>
    <t>Pembangunan dan Peningkatan Jalan Kecamatan Bayang Utara</t>
  </si>
  <si>
    <t>Pembangunan dan Peningkatan Jalan Kecamatan IV Jurai</t>
  </si>
  <si>
    <t>Pembangunan dan Peningkatan Jalan Kecamatan Batang Kapas</t>
  </si>
  <si>
    <t>Pembangunan dan Peningkatan Jalan Kecamatan Sutera</t>
  </si>
  <si>
    <t>Pembangunan dan Peningkatan Jalan Kecamatan Lengayang</t>
  </si>
  <si>
    <t>Pembangunan dan Peningkatan Jalan Kecamatan Ranah Pesisir</t>
  </si>
  <si>
    <t>Pembangunan dan Peningkatan Jalan Kecamatan Linggo Sari Baganti</t>
  </si>
  <si>
    <t>Pembangunan dan Peningkatan Jalan Kecamatan Air Pura</t>
  </si>
  <si>
    <t>Pembangunan dan Peningkatan Jalan Kecamatan Pancung Soal</t>
  </si>
  <si>
    <t>Pembangunan dan Peningkatan Jalan Kecamatan Basa Ampek Balai Tapan</t>
  </si>
  <si>
    <t>Pembangunan dan Peningkatan Jalan Kecamatan Ranah Ampek Hulu Tapan</t>
  </si>
  <si>
    <t>Pembangunan dan Peningkatan Jalan Kecamatan Lunang</t>
  </si>
  <si>
    <t>Pembangunan dan Peningkatan Jalan Kecamatan Silaut</t>
  </si>
  <si>
    <t>Pembangunan Jembatan Gantung</t>
  </si>
  <si>
    <t>Penunjang DAK Peningkatan Jalan Kabupaten</t>
  </si>
  <si>
    <t>Persentase penunjang</t>
  </si>
  <si>
    <t>Penguatan Data Base dan Survey Kondisi ( DAK )</t>
  </si>
  <si>
    <t>Database jalan</t>
  </si>
  <si>
    <t xml:space="preserve">Penguatan Data Base dan Survey Kondisi </t>
  </si>
  <si>
    <t>Pembangunan Jalan ( TMMD )</t>
  </si>
  <si>
    <t>Jalan Sarasah Batuang Kenagarian Puluik - puluik Kec. Bayang Utara Kab. Pesisir Selatan ( Bantuan Keuangan yang Bersifat Khusus Propinsi Tahun 2017 )</t>
  </si>
  <si>
    <t>Peningkatan jalan lingkung Kp. Muaro Sakai Kec. Pancung Soal Kab. Pesisir Selatan ( Bantuan Keuangan yang Bersifat Khusus Propinsi Tahun 2017 )</t>
  </si>
  <si>
    <t>Pembangunan Jalan Baru Batuang ke air terjun nag . Puluik - puluik  Kec. Bayang utara Kab. Pesisir Selatan ( Bantuan Keuangan yang Bersifat Khusus Propinsi Tahun 2017 )</t>
  </si>
  <si>
    <t xml:space="preserve"> Jalan Patai Batuang  kenagarian . Puluik - puluik  Kec. Bayang utara Kab. Pesisir Selatan ( Bantuan Keuangan yang Bersifat Khusus Propinsi Tahun 2017 )</t>
  </si>
  <si>
    <t xml:space="preserve"> Perbaikan jalan lingkar bukit pulatan ke SMA 3 Lengayang Kab. Pesisir Selatan ( Bantuan Keuangan yang Bersifat Khusus Propinsi Tahun 2017 )</t>
  </si>
  <si>
    <t xml:space="preserve"> Lanjutan Pembangunan Jalan Lambung Bukit Gunung Malelo Kab. Pesisir Selatan ( Bantuan Keuangan yang Bersifat Khusus Propinsi Tahun 2017 )</t>
  </si>
  <si>
    <t xml:space="preserve"> Pembangunan Jembatan Batang Talo Nag. Taluk Ampalu Inderapura Kec. Pc. Soal, pjg 20 m lebar 4 m Kab. Pesisir Selatan ( Bantuan Keuangan yang Bersifat Khusus Propinsi Tahun 2017 )</t>
  </si>
  <si>
    <t>Pengecoran jalan SD 16 Bukit Siayah Lumpo Kec. IV Jurai Kab. Pesisir Selatan ( Bantuan Keuangan yang Bersifat Khusus Propinsi Tahun 2017 )</t>
  </si>
  <si>
    <t>Aspal Lapen Jalan Evakuasi Tsunami Simpang Empat Padang Sirih Sungai Tunu Ranah Pesisir  Kab. Pesisir Selatan ( Bantuan Keuangan yang Bersifat Khusus Propinsi Tahun 2017 )</t>
  </si>
  <si>
    <t>Aspal Lapen Jalan Amban Sumedang Nyiur Melambai Ranah pesisir  Kab. Pesisir Selatan ( Bantuan Keuangan yang Bersifat Khusus Propinsi Tahun 2017 )</t>
  </si>
  <si>
    <t>Pembukaan Jalan Sungai Landai Kapuah Utara Koto XI Tarusan  Kab. Pesisir Selatan ( Bantuan Keuangan yang Bersifat Khusus Propinsi Tahun 2017 )</t>
  </si>
  <si>
    <t>Pembukaan Jalan Sungai Salak Nag. Koto Rawang Salido  Kab. Pesisir Selatan ( Bantuan Keuangan yang Bersifat Khusus Propinsi Tahun 2017 )</t>
  </si>
  <si>
    <t>Pembukaan Jalan dan Rabat Beton Simpang Empat Nanggalo Tarusan   Kab. Pesisir Selatan ( Bantuan Keuangan yang Bersifat Khusus Propinsi Tahun 2017 )</t>
  </si>
  <si>
    <t>Peningkatan jalan nag. Kambang Timur Kec. Lengayang  Kab. Pesisir Selatan ( Bantuan Keuangan yang Bersifat Khusus Propinsi Tahun 2017 )</t>
  </si>
  <si>
    <t>Peningkatan jalan nag. Kapujan Kec. Bayang  Kab. Pesisir Selatan ( Bantuan Keuangan yang Bersifat Khusus Propinsi Tahun 2017 )</t>
  </si>
  <si>
    <t>Pasangan Batu Jalan Sawah Laweh Lereng Bukit Kec. Bayang  Kab. Pesisir Selatan ( Bantuan Keuangan yang Bersifat Khusus Propinsi Tahun 2017 )</t>
  </si>
  <si>
    <t>Meningkatnya kualitas penataan ruang dan penataan bangunan</t>
  </si>
  <si>
    <t>PROGRAM PENGENDALIAN DAN PEMANFAATAN RUANG</t>
  </si>
  <si>
    <t>PERSENTASE PENGENDALIAN DAN PEMANFAATAN RUANG</t>
  </si>
  <si>
    <t>RTBL Kawasan Nagari Mandeh</t>
  </si>
  <si>
    <t>Tersusunnya RTBL</t>
  </si>
  <si>
    <t>Operasional Pengendalian dan Pengawasan Ruang</t>
  </si>
  <si>
    <t>Rencana Detail Tata Ruang Kota Kambang Kec. Lengayang</t>
  </si>
  <si>
    <t>Tersusunnya RDTR</t>
  </si>
  <si>
    <t>Koordinasi BKPRD</t>
  </si>
  <si>
    <t>Program Penataan Bangunan dan lingkungan</t>
  </si>
  <si>
    <t>Persentase Penataan Bangunan dan lingkungan</t>
  </si>
  <si>
    <t>Pendataan Bangunan Gedung , Implementasi Perda Bangunan Gedung Tahap I ( Pilot Projec Kota Painan )</t>
  </si>
  <si>
    <t>Persentase Penataan Bangunan</t>
  </si>
  <si>
    <t>Kegiatan ini batal( realisasi hanya pencairan ATK</t>
  </si>
  <si>
    <t>PROGRAM PENGATURAN JASA KONSTRUKSI</t>
  </si>
  <si>
    <t>PERSENTASE PENGATURAN JASA KONSTRUKSI</t>
  </si>
  <si>
    <t>Pengaturan dan Penyelenggaraan Izin Usaha Jasa Konstruksi</t>
  </si>
  <si>
    <t>jumlah surat rekomendasi IUJK</t>
  </si>
  <si>
    <t>Program Peningkatan Sarana dan Prasarana Kebinamargaan</t>
  </si>
  <si>
    <t>PersentasePeningkatan Sarana dan Prasarana Kebinamargaan</t>
  </si>
  <si>
    <t>Rehabilitasi/pemeliharaan alat-alat ukur dan bahan laboratorium kebinamargaan</t>
  </si>
  <si>
    <t xml:space="preserve">pemeliharaan alat-alat ukur dan bahan laboratorium </t>
  </si>
  <si>
    <t>Pengadaan Alat ukur dan bahan laboratorium kebinamargaan</t>
  </si>
  <si>
    <t>Jumlah Alat ukur dan bahan laboratorium kebinamargaan</t>
  </si>
  <si>
    <t>Operasional laboratorium</t>
  </si>
  <si>
    <t>Pengadaan Alat - alat berat</t>
  </si>
  <si>
    <t>Jumlah Pengadaan Alat - alat berat</t>
  </si>
  <si>
    <t>Penerangan fasilitas umum</t>
  </si>
  <si>
    <t>Persentase Penerangan fasilitas umum</t>
  </si>
  <si>
    <t>Program Pengembangan Kinerja Pengelolaan Air Minum dan Air Limbah</t>
  </si>
  <si>
    <t>Persentase penduduk berakses air minum/bersih</t>
  </si>
  <si>
    <t xml:space="preserve">Pemeliharaan Sarana Prasarana Air Bersih </t>
  </si>
  <si>
    <t>Pemeliharaan Sarana Prasarana Air Bersih Kab. Pesisir Selatan</t>
  </si>
  <si>
    <t>Pembangunan SPAM IKK</t>
  </si>
  <si>
    <t>Persentase Pembangunan SPAM IKK</t>
  </si>
  <si>
    <t>Penunjang Kegiatan AMPL (Air minum dan penyehatan lingkungan )</t>
  </si>
  <si>
    <t>Persentase penunjang AMPL</t>
  </si>
  <si>
    <t>Pembangunan Sarana Air Minum Luhung Pasar Baru</t>
  </si>
  <si>
    <t>Perencanaan SPAM Air Minum</t>
  </si>
  <si>
    <t>Dokumen perencanaan</t>
  </si>
  <si>
    <t>Pembangunan Infrastruktur Air Minum ( DAK Afirmasi 2018 )</t>
  </si>
  <si>
    <t>Pembangunan Infrastruktur Air Minum ( DAK Reguler 2018 )</t>
  </si>
  <si>
    <t>Pembangunan Prasarana Sanitasi ( DAK Reguler 2018 )</t>
  </si>
  <si>
    <t>Akses sanitasi layak</t>
  </si>
  <si>
    <t>Pembangunan Prasarana Sanitasi ( DAK Penugasan2018 )</t>
  </si>
  <si>
    <t>PROGRAM PENGENDALIAN PENCEMARAN DAN PERUSAKAN LINGKUNGAN HIDUP</t>
  </si>
  <si>
    <t>PERSENTASE PENGENDALIAN PENCEMARAN DAN PERUSAKAN LINGKUNGAN HIDUP</t>
  </si>
  <si>
    <t>Operasional IPLT</t>
  </si>
  <si>
    <t>Perencanaan TPS 3R</t>
  </si>
  <si>
    <t>dokumen Perencanaan TPS 3R</t>
  </si>
  <si>
    <t>Batal ( realisasi ATK saja )</t>
  </si>
  <si>
    <t>UKL/UPL TPS 3R</t>
  </si>
  <si>
    <t>Dokumen UKL/UPL TPS 3R</t>
  </si>
  <si>
    <t>PROGRAM PENGEMBANGAN PARIWISATA</t>
  </si>
  <si>
    <t>PERSENTASE  PENGEMBANGAN PARIWISATA</t>
  </si>
  <si>
    <t>Pelaksanaan Promosi Wisata</t>
  </si>
  <si>
    <t>promosi wisata</t>
  </si>
  <si>
    <t>Pengadaan Tenda Promosi Wisata</t>
  </si>
  <si>
    <t>pengadaan tenda</t>
  </si>
  <si>
    <t>Pemeliharaan pentas dan Tenda promosi wisata</t>
  </si>
  <si>
    <t>pemeliharaan tenda</t>
  </si>
  <si>
    <t>PROGRAM PENGENDALIAN PENCEMARAN LINGKUNGAN</t>
  </si>
  <si>
    <t>PERSENTASE PENGENDALIAN PENCEMARAN LINGKUNGAN</t>
  </si>
  <si>
    <t xml:space="preserve">Penyusunan Dokumen Lingkungan </t>
  </si>
  <si>
    <t>Dokumen lingkungan</t>
  </si>
  <si>
    <t>Meningkatnya kinerja pengelolaan persampahan (paket)</t>
  </si>
  <si>
    <t>Operasioanal Tempat pembuangan Akhir</t>
  </si>
  <si>
    <t>Persentase Operasioanal TPA</t>
  </si>
  <si>
    <t>Operasional Kebersihan dan persampahan</t>
  </si>
  <si>
    <t>Persentase Operasioanal Kebersihan</t>
  </si>
  <si>
    <t>Pemeliharaan Rutin dan Operasional Kendaraan Kebersihan</t>
  </si>
  <si>
    <t>Pemeliharaan Kendaraan Kebersihan</t>
  </si>
  <si>
    <t>Rehab sarana dan Prasarana TPA</t>
  </si>
  <si>
    <t>Rehab TPA</t>
  </si>
  <si>
    <t>Faktor pendorong keberhasilan kinerja:</t>
  </si>
  <si>
    <t xml:space="preserve">Faktor penghambat pencapaian kinerja: </t>
  </si>
  <si>
    <t>Hal ini disebabkan kegiatan dinas PUTR belum terlaksana secara keseluruhan untuk triwulan I</t>
  </si>
  <si>
    <t xml:space="preserve">Tindak lanjut yang diperlukan dalam triwulan berikutnya: </t>
  </si>
  <si>
    <t>Tindak lanjut yang diperlukan dalam Renja Perangkat Daerah Kabupaten/Kota berikutnya:</t>
  </si>
  <si>
    <t xml:space="preserve">Meningkatnya Pelayanan Administrasi perkantoran </t>
  </si>
  <si>
    <t>.01</t>
  </si>
  <si>
    <t>Terlaksananya administrasi pelayanan perkantoran</t>
  </si>
  <si>
    <t>DPMP2TSP</t>
  </si>
  <si>
    <t>Rekening listrik air, telpon</t>
  </si>
  <si>
    <t>82.24 %</t>
  </si>
  <si>
    <t>16.02 %</t>
  </si>
  <si>
    <t>.07</t>
  </si>
  <si>
    <t>Honor KPA,PPTK,PPK Bend dsb</t>
  </si>
  <si>
    <t>.08</t>
  </si>
  <si>
    <t>Sapu, kain pel pembersih, bak sampah</t>
  </si>
  <si>
    <t>.09</t>
  </si>
  <si>
    <t>service komputer printer, laktop</t>
  </si>
  <si>
    <t>99.81 %</t>
  </si>
  <si>
    <t>.10</t>
  </si>
  <si>
    <t>Buku pena tinta, kertas</t>
  </si>
  <si>
    <t>.11</t>
  </si>
  <si>
    <t>cetak sppd, kwitansi, rka, renja, laporan keu</t>
  </si>
  <si>
    <t>99.83%</t>
  </si>
  <si>
    <t>.12</t>
  </si>
  <si>
    <t>lampu , kabel, stokkontak, saklar</t>
  </si>
  <si>
    <t>komputer, printer, spingjer</t>
  </si>
  <si>
    <t>koran, buku</t>
  </si>
  <si>
    <t>90.45%</t>
  </si>
  <si>
    <t>.17</t>
  </si>
  <si>
    <t>makan rapat, tamu</t>
  </si>
  <si>
    <t>99.36 %</t>
  </si>
  <si>
    <t>1.53 %</t>
  </si>
  <si>
    <t>.18</t>
  </si>
  <si>
    <t>rapat ke propinsi dan luar propinsi</t>
  </si>
  <si>
    <t>99.23%</t>
  </si>
  <si>
    <t>.20</t>
  </si>
  <si>
    <t>survei, peninjauan lapangan</t>
  </si>
  <si>
    <t>94.86%</t>
  </si>
  <si>
    <t>.27</t>
  </si>
  <si>
    <t>Penyedian jasa tenaga kerja non PNS</t>
  </si>
  <si>
    <t>Honor tenaga kontrak</t>
  </si>
  <si>
    <t>.22</t>
  </si>
  <si>
    <t>cetak RKA, RENSTRA, LKPJ, RKPD, dan laporan lainnya</t>
  </si>
  <si>
    <t>Meningkatnya sumber daya aparatur</t>
  </si>
  <si>
    <t>Bintek keu dan anggaran Renstra</t>
  </si>
  <si>
    <t>Meningkatnya Sarana dan Prasarana Aparatur</t>
  </si>
  <si>
    <t>96.71 %</t>
  </si>
  <si>
    <t>1.80 %</t>
  </si>
  <si>
    <t>Pemeliharaan rutin/berkala gedung kantor</t>
  </si>
  <si>
    <t>pemeliharaan rutin</t>
  </si>
  <si>
    <t>99.76%</t>
  </si>
  <si>
    <t>Pengadaan Kendaraan dinas/operasional</t>
  </si>
  <si>
    <t>Pengadaan kendaraan dinas</t>
  </si>
  <si>
    <t>Terlaksananya rehab gedung kantor</t>
  </si>
  <si>
    <t>Terlaksananya pemeliharaan rutin kendaraan dinas</t>
  </si>
  <si>
    <t>Meningkatnya Promosi dan Kerjasama Investasi</t>
  </si>
  <si>
    <t>PROG. PENINGKATAN PROMOSI DAN KERJASAMA INVESTASI</t>
  </si>
  <si>
    <t>Promosi Investasi di Dalam Negeri</t>
  </si>
  <si>
    <t xml:space="preserve"> Pameran Promosi Daerah Kabupaten Pesisir Selatan</t>
  </si>
  <si>
    <t>99.53 %</t>
  </si>
  <si>
    <t>26.09 %</t>
  </si>
  <si>
    <t>Pelayanan kerjasama Investasi</t>
  </si>
  <si>
    <t>Tersedianya Dokumen MOU antara investor dengan Pemerintahan daerah</t>
  </si>
  <si>
    <t>99.91 %</t>
  </si>
  <si>
    <t>22.06 %</t>
  </si>
  <si>
    <t>Meningkatnya Iklim Investasi dan Realisasi Investasi</t>
  </si>
  <si>
    <t>PROG. PENINGKATAN IKLIM INVESTASI DAN REALISASI INVESTASI</t>
  </si>
  <si>
    <t>10.02 %</t>
  </si>
  <si>
    <t>Pendataan Realisasi Investasi Non Fasilitas dan RT</t>
  </si>
  <si>
    <t>Tersedianya dokumen data investasi non fasilitasi rumah tangga</t>
  </si>
  <si>
    <t>98.90 %</t>
  </si>
  <si>
    <t>Pelayanan Penanaman Modal</t>
  </si>
  <si>
    <t>Tercapainya pelaksanaan pelayanan perizinan penanaman modal pada investor</t>
  </si>
  <si>
    <t>91.09 %</t>
  </si>
  <si>
    <t>33.60 %</t>
  </si>
  <si>
    <t>2</t>
  </si>
  <si>
    <t>Pengembangan sistem informasi perizinan dan penanaman</t>
  </si>
  <si>
    <t>Terlaksananya sistem pelayananan perizinan secara online</t>
  </si>
  <si>
    <t>99.09 %</t>
  </si>
  <si>
    <t>Penyusunan buku data perkembangan investasi</t>
  </si>
  <si>
    <t>Tersedianya buku data investasi</t>
  </si>
  <si>
    <t>Penyusunan rencana umum penanaman modal</t>
  </si>
  <si>
    <t>Buku RUPM</t>
  </si>
  <si>
    <t>Pembuatan buku frofil investasi</t>
  </si>
  <si>
    <t xml:space="preserve"> buku frofil investasi</t>
  </si>
  <si>
    <t>Lokakarya penyusunan LKPM</t>
  </si>
  <si>
    <t xml:space="preserve"> lokakarya 40 orang peserta</t>
  </si>
  <si>
    <t>Koordinasi bidang penanaman modal</t>
  </si>
  <si>
    <t>Tercapainya koordinasi penanaman modal</t>
  </si>
  <si>
    <t>94.84 %</t>
  </si>
  <si>
    <t>6.87 %</t>
  </si>
  <si>
    <t>Pembinaan dan penyuluhan penanaman modal</t>
  </si>
  <si>
    <t>Terlaksannya pembinaan dan penyuluhan penanaman modal</t>
  </si>
  <si>
    <t>Pengawasan dan pengendalian penanaman modal</t>
  </si>
  <si>
    <t>Terlaksananya pengawasan dan pengendalian</t>
  </si>
  <si>
    <t>84.59 %</t>
  </si>
  <si>
    <t>Pemamfaatan Program Aplikasi SICANTIK</t>
  </si>
  <si>
    <t>Tersedianya Aplikasi si cantik</t>
  </si>
  <si>
    <t>Pembangunan sitem pelayanan prima</t>
  </si>
  <si>
    <t>Terlaksananya sistem pelayanan prima</t>
  </si>
  <si>
    <t>Meningkatnya Pelayanan Publik bidang perizinan</t>
  </si>
  <si>
    <t>PROG. PENINGKATAN PELAYANAN PUBLIK BIDANG PERIZINAN</t>
  </si>
  <si>
    <t>92.59 %</t>
  </si>
  <si>
    <t>0</t>
  </si>
  <si>
    <t>Operasional penyelenggaraan perizinan</t>
  </si>
  <si>
    <t xml:space="preserve"> izin yang diterbitkan</t>
  </si>
  <si>
    <t>Monitoring dan evaluasi pelayanan perizinan</t>
  </si>
  <si>
    <t>Terlaksananya pemberitahuan perpanjangan izin</t>
  </si>
  <si>
    <t>Sosialisasi Perbupnomo 29 tahun 2015 dan SOP perizinan</t>
  </si>
  <si>
    <t xml:space="preserve"> sosialisasi Perbup dan SOP</t>
  </si>
  <si>
    <t>Survey indek kepuasan masyarakat</t>
  </si>
  <si>
    <t xml:space="preserve"> Kuiisioner sebagai alat bantu pengumpulan data indeks kepuasan masyarakat</t>
  </si>
  <si>
    <t>15.39 %</t>
  </si>
  <si>
    <t>Penyusunan Naskah akademis tentang izin gangguan</t>
  </si>
  <si>
    <t>Tersedianya Naskah akademis</t>
  </si>
  <si>
    <t>Penyusunan Regulasi Penanaman Modal</t>
  </si>
  <si>
    <t>90.31 %</t>
  </si>
  <si>
    <t>Meningkatnya Daya Saing Penanaman Modal</t>
  </si>
  <si>
    <t>PROG. PENINGKATAN DAYA SAING PENANAMAN MODAL</t>
  </si>
  <si>
    <t>Publikasi perizinan penanaman modal</t>
  </si>
  <si>
    <t>Terlaksananya Publikasi perizinan penanaman modal</t>
  </si>
  <si>
    <t>Sosialisasi kebijakan penanaman modal</t>
  </si>
  <si>
    <t>Terlaksananya kebijakan penanaman modal</t>
  </si>
  <si>
    <t>Faktor pendorong keberhasilan kinerja: Perlu peningkatan SDM bagi pelaksanaan kegiatan</t>
  </si>
  <si>
    <t>Faktor penghambat pencapaian kinerja:  kegiatan pada DPMP2TSP belum terlaksana secara keseluruhan untuk Triwulan I</t>
  </si>
  <si>
    <t>Tindak lanjut yang diperlukan dalam triwulan berikutnya: Mengoptimalkan kegiatan yang belum terealiasi secara optimal</t>
  </si>
  <si>
    <t>Tindak lanjut yang diperlukan dalam RKPD berikutnya: Program kegiatan yang sesuai dengan tupoksi.</t>
  </si>
  <si>
    <t>DKUPP</t>
  </si>
  <si>
    <t>Meningkatkan peluang pasar produk unggula n daerah</t>
  </si>
  <si>
    <t>Meningkatkan perlindungan konsumen</t>
  </si>
  <si>
    <t>Program Perlindungan Konsumen dan Pengamanan Perdagangan</t>
  </si>
  <si>
    <t>Jumlah pasar rakyat memenuhi syarat pengelolaan SNI  8152:2015</t>
  </si>
  <si>
    <t>Koefesien variasi  harga bahan  kebutuhan pokok antarwaktu</t>
  </si>
  <si>
    <t>&lt; 9 %</t>
  </si>
  <si>
    <t>&lt;9%</t>
  </si>
  <si>
    <t>Meningkatkan pengawasan terhadap barang beredar</t>
  </si>
  <si>
    <t>Peningkatan pengawasan peredaran barang</t>
  </si>
  <si>
    <t xml:space="preserve">Jumlah kecamatan yang diawasi barang beredar </t>
  </si>
  <si>
    <t>Meningkatkan standarisasi alat UTTP</t>
  </si>
  <si>
    <t xml:space="preserve">Operasionalisasi dan perlengkapan UPTD Kemetrologian </t>
  </si>
  <si>
    <t>Terlaksana-nya persiapan pelayanan UPTD(bulan)</t>
  </si>
  <si>
    <t>Pendataan UTTP</t>
  </si>
  <si>
    <t>Data UTTP(dok)</t>
  </si>
  <si>
    <t>Pengawasan Kemetrologian</t>
  </si>
  <si>
    <t>Jumlah Kecamatan yang diawasi</t>
  </si>
  <si>
    <t>Pelaksanaan Tera/Tera Ulang Alat UTTP</t>
  </si>
  <si>
    <t xml:space="preserve">Jumlah kecamatan yng dilakukan  tera ulang </t>
  </si>
  <si>
    <t>Pembangunan Gedung UPTD Kemetrogian dan Labolatorium (Luncuran DAK 2015)</t>
  </si>
  <si>
    <t>Gedung Kemetrologian</t>
  </si>
  <si>
    <t>Pembangunan Gedung UPTD Kemetrogian dan Labolatorium (Penunjang dan Perencanaan  DAK 2015)</t>
  </si>
  <si>
    <t>operasional penunjang Gedung Kemetrologian (bulan)</t>
  </si>
  <si>
    <t>Pemantauan harga dan Operasi Pasar</t>
  </si>
  <si>
    <t>Jumlah Kecamatan yang dilaksana-kan pemantauan harga barang (kecamatan)</t>
  </si>
  <si>
    <t>Jumlah papan display informasi harga</t>
  </si>
  <si>
    <t>Pembuatan Database Perdagangan</t>
  </si>
  <si>
    <t>Database perdagangan(dok)</t>
  </si>
  <si>
    <t>Meningkatkan infrastruktur pasar rakyat</t>
  </si>
  <si>
    <t>Program Peningkatan Efiseiensi Perdagangan Dalam Negeri</t>
  </si>
  <si>
    <t>Jumlah pasar rakyat memenuhi syarat teknis SNI  8152:2015</t>
  </si>
  <si>
    <t>Peningkatan sistem dan Jaringan Informasi Perdagangan</t>
  </si>
  <si>
    <t>Jumlah Promosi Produk Unggulan Daerah(paket)</t>
  </si>
  <si>
    <t>Meningkatkan pembinaan dan pengawasan pengelolan pasar</t>
  </si>
  <si>
    <t>Pelayanan Administrasi Penerimaan/ Tagihan dan pengelolaan Pasar</t>
  </si>
  <si>
    <t>Data Realisasi PAD Pasar</t>
  </si>
  <si>
    <t>Pengamanan dan Pengelolaan Pasar</t>
  </si>
  <si>
    <t>Realissasi PAD Retribusi Pasar</t>
  </si>
  <si>
    <t>Terlaksananya pembangunan/revitalisasi pasar rakyat</t>
  </si>
  <si>
    <t>Peningkatan Pasar Nagari dalam Kabupaten Pesisir Selatan</t>
  </si>
  <si>
    <t>Pasar Nagari yang terbangun / direvitalisa-si</t>
  </si>
  <si>
    <t>Pemeliharaan rutin/ berkala bangunan Pasar Kab. Pesisir Selatan</t>
  </si>
  <si>
    <t>Jumlah bangunan Pasar yang direhap</t>
  </si>
  <si>
    <t>Revitalisasi pasar hilalang kecamatan pancung soal (Alokasi dana bantuan keuangan yang bersifat khusus propinsi TA 2016)</t>
  </si>
  <si>
    <t>Revitalisasi pasar balai jumat lagan  kecamatan LSB (Alokasi dana bantuan keuangan yang bersifat khusus propinsi TA 2016)</t>
  </si>
  <si>
    <t>Pembangunan Pasar dalam Kab. Pesisir Selatan</t>
  </si>
  <si>
    <t>Jumlah Pasar Rakyat yang dibangun/ direvitalisa-si</t>
  </si>
  <si>
    <t>Rehab Pasar Asam Kumbang Kecamatan IV Nagar Bayang Utara (Bantuan Keuangan yang bersifat Khusus Propinsi TA 2017)</t>
  </si>
  <si>
    <t>Jumlah Pasar yang direvitalisasi</t>
  </si>
  <si>
    <t>Penunjang Percepatan Pembangunan Pasar dalam Kab. Pesisir Selatan</t>
  </si>
  <si>
    <t>Penunjang Operasional Percepatan Pembangu-nan Pasar Kabupaten</t>
  </si>
  <si>
    <t>Pembuatan buku Profil Pasar Kab. Pesisir Selatan</t>
  </si>
  <si>
    <t>Data profil Pasar  (dok)</t>
  </si>
  <si>
    <t>Pembangunan Pasar Kabupaten (DAK)</t>
  </si>
  <si>
    <t>Jumlah Pasar Rakyat yang dibangun</t>
  </si>
  <si>
    <t>Pembangunan Pasar Kabupaten (Penunjang DAK)</t>
  </si>
  <si>
    <t>tersediannya biaya operasional</t>
  </si>
  <si>
    <t>Meningkatkan pengembangan produk IKM</t>
  </si>
  <si>
    <t>Program Pengembangan Industri Kecil dan Menengah</t>
  </si>
  <si>
    <t>Jumlah fasilitasi  legalitas produk IKM</t>
  </si>
  <si>
    <t>Meningkatkan fasilitasi permodalan dengan lembaga keuangan, BUMN, BUMD dan swasta</t>
  </si>
  <si>
    <t>Fasilitasi kerjasama kemitraan industri mikro, kecil dan menengah dengan swasta</t>
  </si>
  <si>
    <t>jumlah IKM yang mengikuti sosialisasi  kemitraan dengan BUMN, BUMD/swasta</t>
  </si>
  <si>
    <t>Meningkatkan pembinaan dan pengawasan IKM</t>
  </si>
  <si>
    <t>Pemutakhiran Data IKM</t>
  </si>
  <si>
    <t>Data IKM (dok)</t>
  </si>
  <si>
    <t>Meningkatkan pembinaan dan pengawasan kepada kelompok  IKM</t>
  </si>
  <si>
    <t>Penunjang Operasional Dekranasda dan Pembinaan IKM</t>
  </si>
  <si>
    <t>Jumlah Promosi Produk unggulan daerah</t>
  </si>
  <si>
    <t>Meningkatkan ketersediaan infrastruktur kelompok IKM</t>
  </si>
  <si>
    <t>Penyusunan Rencana Pembangunan Industri Kabupaten (REPIK)</t>
  </si>
  <si>
    <t>Perda REPIK (dok)</t>
  </si>
  <si>
    <t>Meningkatkan sumber daya IKM</t>
  </si>
  <si>
    <t>Fasilitasi IKM terhadap Pemanfaatan sumber daya</t>
  </si>
  <si>
    <t>Fasilitasi pengurusan sertifikasi produk IKM (IKM)</t>
  </si>
  <si>
    <t>Pengembangan Sentra Industri Kecil Menengah</t>
  </si>
  <si>
    <t xml:space="preserve">Jumlah IKM yang dilatih </t>
  </si>
  <si>
    <t>Program Peningkatan Kemampuan Teknologi Industri</t>
  </si>
  <si>
    <t>Jumlah peningkatan IKM menggunakan teknologi tepat guna</t>
  </si>
  <si>
    <t>Pembinaan kemampuan teknologi industri kepada IKM</t>
  </si>
  <si>
    <t>Jumlah IKM  yang dibina dan dilatih</t>
  </si>
  <si>
    <t>Pembinaan dan Pelathan Industri Pangan Ungggulan</t>
  </si>
  <si>
    <t>Meningkatkan pengembangan potensi sentra IKM</t>
  </si>
  <si>
    <t>Program Pengembangan Sentra-sentra Industri Potensial</t>
  </si>
  <si>
    <t>Jumlah kelembagaan sentra IKM</t>
  </si>
  <si>
    <t>Penumbuhan dan Penataan Sentra-sentra Industri Unggulan</t>
  </si>
  <si>
    <t>Jumlah IKM sentra yang dibina dan dilatih</t>
  </si>
  <si>
    <t>Pembangunan Sentra IKM (DAK) 2018</t>
  </si>
  <si>
    <t>Jumlah sarana sentra  IKM yang dibangun</t>
  </si>
  <si>
    <t>Pembangunan Gedung Sentra IKM (Penunjang DAK)</t>
  </si>
  <si>
    <t>Penunjang Operasional Pembangun-an Sentra IKM</t>
  </si>
  <si>
    <t>Program Peningkatan Iklim Usaha Industri</t>
  </si>
  <si>
    <t>Jumlah IKM yang dibina</t>
  </si>
  <si>
    <t>Pembinaan dan Pengawasan Indutri Kecil dan Menengah</t>
  </si>
  <si>
    <t>Program Pelayanan Administrasi perkantoran</t>
  </si>
  <si>
    <t>Penyediaan Jasa Komonikasi, Sumber daya air dan listrik</t>
  </si>
  <si>
    <t>Tersediannyan Jasa Komonikasi, Sumber daya air dan listrik</t>
  </si>
  <si>
    <t xml:space="preserve">Penyediaan Jasa Administrasi Keuangan </t>
  </si>
  <si>
    <t xml:space="preserve">Tersedianya  Jasa Administrasi Keuangan </t>
  </si>
  <si>
    <t>Tersedianya  Jasa Kebersihan Kantor</t>
  </si>
  <si>
    <t>PenyediaanTersedianya</t>
  </si>
  <si>
    <t>Tersedianya Barang Cetakan dan Penggandaan</t>
  </si>
  <si>
    <t>Penyediaan Komponen, Instalasi Listrik/Penerangan bangunan kantor</t>
  </si>
  <si>
    <t>Tersedianya  Komponen, Instalasi Listrik/Penerangan bangunan kantor</t>
  </si>
  <si>
    <t>Tersedianya Bahan Bacaan dan Peraturan Perundang-undangan</t>
  </si>
  <si>
    <t>Tersedianya  Makanan dan Minuman rapat dan tamu</t>
  </si>
  <si>
    <t>Terfasilitasinya rapat rapat koordinasi dan konsultasi keluar daerah</t>
  </si>
  <si>
    <t>Terfasilitasinya rapat rapat koordinasi dan konsultasi dalam daerah</t>
  </si>
  <si>
    <t>Penunjang operasional perencanaan dan pelaporan</t>
  </si>
  <si>
    <t>Dokumen perencanaan dan pelaporan</t>
  </si>
  <si>
    <t>Program Peningkatan sarana dan prasarana aparatur</t>
  </si>
  <si>
    <t>Pengadaan peralatan gedung kantor</t>
  </si>
  <si>
    <t>Tersedianya peralatan gedung kantor</t>
  </si>
  <si>
    <t>Trsedianya Pemeliharaan rutin/berkala gedung kantor Persen)</t>
  </si>
  <si>
    <t>Pemeliharaan rutin/berkala Kendaraan dinas operasional</t>
  </si>
  <si>
    <t>Terlaksananya Pemeliharaan rutin/berkala Kendaraan dinas operasional</t>
  </si>
  <si>
    <t>Pemeliharaan rutin/berkala Perlengkapan gedung kantor</t>
  </si>
  <si>
    <t>Terlaksanya Pemeliharaan rutin/berkala Perlengkapan gedung kantor</t>
  </si>
  <si>
    <t>Persentase peningkatan SDM aparatur</t>
  </si>
  <si>
    <t>Menghasilan tenaga ASN yang berkualitas (orang)</t>
  </si>
  <si>
    <t>Penataan Administrasi Kependudukan</t>
  </si>
  <si>
    <t>Nilai Indeks Kepuasan Pelayanan Administrasi Kependudukan</t>
  </si>
  <si>
    <t>A</t>
  </si>
  <si>
    <t>C</t>
  </si>
  <si>
    <t>B</t>
  </si>
  <si>
    <t>Tersedianya Database Kependudukan Yang Valid, Akurat dan Mutakhir</t>
  </si>
  <si>
    <t>Pembangunan dan Pengoperasian SIAK Secara Terpadu</t>
  </si>
  <si>
    <t xml:space="preserve">Jumlah data yang dikonsolidasikan </t>
  </si>
  <si>
    <t>Disdukcapil</t>
  </si>
  <si>
    <t xml:space="preserve">Implementasi Sistem Administrasi Kependudukan </t>
  </si>
  <si>
    <t>Jumlah Data Anomali Yang Diperbaiki</t>
  </si>
  <si>
    <t>Jumlah Data Ganda Yang Dihapus</t>
  </si>
  <si>
    <t>Meningkatnya Ketertiban Kepemilikan Dokumen Kependudukan</t>
  </si>
  <si>
    <t>Penyediaan Informasi Yang Dapat Diakses Masyarakat</t>
  </si>
  <si>
    <t>Jumlah baliho dan spanduk kependudukan yang diedarkan</t>
  </si>
  <si>
    <t>Peningkatan Pelayanan Publik Dalam Bidang Kependudukan</t>
  </si>
  <si>
    <t>Jumlah pengurusan kutipan akta kelahiran 0-18 Thn</t>
  </si>
  <si>
    <t>Meningkatnya Kualitas Pelayanan Administrasi Kependudukan</t>
  </si>
  <si>
    <t>Peningkatan Kapasitas Aparat Kependudukan dan Catatan Sipil</t>
  </si>
  <si>
    <t>Jumlah SDM Pelayanan yang terampil</t>
  </si>
  <si>
    <t>Monitoring, Evaluasi dan Pelaporan</t>
  </si>
  <si>
    <t>Jumlah tindakan razia/penertiban yang dilakukan</t>
  </si>
  <si>
    <t>Jumlah SOP Pelayanan yang dimonitoring</t>
  </si>
  <si>
    <t>Pelayanan Kartu Identitas Anak (KIA)</t>
  </si>
  <si>
    <t>Jumlah pengurusan Kartu Identitas Anak (KIA)</t>
  </si>
  <si>
    <t>Pelayanan Dokumen Kependudukan</t>
  </si>
  <si>
    <t>Jumlah pengurusan Kartu Keluarga</t>
  </si>
  <si>
    <t>Jumlah Penerbitan Surat Keterangan Pindah Datang Penduduk</t>
  </si>
  <si>
    <t>Penerbitan NIK Nasional dan Penerapan e_KTP</t>
  </si>
  <si>
    <t>Jumlah perekaman KTP bagi Wajib KTP</t>
  </si>
  <si>
    <t>Pelaksanaan Pelayanan Unit Pendaftaran Penduduk dan Pencatatan Sipil Keliling (UP3SK)</t>
  </si>
  <si>
    <t>Jumlah titik kunjungan pelayanan mobil keliling</t>
  </si>
  <si>
    <t>Pengesahan Status Anak, Kewarganegaraan dan Kematian</t>
  </si>
  <si>
    <t>Jumlah Akta Kematian yang diterbitkan</t>
  </si>
  <si>
    <t>Pendataan dan Pelaporan Perkawinan Cerai</t>
  </si>
  <si>
    <t>Jumlah laporan perkawinan dan perceraian yang diterbitkan</t>
  </si>
  <si>
    <t>Pembangunan dan Pengelolaan Sistem Data Warehouse</t>
  </si>
  <si>
    <t>Jumlah registrasi pelayanan online</t>
  </si>
  <si>
    <t>Jumlah data warehouse kependudukan yang diakses lembaga pengguna</t>
  </si>
  <si>
    <t>Pengelolaan Arsip Administrasi Kependudukan Berbasis Digital</t>
  </si>
  <si>
    <t>Jumlah arsip Akta Kelahiran yang diarsipkan secara digital</t>
  </si>
  <si>
    <t>Pengembangan Sistem Administrasi Kependudukan (SAK) Terpadu (DAK Non Fisik)</t>
  </si>
  <si>
    <t>Jumlah blanko dokumen kependudukan yang diadakan</t>
  </si>
  <si>
    <t>Pelayanan Administrasi Kependudukan di Satker</t>
  </si>
  <si>
    <t>Jumlah UKL yang dibentuk</t>
  </si>
  <si>
    <t>Jumlah Register Nagari dan Kampung yang diangkat</t>
  </si>
  <si>
    <t>Persentase peningkatan pelayanan perkantoran</t>
  </si>
  <si>
    <t xml:space="preserve">Terbayarnya tagihan jaringan komunikasi, listrik dan PDAM </t>
  </si>
  <si>
    <t>Terbayarnya honorium pengelola kegiatan</t>
  </si>
  <si>
    <t>Jenis peralatan dan bahan kebersihan yang tersedia</t>
  </si>
  <si>
    <t>Jumlah peralatan dan perlengkapan kantor yang diperbaiki</t>
  </si>
  <si>
    <t>Jumlah alat tulis kantor yang tersedia</t>
  </si>
  <si>
    <t>Jumlah barang cetakan dan penggandaan kantor</t>
  </si>
  <si>
    <t>Jumlah komponen penerangan gedung kantor</t>
  </si>
  <si>
    <t>Jumlah peralatan dan perlengkapan kantor yang baru</t>
  </si>
  <si>
    <t>Penyediaan Bahan Bacaan dan Peraturan Perundang - Undangan</t>
  </si>
  <si>
    <t>Jumlah bahan bacaan surat kabar/majalah yang tersedia</t>
  </si>
  <si>
    <t>Tersedianya makanan dan minuman rapat/tamu</t>
  </si>
  <si>
    <t>Rapat - Rapat Koordinasi dan Konsultasi Keluar Daerah</t>
  </si>
  <si>
    <t>Jumlah rapat - rapat koordinasi keluar daerah yang diikuti</t>
  </si>
  <si>
    <t>Rapat - Rapat Koordinasi dan Konsultasi Dalam Daerah</t>
  </si>
  <si>
    <t>Jumlah rapat - rapat koordinasi dalam daerah yang diikuti</t>
  </si>
  <si>
    <t>Jumlah Sarana dan Prasarana Kantor Yang Kondusif</t>
  </si>
  <si>
    <t>Jumlah perbaikan gedung kantor yang dilaksanakan</t>
  </si>
  <si>
    <t>Jumlah kendaraan dinas/operasional yang dipelihara</t>
  </si>
  <si>
    <t>Jumlah Dokumen Perencanaan dan Pelaporan yang disusun</t>
  </si>
  <si>
    <t>Penyusunan Perencanaan dan Pelaporan Capaian Kinerja</t>
  </si>
  <si>
    <t>Jumlah dokumen perencanaan dan pelaporan yang diterbitkan</t>
  </si>
  <si>
    <t>Anggaran yang mencukupi, SDM yang handal, peralatan kerja yang cukup</t>
  </si>
  <si>
    <t>Jaringan SIAK yang sering mengalami gangguan, Kesadaran masyarakat akan pentingnya kepemilikan dokumen kependudukan yang masih rendah</t>
  </si>
  <si>
    <t>Tindak Lanjut yang diperlukan dalam triwulan berikutnya *):  pelayanan keliling administrasi kependudukan perlu ditingkatkan terutama di daerah terpencil</t>
  </si>
  <si>
    <t>Dinas Kesehatan</t>
  </si>
  <si>
    <t>Kebutuhan Air, Listrik dan jasa komunikasi (%)</t>
  </si>
  <si>
    <t>Penyediaan Jasa Pemeliharaan  dan Perizinan Kendaraan</t>
  </si>
  <si>
    <t>Kebutuhan Jasa Pemeliharaan dan perizinan Kendaraan (%)</t>
  </si>
  <si>
    <t>Kebutuhan Jasa Administrasi Keuangan (%)</t>
  </si>
  <si>
    <t>kebutuhan jasa Kebersihan kantor (%)</t>
  </si>
  <si>
    <t>Kebutuhan Jasa Perbaikan Peralatan Kerja (%)</t>
  </si>
  <si>
    <t>Penyediaan barang cetakan dan pengg andaan (%)</t>
  </si>
  <si>
    <t>Komponen Penerangan Kantor (%)</t>
  </si>
  <si>
    <t xml:space="preserve">Jumlah Pembayaran langganan koran </t>
  </si>
  <si>
    <t>Jumlah rapat Dinkes yang dilaksanakan dan makan minum tamu Dinkes dan Puskesmas</t>
  </si>
  <si>
    <t>Persentase Perjalanan dinas ke luar daerah</t>
  </si>
  <si>
    <t>Penyediaan Jasa pengamanan kantor</t>
  </si>
  <si>
    <t xml:space="preserve">Jumlah pembayaran honor satpam </t>
  </si>
  <si>
    <t>Persentase perjalanan dinas dalam daerah</t>
  </si>
  <si>
    <t>Pembinaan dan Pengelolaan Aset</t>
  </si>
  <si>
    <t>Monev aset Puskesmas</t>
  </si>
  <si>
    <t xml:space="preserve">Tersedianya Renstra, LKPJ, LPPD, DPA dan DPPA </t>
  </si>
  <si>
    <t>Meningkatkan kualitas pelayanan bagi masyarakat</t>
  </si>
  <si>
    <t>Persentase sarana aparatur berkondisi baik</t>
  </si>
  <si>
    <t>Pemeliharaan Rutin/Berkala Gedung kantor</t>
  </si>
  <si>
    <t>Persentase pemeliharaan Gedung Dinkes</t>
  </si>
  <si>
    <t>Dinkes</t>
  </si>
  <si>
    <t>Jumlah SDM Kesehatan yang mengikuti pelatihan formal</t>
  </si>
  <si>
    <t>Penunjang Operasional Peningkatan Kapasitas Sumber Daya Aparatur Kesehatan (Pajak Rokok)</t>
  </si>
  <si>
    <t>Jumlah SDMK Puskesmas dan RS yang memahami tentang registrasi dan perizinan</t>
  </si>
  <si>
    <t>Program Obat dan Perbekalan Kesehatan</t>
  </si>
  <si>
    <t>Persentase Terpenuhi kebutuhan obat- obatan pelayanan kesehatan dasar</t>
  </si>
  <si>
    <t>Pengadaaan obat dan perbekalan kesehatan (DAK dan Pendamping)</t>
  </si>
  <si>
    <t>Jumlah Paket obat dan Perbekalan Kesehatan yang diadakan</t>
  </si>
  <si>
    <t>Peningkatan pemerataan obat dan perbekalan kesehatan</t>
  </si>
  <si>
    <t>Persentase obat dan Perbekalan kesehatan di Puskesmas</t>
  </si>
  <si>
    <t>Pengadaaan obat dan perbekalan kesehatan (DAK dan Pendamping) (penunjang DAK)</t>
  </si>
  <si>
    <t>Lancarnya Pengadaan obat dan perbekalan kesehatan</t>
  </si>
  <si>
    <t>Peningkatan pengawasan keamanan pangan dan bahan berbahaya</t>
  </si>
  <si>
    <t>Jumlah PIRT, Toko Obat dan Apotik yang diawasi dan dibina</t>
  </si>
  <si>
    <t>Meningkatnya kualitas pelayanan bagi masyarakat</t>
  </si>
  <si>
    <t>Program Upaya Kesehatan Masyarakat</t>
  </si>
  <si>
    <t>Visite Rate</t>
  </si>
  <si>
    <t>Pemeliharaan dan pemulihan kesehatan</t>
  </si>
  <si>
    <t>Persentase keluarga Kelompok Resiko tinggi (Resti) yang terlayani di Puskesmas dan jaringannya termasuk pada daerah terpencil</t>
  </si>
  <si>
    <t>Peningkatan Kesehatan Masyarakat</t>
  </si>
  <si>
    <t>Jumlah fasyankes dan jaringannya yang melayani kesehatan masyarakat perorangan, termasuk posko-posko kesehatan dalam rangka hari raya dan even-even daerah</t>
  </si>
  <si>
    <t>Pembinaan upaya kesehatan dasar masyarakat (Bantuan Operasional Kesehatan (BOK)</t>
  </si>
  <si>
    <t xml:space="preserve">Terlaksananya pelayanan kesehatan pada masyarakat. </t>
  </si>
  <si>
    <t>Pelayanan Kesehatan Rujukan di Sarana Pelayanan Kesehatan</t>
  </si>
  <si>
    <t>Tersedianya Pelayanan Kesehatan Rujukan di sarana Pelayanan Kesehatan</t>
  </si>
  <si>
    <t>Pelayanan Kesehatan pada Pengobatan Tradisional (BATRA)</t>
  </si>
  <si>
    <t>Jumlah penyehat tradisional yang dipantau dalam pelayanan kesehatan</t>
  </si>
  <si>
    <t>Meningkatnya peran serta masyarakat untuk hidup sehat</t>
  </si>
  <si>
    <t>Program Promosi Kesehatan dan pemberdayaan masyarakat</t>
  </si>
  <si>
    <t xml:space="preserve">Persentase Nagari Siaga Aktif </t>
  </si>
  <si>
    <t>Pengembangan media promosi dan informasi sadar hidup sehat (DBH Pajak Rokok TA. 2015)</t>
  </si>
  <si>
    <t>Persentase ketersediaan media promosi</t>
  </si>
  <si>
    <t>Usaha kesehatan institusi dan peran serta masyarakat</t>
  </si>
  <si>
    <t>Jumlah Posyandu Mandiri</t>
  </si>
  <si>
    <t>Pembinaan dan Pembentukan Nagari Siaga</t>
  </si>
  <si>
    <t>- Jumlah Nagari Siaga Aktif yang dibina</t>
  </si>
  <si>
    <t>- Jumlah Sertifikasi Nagari Siaga Aktif mandiri</t>
  </si>
  <si>
    <t>Pengembangan Sistem Informasi Kesehatan Kabupaten</t>
  </si>
  <si>
    <t>terpenuhinya data dan profil kesehatan dan program SIKDA dan komunikasi data kesehatan</t>
  </si>
  <si>
    <t>Meningkatnya kesehatan keluarga</t>
  </si>
  <si>
    <t>Program Perbaikan Gizi Masyarakat</t>
  </si>
  <si>
    <t>Persentase balita gizi buruk yang mendapat perawatan</t>
  </si>
  <si>
    <t>359.590.25</t>
  </si>
  <si>
    <t>pemberian tambahan makanan dan vitamin</t>
  </si>
  <si>
    <t>Persentase pemberian makanan tambahan bagi balita kurang gizi dan ibu hamil Kurang Energi Koronis (KEK)</t>
  </si>
  <si>
    <t>Pemantauan status gizi masyarakat</t>
  </si>
  <si>
    <t>Persentase balita Gizi buruk</t>
  </si>
  <si>
    <t>Pembinaan dan monitoring program gizi masyarakat</t>
  </si>
  <si>
    <t>Jumlah Puskesmas yang dilakukan monev gizi</t>
  </si>
  <si>
    <t>Program Pengembangan Lingkungan Sehat</t>
  </si>
  <si>
    <t>Jumlah Nagari ODF (Open Defication Free)</t>
  </si>
  <si>
    <t>624.048.45</t>
  </si>
  <si>
    <t>Pengkajian pengembangan lingkungan sehat</t>
  </si>
  <si>
    <t>Jumlah pengawasan, pembinaan, Sanitasi dasar, TTU dan TPM</t>
  </si>
  <si>
    <t>Pendamping PAMSIMAS</t>
  </si>
  <si>
    <t>Jumlah Pelatihan Sanitasi Total Berbasis Masyarakat</t>
  </si>
  <si>
    <t>Penunjang Program Percepatan Pembangunan Sanitasi Pemukiman (PPSP)</t>
  </si>
  <si>
    <t>- Jumlah Rumah Sehat yang dipantau dan dibina</t>
  </si>
  <si>
    <t>- Jumlah pertemuan Petugas Sanitasi Limbah Medis Puskesmas</t>
  </si>
  <si>
    <t>Pengelolaan dan pengembangan pemeriksaan sanitasi dasar masyarakat</t>
  </si>
  <si>
    <t>- Jumlah Depot yang diperiksa</t>
  </si>
  <si>
    <t>- Jumlah Pelatihan Hygiene Sanitasi pengelolaan DAM</t>
  </si>
  <si>
    <t>Pelaksanaan Forum Kecamatan dan Kabupaten Sehat dan Kabupaten Sehat</t>
  </si>
  <si>
    <t>Jumlah Forum Kabupaten Sehat dan Kelompok Kerja Nagari yang dibina</t>
  </si>
  <si>
    <t>Pelayanan Kesehatan Kerja</t>
  </si>
  <si>
    <t>Jumlah Kelompok UKK yang dibina</t>
  </si>
  <si>
    <t>Pelayanan Kesehatan Olah Raga</t>
  </si>
  <si>
    <t>Jumlah Pertemuan Kesehatan Olah raga</t>
  </si>
  <si>
    <t>Program Pencegahan dan Penanggulangan Penyakit Menular</t>
  </si>
  <si>
    <t>Succes Rate TB</t>
  </si>
  <si>
    <t>Penyemprotan/fogging sarang nyamuk</t>
  </si>
  <si>
    <t xml:space="preserve">terlaksananya fogging focus </t>
  </si>
  <si>
    <t>Pelayanan pencegahan dan penanggulangan penyakit menular</t>
  </si>
  <si>
    <t xml:space="preserve">tercegah dan tertanggulanginya penyakit menular pada masyarakat </t>
  </si>
  <si>
    <t>Pencegahan penularan penyakit endemik/epidemik</t>
  </si>
  <si>
    <t xml:space="preserve">terlaksananya surveilens aktif dan pengawasan filariasis </t>
  </si>
  <si>
    <t>Peningkatan Imunisasi</t>
  </si>
  <si>
    <t>Peningkatan surveillance epideminologi dan penaggulangan wabah</t>
  </si>
  <si>
    <t xml:space="preserve">surveillans epidemiologi penyakit menular &amp; penanggulangan wabah di masyarakat </t>
  </si>
  <si>
    <t>Pemantauan &amp; Penanggulangan Masalah Kesehatan Akibat Bencana/KLB</t>
  </si>
  <si>
    <t>terpantaunya jumlah kasus penyakit sebelum, saat terjadi KLB/Bencana dan pasca KLB/Bencana</t>
  </si>
  <si>
    <t xml:space="preserve">Sistem Kewaspadaan dini KLB / Wabah / Bencana </t>
  </si>
  <si>
    <t xml:space="preserve">- Persentase Sinyal kewaspadaan dini yang direspon                                 '- Persentase Kelengkapan dan ketepatan laporan W2 SKDR </t>
  </si>
  <si>
    <t>Program Standarisasi Pelayanan Kesehatan</t>
  </si>
  <si>
    <t>Meningkatnya kualitas pelayanan Kesehatan</t>
  </si>
  <si>
    <t>523.019.85</t>
  </si>
  <si>
    <t>Akreditasi, registrasi dan sertifikasi kesehatan</t>
  </si>
  <si>
    <t>meningkatnya kualitas pelayanan kesehatan dan honorarium penunjang pelaksana kegiatan</t>
  </si>
  <si>
    <t>Pembinaan dan Evaluasi Monitoring dr/drg/bidan PTT</t>
  </si>
  <si>
    <t xml:space="preserve">meningkatnya kopetensi tenaga kesehatan </t>
  </si>
  <si>
    <t>Upaya peningkatan kinerja petugas dan institusi kesehatan</t>
  </si>
  <si>
    <t>kualitas kinerja pelayanan kesehatan masyarakat dan administrasi pelayanan kesehatan masyarakat</t>
  </si>
  <si>
    <t>Pengelolaan dan pembinaan tenaga fungsional</t>
  </si>
  <si>
    <t xml:space="preserve">meningkatnya kinerja fungsional tenaga kesehatan di puskesmas </t>
  </si>
  <si>
    <t>Akreditasi, Registrasi dan Sertifikasi Kesehatan (DAK non Fisik) Tahun 2016</t>
  </si>
  <si>
    <t>meningkatnya kualitas pelayanan kesehatan</t>
  </si>
  <si>
    <t>Program pengadaan, peningkatan dan perbaikan sarana dan prasarana puskesmas/ puskesmas pembantu dan jaringannya</t>
  </si>
  <si>
    <t>Persentase Puskesmas dan Pustu yang memiliki sarana prasarana sesuai standar</t>
  </si>
  <si>
    <t>Pengadaaan puskesmas keliling</t>
  </si>
  <si>
    <t>Jumlah Pengadaan Puskesmas keliling</t>
  </si>
  <si>
    <t>Pengadaaan sarana dan prasarana puskesmas (DAK dan Pendamping)</t>
  </si>
  <si>
    <t>Jumlah Puskesmas yang direhab</t>
  </si>
  <si>
    <t>Pemeliharaan rutin/berkala sarana dan prasarana puskesmas</t>
  </si>
  <si>
    <t>Jumlah Pemeliharaan dan rehabilitasi Sarana dan Prasarana Kesehatan</t>
  </si>
  <si>
    <t>Pembangunan sarana dan prasarana puskesmas dan jaringannya (Penunjang DAK)</t>
  </si>
  <si>
    <t>Pembangunan Sarana dan Prasarana Puskesmas dan jaringannya (luncuran)</t>
  </si>
  <si>
    <t>tersedianya sarana dan prasarana pelayanan kesehatan dalam rangka meningkatkan kualitas dan optimalisasi pelkes dan honorarium penunjang pelaksana kegiatan</t>
  </si>
  <si>
    <t>Pengadaan Alat Kesehatan Puskesmas (DAK)</t>
  </si>
  <si>
    <t>terpenuhinya kebutuhan pelayanan kesehatan masyarakat</t>
  </si>
  <si>
    <t>35</t>
  </si>
  <si>
    <t>Pengadaaan Instalasi Pengolahan Air Limbah (DAK)</t>
  </si>
  <si>
    <t>Program kemitraan peningkatan pelayanan kesehatan</t>
  </si>
  <si>
    <t>Persentase penduduk yang memiliki JKN</t>
  </si>
  <si>
    <t>Kemitraan asuransi kesehatan masyarakat</t>
  </si>
  <si>
    <t xml:space="preserve">terciptanya jaminan  pemeliharaan kesehatan masyarakat </t>
  </si>
  <si>
    <t>Pelayanan gratis di puskesmas dan jaringannya</t>
  </si>
  <si>
    <t xml:space="preserve">terjaminnya pemeliharaan kesehatan bagi masyarakat </t>
  </si>
  <si>
    <t>Pelayanan Kesehatan (Kapitasi) Jaminan Kesehatan Nasional (JKN) di Puskesmas</t>
  </si>
  <si>
    <t>Pelayanan Kesehatan (Non Kapitasi) Jaminan Kesehatan Nasional (JKN) di Puskesmas</t>
  </si>
  <si>
    <t>Meningkatnya Kesehatan Keluarga</t>
  </si>
  <si>
    <t>Program peningkatan pelayanan kesehatan lansia</t>
  </si>
  <si>
    <t>Persentase Lansia yang mendapat pelayanan kesehatan</t>
  </si>
  <si>
    <t>Pelayanan pemeliharaan kesehatan</t>
  </si>
  <si>
    <t>Program peningkatan keselamatan ibu melahirkan dan anak</t>
  </si>
  <si>
    <t>Angka Kematian Ibu dan Angka Kematian Bayi</t>
  </si>
  <si>
    <t>Usaha Kesehatan Ibu dan Anak</t>
  </si>
  <si>
    <t>Persentase Pelayanan Kesehatan pada Ibu dan Anak</t>
  </si>
  <si>
    <t>Pelayanan kesehatan anak prasekolah dan usia sekolah (Prasekdam Usek)</t>
  </si>
  <si>
    <t>Jumlah Pelayanan Kesehatan Kelompok Anak Sekolah UKS dan UKGS dan Peduli remaja (PKPR) Kekerasan Terhadap Anak</t>
  </si>
  <si>
    <t>Usaha Kesehatan Ibu dan Anak (Jaminan Persalinan) DAK Non Fisik</t>
  </si>
  <si>
    <t xml:space="preserve">menurunnya angka kematian ibu maternal dan bayi serta anak balita melalui peningkatan upaya kesehatan ibu dan anak </t>
  </si>
  <si>
    <t>33</t>
  </si>
  <si>
    <t>Program Pencegahan dan Penanggulangan Penyakit Tidak Menular</t>
  </si>
  <si>
    <t>Persentase Nagari dengan Posbindu PTM</t>
  </si>
  <si>
    <t>Pengendalian dan Pencegahan Penyakit Tidak Menular (PTM) (DBH Pajak Rokok TA. 2015)</t>
  </si>
  <si>
    <t>Jumlah pencegahan dan pengendalian Penyakit tidak menular</t>
  </si>
  <si>
    <t>Pemantauan dan Penanggulangan Masalah Kesehatan Matra</t>
  </si>
  <si>
    <t>Jumlah Puskesmas yang melaksanakan pelayanan kesehatan Matra</t>
  </si>
  <si>
    <t>Deteksi Dini dan Pengendalian Penyakit akibat Rokok (DBH Pajak Rokok)</t>
  </si>
  <si>
    <t>Terlaksananya deteksi dini dan Pengendalian akibat Rokok (DBH Pajak Rokok)</t>
  </si>
  <si>
    <t>Pelayanan Kesehatan Orang Dengan Gangguan Jiwa (ODGJ) Berat</t>
  </si>
  <si>
    <t>Jumlah ODGJ yang dilayani</t>
  </si>
  <si>
    <t>Program Peningkatan Sarana pelayanan Kesehatan Rumah Sakit</t>
  </si>
  <si>
    <t>Persentase Rujukan dari Pelayanan Primer ke Pelayanan Sekunder</t>
  </si>
  <si>
    <t>Biaya operasional RSU Pratama Tapan</t>
  </si>
  <si>
    <t>Rata-rata capaian kinerja (%)</t>
  </si>
  <si>
    <t>DISPARPORA</t>
  </si>
  <si>
    <t>Meningkatnya Pelayanan Kepegawaian</t>
  </si>
  <si>
    <t>Penyediaan Jasa Surat Menyurat</t>
  </si>
  <si>
    <t>Tersedianya jasa surat menyurat kantor (%)</t>
  </si>
  <si>
    <t>156,38</t>
  </si>
  <si>
    <t>Tersedianya pembayaran/honorarium tenaga administrasi keuangan   (%)</t>
  </si>
  <si>
    <t>191,89</t>
  </si>
  <si>
    <t>198,61</t>
  </si>
  <si>
    <t>Tersedianya jasa perbaikan peralatan kerja (%)</t>
  </si>
  <si>
    <t>199,77</t>
  </si>
  <si>
    <t>Tersedianya alat tulis kantor untuk operasional  (%)</t>
  </si>
  <si>
    <t>Tersedianya barang cetakan dan penggadaan pada  (%)</t>
  </si>
  <si>
    <t>Tersedianya komponen instalasi listrik bangunan kantor  (%)</t>
  </si>
  <si>
    <t>Tersedianya makanan dan minuman pada   (%)</t>
  </si>
  <si>
    <t>Terpeliharanya secara rutin/berkala Gedung Kantor (%)</t>
  </si>
  <si>
    <t>Pembangunan Tempat Parkir</t>
  </si>
  <si>
    <t>Terlaksananya Pembangunan Tempat Parkir (%)</t>
  </si>
  <si>
    <t>Meningkatnya Jumlah Wisatawan</t>
  </si>
  <si>
    <t>PROG. PENGEMBANGAN DESTINASI PARIWISATA</t>
  </si>
  <si>
    <t>Persentase Kunjungan Wisatawan</t>
  </si>
  <si>
    <t>Pemeliharaan rutin/berkala kawasan Objek wisata</t>
  </si>
  <si>
    <t>jumlah objek wisata yg dipelihara (%)</t>
  </si>
  <si>
    <t>Pengawasan dan Monitoring Obyek Wisata Se Kabupaten Pesisir Selatan</t>
  </si>
  <si>
    <t>% pengawasan dan monitoring objek wisata yang di laksanakan</t>
  </si>
  <si>
    <t>Pelaksanaan Pengelolaan Objek Wisata Pantai Carocok Painan</t>
  </si>
  <si>
    <t>% objek wisata pantai carocok yang terkelola</t>
  </si>
  <si>
    <t>Pembangunan Sarana dan prasarana obyek wisata (DAK)</t>
  </si>
  <si>
    <t>Sarana dan Prasarana Objek wisata (%)</t>
  </si>
  <si>
    <t>Pelaksanaan Pengelolaan Objek Wisata Mandeh</t>
  </si>
  <si>
    <t>% objek wisata Mandeh yang terkelola</t>
  </si>
  <si>
    <t>Pembuatan Perencanaan (DED dan RAB Obyek Wisata)</t>
  </si>
  <si>
    <t>Jumlah pembuatan DED dan RAB yang di buat setiap tahunnya (%)</t>
  </si>
  <si>
    <t>Program Pengembangan Pemasaran Pariwisata</t>
  </si>
  <si>
    <t>Berkembangnya pemasaran pariwisata</t>
  </si>
  <si>
    <t>Pelaksanaan Tour De Singkarak</t>
  </si>
  <si>
    <t>Terlaksananya Tour de singkarak (kali)</t>
  </si>
  <si>
    <t>Pelaksanaan Promosi Pariwisata</t>
  </si>
  <si>
    <t>Jenis promosi pariwisata yang dilakukan (%)</t>
  </si>
  <si>
    <t>Pembuatan Pusat Informasi Pariwisata</t>
  </si>
  <si>
    <t>% Jumlah Pusat informasi di kawasan mandeh</t>
  </si>
  <si>
    <t>Festifal pesona mandeh</t>
  </si>
  <si>
    <t>Terlaksananya festival mandeh (kali)</t>
  </si>
  <si>
    <t>Program Pengembangan Kemitraan</t>
  </si>
  <si>
    <t>Meningkatnya SDM pelaku wisata</t>
  </si>
  <si>
    <t>Pelaksanaan Famtrip</t>
  </si>
  <si>
    <t>Jumlah pelaksanaan famtrip yang dilaksanakan (%)</t>
  </si>
  <si>
    <t>Pelatihan dan sertifikasi pelaku wisata</t>
  </si>
  <si>
    <t>Jumlah Pelatihan dan sertifikasi pelaku wisata (kali)</t>
  </si>
  <si>
    <t>Program Pengembangan Ekonomi Kreatif</t>
  </si>
  <si>
    <t>Meningkatnya Pelaku ekonomi kreatif yang aktif</t>
  </si>
  <si>
    <t>Pemilihan Uda dan Uni Duta Wisata 2017</t>
  </si>
  <si>
    <t>Jumlah Uda-uni yang dipilih (%)</t>
  </si>
  <si>
    <t>Pembinaan Uda Uni Kab. Pessel</t>
  </si>
  <si>
    <t>Jumlah Pembinaan yang di laksanakan (%)</t>
  </si>
  <si>
    <t>Aktifasi Ekonomi Kreatif</t>
  </si>
  <si>
    <t>Jumlah aktivasi kelompok ekonomi kreatif (%)</t>
  </si>
  <si>
    <t>Pendataan dan Pembinaan Ekonomi Kreatif</t>
  </si>
  <si>
    <t>Jumlah pelaku ekonomi kreatif yang di data dan mendapat pembinaan (%)</t>
  </si>
  <si>
    <t>Partisipasi Ekonomi Kreatif</t>
  </si>
  <si>
    <t>Jumlah pelaku ekonomi kreatif yang berpartisipasi dalam iven-iven (%)</t>
  </si>
  <si>
    <t>Meningkatnya Organisasi Pemuda Tk. Kab. yang aktif</t>
  </si>
  <si>
    <t>Program Peningkatan Peran Serta Kepemudaan</t>
  </si>
  <si>
    <t>Persentase organisasi kepemudaan yang aktif</t>
  </si>
  <si>
    <t xml:space="preserve">Peringatan hari-hari Besar Nasional </t>
  </si>
  <si>
    <t>Terlaksananya peringatan hari-hari besar nasional (kali)</t>
  </si>
  <si>
    <t>Sosialisasi Bahaya Narkoba bagi Generasi Muda</t>
  </si>
  <si>
    <t>Terlaksannya Sosialisasi bahaya narkoba bagi generasi muda (%)</t>
  </si>
  <si>
    <t>Penyeleksian dan Pengiriman Anggota Paskibraka tingkat Provinsi dan Nasional</t>
  </si>
  <si>
    <t>Jumlah anggota paskibraka yang di seleksi ke tingkat provinsi dan Nasional (%)</t>
  </si>
  <si>
    <t>Penyeleksian Jambore Pemuda Indonesia (JPI)</t>
  </si>
  <si>
    <t>Jumlah anggota JPI yang diseleksi (%)</t>
  </si>
  <si>
    <t>Peringatan Sumpah Pemuda</t>
  </si>
  <si>
    <t>Terlaksananya peringatan sumpah pemuda (kali)</t>
  </si>
  <si>
    <t>Meningkatnya jumlah atlit berprestasi Tk. Prop dan Nasional</t>
  </si>
  <si>
    <t>Program pembinaan dan pemasyarakatan olahraga</t>
  </si>
  <si>
    <t xml:space="preserve">Terlaksananya kegiatan olahraga massal tingkat kabupaten </t>
  </si>
  <si>
    <t>Penyelenggaraan Open Tournamen Volly pantai Tingkat Nasional</t>
  </si>
  <si>
    <t>Terlaksananya open tournamen Volly pantai tingkat Nasional (kali)</t>
  </si>
  <si>
    <t>Penyelenggaraan Paralayang Internasional</t>
  </si>
  <si>
    <t>Terlaksananya paralayang internasional (kali)</t>
  </si>
  <si>
    <t>Olah Raga Massal (  Car Free Day )</t>
  </si>
  <si>
    <t>Jumlah olahraga massal yang dilaksankan (%)</t>
  </si>
  <si>
    <t>Aktivasi dan Bantuan Untuk club-club Olahraga</t>
  </si>
  <si>
    <t>Jumlah aktivasi dan bantuan untuk club-club olahraga yang dilakukan (%)</t>
  </si>
  <si>
    <t>6Club Olahrga</t>
  </si>
  <si>
    <t>Program pembinaan olahraga berprestasi</t>
  </si>
  <si>
    <t>Terlaksannya Pembinaan Olahraga Berprestasi</t>
  </si>
  <si>
    <t>Pengiriman atlit dan pemuda berprestasi</t>
  </si>
  <si>
    <t>Jumlah atlit dan pemuda berprestasi yang dikirim (%)</t>
  </si>
  <si>
    <t>Rata-rata Capaian Kinerja</t>
  </si>
  <si>
    <t>REALISASI ANGGARAN SELURUH PROGRAM</t>
  </si>
  <si>
    <t>TOTAL RATA-RATA CAPAIAN KINERJA DAN ANGGARAN DARI SELURUH PROGRAM</t>
  </si>
  <si>
    <t>Meningkatkan Akuntabilitas Kinerja Instansi Pemerintah</t>
  </si>
  <si>
    <t>Persentase Peningkatan Pelayanan Administrasi Perkantoran</t>
  </si>
  <si>
    <t>Jumlah tagihan pengiriman surat menyurat</t>
  </si>
  <si>
    <t>Bagian Umum</t>
  </si>
  <si>
    <t>Jumlah tagihan rekening listrik dan air</t>
  </si>
  <si>
    <t>Jumlah peralatan dan perlengkapan kantor yang disewa</t>
  </si>
  <si>
    <t>Bagian Keuangan</t>
  </si>
  <si>
    <t>Jumlah biaya honorarium tenaga kebersihan yang dibayarkan</t>
  </si>
  <si>
    <t>Jumlah peralatan kerja yang diperbaiki</t>
  </si>
  <si>
    <t>Penyediaan Komponen Instalasi Listrik / Penerangan Bangunan Kantor</t>
  </si>
  <si>
    <t>Jumlah komponen instalasi listrik/penerangan bangunan</t>
  </si>
  <si>
    <t>Jumlah peralatan dan perlengkapan kantor yang disediakan</t>
  </si>
  <si>
    <t>Jumlah Koordinasi dan Konsultasi ke luar daerah yang diikuti</t>
  </si>
  <si>
    <t>Jumlah Koordinasi dan Konsultasi ke dalam daerah yang diikuti</t>
  </si>
  <si>
    <t xml:space="preserve">Penunjang Operasional Perencanaan dan Pelaporan </t>
  </si>
  <si>
    <t>Jumlah Dokumen Perencanaan dan Pelaporan Sekretariat Daerah</t>
  </si>
  <si>
    <t>Penyediaan  Jasa Tenaga Kerja Non PNS</t>
  </si>
  <si>
    <t xml:space="preserve">Jumlah tenaga kerja kontrak yang dibayarkan </t>
  </si>
  <si>
    <t>Penyusunan dan Finalisasi Laporan Keuangan</t>
  </si>
  <si>
    <t>Jumlah Laporan Keuangan yang disusun</t>
  </si>
  <si>
    <t xml:space="preserve">Rapat-rapat Koordinasi dan Konsultasi ke Luar Provinsi </t>
  </si>
  <si>
    <t>Jumlah Koordinasi dan Konsultasi ke Luar Provinsi yang diikuti</t>
  </si>
  <si>
    <t>RATA-RATA CAPAIAN KINERJA (%)</t>
  </si>
  <si>
    <t>PREDIKET KINERJA</t>
  </si>
  <si>
    <t>SR</t>
  </si>
  <si>
    <t>Persentase Peningkatan Sarana dan Prasarana Aparatur</t>
  </si>
  <si>
    <t>Jumlah kendaraan dinas roda 2</t>
  </si>
  <si>
    <t>Pengadaan Perlengkapan Rumah Jabatan/Dinas</t>
  </si>
  <si>
    <t>Jumlah Pengadaan Perlengkapan Rumah Jabatan/Dinas</t>
  </si>
  <si>
    <t>Pengadaan Peralatan Rumah Jabatan/ Dinas</t>
  </si>
  <si>
    <t>Jumlah Pengadaan Peralatan Rumah Jabatan/Dinas</t>
  </si>
  <si>
    <t>Pengadaan Meubileur</t>
  </si>
  <si>
    <t xml:space="preserve">Jumlah Pengadaan Meubiler </t>
  </si>
  <si>
    <t>Pemeliharaan Rutin/Berkala Peralatan Rumah Dinas/Jabatan</t>
  </si>
  <si>
    <t>Jumlah Pemeliharaan Peralatan Rumah Dinas/Jabatan</t>
  </si>
  <si>
    <t>Pemeliharaan Rutin/Berkala Rumah Jabatan</t>
  </si>
  <si>
    <t>Jumlah pemeliharaan Rumah Jabatan</t>
  </si>
  <si>
    <t xml:space="preserve">Jumlah pemeliharaan rumah dinas </t>
  </si>
  <si>
    <t>Pemeliharaan Rutin/ Berkala Gedung Kantor</t>
  </si>
  <si>
    <t>Pemeliharaan Rutin/berkala Mobil Jabatan</t>
  </si>
  <si>
    <t>Jumlah pemeliharaan mobil jabatan</t>
  </si>
  <si>
    <t>Pemeliharaan Rutin/ Berkala Kendaraan Dinas/Operasional</t>
  </si>
  <si>
    <t>Jumlah pemeliharaan kendaraan dinas/operasional</t>
  </si>
  <si>
    <t>Pemeliharaan Rutin/Berkala Perlengkapan Rumah Jabatan/Dinas</t>
  </si>
  <si>
    <t>Jumlah pemeliharaan perlengkapan Rumah Jabatan/Dinas</t>
  </si>
  <si>
    <t>Pemeliharaan Rutin/ Berkala Meubileur</t>
  </si>
  <si>
    <t>Jumlah Pemeliharaan Meubeliur</t>
  </si>
  <si>
    <t>Meningkatkan Pembinaan Keagamaan dan Sosial Kemasyarakatan</t>
  </si>
  <si>
    <t>4</t>
  </si>
  <si>
    <t>Persentase Guru MDQ,TPQ/TPSQ sesuai dengan Kriteria</t>
  </si>
  <si>
    <t>Monitoring dan Evaluasi Unit Kesehatan Sekolah (UKS)</t>
  </si>
  <si>
    <t>Jumlah sekolah yang dibina</t>
  </si>
  <si>
    <t>Bagian Kesra</t>
  </si>
  <si>
    <t>Standarisasi MDTA, TPQ/TPSQ</t>
  </si>
  <si>
    <t>Jumlah sosialisasi Standarisasi MDQ TPQ/TPSQ yang dilaksanakan</t>
  </si>
  <si>
    <t>T</t>
  </si>
  <si>
    <t>R</t>
  </si>
  <si>
    <t>Meningkatkan Peran Serta Pemerintah dalam Menangani Konflik di Masyarakat</t>
  </si>
  <si>
    <t>Program Peningkatan Keamanan dan Kenyamanan Lingkungan</t>
  </si>
  <si>
    <t>Jumlah Kasus yang ditangani atau di Fasilitasi</t>
  </si>
  <si>
    <t>Peningkatan Pengawasan Aliran Kepercayaan Masyarakat Kab.Pessel</t>
  </si>
  <si>
    <t>Jumlah aliran kepercayaan yang diawasi</t>
  </si>
  <si>
    <t>Bagian Kesbangpol</t>
  </si>
  <si>
    <t>Operasionalisasi Tim Terpadu Penanganan Konflik Sosial</t>
  </si>
  <si>
    <t>Jumlah konflik sosial yang difasilitasi</t>
  </si>
  <si>
    <t>Program Pemeliharaan Kantrantibmas dan Pencegahan Tindak Kriminal</t>
  </si>
  <si>
    <t>Jumlah Rekomendasi kebijakan pencegahan gangguan keamanan Nasional di Daerah</t>
  </si>
  <si>
    <t>Persentase Penurunan Pungli di Kabupaten Pesisir Selatan</t>
  </si>
  <si>
    <t>Komunitas Intelligen Daerah</t>
  </si>
  <si>
    <t xml:space="preserve">Jumlah Rekomendasi </t>
  </si>
  <si>
    <t>Operasionalisasi Unit Bantuan Tugas Sapu Bersih Pemberantasan Pungutan Liar Tingkat Kabupaten Pesisir Selatan</t>
  </si>
  <si>
    <t>Jumlah kasus pungutan liar yang ditangani</t>
  </si>
  <si>
    <t>Program Pengembangan Wawasan Kebangsaan</t>
  </si>
  <si>
    <t>Persentase Kehadiran Stakeholders dalam mengikuti Sidang Paripurna DPRD dalam Rangka memperingati Hari Jadi Kabupaten Pesisir Selatan</t>
  </si>
  <si>
    <t>Persentase Peserta yang memahami pengetahuan wawasan kebangsaan dan kesadaran bela negara</t>
  </si>
  <si>
    <t>Pelaksanaan Upacara Kesadaran Nasional dan Hari Besar Lainnya</t>
  </si>
  <si>
    <t>Jumlah pelaksanaan upacara hari kesadaran nasional dan hari besar lainnya</t>
  </si>
  <si>
    <t>Pelaporan RANHAM</t>
  </si>
  <si>
    <t>Jumlah Laporan RanHam</t>
  </si>
  <si>
    <t>Bagian Hukum</t>
  </si>
  <si>
    <t>Peningkatan Kesadaran Bela Negara</t>
  </si>
  <si>
    <t>Jumlah Sosialisasi dan pelatihan wawasan kebangsaan dan peningkatan kesadaran bela negara yang dilaksanakan</t>
  </si>
  <si>
    <t>Peringatan Hari Jadi Pesisir Selatan</t>
  </si>
  <si>
    <t>Jumlah undangan yang hadir</t>
  </si>
  <si>
    <t>Bagian Pemerintahan dan Otda</t>
  </si>
  <si>
    <t>Jumlah sidang paripurna</t>
  </si>
  <si>
    <t>Program Pemberdayaan Masyarakat Untuk Menjaga Ketertiban dan Keamanan</t>
  </si>
  <si>
    <t>Jumlah Rekomendasi kebijakan untuk pencegahan dan penanggulangan potensi konflik dimasyarakat</t>
  </si>
  <si>
    <t>Forum Kewaspadaan Dini Masyarakat</t>
  </si>
  <si>
    <t>Jumlah Rapat Koordinasi Forum Kewaspadaan dini masyarakat</t>
  </si>
  <si>
    <t>Meningkatkan Jumlah Struktur Sosial Dalam Rangka Mencegah Penyalahgunaan Narkoba dan Obat-Obat Terlarang</t>
  </si>
  <si>
    <t>Program Peningkatan Pemberantasan Penyakit Masyarakat (Pekat)</t>
  </si>
  <si>
    <t>Persentase penurunan kasus narkoba tingkat pelajar</t>
  </si>
  <si>
    <t>Fasilitasi Pencegahan Penyalahgunaan Narkotika</t>
  </si>
  <si>
    <t>Jumlah sosialisasi pencegahan penyalahgunaan narkotika</t>
  </si>
  <si>
    <t>Program Pendidikan Politik  Masyarakat</t>
  </si>
  <si>
    <t>Persentase Jumlah Ormas /LSM yang memenuhi syarat administrasi yang lengkap</t>
  </si>
  <si>
    <t>Monitoring Evaluasi Keberadaan Ormas/LSM sesuai dengan Undang-Undang Keormasan</t>
  </si>
  <si>
    <t>Jumlah Ormas yang mendapat pembinaan</t>
  </si>
  <si>
    <t>Meneliti dan Memeriksa Persyaratan Administrasi Bantuan Keuangan Kepada Partai</t>
  </si>
  <si>
    <t>Jumlah Parpol yang mengajukan bantuan keuangan yang diverifikasi</t>
  </si>
  <si>
    <t>Meningkatkan Fasilitasi dan Koordinasi Penyelenggaraan Kegiatan Pemerintah Daerah Kabupaten Pesisir Selatan</t>
  </si>
  <si>
    <t>Program Pelayanan dan Rehabilitasi Kesejahteraan Sosial</t>
  </si>
  <si>
    <t>Persentase Pelayanan dan Rehabilitasi Kesejahteraan Sosial</t>
  </si>
  <si>
    <t>Pengawasan Pupuk Bersubsidi dan Peptisida</t>
  </si>
  <si>
    <t>Jumlah kios pupuk bersubsidi dan pestisida yang diawasi</t>
  </si>
  <si>
    <t>Bagian Perekonomian</t>
  </si>
  <si>
    <t>Monitoring, Evaluasi, Pelaporan dan Koordinasi LPG 3 Kg/Gas dan BBM</t>
  </si>
  <si>
    <t>Jumlah pangkalan LPJ 3 Kg/Gas dan BBM yang dimonev</t>
  </si>
  <si>
    <t>Meningkatkan Fasilitasi Pelaksanaan Kegiatan Keagamaan</t>
  </si>
  <si>
    <t>Program Pemberdayaan Kelembagaan Kesejahteraan Sosial</t>
  </si>
  <si>
    <t>Persentase Pemberdayaan Kelembagaan Kesejahteraan Sosial</t>
  </si>
  <si>
    <t>Tim Silaturahmi Pemda</t>
  </si>
  <si>
    <t>Jumlah Masjid yang dikunjungi</t>
  </si>
  <si>
    <t>Persiapan dan Penyelenggaraan MTQ</t>
  </si>
  <si>
    <t>Jumlah Cabang yang diikuti</t>
  </si>
  <si>
    <t>Fasilitasi Penyelenggaraan Ibadah Haji</t>
  </si>
  <si>
    <t>Jumlah Jamaah Haji yang difasilitasi</t>
  </si>
  <si>
    <t>Pembinaan Lembaga Didikan Subuh</t>
  </si>
  <si>
    <t>Pengembangan Adat Basandi Syarak, Syarak Basandi Basandi Kitabullah (ABS-SBK)</t>
  </si>
  <si>
    <t>Jumlah KAN yang dibina</t>
  </si>
  <si>
    <t>Koordinasi dan Konsultasi Kesejahteraan Rakyat dan Urusan Keagamaan</t>
  </si>
  <si>
    <t>Jumlah Rapat Koordinasi yang dilaksanakan</t>
  </si>
  <si>
    <t>Pengelolaan Pemberian Hibah Bansos</t>
  </si>
  <si>
    <t>Jumlah Proposal yang difasilitasi</t>
  </si>
  <si>
    <t>Pembinaan Pondok Pesantren, MDTA, dan Pondok Alquran</t>
  </si>
  <si>
    <t>Jumlah Pondok Pesantren, MDTA, dan Pondok Alquran yang dibina</t>
  </si>
  <si>
    <t>Program Kerjasama Informasi dengan  Media Massa</t>
  </si>
  <si>
    <t>Jumlah kerjasama dengan Media Massa dalam penyebaran informasi daerah yang diatur dalam perundang-undangan yang berlaku</t>
  </si>
  <si>
    <t>Penyebarluasan Informasi Pembangunan Daerah</t>
  </si>
  <si>
    <t>Jumlah kerja sama dengan Media Massa</t>
  </si>
  <si>
    <t>Bagian Humas dan Protokoler</t>
  </si>
  <si>
    <t xml:space="preserve">Dokumentasi Kegiatan Pemerintah Daerah </t>
  </si>
  <si>
    <t>Jumlah dokumen kegiatan pemerintah daerah</t>
  </si>
  <si>
    <t>Jumlah publikasi dan promosi daerah</t>
  </si>
  <si>
    <t>Bintek Kapasitas Kewartawanan dan Pers/Studi Banding</t>
  </si>
  <si>
    <t>Jumlah Peserta Bintek Kewartawanan dan Pers</t>
  </si>
  <si>
    <t>Peringkat Pemuda  Pelopor Tingkat Provinsi</t>
  </si>
  <si>
    <t>Program Pembinaan dan Pemasyarakatan Olahraga</t>
  </si>
  <si>
    <t>Persentase PNS Yang Mengikuti Olah Raga</t>
  </si>
  <si>
    <t>Pemasyarakatan Olahraga Aparatur</t>
  </si>
  <si>
    <t>Jumlah kegiatan olahraga aparatur yang dilaksanakan</t>
  </si>
  <si>
    <t>Program Penyelamatan dan Pelestarian Dokumen/Arsip Daerah</t>
  </si>
  <si>
    <t>Persentase Arsip Sekretariat Daerah yang terkelola dengan baik</t>
  </si>
  <si>
    <t>Pendataan dan Penataan Dokumen/Arsip Daerah</t>
  </si>
  <si>
    <t>Jumlah arsip Lingkup Setda yang ditata</t>
  </si>
  <si>
    <t>Program Peningkatan Efisensi Perdagangan Dalam Negeri</t>
  </si>
  <si>
    <t>Jumlah rekomendasi untuk pengendalian harga dan inflasi daerah</t>
  </si>
  <si>
    <t>62</t>
  </si>
  <si>
    <t>Monitoring dan Evaluasi Penyaluran Kredit Usaha Rakyat (KUR)</t>
  </si>
  <si>
    <t>Jumlah Penerima KUR yang dimonitoring dan dievaluasi</t>
  </si>
  <si>
    <t>Program Peningkatan Sistem Pengawasan Internal dan Pengendalian Pelaksanaan Kebijakan KDH</t>
  </si>
  <si>
    <t>Persentase penyampaian perkembangan fisik dan keuangan OPD sesuai target dan tepat waktu</t>
  </si>
  <si>
    <t>Optimalisasi Fungsi Koordinasi Bidang Ekonomi, Pembangunan dan Kesra</t>
  </si>
  <si>
    <t>Jumlah Koordinasi Asisten Bidang Perekonomian dan Pembangunan</t>
  </si>
  <si>
    <t>Asisten II</t>
  </si>
  <si>
    <t>Pengendalian Program Pembangunan Daerah</t>
  </si>
  <si>
    <t>Jumlah rapat evaluasi dan monitoring program pembangunan daerah yang dilaksanakan</t>
  </si>
  <si>
    <t>Bagian Pembangunan dan Insfrastruktur</t>
  </si>
  <si>
    <t>Pemantapan dan Optimalisasi Fungsi Staf Ahli Bupati</t>
  </si>
  <si>
    <t>Jumlah Rekomendasi Staf Ahli Bupati</t>
  </si>
  <si>
    <t>Staf Ahli</t>
  </si>
  <si>
    <t xml:space="preserve">Optimalisasi Fungsi Koordinasi Bidang Umum, Organisasi dan Keuangan </t>
  </si>
  <si>
    <t>Jumlah Koordinasi Asisten Bidang Administrasi Umum</t>
  </si>
  <si>
    <t>Asisten III</t>
  </si>
  <si>
    <t>Optimalisasi Fungsi Koordinasi Bidang Pemerintahan, Politik dan Hukum</t>
  </si>
  <si>
    <t>Jumlah Koordinasi Asisten Bidang Pemerintahan dan Kesejahteraan Rakyat</t>
  </si>
  <si>
    <t>Asisten I</t>
  </si>
  <si>
    <t>Meningkatkan Kualitas Pelayanan Publik</t>
  </si>
  <si>
    <t xml:space="preserve">Program Penataan dan Penyempurnaan Kebijakan Sistem dan Prosedur Pengawasan </t>
  </si>
  <si>
    <t xml:space="preserve">Persentase pelelangan yang sesuai dengan aturan yang berlaku            </t>
  </si>
  <si>
    <t>Persentase pengadaan barang/jasa yang dilaksanakan melalui SPSE</t>
  </si>
  <si>
    <t>Evaluasi, Pelaporan dan Pengelolaan Dokumen Pengadaan Barang dan Jasa</t>
  </si>
  <si>
    <t>Jumlah dokumen evaluasi, pelaporan dan pengelolaan pengadaan barang dan jasa</t>
  </si>
  <si>
    <t>Bagian Pengadaan Barang dan Jasa</t>
  </si>
  <si>
    <t>Pembinaan dan Pengawasan Jasa Kontruksi</t>
  </si>
  <si>
    <t>Jumlah Pembinaan dan Pengawasan Jasa Konstruksi yang dilaksanakan</t>
  </si>
  <si>
    <t>Bagian Pembangunan</t>
  </si>
  <si>
    <t>Pelayanan Pengadaan Secara Elektronik</t>
  </si>
  <si>
    <t>Jumlah badan/lembaga yang difasilitasi dalam pelayanan pengadaan barang dan jasa secara elektronik</t>
  </si>
  <si>
    <t>Fasilitasi Lelang dan Klarifikasi PBJ</t>
  </si>
  <si>
    <t>Jumlah Fasilitasi dan Klarifikasi Lelang</t>
  </si>
  <si>
    <t>Penyusunan Standar Dokumen Pengadaan Barang / Jasa Daerah</t>
  </si>
  <si>
    <t>Jumlah Standar Dokumen Pengadaan Barang dan Jasa</t>
  </si>
  <si>
    <t xml:space="preserve">Pembinaan dan Konsultasi Pengadaan Barang dan Jasa </t>
  </si>
  <si>
    <t>Jumlah Peserta pelatihan Pengadaan Barang dan Jasa</t>
  </si>
  <si>
    <t>Pengembangan Standar Operasional Prosedur Pengadaan Barang dan Jasa</t>
  </si>
  <si>
    <t>Jumlah Dokumen Standar Operasional Prosedur Barang dan Jasa</t>
  </si>
  <si>
    <t>Program Perencanaan Pembangunan Ekonomi</t>
  </si>
  <si>
    <t>Persentase Peningkatan Ekonomi Pesisir Selatan</t>
  </si>
  <si>
    <t>Pameran Apkasi dan Sumbar Expo</t>
  </si>
  <si>
    <t>Jumlah Pameran yang diikuti</t>
  </si>
  <si>
    <t>Koordinasi Peningkatan Ekonomi Pesisir Selatan</t>
  </si>
  <si>
    <t>Jumlah rapat koordinasi peningkatan ekonomi Pesisir Selatan</t>
  </si>
  <si>
    <t>Program Peningkatan dan Pengembangan Pengelolaan Keuangan Daerah</t>
  </si>
  <si>
    <t>Persentase Aset Setda yang terkelola dalam kondisi baik</t>
  </si>
  <si>
    <t xml:space="preserve">Peningkatan Manajemen Aset/Barang Daerah </t>
  </si>
  <si>
    <t xml:space="preserve">Jumlah Dokumen Aset/barang daerah lingkup Setda </t>
  </si>
  <si>
    <t>Penyusunan Harga Satuan Pokok Kegiatan</t>
  </si>
  <si>
    <t>Jumlah dokumen HSPK yang disusun</t>
  </si>
  <si>
    <t>Pelaporan Pelaksanaan Kegiatan Pembangunan Daerah</t>
  </si>
  <si>
    <t>Jumlah dokumen laporan  Pelaksanaan Kegiatan Pembangunan Daerah</t>
  </si>
  <si>
    <t>Penyusunan Prosedur Kegiatan</t>
  </si>
  <si>
    <t>Jumlah dokumen prosedur kegiatan  yang disusun</t>
  </si>
  <si>
    <t>S</t>
  </si>
  <si>
    <t>Pemeringkatan kompetensi camat</t>
  </si>
  <si>
    <t>Pengelolaan Administrasi Kepegawaian</t>
  </si>
  <si>
    <t>Persentase pengelolaan administrasi kepegawaian yang difasilitasi</t>
  </si>
  <si>
    <t>Bagian Organisasi</t>
  </si>
  <si>
    <t>Peningkatan Etos Kerja Keprotokolan</t>
  </si>
  <si>
    <t xml:space="preserve">Jumlah pelaksanaan Keprotokolan </t>
  </si>
  <si>
    <t>Bagian Humas</t>
  </si>
  <si>
    <t>Program Peningkatan Pelayanan Kedinasan Kepala Daerah / Wakil Kepala Daerah</t>
  </si>
  <si>
    <t xml:space="preserve">Jumlah pelaksanaan keprotokoleran pemerintah daerah </t>
  </si>
  <si>
    <t>Penerimaan Kunjungan Kerja Pejabat Negara/Departemen/Lembaga Pemerintah Non Departemen/Luar Negeri</t>
  </si>
  <si>
    <t>Jumlah Kunjungan Kerja Pejabat Negara yang difasilitasi</t>
  </si>
  <si>
    <t>Program Penataan Peraturan Perundang-undangan</t>
  </si>
  <si>
    <t xml:space="preserve">Persentase Rancangan Produk hukum yang difasilitasi </t>
  </si>
  <si>
    <t>Persentase Produk Hukum yang di Publikasi</t>
  </si>
  <si>
    <t>Penyusunan Peraturan Bupati</t>
  </si>
  <si>
    <t>Jumlah Peraturan Bupati yang difasilitasi</t>
  </si>
  <si>
    <t>Pembentukan Peraturan Daerah</t>
  </si>
  <si>
    <t>Fasilitasi Pembentukan Peraturan Daerah</t>
  </si>
  <si>
    <t>Pembuatan Buku Lembaran Daerah dan SJDI Hukum</t>
  </si>
  <si>
    <t>Jumlah Buku SJDI yang Disusun</t>
  </si>
  <si>
    <t>Validasi, Evaluasi dan Klarifikasi Keputusan Bupati dan Produk Hukum Pemerintah Nagari</t>
  </si>
  <si>
    <t>Jumlah Produk Hukum Nagari  yang Dievaluasi</t>
  </si>
  <si>
    <t>Program Penataan Kelembagaan dan Ketatausahaan Pemda</t>
  </si>
  <si>
    <t>Persentase penataan kelembagaan dan ketatausahaan Pemda</t>
  </si>
  <si>
    <t>Evaluasi Jabatan SKPD</t>
  </si>
  <si>
    <t>Jumlah Perangkat daerah yang di evaluasi jabatan</t>
  </si>
  <si>
    <t>Koordinasi Pembangunan Daerah Kabupaten Pesisir Selatan</t>
  </si>
  <si>
    <t>Jumlah rapat koordinasi Pembangunan Daerah Kabupaten Pesisir Selatan</t>
  </si>
  <si>
    <t>Penyusunan Peraturan Daerah tentang OPD dan Peraturan Bupati tentang Jabatan Struktural</t>
  </si>
  <si>
    <t>Jumlah Ranperda dan ranperbup  tentang jabatan struktural</t>
  </si>
  <si>
    <t>Forum Pengendalian Harga dan Inflasi Daerah</t>
  </si>
  <si>
    <t>Jumlah Rapat TPID yang dilaksanakan</t>
  </si>
  <si>
    <t>Program Pelayanan Administrasi (KDH)</t>
  </si>
  <si>
    <t>Persentase Terpenuhinya pelayanan Administrasi perkantoran Kepala Daerah</t>
  </si>
  <si>
    <t xml:space="preserve">Penyediaan Komponen Instalasi Listrik/Penerangan Bangunan Rumah Dinas </t>
  </si>
  <si>
    <t xml:space="preserve">Jumlah komponen instalasi listrik penerangan bangunan </t>
  </si>
  <si>
    <t>Jumlah Koordinasi dan Konsultasi yang diikuti luar daerah</t>
  </si>
  <si>
    <t>Program Peningkatan Disiplin Aparatur (KDH)</t>
  </si>
  <si>
    <t>Persentase Peningkatan Disiplin Aparatur</t>
  </si>
  <si>
    <t xml:space="preserve">Pengadaan Pakaian Dinas Beserta Perlengkapan </t>
  </si>
  <si>
    <t>Jumlah pakaian dinas beserta perlengkapan</t>
  </si>
  <si>
    <t>Program Advokasi Pemerintah Daerah</t>
  </si>
  <si>
    <t>Persentase Sangketa  hukum yang difasilitasi</t>
  </si>
  <si>
    <t>Penyelesaian Sengketa Hukum</t>
  </si>
  <si>
    <t>Jumlah perkara hukum yang diselesaikan</t>
  </si>
  <si>
    <t>Program Pemantapan Otonomi Daerah</t>
  </si>
  <si>
    <t>Persentase tahapan penegasan batas wilayah administrasi pemerintahan</t>
  </si>
  <si>
    <t>Persentase Tahapan Pembakuan Nama Rupa Bumi</t>
  </si>
  <si>
    <t>Persentase Nagari Binaan Perantau</t>
  </si>
  <si>
    <t>Persentase Penyelesaian Permasalahan Penyelenggaraan Pemerintah Daerah</t>
  </si>
  <si>
    <t>Jumlah Kerjasama dengan Pihak Ketiga</t>
  </si>
  <si>
    <t>Persentase kehadiran stekeholders pada rapat koordinasi pimpinan daerah</t>
  </si>
  <si>
    <t>Rapat Koordinasi Penyelenggaraan Pemerintah Kabupaten</t>
  </si>
  <si>
    <t>Jumlah rapat koordinasi camat dan wali nagari</t>
  </si>
  <si>
    <t>Jumlah Rakor camat dengan perangkat daerah</t>
  </si>
  <si>
    <t>Fasilitasi Penyelenggaraan Pemerintah Daerah</t>
  </si>
  <si>
    <t>Jumlah fasilitasi Rakor Gubernur dangan Kabupaten Kota</t>
  </si>
  <si>
    <t>Jumlah fasilitasi serah terima jabatan camat</t>
  </si>
  <si>
    <t>Jumlah penyelesaian permasalahan di kecamatan</t>
  </si>
  <si>
    <t>Koordinasi dan Pembinaan Kewilayahan</t>
  </si>
  <si>
    <t>Jumlah Rakor kecamatan yang dihadiri</t>
  </si>
  <si>
    <t>Laporan Evaluasi pelaksanaan Tupoksi Camat</t>
  </si>
  <si>
    <t>Penyusunan Laporan Penyelenggaraan Pemerintah Daerah</t>
  </si>
  <si>
    <t>Jumlah Dokumen LPPD</t>
  </si>
  <si>
    <t>Fasilitasi Kerjasama Antar Daerah</t>
  </si>
  <si>
    <t>Jumlah Mou dan Perjanjian Kerjasama  (PKS) antar daerah</t>
  </si>
  <si>
    <t>Jumlah asistensi MoU kerjasama dengan pihak ketiga</t>
  </si>
  <si>
    <t>Penilaian Kompetensi Camat</t>
  </si>
  <si>
    <t>Jumlah Camat terbaik</t>
  </si>
  <si>
    <t>Nilai Peringkat Tingkat Provinsi</t>
  </si>
  <si>
    <t>3 besar</t>
  </si>
  <si>
    <t>Jumlah Peserta Workshop</t>
  </si>
  <si>
    <t>30 orang</t>
  </si>
  <si>
    <t>Penamaan Rupa Bumi dan Unsur Alami</t>
  </si>
  <si>
    <t>Laporan nama rupa bumi dan unsur buatan</t>
  </si>
  <si>
    <t>Fasilitasi Penegasan Batas Daerah dan Kecamatan</t>
  </si>
  <si>
    <t>Jumlah fasilitasi penetapan dan  penegasan batas nagari</t>
  </si>
  <si>
    <t>Koordinasi Penyusunan Laporan Keterangan Pertanggungjawaban (LKPJ)</t>
  </si>
  <si>
    <t>Jumlah dokumen LKPJ</t>
  </si>
  <si>
    <t>Fasilitasi Kerjasama Rantau</t>
  </si>
  <si>
    <t>Jumlah fasilitasi nagari binaan perantau tingkat Kabupaten</t>
  </si>
  <si>
    <t>Program Peningkatan IMTAQ Bagi Pegawai</t>
  </si>
  <si>
    <t>Tingkat Kepuasaan  terhadap pelayanan Jemaah Haji oleh Pemerintah Daerah</t>
  </si>
  <si>
    <t xml:space="preserve">Peringkat  MTQ Pesisir selatan </t>
  </si>
  <si>
    <t>Persentase kunjungan mesjid tim silahturahmi Pemda</t>
  </si>
  <si>
    <t>Persentase mesjid yang dapat hibah bansos</t>
  </si>
  <si>
    <t>Peningkatan Imtaq bagi Pegawai di Lingkugan Pemda Kab. Pessel dan Penyelenggaraan Hari Besar Islam</t>
  </si>
  <si>
    <t>Jumlah ceramah agama yang dilaksanakan</t>
  </si>
  <si>
    <t>78</t>
  </si>
  <si>
    <t>Program Peningkatan Pengawasan Akuntabilitas Kinerja Aparatur</t>
  </si>
  <si>
    <t xml:space="preserve">Peningkatan Nilai AKIP Kabupaten   </t>
  </si>
  <si>
    <t>BB</t>
  </si>
  <si>
    <t>Peningkatan Pemeringkatan LPPD</t>
  </si>
  <si>
    <t>Persentase tahapan penyampaian dokumen LKPJ Bupati</t>
  </si>
  <si>
    <t>Penyusunan Lakip Kabupaten Pesisir Selatan</t>
  </si>
  <si>
    <t>Jumlah Perangkat Daerah yang menyampaikan Lkj tepat waktu</t>
  </si>
  <si>
    <t>Monev Kinerja SKPD</t>
  </si>
  <si>
    <t>Jumlah Laporan monev Kinerja Perangkat daerah</t>
  </si>
  <si>
    <t>Program Pengembangan Manajemen Pelayanan Publik</t>
  </si>
  <si>
    <t>Tingkat Kepuasan Masyarakat</t>
  </si>
  <si>
    <t xml:space="preserve">Indeks Kepuasan Masyarakat </t>
  </si>
  <si>
    <t>Jumlah PD pelayanan publik yang disurvey</t>
  </si>
  <si>
    <t>Fasilitasi Pelaksanaan Inovasi Pelayanan Publik</t>
  </si>
  <si>
    <t>Jumlah inovasi pelayanan publik yang difasilitasi</t>
  </si>
  <si>
    <t>Peningkatan Manajemen Pelayanan Publik</t>
  </si>
  <si>
    <t>Jumlah laporan pelayanan publik</t>
  </si>
  <si>
    <t>Tersedianya Tenaga Aparatur Pengelola Keuangan yang Profesional pada Badan Pengelola Keuangan daerah</t>
  </si>
  <si>
    <t>Tersedianya dana untuk jasa pelayanan rek air, listrik dan Telp (bulan)</t>
  </si>
  <si>
    <t>Tersedianya dana Administrasi Jasa Pengelolaan Keuangan Daerah dalam 1 Tahun (bulan)</t>
  </si>
  <si>
    <t>Tersedianya Jasa Kebersihan Kantor (bulan)</t>
  </si>
  <si>
    <t>Tersedianya Alat  Tulis Kantor (bulan)</t>
  </si>
  <si>
    <t xml:space="preserve">Penyediaan Barang Cetakan dan Penggandaan </t>
  </si>
  <si>
    <t>Tersedianya Barang Cetakan dan Penggandaan (bulan)</t>
  </si>
  <si>
    <t>Penyediaan Komponen Instalasi Listrik/Penerangan bangunan kantor</t>
  </si>
  <si>
    <t>Tersedianya Komponen Instalasi listrik/Penerangan Kantor (bulan)</t>
  </si>
  <si>
    <t>Penyediaan bahan bacaan dan peraturan perundang undangan</t>
  </si>
  <si>
    <t xml:space="preserve">Tersedianya bahan bacaan dan peraturan perundang undangan (bulan) </t>
  </si>
  <si>
    <t>Tersedianya makan mimum rapat, tamu dan pegawai ( piket kantor) (bulan)</t>
  </si>
  <si>
    <t>Rapat - rapat koordinasi dan konsultasi ke Luar Daerah</t>
  </si>
  <si>
    <t>Terselenggaranya rapat-rapat koordinasi dan konsultasi ke Luar Daerah (bulan)</t>
  </si>
  <si>
    <t>Rapat - rapat koordinasi dan konsultasi ke  Dalam Daerah</t>
  </si>
  <si>
    <t>Terselenggaranya rapat-rapat koordinasi dan konsultasi ke Dalam Daerah (bulan)</t>
  </si>
  <si>
    <t>Tersusunnya Dokumen Anggaran dan Pelaporan Pelaksanaan Pertanggungjawaban SKPD (bulan)</t>
  </si>
  <si>
    <t>Penyusunan Rencana Strategis</t>
  </si>
  <si>
    <t>Tersusunnya Renstra SKPD</t>
  </si>
  <si>
    <t>Tersedianya Sarana dan Prasarana ASN Lingkup BPKD</t>
  </si>
  <si>
    <t>Tersedianyan Kendaraan Dinas Jabatan dan Operasional (unit)</t>
  </si>
  <si>
    <t>Pengadaan Perlengkapan gedung kantor</t>
  </si>
  <si>
    <t>Terpenuhinya kebutuhan Perlengkapan gedung kantor (unit)</t>
  </si>
  <si>
    <t>Pengadaan Peralatan gedung kantor</t>
  </si>
  <si>
    <t>Terpenuhinya kebutuhan peralatan gedung kantor (unit)</t>
  </si>
  <si>
    <t>Pemeliharaan Rutin Berkala Gedung Kantor</t>
  </si>
  <si>
    <t>Terpeliharanya Gedung Kantor (unit)</t>
  </si>
  <si>
    <t>Terpeliharanya Kendaraan Dinas Opeasional (Kendaraan Roda4 dan Roda 2) (bulan)</t>
  </si>
  <si>
    <t>Terpeliharanya Perlengkapan Kantor (buan)</t>
  </si>
  <si>
    <t>ASRI,SH</t>
  </si>
  <si>
    <t>Tersedia dan Meningkatkannya Aparatur Lingkup BPKD</t>
  </si>
  <si>
    <t>Terlaksananya Pendidikan dan Pelatihan Formal (orang)</t>
  </si>
  <si>
    <t>Terusunnya Laporan Keuangan yang Transparan dan Akuntabel</t>
  </si>
  <si>
    <t xml:space="preserve">Tercapainya Optimalisasi Sistem Pelaporan Capainan Kinerja dan Keuangan </t>
  </si>
  <si>
    <t>Penyusunan Laporan Capaian Kinerja dan Ikhtsar realisasi kinerja SKPD</t>
  </si>
  <si>
    <t>Tertibnya pengelolaan keuangan daerah (buku)</t>
  </si>
  <si>
    <t>Penyusunan Laporan Keuangan Semesteran</t>
  </si>
  <si>
    <t>Tersedianya informasi keuangan semester (buku)</t>
  </si>
  <si>
    <t>Penyusunan Pelaporan Keuangan Akhir Tahun</t>
  </si>
  <si>
    <t>Terpenuhinya informasi keuangan daerah yang transparansi (buku)</t>
  </si>
  <si>
    <t>Tersedianya Sertifikat Tanah Aset Daerah Pesisir Selatan</t>
  </si>
  <si>
    <t>Program Penataan Penguasaan, Pemilikan, Penggunaan dan Pemanfaatan Tanah</t>
  </si>
  <si>
    <t>Tersedianya Penataan penguasaan, pemilikan, dan pemanfaatan tanah pemda</t>
  </si>
  <si>
    <t>Sertifiasi Tanah Hak Milik Pemerintah Daerah</t>
  </si>
  <si>
    <t>Terbitnya Sertifikat Tanah Pemda 50 Objek Tanah (persen)</t>
  </si>
  <si>
    <t>Terlaksananya Festival Langkisau</t>
  </si>
  <si>
    <t>Program Pengembangan Pemasaran Pariwisata</t>
  </si>
  <si>
    <t>Berkembangnya pemasaan - pariwisata peningkatan jumlah wisnu - peningkatan jumlah wisman</t>
  </si>
  <si>
    <t>Pelaksanaan Festival Langkisau</t>
  </si>
  <si>
    <t>Terlaksananya Pameran pada Festival Langkisau (persen)</t>
  </si>
  <si>
    <t>Terselesaikannya Kasus Ganti RugiSesuai LHP BPK</t>
  </si>
  <si>
    <t>Program Peningkatan Sistem Pegawasan Internal dan Pengendalian Pelaksanaan Kebijakan KDH</t>
  </si>
  <si>
    <t>Terlaksananya Peningkatan sistem Pengawasan Internal dan Pengendalian Pelaksanaan Kebijakan KDH</t>
  </si>
  <si>
    <t>Penanganan Kasus dan Penyelesaian Ganti Kerugian Negara/Daerah</t>
  </si>
  <si>
    <t>Terlaksananya peningkatan sistem Pengawasan Internal (persen)</t>
  </si>
  <si>
    <t>Terlaksananya Proses APBD Kabupaten Pesisir Selatan Tepat Waktu dan Tertib Administrasi Aset Barang Milik daerah</t>
  </si>
  <si>
    <t>dokumen apbd dan p-apbd tepat waktu (dokumen)</t>
  </si>
  <si>
    <t>Persentase perangkat daerah yang tertib Penatausahaan Barang Milik Daerah (persen)</t>
  </si>
  <si>
    <t>Persentase penyelesaian administrasi keuangan sesuai SOP</t>
  </si>
  <si>
    <t xml:space="preserve">Penyusunan Standar Satuan Harga </t>
  </si>
  <si>
    <t>Tersusunnya Standar Harga (buku)</t>
  </si>
  <si>
    <t xml:space="preserve">Penyusunan Rancangan Peraturan Daerah tentang APBD </t>
  </si>
  <si>
    <t>Tersedianyan Buku Rancangan Perda tentang APBD (buku)</t>
  </si>
  <si>
    <t>Penyusunan Rancangan Peraturan KDH Tentang Penjabaran APBD</t>
  </si>
  <si>
    <t>Tersedianyan Buku Rancangan Perda tentang Penjabaran  APBD (buku)</t>
  </si>
  <si>
    <t>Penyusunan Rancangan Peraturan Daerah tentang  Perubahan APBD</t>
  </si>
  <si>
    <t>Tersedianyan Buku Rancangan Perda tentang Perubahan  APBD (buku)</t>
  </si>
  <si>
    <t>Penyusunan Rancangan Peraturan KDH tentang Penjabaran  Perubahan APBD</t>
  </si>
  <si>
    <t>Tersedianyan Buku Rancangan Perda tentang Penjabaran  Perubahan  APBD (buku)</t>
  </si>
  <si>
    <t>Penyusunan Rancangan Peraturan Daerah tentang Pertanggungjawaban Pelaksanaan APBD</t>
  </si>
  <si>
    <t>Tercapainya Peningkatan dan Pengembangan Pengelolaan Keuangan Daerah (buku)</t>
  </si>
  <si>
    <t>Penyusunan Rancangan Peraturan Bupati tentang Penjabaran Pertanggungjawaban Pelaksanaan APBD</t>
  </si>
  <si>
    <t xml:space="preserve">Penyusunan DPA SKPD </t>
  </si>
  <si>
    <t>Tersedianya buku DPA SKPD (buku)</t>
  </si>
  <si>
    <t>Penghapusan Barang - barang Inventaris</t>
  </si>
  <si>
    <t>Terlaksananya Proses Penghapusan Barang-barang Inventaris (bulan)</t>
  </si>
  <si>
    <t>Penyusunan DPA Perubahan SKPD</t>
  </si>
  <si>
    <t>Tersedianya buku DPA Perubahan SKPD (buku)</t>
  </si>
  <si>
    <t>Penunjang Sistim Informasi Pengelolaan Keuangan Daerah</t>
  </si>
  <si>
    <t>Terlaksananya Pengelolaan Keuangan Daerah (bulan)</t>
  </si>
  <si>
    <t>Penyusunan rancangan peraturan KDH tentang penjabaran APBD 2016</t>
  </si>
  <si>
    <t>( buku)</t>
  </si>
  <si>
    <t>Penyusunan rancangan peratturan daerah tentang APBD 2016</t>
  </si>
  <si>
    <t xml:space="preserve">Penyusunan Laporan PAD </t>
  </si>
  <si>
    <t>(bulan)</t>
  </si>
  <si>
    <t>50</t>
  </si>
  <si>
    <t>Cetak massal dan pengadaan bahan bahan dokumen PBB-P2</t>
  </si>
  <si>
    <t>(persen)</t>
  </si>
  <si>
    <t>Pengadaan Barang Kuasi</t>
  </si>
  <si>
    <t>65</t>
  </si>
  <si>
    <t>Pendataan dan Verifikasi No Objek Pajak PBB-P2</t>
  </si>
  <si>
    <t>Penunjang sistem e-PAD</t>
  </si>
  <si>
    <t>Pengelolaan dan Penatausahaan Gaji PNSD</t>
  </si>
  <si>
    <t>Terlaksananya Pengeloaan dan Penatausahaan Gaji ASN ( bulan)</t>
  </si>
  <si>
    <t>74</t>
  </si>
  <si>
    <t>76</t>
  </si>
  <si>
    <t>Intensifikasi dan Ekstensifikasi sumber-sumber pajak daerah</t>
  </si>
  <si>
    <t>77</t>
  </si>
  <si>
    <t>Intensifikasi dan Ekstensifikasi sumber-sumber retribusi daerah dan pendapatan lainnya</t>
  </si>
  <si>
    <t>Pelayanan Peningkatan pemungutan pajak daerah</t>
  </si>
  <si>
    <t xml:space="preserve">Pemutakhiran data piutang PBB-P2 </t>
  </si>
  <si>
    <t>82</t>
  </si>
  <si>
    <t>Rekonsiliasi penerimaan negara bukan pajak (PNBP)</t>
  </si>
  <si>
    <t>Rekonsiliasi Retribusi Daerah</t>
  </si>
  <si>
    <t>Pengelolaan dan Penatausahaan Kas Daerah</t>
  </si>
  <si>
    <t>Terwujudnya Pengelolaan dan Penatausahaan Kas Daerah (persen)</t>
  </si>
  <si>
    <t>Verifikasi Rencana Kebutuhan Barang dan Pemeliharaan Barang</t>
  </si>
  <si>
    <t>Terlaksananya verifikasi rencana kebutuhan barang dan Pemeliharaan Barang (bulan)</t>
  </si>
  <si>
    <t>Peningkatan Manajemen Aset/ Barang Daerah</t>
  </si>
  <si>
    <t>Tertatanya Manajemen Aset Daerah dengan Baik (buku)</t>
  </si>
  <si>
    <t>Penyusunan rancangan kebutuhan barang dan pemeliharaan</t>
  </si>
  <si>
    <t>Terlaksananya penyusunan rencana kebutuhan barang dan Pemeliharaan Barang (bulan)</t>
  </si>
  <si>
    <t>Penyusunan Laporan Barang Milik Daerah</t>
  </si>
  <si>
    <t>(buku)</t>
  </si>
  <si>
    <t>Bimbingan Teknis Penatausahaan Barang Milik Daerah</t>
  </si>
  <si>
    <t>Pembinaan Laporan Keuangan OPD</t>
  </si>
  <si>
    <t>(unit SKPD)</t>
  </si>
  <si>
    <t>Revisi Kebijakan Akuntansi Pemerintah Daerah Kabupaten Pesisir Selatan</t>
  </si>
  <si>
    <t>Penyusunan Standar Biaya</t>
  </si>
  <si>
    <t>Sosialisasi Pedoman Penyusunan APBD</t>
  </si>
  <si>
    <t>Bimningan Teknis Belanja Non Tunai</t>
  </si>
  <si>
    <t>Terbinanya Pengelolaan Keuangan Daerah di Kabupaten Pesisir Selatan</t>
  </si>
  <si>
    <t>Program Pembinaan dan Fasilitas Pengelolaan keuangan Kabupaten Kota</t>
  </si>
  <si>
    <t>Analisa APBD Kabupaten Pesisir Selatan Tahun Anggaran 2018</t>
  </si>
  <si>
    <t>Tersedianya Buku Analisa APBD (buku)</t>
  </si>
  <si>
    <t>Asistensi Penataan Hibah dan Bantuan Sosial</t>
  </si>
  <si>
    <t>Tersalurnya Dana Hibah dan Bantuan Sosial (bulan)</t>
  </si>
  <si>
    <t>Pengelolaan Dana Hibah dan Bantuan Sosial</t>
  </si>
  <si>
    <t>Penyusunan dan Sosialisasi pedoman penyusunan APBD tahun anggaran 2017</t>
  </si>
  <si>
    <t>Tersediana buku pedoman pelaksanaan kegiatan (buku)</t>
  </si>
  <si>
    <t>Analisa Standar belanja Kabupaten Pesisir Selatan</t>
  </si>
  <si>
    <t>Tersedianya Analisa Standar Belanja (buku)</t>
  </si>
  <si>
    <t>Rekonsiliasi dana Transfer ke Daerah</t>
  </si>
  <si>
    <t>Terbinanya Pengelolaan Keuangan Nagari di Kabupaten Pesisir Selatan</t>
  </si>
  <si>
    <t>Program Pembinaan dan Fasilitasi  Pengelolaan Keuangan Desa/Nagari</t>
  </si>
  <si>
    <t>Terbina dan meningkatnya Pengetahuan Sumber daya aparatur</t>
  </si>
  <si>
    <t>Pembinaan Pengelolaan Keuangan Nagari</t>
  </si>
  <si>
    <t>Terlaksananya tertib administrasi pengelolaan keuangan nagari (nagari)</t>
  </si>
  <si>
    <t>Monitoring dan Evaluasi dana Transfer ke Nagari</t>
  </si>
  <si>
    <t>Terevaluasinya dana transfer ke nagari (bulan)</t>
  </si>
  <si>
    <t>Monitoring dan Evaluasi Penatausahaan Kas Daerah</t>
  </si>
  <si>
    <t>TOT Aplikasi SIMDA DESA (Nagari)</t>
  </si>
  <si>
    <t>Terselenggaranya TOT Aplikasi Siskuedes (persen)</t>
  </si>
  <si>
    <t>Faktor pendorong keberhasilan kinerja: Terlaksananya kegiatan sesuai dengan waktu dan kegiatan yang direncanakan</t>
  </si>
  <si>
    <t>Faktor penghambat pencapaian kinerja: -</t>
  </si>
  <si>
    <t>Tindak lanjut yang diperlukan dalam triwulan berikutnya: perlunya evaluasi kembali terhadap rencana kegiatan yang telah direncanakan</t>
  </si>
  <si>
    <t>Tindak lanjut yang diperlukan dalam RKPD berikutnya:</t>
  </si>
  <si>
    <t>Meningkatkan Sistem Pelayanan Administrasi Kependudukan</t>
  </si>
  <si>
    <t>Jumlah makanan dan minuman rapat</t>
  </si>
  <si>
    <t>Meningkatnya Sarana dan Prasarana Kantor</t>
  </si>
  <si>
    <t>Meningkatnya Kualitas Perencanaan dan Pelaporan Capaian Kinerja</t>
  </si>
  <si>
    <t>Penyediaan Peralatan dan Perlengkapan Kantor</t>
  </si>
  <si>
    <t xml:space="preserve">Pembangunan Rumah Dinas </t>
  </si>
  <si>
    <t>Pemeliharaan Rutin/ Berkala Kendaraan Dinas Operasional</t>
  </si>
  <si>
    <t>Pemeliharaan Rutin/ Berkala Peralatan Gedung Kantor</t>
  </si>
  <si>
    <t>Rehabilitasi Sedang/Berat Rumah Dinas</t>
  </si>
  <si>
    <t>Program Peningkatan Pengembangan Sistem Pelaporan</t>
  </si>
  <si>
    <t>Dinas Perkimtan</t>
  </si>
  <si>
    <t>Penyusunan Perencanaan Anggaran</t>
  </si>
  <si>
    <t>Monitoring dan Evaluasi Penataan Kawasan Permukiman</t>
  </si>
  <si>
    <t>Monitoring dan Evaluasi Penataan Kegiatan Perumahan</t>
  </si>
  <si>
    <t>Sinkronisasi Program RPIJM Cipta Karya</t>
  </si>
  <si>
    <t>Program Saluran Drainase/Gorong-Gorong</t>
  </si>
  <si>
    <t>Pembangunan dan Pemeliharaan Drainase Kawasan Permukiman</t>
  </si>
  <si>
    <t>Terlaksananya Pembangunan dan Pemeliharaan Drainase Kawasan Permukiman</t>
  </si>
  <si>
    <t>Program Pengembangan Wilayah Strategis dan cepat Tumbuh</t>
  </si>
  <si>
    <t>Penyusunan Data Base Kawasan Permukiman</t>
  </si>
  <si>
    <t>Program Pembangunan Infrastruktur Perdesaan</t>
  </si>
  <si>
    <t>Pembangunan jalan dan jembatan perdesaan</t>
  </si>
  <si>
    <t>Panjang jalan dan jembatan yang dibangun</t>
  </si>
  <si>
    <t>63</t>
  </si>
  <si>
    <t>Koordinasi Pengawasan dan Pengendalian Pelaksanaan Kebijakan Tentang Pembangunan Kawasan Permukiman</t>
  </si>
  <si>
    <t>Sosialisasi Pencegahan dan Peningkatan Kualitas Kawasan</t>
  </si>
  <si>
    <t>Program Pengembangan Perumahan</t>
  </si>
  <si>
    <t>Penunjang Perumahan Permukiman dan BSPS</t>
  </si>
  <si>
    <t>Pematangan Lahan Lokasi Rumah Tapak</t>
  </si>
  <si>
    <t>Penyusunan Data Base Perumahan Permukiman</t>
  </si>
  <si>
    <t>Pendataan dan Validasi Data Rumah Tidak Layak Huni</t>
  </si>
  <si>
    <t>Pembangunan Jalan Minapolitan Mandeh (Lanjutan)</t>
  </si>
  <si>
    <t>Rehab Rumah Tidak Layak Huni</t>
  </si>
  <si>
    <t>Jumlah Rumah Tidak Layak Huni yang direhabilitasi</t>
  </si>
  <si>
    <t>Penyusunan Rencana Pembangunan Pengembangan Perumahan dan Kawasan Permukiman (RP3KP) Pesisir Selatan</t>
  </si>
  <si>
    <t>Penunjang Kegiatan Pendataan dan Perencanaan Perumahan</t>
  </si>
  <si>
    <t xml:space="preserve">Tersedianya Penunjang Pendataan dan Perencanaan </t>
  </si>
  <si>
    <t>Penunjang Kegiatan Penyediaan dan Pelaksanaan Perumahan</t>
  </si>
  <si>
    <t>DAK Perumahan</t>
  </si>
  <si>
    <t>Program Lingkungan sehat Perumahan</t>
  </si>
  <si>
    <t>Pembangunan Infrastruktur Sanitasi</t>
  </si>
  <si>
    <t>Penunjang Pembangunan Infrastruktur Sanitasi</t>
  </si>
  <si>
    <t>Rencana Pencegahan dan Peningkatan Kualitas Permukiman Kumuh Perkotaan (RP2KPKP)</t>
  </si>
  <si>
    <t>Tersedianya Dokumen RP2KPKP</t>
  </si>
  <si>
    <t>Perencanaan Pengadaan Tanah</t>
  </si>
  <si>
    <t>Jumlah Dokumen Perencanaan Tanah</t>
  </si>
  <si>
    <t>Persiapan Pengadaan Tanah</t>
  </si>
  <si>
    <t>Pelaksanaan Pengadaan Tanah</t>
  </si>
  <si>
    <t xml:space="preserve">Jumlah Perngadaan Tanah Untuk Pembangunan </t>
  </si>
  <si>
    <t>Penyerahan Hasil Pengadaan Tanah</t>
  </si>
  <si>
    <t>Fasilitasi Pengadaan Tanah</t>
  </si>
  <si>
    <t>Jumlah :Pengadaan Tanah yang difasilitasi</t>
  </si>
  <si>
    <t>Inventarisasi Tanah Pemerintah Daerah</t>
  </si>
  <si>
    <t>Jumlah Tanah Pemerintah Daerah yang diinventarisasi</t>
  </si>
  <si>
    <t>Program Penyelesaian Konflik- Konflik Pertanahan</t>
  </si>
  <si>
    <t>Persentase Penyelesaian masalah pertanahan milik Pemda</t>
  </si>
  <si>
    <t>Fasilitasi Penyelesaian Konflik- Konflik Pertanahan</t>
  </si>
  <si>
    <t>Jumlah Fasilitasi Penyelesaian Konflik Pertanahan</t>
  </si>
  <si>
    <t/>
  </si>
  <si>
    <t>Program Pelayanan Administrasi  Perkantoran</t>
  </si>
  <si>
    <t>Penyediaan Jasa peralatan dan perlengkapan kantor</t>
  </si>
  <si>
    <t>penyedia Jasa Pemeliharaan dan Perizinan kendaraan dinas/operasional</t>
  </si>
  <si>
    <t xml:space="preserve">Penyedia Jasa   Perbaikan Peralatan kerja </t>
  </si>
  <si>
    <t>Penyediaan bahan bacaan dan peraturan perundang-undangan</t>
  </si>
  <si>
    <t>Program Peningkatan  Sarana dan Prasarana Aparatur</t>
  </si>
  <si>
    <t>Pemeliharaan rutin/berkala  gedung kantor</t>
  </si>
  <si>
    <t>Terwujudnya Pengelolaan Arsip Secara Baku</t>
  </si>
  <si>
    <t>Jumlah dokumen/arsip daerah yang terselamatkan &amp; terlestarikan</t>
  </si>
  <si>
    <t>Bintek Kearsipan bagi Petugas Unit Arsip ( Setiap OPD, BUMD, dan Nagari )</t>
  </si>
  <si>
    <t>Terwujudnya Peningkatan Pelayanan Perpustakaan Umum Derah dan Pendekatan ( Aksesbilitas ) Perputakaan kepada Masyarakat Terisolir.</t>
  </si>
  <si>
    <t>Program Pengembangan Budaya Baca dan Pembinaan Perpustakaan</t>
  </si>
  <si>
    <t>Publikasi dan Sosialisasi Minat dan Budaya Baca</t>
  </si>
  <si>
    <t>Pernyediaan Bahan Pustaka Perpustakaan Umum Daerah</t>
  </si>
  <si>
    <t>Pelayanan Perpustakaan Umum Daerah dan Kantin Baca</t>
  </si>
  <si>
    <t xml:space="preserve">Pelayanan Perpustakaan Keliling </t>
  </si>
  <si>
    <t>Pelaksanaan Rumah Pintar Perintis</t>
  </si>
  <si>
    <t>Bintek Pengelola Perpustakaan</t>
  </si>
  <si>
    <t xml:space="preserve">Program Pengembangan Pemasaran Pariwisata </t>
  </si>
  <si>
    <t>Promosi Produk unggulan daerah(paket)</t>
  </si>
  <si>
    <t>Lancarnya Pelayanan Adminisitrasi Perkantoran (%)</t>
  </si>
  <si>
    <t>Dinas Perikanan</t>
  </si>
  <si>
    <t>Tersedianya Jasa Komunikasi , sumber daya listrik dan air (bulan)</t>
  </si>
  <si>
    <t>Tertibnya Administerasi Keuangan (bulan)</t>
  </si>
  <si>
    <t>Terlaksananya kebersihan Kantor (bulan)</t>
  </si>
  <si>
    <t>Tersedianya jasa perbaikan peralatan kerja (bulan)</t>
  </si>
  <si>
    <t>Tersedianya ATK (bulan)</t>
  </si>
  <si>
    <t>Tersedianya barang cetakan dan penggandaan(bulan)</t>
  </si>
  <si>
    <t>Tersedianya komponen instalasi listrik.penerangan bangunan kantor (bulan)</t>
  </si>
  <si>
    <t>Tersedianya peralatan dan perlengkapan kantor (Bulan)</t>
  </si>
  <si>
    <t>Tersedianya bahan bacaan dan peraturan perundang-undangan (Bulan)</t>
  </si>
  <si>
    <t>Tersedianya makan dan minum ( Bulan)</t>
  </si>
  <si>
    <t>Terlaksananya rapat koordinasi dan konsultasi Luar Daerah (bulan)</t>
  </si>
  <si>
    <t>Terlaksananya rapat koordinasi dan konsultasi Dalam Daerah (Bulan)</t>
  </si>
  <si>
    <t>Terpeliharanya kendaraan dinas / operasiona (bulan)l</t>
  </si>
  <si>
    <t>Program Peningkatan  Pengembangan Sistem Pelaporan Capaian Kinerja dan Keuangan</t>
  </si>
  <si>
    <t>Terlaksananya monitoring dan terevaluasi program / kegiatan Dinas (bulan)</t>
  </si>
  <si>
    <t>Tersusunya perencanaan anggaran yang akuntable (kali)</t>
  </si>
  <si>
    <t>Pengembangan dan Peningkatan Data dan Informasi</t>
  </si>
  <si>
    <t xml:space="preserve"> Tersusunnya data dan informasi yang valid dan benar (dokumen)</t>
  </si>
  <si>
    <t>Program Pengembangan Budidaya Perikanan</t>
  </si>
  <si>
    <t>Jumlah Produksi Perikanan Budidaya ( Ton )</t>
  </si>
  <si>
    <t xml:space="preserve"> Beroperasionalnya BBI Pincuran Boga        ( Bulan)</t>
  </si>
  <si>
    <t>Program Pengembangan  Perikanan Tangkap</t>
  </si>
  <si>
    <t>Jumlah Produksi Perikanan Tangkap        ( Ton )</t>
  </si>
  <si>
    <t>Penyediaan Sarana Prasarana Pemberdayaan Skala Kecil Untuk Nelayan ( DAK )</t>
  </si>
  <si>
    <t>Tersedianya Sarana dan Prasarana Pemberdayaan Skala Kecil Nelayan (paket)</t>
  </si>
  <si>
    <t>Operasional Balai Sekaya maritim</t>
  </si>
  <si>
    <t>Beroperasionalnya Balai Sekaya Maritim ( Bulan)</t>
  </si>
  <si>
    <t>Penyediaan sarana dan prasarana perikanan tangkap</t>
  </si>
  <si>
    <t>Tersedianya Sarana dan Prasarana Perikanan Tangkap (paket)</t>
  </si>
  <si>
    <t>Jumlah Pembudidaya Yang Tersertifikasi CBIB   ( orang)</t>
  </si>
  <si>
    <t>Jumlah UPR Yang Tersertifikasi CPIB(UPR)</t>
  </si>
  <si>
    <t>Pembinaan Unit Perbenihan Rakyat (UPR)</t>
  </si>
  <si>
    <t>Terbinanya Unit Perbenihan Rakyat (UPR)</t>
  </si>
  <si>
    <t>Pembinaan Kelompok Pembididaya Ikan (Pokdakan)</t>
  </si>
  <si>
    <t>Terbinanya Kelompok Pembudidaya Ikan</t>
  </si>
  <si>
    <t xml:space="preserve">Jumlah  Kelompok Pmbudidayaan Ikan (Pokdakan) Kelompok </t>
  </si>
  <si>
    <t>Pendampingan Kegiatan Pusat dan Propinsi Bidang Perikanan  Budidaya</t>
  </si>
  <si>
    <t>Tertunjangnya kegiatan pusat dan Propinsi bidang perikanan budidaya (Bulan)</t>
  </si>
  <si>
    <t>Pendampingan Kegiatan Pusat dan Provinsi Bidang Pemberdayaan Nelayan Kecil</t>
  </si>
  <si>
    <t>Terdampinginya kegiatan Provinsi dan Pusat ( Bulan)</t>
  </si>
  <si>
    <t>Program Peningkatan Produksi Perikanan Budidaya</t>
  </si>
  <si>
    <t>Peningkatan Produksi Ikan</t>
  </si>
  <si>
    <t>Tersedianya benih dan pakan berkualitas (Ton)</t>
  </si>
  <si>
    <t>Meningkatnya kemampuan pelaku utama kelautan dan Perikanan</t>
  </si>
  <si>
    <t>Jumlah Kelompok Usaha Bersama (KUB) kelompok</t>
  </si>
  <si>
    <t>Pendampingan Asuransi Nelayan</t>
  </si>
  <si>
    <t>Tersalurkannya Asuransi nelayan (%)</t>
  </si>
  <si>
    <t>Pro Gerakan Anti Kemiskinan Nelayan ( Pro Gakin )</t>
  </si>
  <si>
    <t>Terlaksananya Kegiatan Pro Gerakan Anti Kemiskinan (KUB)</t>
  </si>
  <si>
    <t>Sosialisasi dan Pendampingan Kredit Usaha Rakyat ( KUR ) Perikanan</t>
  </si>
  <si>
    <t xml:space="preserve"> Tersalurkanya KUR  Perikanan ke Nelayan (KUB)</t>
  </si>
  <si>
    <t>Penguatan Kelembagaan KUB Perikanan Tangkap</t>
  </si>
  <si>
    <t>Terbentuknya kelembagaab KUB yag lebih yang berbadan hukum (KUB)</t>
  </si>
  <si>
    <t>Program Peningkatan Daya Saing Produk Perikanan</t>
  </si>
  <si>
    <t>Gerakan Masyarakat Makan Ikan (GEMARAKIN )</t>
  </si>
  <si>
    <t>Terciptanya variasi menu makanan hasil olahan perikanan (orang)</t>
  </si>
  <si>
    <t xml:space="preserve">Promosi dan Publikasi Produk Hasil Kelautan dan Perikanan </t>
  </si>
  <si>
    <t>Dikenalnya produk kelautan dan perikanan Kab.Pessel (kali)</t>
  </si>
  <si>
    <t>Pendampingan Kegiatan Pusat dan Propinsi Bidang P2HP</t>
  </si>
  <si>
    <t>Tertunjangnya kegiatan Propinsi (bulan)</t>
  </si>
  <si>
    <t>Pembinaan Poklahsar Bidang P2HP</t>
  </si>
  <si>
    <t>Terbinanya Poklahsar Bidang P2HP (kelompok)</t>
  </si>
  <si>
    <t>Jumlah UPI yang menerapkan cara Pengolahan Ikan Yang Baik ( Kelompok)</t>
  </si>
  <si>
    <t>Pengawasan mutu Hasil Perikanan</t>
  </si>
  <si>
    <t>Terlaksananya Pengawasan terhadap Muu Hasil Perikanan (kali)</t>
  </si>
  <si>
    <t>Pelatihan Cara Pengolahan yang baik(GMP/SSOP)</t>
  </si>
  <si>
    <t xml:space="preserve"> Terjaminya mutu hasil olahan perikanan (kali)</t>
  </si>
  <si>
    <t>BADAN PENGELOLAAN KEUANGAN DAERAH</t>
  </si>
  <si>
    <t>Rp.</t>
  </si>
  <si>
    <t>Realisasi Capaian 
Kinerja dan Anggaran RKPD  yang Dievaluasi</t>
  </si>
  <si>
    <t>Cakupan pemenuhan sarpras aparatur (%)</t>
  </si>
  <si>
    <t>pemenuhan aparatur yang profesional (%)</t>
  </si>
  <si>
    <t>Persentase fasyankes dan jaringannya yang melayani kesehatan masyarakat perorangan, termasuk posko-posko kesehatan dalam rangka hari raya dan even-even daerah</t>
  </si>
  <si>
    <t>DINAS KESEHATAN</t>
  </si>
  <si>
    <t>RSUD M. ZEIN PAINAN</t>
  </si>
  <si>
    <t>Program Peningkatan Mutu Pelayanan Kesehatan BLUD</t>
  </si>
  <si>
    <t>RSUD Dr. M. Zein Painan</t>
  </si>
  <si>
    <t>Capaian Akreditasi</t>
  </si>
  <si>
    <t>Kegiatan penyediaan Kebutuhan Pelayanan BLUD</t>
  </si>
  <si>
    <t>% Penyediaan Kebutuhan BLUD</t>
  </si>
  <si>
    <t>Program Upaya Kesehatan Masyarakat</t>
  </si>
  <si>
    <t>Jumlah Masyarakat / Pasien bermasalah yanng mendapatkan pelayanan</t>
  </si>
  <si>
    <t>Kegiatan Peningkatan dan Penanggulangan Masalah Kesehatan</t>
  </si>
  <si>
    <t>Jumlah pasien Miskin / Bermasalah yang terlayani</t>
  </si>
  <si>
    <t>Program Pengadaan, Peningkatan sarana dan prasarana rumah sakit/Rumah sakit jiwa/Rumah sakit Paru-paru/rumah sakit Mata</t>
  </si>
  <si>
    <t>Kegiatan penyusunan DED RSUD dan Site plan</t>
  </si>
  <si>
    <t xml:space="preserve">Dokumen </t>
  </si>
  <si>
    <t>Kegiatan pengelolaan gas medis</t>
  </si>
  <si>
    <t>% pengelolaan gas medis</t>
  </si>
  <si>
    <t>Kegiatan pengadaan alat kesehatan</t>
  </si>
  <si>
    <t>%  pengadaan alat kesehatan</t>
  </si>
  <si>
    <t>Kegiatan pengadaan alat CSSD</t>
  </si>
  <si>
    <t>% pengadaan alat CSSD</t>
  </si>
  <si>
    <t>Kegiatan pengadaan Radiologi</t>
  </si>
  <si>
    <t>% Alat Radiologi</t>
  </si>
  <si>
    <t>DINAS PENGELOLAAN SUMBER DAYA AIR</t>
  </si>
  <si>
    <t>pemenuhan layanan adminstrasi perkantoran (bln)</t>
  </si>
  <si>
    <t>Berkurangnya Daya Rusak Air</t>
  </si>
  <si>
    <t>Perencanaan Pembangunan Saluran Drainase dan Trotoar</t>
  </si>
  <si>
    <t>Pembangunan Saluran Drainase dan Trotoar</t>
  </si>
  <si>
    <t>Pembuatan Database Saluran Drainase/Gorong-gorong</t>
  </si>
  <si>
    <t>Terlaksananya Pembuatan Database Saluran
Drainase/Gorong-gorong (Dokumen)</t>
  </si>
  <si>
    <t>Program Pengembangan dan Pengelolaan Jaringan Irigasi, Rawa dan Jaringan Pengairan Lainnya</t>
  </si>
  <si>
    <t>Terlaksananya Program pengembangan dan pengelolaan jaringan
irigasi, rawa dan jaringan pengairan lainnya</t>
  </si>
  <si>
    <t>Perencanaan Normalisasi Saluran Sungai</t>
  </si>
  <si>
    <t>Pelaksanaan Normalisasi saluran sungai</t>
  </si>
  <si>
    <t>Meningkatnya Layanan Irigasi</t>
  </si>
  <si>
    <t>Rehabilitasi/pemeliharaan jaringan irigasi</t>
  </si>
  <si>
    <t>Perencanaan Peningkatan dan Rehabilitasi Jaringan Irigasi</t>
  </si>
  <si>
    <t>Optimalisasi Fungsi Jaringan Irigasi yang Telah Dibangun</t>
  </si>
  <si>
    <t>Peningkatan dan Rehabilitasi Jaringan Irigasi ( DAK )</t>
  </si>
  <si>
    <t>Pembaruan Database Irigasi</t>
  </si>
  <si>
    <t>Operasional Irigasi</t>
  </si>
  <si>
    <t>Operasional Komisi Irigasi</t>
  </si>
  <si>
    <t>Terlaksananya Operasional Komisi Irigasi (Dokumen)</t>
  </si>
  <si>
    <t>Integrated Participatory Development and Management of Irrigation Project (IPDMIP) (LOAN)</t>
  </si>
  <si>
    <t>Terlaksananya Integrated Participatory Development and Management of Irrigation Project (IPDMIP) (LOAN) (Paket)</t>
  </si>
  <si>
    <t>Program Pengembangan, Pengelolaan, Konservasi Sungai, Danau dan Sumber Daya Air</t>
  </si>
  <si>
    <t xml:space="preserve">Tercapainya program pengembangan, pengelolaan dan
konservasi sungai, danau dan sumber daya air </t>
  </si>
  <si>
    <t>Berkurangnya Daya Rusak Air dan Meningkatnya Layanan Irigasi</t>
  </si>
  <si>
    <t>Laporan Pelaksanaan AMDAL</t>
  </si>
  <si>
    <t>Pengawasan dan Konservasi Sumber Daya Air</t>
  </si>
  <si>
    <t>Perencanaan Embung dan Bangunan Penampungan Air Lainnya</t>
  </si>
  <si>
    <t>Program Pengendalian Banjir</t>
  </si>
  <si>
    <t>Rehabilitasi dan Pemeliharaan Bantaran dan Tanggul Sungai</t>
  </si>
  <si>
    <t>Pengembangan Pengelolaan Daerah Rawa Dalam Rangka Pengendalian Banjir</t>
  </si>
  <si>
    <t>Peningkatan Pembersihan dan Pengerukan Sungai / Kali</t>
  </si>
  <si>
    <t>Pembuatan Database Sungai dan Pantai</t>
  </si>
  <si>
    <t>Terlaksananya Administrasi Perkantoran</t>
  </si>
  <si>
    <t>Dinas Sosial, Pemberdayaan Perempuan dan Perlindungan Anak</t>
  </si>
  <si>
    <t>Rapat-rapat Koordinasi dan  Konsultasi Dalam Daerah</t>
  </si>
  <si>
    <t>Pemeliharaan Rutin/Berkala Peralatan Gedung Kantor</t>
  </si>
  <si>
    <t>Pelaksanaan Festifal Langkisau</t>
  </si>
  <si>
    <t>Tercapainya Peningkatan Penanganan Penyandang Masalah Kesejateraan Sosial (PMKS)</t>
  </si>
  <si>
    <t>Program Pelayanan dan Rehabilitasi Kesejahteraan Sosial</t>
  </si>
  <si>
    <t>Jumlah pelayanan sosial yang mendapatkan rehabilitasi dan pelatihan (kec per orang tagana)</t>
  </si>
  <si>
    <t>Penanganan Masalah Strategis tentang Tanggap Cepat Darurat dan Kejadian Luar Biasa</t>
  </si>
  <si>
    <t>Monitoring, Evaluasi dan Kebijakan Perberasan (RASKIN)</t>
  </si>
  <si>
    <t>Program Pemberdayaan Fakir Miskin, Komunitas Adat Terpencil (KAT) dan Penyandang Masalah Kesejahteraan Sosial (PMKS) Lainnya</t>
  </si>
  <si>
    <t>Penunjang Operasional Program Keluarga Harapan (PKH)</t>
  </si>
  <si>
    <t>Pelayanan orang terlantar diperjalanan</t>
  </si>
  <si>
    <t>Pendampingan Bantuan KUBE Fakir Miskin</t>
  </si>
  <si>
    <t>Verifikasi dan Validasi Data Penerima Bantuan Iuran APBD</t>
  </si>
  <si>
    <t>Pengembangan SLRT Kabupaten Pesisir Selatan</t>
  </si>
  <si>
    <t>Program pembinaan para penyandang cacat dan trauma</t>
  </si>
  <si>
    <t>Jumlah penyandang cacat yang dibina dan pemberian jaminan sosial penyandang cacat berat (orang)</t>
  </si>
  <si>
    <t>Bimbingan Sosial dan Pendampingan Jaminan Sosial Penyandang Cacat Berat</t>
  </si>
  <si>
    <t>Program pembinaan panti asuhan/panti jompo</t>
  </si>
  <si>
    <t>Penyediaan Bahan Sembako Anak  Dalam Panti</t>
  </si>
  <si>
    <t>Meningkatnya aktifitas Potensi dan Sumber Kesejahteraan Sosial (PSKS)</t>
  </si>
  <si>
    <t>Program Pemberdayaan Kelembagaan Kesejahteraan Sosial</t>
  </si>
  <si>
    <t>Penungkatan Kualitas Lembaga Koordinasi Kesejahteraan Sosial (LKKS) Kabupaten Pesisir Selatan</t>
  </si>
  <si>
    <t>Meningkatnya wawasan kebangsaan dan keperintisan</t>
  </si>
  <si>
    <t>Penanaman Nilai-Nilai Kepahlawanan dan Keperintisan</t>
  </si>
  <si>
    <t>Sarasehan Penanaman Nilai-nilai Kepahlawanan bagi Generasi Muda</t>
  </si>
  <si>
    <t>Peningkatan Sarana dan Prasarana Kepahlawanan dan Keperintisan</t>
  </si>
  <si>
    <t>Terpenuhinya sarana dan prasarana kebutuhan TMP Sago dan MPN Ilyas Yacub</t>
  </si>
  <si>
    <t>Meningkatnya Pembangunan yang memperhatikan kesetaraan gender dan pemenuhan hak anak</t>
  </si>
  <si>
    <t>Pengembangan Fasilitasi Forum Anak Daerah</t>
  </si>
  <si>
    <t>Pembinaan Kelembagaan PUG dan Perlindungan Anak</t>
  </si>
  <si>
    <t>Penyususnan Anggaran Responsif Gender</t>
  </si>
  <si>
    <t>Penguatan kelembagaan pengarusutamaan gender dan anak</t>
  </si>
  <si>
    <t>Fasilitasi Pengembangan Pusat Pelayanan Terpadu Pemberdayaan Perempuan (P2TP2A)</t>
  </si>
  <si>
    <t>Pengembangan Sistem Informasi Gender dan Anak</t>
  </si>
  <si>
    <t xml:space="preserve">Pembinaan Nagari Layak Anak </t>
  </si>
  <si>
    <t xml:space="preserve">Program Peningkatan Perempuan di Perdesaan/Nagari </t>
  </si>
  <si>
    <t>Pemberdayaan Kelembagaan GOW Kabupaten</t>
  </si>
  <si>
    <t>Dinas PUTR</t>
  </si>
  <si>
    <t>Program Pengendalian dan Pemanfaatan Ruang</t>
  </si>
  <si>
    <t>Persentase Pengendalian dan Pemanfaatan Ruang</t>
  </si>
  <si>
    <t>Program Pengaturan Jasa Konstruksi</t>
  </si>
  <si>
    <t>Persentase Pengaturan Jasa Konstruksi</t>
  </si>
  <si>
    <t>Persentase pengendalian Pencemaran dan Pengrusakan Lingkungan Hidup</t>
  </si>
  <si>
    <t>Program Pengendalian Pencemaran dan Pengrusakan Lingkungan Hidup</t>
  </si>
  <si>
    <t>Program pengembangan Pariwisata</t>
  </si>
  <si>
    <t>Terlaksananya pelayanan adminstrasi perkantoran (bulan)</t>
  </si>
  <si>
    <t>Dinas PSDA</t>
  </si>
  <si>
    <t>DINAS PSDA</t>
  </si>
  <si>
    <t>Dinas PERKIMTAN</t>
  </si>
  <si>
    <t>Pemenuhan sarana dan prasarana aparatur dalam kondisi baik</t>
  </si>
  <si>
    <t>Ketersediaan Sistem Pelaporan dan keuangan</t>
  </si>
  <si>
    <t>Panjang Saluran drainase lingkungan kondisi baik (km)</t>
  </si>
  <si>
    <t>Ketersediaan data perencanaan (database)</t>
  </si>
  <si>
    <t>Pembangunan Jalan Desa (km)</t>
  </si>
  <si>
    <t>Persentase penurunan rumah tidak layak huni</t>
  </si>
  <si>
    <t xml:space="preserve">jumlah lokasi pengadaan tanah untuk pembangunan </t>
  </si>
  <si>
    <t>BADAN PENANGGULANGAN BENCANA DAERAH</t>
  </si>
  <si>
    <t>DINAS SATUAN POLISI PAMONG PRAJA</t>
  </si>
  <si>
    <t>Meningkatnya pemahaman tentang nllai-nilai kepahlawanan, keperintisan dan kesetiakawanan sosial (org)</t>
  </si>
  <si>
    <t>Jumlah pemuda yang mengikuti pelatihan (org)</t>
  </si>
  <si>
    <t>Pemenuhan layanan administrasi perkantoran (bln)</t>
  </si>
  <si>
    <t>Pemenuhan sarpras penunjang kerja (Bln)</t>
  </si>
  <si>
    <t>Terlaksananya rehab sedang/ berat sarana dan prasarana BLK</t>
  </si>
  <si>
    <t>Program peningkatan kualitas dan produktivitas tenaga kerja</t>
  </si>
  <si>
    <t>Program peningkatan kesempatan kerja</t>
  </si>
  <si>
    <t>Program Perlindungan dan  Pengembangan lembaga ketenagakerjaan</t>
  </si>
  <si>
    <t>pengawasan yang dilaksanakan (bln)</t>
  </si>
  <si>
    <t>Pembinaan yang dilaksanakan (bln)</t>
  </si>
  <si>
    <t>persentase kelembagaan daerah yang responsif gender dan pemenuhan hak anak</t>
  </si>
  <si>
    <t>Jumkah kecamtan yang tersentuuh perlindungan</t>
  </si>
  <si>
    <t>Jumlah Kecamatan yang menurun kasus kekerasan terhadap perempuan dan anak</t>
  </si>
  <si>
    <t>Jumlah Nagari yang mendapat program perlindungan anak</t>
  </si>
  <si>
    <t>even GOW yang dilaksanakan (kali)</t>
  </si>
  <si>
    <t>V</t>
  </si>
  <si>
    <t>VI</t>
  </si>
  <si>
    <t>Program Pelayanan Administrasi perkantoran</t>
  </si>
  <si>
    <t>Penyediaan Jasa Pengamanan Kantor</t>
  </si>
  <si>
    <t>Pemeliharaan rutin/ berkala gedung kantor</t>
  </si>
  <si>
    <t>Pemeliharaan rutin/ berkala kendaraan dinas operasional</t>
  </si>
  <si>
    <t>Program Peningkatan Disiplin Paratur</t>
  </si>
  <si>
    <t>Pengadaan Pakaian Dinas Beseta Perlengkapan</t>
  </si>
  <si>
    <t>Patroli Kondisifitas ketentraman dan ketertiban umum di wilayah</t>
  </si>
  <si>
    <t>Program Peningkatan dan kenyamanan lingkungan</t>
  </si>
  <si>
    <t>Pengendalian Ketentraman dan Ketertiban umum</t>
  </si>
  <si>
    <t>Penegakan Perda dan Perkara</t>
  </si>
  <si>
    <t xml:space="preserve">Program Pemeliharaan Kantrantibmas dan Pencegahan Tindak Kriminal </t>
  </si>
  <si>
    <t>Forum Penegak Perda</t>
  </si>
  <si>
    <t>Operasional PAM Balimau Paga</t>
  </si>
  <si>
    <t>Operasional PAM Lebaran</t>
  </si>
  <si>
    <t>Mewujudkan mitigasi kebakaran yang handal, dini dan komprehensif</t>
  </si>
  <si>
    <t>Program Penanganan Tanggap Darurat</t>
  </si>
  <si>
    <t>Operasional Pemadam Kebakaran</t>
  </si>
  <si>
    <t>Satpol PP dan Damkar</t>
  </si>
  <si>
    <t>terlaksananya Pelayanan Administrasi perkantoran (bln)</t>
  </si>
  <si>
    <t>Tersedianya pakaian dinas bagi satpol pp (bln)</t>
  </si>
  <si>
    <t>Persentase SDM yang disiplin</t>
  </si>
  <si>
    <t>Operasional Pengamanan Festival Langkisau (bln)</t>
  </si>
  <si>
    <t>Terbayarnya honorarium satgas damkar (bln)</t>
  </si>
  <si>
    <t>Terlaksanaya respon cepat terhadap tanggap darurat bencana (bln)</t>
  </si>
  <si>
    <t>perjalanan dinas luar daerah ( bln)</t>
  </si>
  <si>
    <t>pemenuhan layanan Sarana dan prasarana Aparatur (bln)</t>
  </si>
  <si>
    <t>Pemilharaan rutin berkala kendaraan dinas/operasional</t>
  </si>
  <si>
    <t>Tersedianya layanan kendaraan dinas operasionl</t>
  </si>
  <si>
    <t>Tersedianya layanan Perlengkapan gedung kantor</t>
  </si>
  <si>
    <t>Luas Gedung Kantor Yang Direhab (m2)</t>
  </si>
  <si>
    <t>Jenis Laporan Yang Disampaikan (doumen)</t>
  </si>
  <si>
    <t>Meningkatnya kualitas pelaporan Perangkat daerah (%)</t>
  </si>
  <si>
    <t>Jumlah laporan hasil pengawasan</t>
  </si>
  <si>
    <t>Jumlah gerakan terpadu yang dikoordinasikan</t>
  </si>
  <si>
    <t>Jumlah Sekolah Adiwiyata yang dibina</t>
  </si>
  <si>
    <t>Jumlah Dokumen  Lingkungan Hidup yang dibahas</t>
  </si>
  <si>
    <t>Dokumn KLHS yang dihasilkan</t>
  </si>
  <si>
    <t>Laporan hasil inventarisasi</t>
  </si>
  <si>
    <t>Jumlah laporan hasil pemantauan</t>
  </si>
  <si>
    <t>Pencapaian Kualitas air, kualitas udara dan kualitas tanah di bawah baku mutu (%)</t>
  </si>
  <si>
    <t>VII</t>
  </si>
  <si>
    <t>pemenuhan layanan administrasi perkantoran (bln)</t>
  </si>
  <si>
    <t>Pemenuhan layanan sarpras bagi aparatur (bln)</t>
  </si>
  <si>
    <t>Persentase Lembaga Ekonomi Masyarakat yang aktif</t>
  </si>
  <si>
    <t>Persentase Kesesuaian Dokumen Perencanaan Nagari (%)</t>
  </si>
  <si>
    <t>Persentase nagari yang dibina (%)</t>
  </si>
  <si>
    <t>Jumlah konflik yang ditangani</t>
  </si>
  <si>
    <t>persentase LPM yang aktif membina kelompok</t>
  </si>
  <si>
    <t>persentase kawasan pedesaan yang dikembangkan (%)</t>
  </si>
  <si>
    <t>Meningkatnya masyarakat yang tangguh bencana.</t>
  </si>
  <si>
    <t>Pelaksanaan Festival Langkisau</t>
  </si>
  <si>
    <t>BPBD</t>
  </si>
  <si>
    <t>Meningkatnya penanganan Rehabilitasi dan Rekonstruksi.</t>
  </si>
  <si>
    <t>Operasional dan Pemeliharaan alat-alat berat.</t>
  </si>
  <si>
    <t>Program Kesiapsiagaan</t>
  </si>
  <si>
    <t>Jambore dan Bulan Pengurangan Resiko Bencana</t>
  </si>
  <si>
    <t>Meningkatnya penanganan darurat bencana yang cepat dan tepat.</t>
  </si>
  <si>
    <t>Program Penanganan Tanggap Darurat</t>
  </si>
  <si>
    <t>Persentase Penanganan Bencana Tanggap Darurat.</t>
  </si>
  <si>
    <t>Operasional SAR dan Tim Reaksi Cepat (TRC)</t>
  </si>
  <si>
    <t>Operasional Logistik dan Perlengkapan Gudang Logistik</t>
  </si>
  <si>
    <t>Program Pengelolaan dan Penanganan Dampak Bencana</t>
  </si>
  <si>
    <t>Inventarisasi dan Identifikasi Kerusakan/Kerugian</t>
  </si>
  <si>
    <t>Monitoring dan Evaluasi Kebencanaan</t>
  </si>
  <si>
    <t>Program Pencegahan dan Mitigasi Bencana</t>
  </si>
  <si>
    <t>Operasional dan Perawatan Pusdaltin</t>
  </si>
  <si>
    <t>Meningkatnya penataanusahaan keuangan dan pelaporan yang berkualitas.</t>
  </si>
  <si>
    <t>Cakupan pelayanan administrasi perkantoran.</t>
  </si>
  <si>
    <t>Penyediaan Jasa Komunikasi, Sumber Daya Air dan Listrik.</t>
  </si>
  <si>
    <t>Persentase pelayanan jasa komunikasi,sumber daya air dan listrik.</t>
  </si>
  <si>
    <t>Penyediaan Jasa Administrasi Keuangan.</t>
  </si>
  <si>
    <t>Persentase penyediaan jasa administrasi keuangan.</t>
  </si>
  <si>
    <t>Persentase Pelayanan Jasa Kebersihan kantor.</t>
  </si>
  <si>
    <t>Persentase pelayanan jasa perbaikan peralatan kerja.</t>
  </si>
  <si>
    <t>Persentase layanan penyediaan alat tulis kantor.</t>
  </si>
  <si>
    <t>Persentase pelayanan penyediaan barang cetakan dan penggandaan.</t>
  </si>
  <si>
    <t>Persentase pelayanan penyediaan komponen instalasi listrik/penerangan bangunan kantor.</t>
  </si>
  <si>
    <t>Persentase pelayanan penyediaan bahan bacaan</t>
  </si>
  <si>
    <t>Persentase pelayanan makanan dan minuman kantor.</t>
  </si>
  <si>
    <t>Persentase pelayanan rapat-rapat koordinasi dan konsultasi ke luar daerah.</t>
  </si>
  <si>
    <t>Tersedianya sarana dan prasarana aparatur.</t>
  </si>
  <si>
    <t>Jumlah kendaraan roda enam,roda empat dan roda dua dalam pemeliharaan berkala.</t>
  </si>
  <si>
    <t>jumlah event yang diikuti</t>
  </si>
  <si>
    <t>Persentase Meningkatnya pengetahuan  kebencanaan  masyarakat melalui promosi</t>
  </si>
  <si>
    <t>Program Peningkatan Sarana dan Prasarana Kebina margaan</t>
  </si>
  <si>
    <t>Terlaksananya operasional dan pemeliharaan alat-alat berat (bln)</t>
  </si>
  <si>
    <t>Berfungsinya sarana-prasara kebencanaan (%)</t>
  </si>
  <si>
    <t>Persentase masyarakat yang siap siaga menghadapi bencana</t>
  </si>
  <si>
    <t>Terlaksananya operasional logistik dan perlengkapan gudang logistik. (bln)</t>
  </si>
  <si>
    <t>Persentase perangkat daerah yang memahami tupoksi dalam penanggulangan bencana (%)</t>
  </si>
  <si>
    <t>Persentase kejadian bencana yang terdata</t>
  </si>
  <si>
    <t>jumlah laporan hasin monitoring dan evaluasi triwulannan (dok)</t>
  </si>
  <si>
    <t>Persentasen rapat-rapat koordinasi dan konsultasi dalam daerah.</t>
  </si>
  <si>
    <t>VIII</t>
  </si>
  <si>
    <t>Peningkatan Sarana dan Prasarana Pelayanan Keluarga Berencana</t>
  </si>
  <si>
    <t>Persentase klinik yang terpenuhi sarprasnya</t>
  </si>
  <si>
    <t>beroperasinya balai penyuluh (bln)</t>
  </si>
  <si>
    <t>persentase kelembagaan KB yang  telah ada (%)</t>
  </si>
  <si>
    <t>Persentase KB Wanita</t>
  </si>
  <si>
    <t>IX</t>
  </si>
  <si>
    <t>Jumlah Kendaraan yang layak jalan</t>
  </si>
  <si>
    <t>X</t>
  </si>
  <si>
    <t>cakupan pelayanan Adminstrasi perkantoran (bln)</t>
  </si>
  <si>
    <t>jumlah bulan layanan sarpras kantor bagi aparatur</t>
  </si>
  <si>
    <t>Jumlah SDM ASN yang memiliki kemampuan di bidang Teknologi Informasi dan Komunikasi</t>
  </si>
  <si>
    <t>Persentase cakupan nagari yang terintegrasi smartcity</t>
  </si>
  <si>
    <t>Aplikasi Elektronik Pemerintah (buah)</t>
  </si>
  <si>
    <t>Layanan internet dan intranet (bln)</t>
  </si>
  <si>
    <t>XI</t>
  </si>
  <si>
    <t>XII</t>
  </si>
  <si>
    <t>Terlaksananya administrasi pelayanan perkantoran (bln)</t>
  </si>
  <si>
    <t>tersedianya sarpras penunjang (bln)</t>
  </si>
  <si>
    <t>Program Peningkatan Promosi dan Kerja Sama Investasi</t>
  </si>
  <si>
    <t>Jumlah investor yang menanamkan modal</t>
  </si>
  <si>
    <t>persentase pencapaian target investsi</t>
  </si>
  <si>
    <t>Terlaksananya sistem pelayananan perizinan secara online (bln)</t>
  </si>
  <si>
    <t>Tercapainya pelaksanaan pelayanan perizinan penanaman modal pada investor (bln)</t>
  </si>
  <si>
    <t>Terlaksananya pengawasan dan pengendalian (bln)</t>
  </si>
  <si>
    <t>Program Peningkatan pelayanan Publik Bidang Perizinan</t>
  </si>
  <si>
    <t>Jumlah perizinan dan non perizinan yang diterbitkan</t>
  </si>
  <si>
    <t>Jumlah jajak pendapat yang dilakukan</t>
  </si>
  <si>
    <t>cakupan pelayanan administrasi perkantoran (%)</t>
  </si>
  <si>
    <t>Persentase pemenuhan sarpras bagi aparatur</t>
  </si>
  <si>
    <t>Jumlah anggota JPI yang diseleksi</t>
  </si>
  <si>
    <t>Jumlah anggota paskibraka yang di seleksi ke tingkat provinsi dan Nasional</t>
  </si>
  <si>
    <t>Jumlah peserta sosialisasi</t>
  </si>
  <si>
    <t>Jumlah Atlit dan pemuda berprestasi</t>
  </si>
  <si>
    <t>XIII</t>
  </si>
  <si>
    <t>XIV</t>
  </si>
  <si>
    <t>XV</t>
  </si>
  <si>
    <t>XVI</t>
  </si>
  <si>
    <t>Peningkatan angka kunjungan ke perpustakaan umum daerah, puskel, OPD, Nagari, TBM dll (org)</t>
  </si>
  <si>
    <t>Dinas Kearsipan dan Perpustakaan</t>
  </si>
  <si>
    <t>Terlaksananya Pelayana Pustaka Umum Daerah dan Kantin Baca (bln)</t>
  </si>
  <si>
    <t>Jumlah publikasi yang dilakukan</t>
  </si>
  <si>
    <t>cakuoan layanan sarpras bagi aparatur (bln)</t>
  </si>
  <si>
    <t>Terpeliharanya  Kantor Dinas Kearsipan dan Perpustakaan (bln)</t>
  </si>
  <si>
    <t>Program Penyelamatan  dan Pelestarian Dokumen / Arsip Daerah</t>
  </si>
  <si>
    <t>Jumlah peserta bimtek</t>
  </si>
  <si>
    <t>cakupan layanan Sarana dan prasarana Aparatur (%)</t>
  </si>
  <si>
    <t>Penanganan Hama dan Penyakit Ikan</t>
  </si>
  <si>
    <t>Terbinanya Kelompok Pengolah Pemasar (Poklahsar)</t>
  </si>
  <si>
    <t>Program Pengembangan Destinasi Wisata</t>
  </si>
  <si>
    <t>jumlah destinasi wisata unggulan (Kawasan)</t>
  </si>
  <si>
    <t>pengawasan dan monitoring objek wisata yang di laksanakan (bln)</t>
  </si>
  <si>
    <t>terpeliharanya objek wisata (bln)</t>
  </si>
  <si>
    <t>pengelolaan objek wisata carocok painan (bln)</t>
  </si>
  <si>
    <t>pengelolaan objek wisata Mandeh (bln)</t>
  </si>
  <si>
    <t>Jumlah pembuatan DED dan RAB yang di buat setiap tahunnya</t>
  </si>
  <si>
    <t xml:space="preserve">Angka kunjungan wisata </t>
  </si>
  <si>
    <t>Jumlah Pusat informasi di kawasan mandeh</t>
  </si>
  <si>
    <t>Jenis promosi pariwisata yang dilakukan (kali)</t>
  </si>
  <si>
    <t>Jumlah kelompok sadar wisata yang dibina</t>
  </si>
  <si>
    <t xml:space="preserve">Jumlah  kelompok ekonomi kreatif yang berkembang </t>
  </si>
  <si>
    <t xml:space="preserve">Jumlah event pemilihan Uda-uni </t>
  </si>
  <si>
    <t>pembinaan yang dilakukan (bln)</t>
  </si>
  <si>
    <t>Jumlah kelompok yang difasilitasi</t>
  </si>
  <si>
    <t>Buku hasil pendataan (dokumen)</t>
  </si>
  <si>
    <t>Distanhorbun</t>
  </si>
  <si>
    <t>tersedianyan sarpras bagi aparatur (bln)</t>
  </si>
  <si>
    <t>tersedianya pelaporan kinerja dan keuangan (bln0</t>
  </si>
  <si>
    <t>Jumlah kelompok tani yang menerima bantuan ternak  (kelp)</t>
  </si>
  <si>
    <t>Dinas Nakertran</t>
  </si>
  <si>
    <t>Program Pengembangan Wilayah Transmigrasi</t>
  </si>
  <si>
    <t>Jumlah kelompok tyang dibina</t>
  </si>
  <si>
    <t>Jumlah dokumen perencanaan yang disusun</t>
  </si>
  <si>
    <t>Inspektorat</t>
  </si>
  <si>
    <t>BPKD</t>
  </si>
  <si>
    <t>Program Penyediaan Sarana Prasana Aparatur</t>
  </si>
  <si>
    <t>Tersosialisanya program PD melalui promosi</t>
  </si>
  <si>
    <t>Tercapainya pencegahan kerugian negara</t>
  </si>
  <si>
    <t>Persentase OPD yang memenuhi kualitas penatausahaan keuangan</t>
  </si>
  <si>
    <t>PROGRAM PELAYANAN ADM PERKATORAN</t>
  </si>
  <si>
    <t>Terpenuhinya kebutuhan adm perkantoran untuk aparatur</t>
  </si>
  <si>
    <t>Penyediaan Jasa Surat menyurat</t>
  </si>
  <si>
    <t>Peny. Barang Cetakan dan Penggandaan</t>
  </si>
  <si>
    <t>Penyediaan Komponen Instalasi Listrik/ Penerangan Bangunan Kantor</t>
  </si>
  <si>
    <t>Peny. Bahan Bacaan dan Peraturan Perundang-undangan</t>
  </si>
  <si>
    <t>Peny. Makanan dan Minuman</t>
  </si>
  <si>
    <t>Rapat-rapat dan Koordinasi Dalam Daerah</t>
  </si>
  <si>
    <t>Penunjang  operasional perencanaan dan pelaporan</t>
  </si>
  <si>
    <t>Jumlah dokumen perencanaan yang tersedia</t>
  </si>
  <si>
    <t>PROGRAM PENINGKATAN SARANA DAN PRASARANA APARATUR</t>
  </si>
  <si>
    <t>Pemeliharaan Rutin/ berkala Gedung Kantor</t>
  </si>
  <si>
    <t>Pemeliharaan Rutin/ berkala Kendaraan Dinas/ Operasional</t>
  </si>
  <si>
    <t>PROGRAM KERJASAMA PEMBANGUNAN</t>
  </si>
  <si>
    <t>Mewujudkan Perencanaan Pembangunan Berbasis Peta Berstandar</t>
  </si>
  <si>
    <t>PROGRAM PENGEMBANGAN DATA INFORMASI</t>
  </si>
  <si>
    <t>Forum Data kabupaten Pesisir Selatan</t>
  </si>
  <si>
    <t>Tersedianya data informasi bagi pengambilan kebijakan daerah (Laporan)</t>
  </si>
  <si>
    <t xml:space="preserve">Koordinasi Penyusunan Profil Daerah </t>
  </si>
  <si>
    <t>Penyedian Data Statistik Daerah</t>
  </si>
  <si>
    <t>Tersedianya data informasi bagi pengambilan kebijakan daerah</t>
  </si>
  <si>
    <t>PROGRAM PERENCANAAN PRASARANA WILAYAH DAN SDA</t>
  </si>
  <si>
    <t>Koordinasi Perencanaan Bidang Prasarana Wilayah</t>
  </si>
  <si>
    <t>PROGRAM PERENCANAAN TATA RUANG</t>
  </si>
  <si>
    <t>PROGRAM PERENCANAAN PEMBANGUNAN EKONOMI</t>
  </si>
  <si>
    <t>Koordinasi penanggulangan kemiskinan daerah</t>
  </si>
  <si>
    <t>Meningkatnya Keselaranasan Dokumen Perencanaan Pembangunan</t>
  </si>
  <si>
    <t>PROGRAM PERENCANAAN PEMBANGUNAN DAERAH</t>
  </si>
  <si>
    <t xml:space="preserve">Terwujudnya sistem perencanaan daerah yang berkualitas dan partisipatif </t>
  </si>
  <si>
    <t>Penyelenggaraan Musrenbang RKPD</t>
  </si>
  <si>
    <t xml:space="preserve">Penyusunan Nota Kesepakatan KUA dan PPA APBD Kab. Pessel </t>
  </si>
  <si>
    <t xml:space="preserve">Penyusunan Nota Kesepakatan KUA dan PPA APBD Perubahan </t>
  </si>
  <si>
    <t>Penyusunan PERDA RPJMD Kab. Pessel Th. 2016 - 2021</t>
  </si>
  <si>
    <t>Fasilitasi dan sinkronisasi RPJM  Nagari</t>
  </si>
  <si>
    <t>Koodinasi penyusunan  perencanaan dan penganggaran daerah</t>
  </si>
  <si>
    <t>Pengelolaan Sistem Informasi perencanaan pembangunan Daerah</t>
  </si>
  <si>
    <t>Monitoring, Evaluasi Pengendalian dan Pelaporan Pelaksanaan Rencana pembangunan</t>
  </si>
  <si>
    <t>Meningkatnya Efektifitas Pelaksanaan Program Kegiatan Pembangunan</t>
  </si>
  <si>
    <t>PROGRAM  PERENCANAAN PENGEMBANGAN KOTA-KOTA MENENGAH DAN BESAR</t>
  </si>
  <si>
    <t>Koordinasi program pembangunan sanitasi dan permukiman (PPSP)</t>
  </si>
  <si>
    <t xml:space="preserve">Penunjang Program Penyediaan Air Minum dan Sanitasi Masyarakat (PAMSIMAS) </t>
  </si>
  <si>
    <t>Terkoordinasikannya pelaksanaan program Pamsimas</t>
  </si>
  <si>
    <t>PROGRAM PERENCANAAN SOSIAL BUDAYA</t>
  </si>
  <si>
    <t>Koordinasi Perencanaan Pembangunan Bidang Sosial Budaya</t>
  </si>
  <si>
    <t>Koordinasi program IPDMIP Kab, Pessel</t>
  </si>
  <si>
    <t>Koordinasi Perencanaan Pembangunan Bidang Ekonomi</t>
  </si>
  <si>
    <t>Terkoordinasikannya perencanaan pembangunan lingkup bidan ekonomi</t>
  </si>
  <si>
    <t>Terwujudnya akselerasi pembangunan di Kawasan Pedesaan</t>
  </si>
  <si>
    <t>Terwujudnya Akurasi Keputusan Pembangunan</t>
  </si>
  <si>
    <t>PROGRAM PENGEMBANGAN SISTEM INOVASI DAERAH</t>
  </si>
  <si>
    <t>pengembangan inovasi pada generasi muda</t>
  </si>
  <si>
    <t>Terciptanya inovasi pada generasi muda (inovasi)</t>
  </si>
  <si>
    <t>Forum Inovasi Daerah</t>
  </si>
  <si>
    <t>Terkoordinasinya dewan riset daerah</t>
  </si>
  <si>
    <t>PROGRAM PENELITIAN , PENGEMBANGAN DAN PEMANFAATAN SDM &amp; IPTEK DAERAH</t>
  </si>
  <si>
    <t>Koordinasi kelitbangan</t>
  </si>
  <si>
    <t>Meningkatnya kerjasama antara pusat, provinsi dan daerah serta peningkatan kinerja daerah (kerjasama)</t>
  </si>
  <si>
    <t>penngkajian pemanfaatan dana desa</t>
  </si>
  <si>
    <t>Terwujudnya konsistensi penelitian dan penganggaran dana desa</t>
  </si>
  <si>
    <t>Penguatan kerjasama kelitbangan</t>
  </si>
  <si>
    <t>Terhimpunnya informasi untuk pembangunan daerah dan penerapan inovasi yang ada di Kab. Pessel (kerjasama)</t>
  </si>
  <si>
    <t>Penataan kawasan pariwisata berbasis daur ulang</t>
  </si>
  <si>
    <t>Terciptanya kawasan wisata yang asri dan nyaman (kawasan)</t>
  </si>
  <si>
    <t>Kajian strategis pembukaan jalan Kambang Muaro Labuh</t>
  </si>
  <si>
    <t>Tersedianya hasil kajian terhadap pembukaan jalan kambang muaro labuah (kajian)</t>
  </si>
  <si>
    <t>Terpenuhinya sarana dan prasarana bagi aparatur (bln)</t>
  </si>
  <si>
    <t>Tersediannya BBM, service, suku cadang, jasa KIR dan pembayaran STNK bagi kendaraan dinas operasional (bln)</t>
  </si>
  <si>
    <t>Terwujudnya singkronisasi rencana pembangunan daerah (%)</t>
  </si>
  <si>
    <t>terlaksanaya koordinasi dengan instansi mitra kerja (bln)</t>
  </si>
  <si>
    <t>Persentase kesesuaian rencana pembangunan dengan RTRW</t>
  </si>
  <si>
    <t>Buku Strategi Penanggulangan Kemiskinan Daerah (dok)</t>
  </si>
  <si>
    <t>terselenggaranya musrenbang kabupaten (kali)</t>
  </si>
  <si>
    <t>Laporan triwulan  evaluasi RKPD (dok)</t>
  </si>
  <si>
    <t>Laporan triwulan hasil monev pelaksanaan DAK dan TP (dok)</t>
  </si>
  <si>
    <t>Terwujudnya singkronisasi rencana pembangunan kawasan perkotaan (%)</t>
  </si>
  <si>
    <t>Terkoordinasikannya pelaksanaan program AMPL dan PPSP  (dok)</t>
  </si>
  <si>
    <t>Terkoordinasikannya perencanaan pembangunan lingkup bidang sosial budaya (bln)</t>
  </si>
  <si>
    <t>Terkoordinasikannya kegiatan IPDMIP (bln)</t>
  </si>
  <si>
    <t>terpenuhinya pelayanan adminstrasi perkantoran (bln)</t>
  </si>
  <si>
    <t>Tersedianya jasa telpon, sumber daya air dan listrik (bln)</t>
  </si>
  <si>
    <t xml:space="preserve">Tersedianya pembayaran/honorarium tenaga administrasi keuangan BKPSDM </t>
  </si>
  <si>
    <t>Tersedianya petugas kebersihan kantor (bln)</t>
  </si>
  <si>
    <t>Tersedianya alat tulis kantor untuk operasional BKPSDM (bln)</t>
  </si>
  <si>
    <t>Tersedianya barang cetakan dan penggadaan pada BKPSDM (bln)</t>
  </si>
  <si>
    <t>Tersedianya komponen instalasi listrik bangunan kantor BKPSDM  (bln)</t>
  </si>
  <si>
    <t>Tersedianya bahan bacaan (koran) dan peraturan perundang-undangan  (bln)</t>
  </si>
  <si>
    <t>Tersedianya makanan dan minuman pada BKPSDM  (bln)</t>
  </si>
  <si>
    <t>Terwujudnya koordinasi dan konsultasi ke luar daerah dengan instansi terkait (bln)</t>
  </si>
  <si>
    <t>Terwujudnya koordinasi dan konsultasi kedalam daerah dengan instansi terkait (bln)</t>
  </si>
  <si>
    <t>Tersampaikannya informasi pembangunan (Festival Langkisau, Pawai Legoris, Acara HUT RI)  (bln)</t>
  </si>
  <si>
    <t>Tersedianya jasaperalatan dan perlengkapan kantor (bln)</t>
  </si>
  <si>
    <t>Tersedinya layanan sarpras bagi aparatur (bln)</t>
  </si>
  <si>
    <t>tersedianya ASN yang profesional (org)</t>
  </si>
  <si>
    <t>Terselengaranya pelaporan Kinerja dan keuangan (bln)</t>
  </si>
  <si>
    <t>Jumkah aparatur yang mengikuti pendidikan sesuai jenjang</t>
  </si>
  <si>
    <t>Terwujudnya sisten inovasi daerah</t>
  </si>
  <si>
    <t>Terselengaranya kajian kebijakan pembangunan yang berkualitas (jml kajian)</t>
  </si>
  <si>
    <t>Setda</t>
  </si>
  <si>
    <t>Setwan</t>
  </si>
  <si>
    <t>Tersedianya jasa surat menyurat (bulan)</t>
  </si>
  <si>
    <t>Tersedianya Jasa Pengamanan Kantor  (bulan)</t>
  </si>
  <si>
    <t>Rapat-rapat Koordinasi dan Konsultasi ke Dalam Daerah</t>
  </si>
  <si>
    <t>Tersedianya dana untuk Rapat-rapat Koordinasi dan Konsultasi ke Dalam Daerah (bulan)</t>
  </si>
  <si>
    <t>Tersedianya dana Penunjang Operasional Perencanaan dan Pelaporan</t>
  </si>
  <si>
    <t>Penyediaan Jasa Publikasi</t>
  </si>
  <si>
    <t>Tersedianya Dana untuk mempublikasikan kegiatan DPRD</t>
  </si>
  <si>
    <t>Pengadaan Perlengkapan Rumah Jabatan / Dinas</t>
  </si>
  <si>
    <t>Tersedianya Perlengkapan Rumah Jabatan/Dinas (paket)</t>
  </si>
  <si>
    <t>Pengadaan Peralatan Rumah Jabatan / Dinas</t>
  </si>
  <si>
    <t>Tersedianya Peralatan Rumah Jabatan/Dinas (paket)</t>
  </si>
  <si>
    <t>Tersedianya Peralatan Gedung Kantor (paket)</t>
  </si>
  <si>
    <t>Terpeliharanya kondisi rumah Jabatan (bulan)</t>
  </si>
  <si>
    <t>Terpeliharanya kondisi Gedung  kantor (bulan)</t>
  </si>
  <si>
    <t>Pemeliharaan Rutin/Berkala Mobil Jabatan</t>
  </si>
  <si>
    <t>Terpeliharanya Kondisi Mobil Jabatan (bulan)</t>
  </si>
  <si>
    <t>Pemeliharaan Rutin/Berkala Peralatan Rumah Jabatan/Dinas</t>
  </si>
  <si>
    <t>Terpeliharanya kondisi peralatan rumah Jabatan/dinas (bulan)</t>
  </si>
  <si>
    <t>Meningkatkan disiplin aparatur</t>
  </si>
  <si>
    <t>Program Peningkatan Disiplin Aparatur</t>
  </si>
  <si>
    <t>Pengadaan pakaian dinas beserta perlengkapannya</t>
  </si>
  <si>
    <t>Jumlah pakaian dinas yang disediakan (stel)</t>
  </si>
  <si>
    <t>Meningkatkan Kapasitas Kelembagaan Dewan Perwakilan Rakyat Daerah</t>
  </si>
  <si>
    <t>Program Peningkatan Kapasitas Lembaga Perwakilan Rakyat Daerah</t>
  </si>
  <si>
    <t>Pembahasan Rancangan Peraturan Daerah</t>
  </si>
  <si>
    <t>Jumlah Peraturan dan Keputusan yang disahkan</t>
  </si>
  <si>
    <t>Hearing/Dialog dan Koordinasi dengan Pejabat Pemerintah Daerah dan Tokoh Masyarakat/Tokoh Agama</t>
  </si>
  <si>
    <t>Jumlah Rapat-Rapat Hearing/dialog yang dilaksanakan</t>
  </si>
  <si>
    <t>Rapat-rapat Alat Kelengkapan</t>
  </si>
  <si>
    <t>Rapat-rapat  Paripurna</t>
  </si>
  <si>
    <t>Jumlah Rapat-Rapat Paripurna</t>
  </si>
  <si>
    <t>Kegiatan Reses</t>
  </si>
  <si>
    <t xml:space="preserve">Terselenggaranya penyerapan aspirasi dari konstituen daerah pemilihan  </t>
  </si>
  <si>
    <t>Peningkatan Kapasitas Pimpinan dan Anggota DPRD</t>
  </si>
  <si>
    <t xml:space="preserve">Terselenggaranya kegiatan Peningkatan Kapasistas Pimpinan dan Anggota DPRD </t>
  </si>
  <si>
    <t>Konsultasi, Koordinasi dan Pembinaan Alat Kelengkapan DPRD</t>
  </si>
  <si>
    <t>Terselenggaranya konsultasi, koordinasi dan Pembinaan Alat Kelengkapan DPRD</t>
  </si>
  <si>
    <t>Konsultasi, Koordinasi dan Pembinaan Pimpinan DPRD</t>
  </si>
  <si>
    <t>Terselenggaranya konsultasi, koordinasi dan Pembinaan Pimpinan dan anggota DPRD</t>
  </si>
  <si>
    <t>Kunjungan Kerja Pimpinan dan Anggota DPRD Dalam dan Luar Daerah</t>
  </si>
  <si>
    <t>Terselenggaranya kunjungan kerja Pimpinan dan anggota DPRD</t>
  </si>
  <si>
    <t>General Check Up Pimpinan dan Anggota  DPRD</t>
  </si>
  <si>
    <t>Tersedianya kegiatan General Chech Up Pimpinan dan Anggota DPRD</t>
  </si>
  <si>
    <t>Jumlah cakupan pelayanan admnistrasi perkantoran (bln)</t>
  </si>
  <si>
    <t>layanan  sarana dan prasarana aparatur (bln)</t>
  </si>
  <si>
    <t>Meningkatnya disiplin Aparatur dan anggota DPRD</t>
  </si>
  <si>
    <t>Terpenuhinya dan terlaksananya tugas kedewanan anggota DPRD Kab. Pessel (bln)</t>
  </si>
  <si>
    <t xml:space="preserve">                                                                                                                                                                                              </t>
  </si>
  <si>
    <t>Pelaksanaan rapat - rapat koordinasi dalam daerah (bln )</t>
  </si>
  <si>
    <t>Pelaksanaan rapat - rapat koordinasi luar daerah (bln )</t>
  </si>
  <si>
    <t>makan minum rapat dan tamu (bln)</t>
  </si>
  <si>
    <t>Jumlah peralatan dan perlengkapan kantor (bln)</t>
  </si>
  <si>
    <t>Komponen penerangan bangunan kantor (bln)</t>
  </si>
  <si>
    <t>terpenuhinya Kebutuhan alat tulis kantor (bln)</t>
  </si>
  <si>
    <t>kebutuhan jasa kebersihan kantor (bln)</t>
  </si>
  <si>
    <t>terlaksananya inventarisasi aset (bln)</t>
  </si>
  <si>
    <t>Jumlah pakaian kerja lapangan (paket)</t>
  </si>
  <si>
    <t>Panjang jalan kabupaten yang terpelihara</t>
  </si>
  <si>
    <t>Persentase jembatan kabupaten terpelihara</t>
  </si>
  <si>
    <t>Persentase Pengembangan Wilayah Strategis </t>
  </si>
  <si>
    <t>Persentase efektifitas monoev</t>
  </si>
  <si>
    <t>persentase taman kota kondisi baik</t>
  </si>
  <si>
    <t>Pemeliharaan taman (bln)</t>
  </si>
  <si>
    <t>Persentase kondisi jalan mantap (baik+sedang)</t>
  </si>
  <si>
    <t>Jembatan yang ditingkatlkan</t>
  </si>
  <si>
    <t>ruas jalan kondisi baik</t>
  </si>
  <si>
    <t>Terselengaranya TPKRD (bln)</t>
  </si>
  <si>
    <t>terlaksanaya proses  rekomendasi IUJK (bln)</t>
  </si>
  <si>
    <t>Beroperasionalnya Alat berat dan laoratorium (bln)</t>
  </si>
  <si>
    <t>Jumlah Alat ukur dan bahan laboratorium kebinamargaan (paket)</t>
  </si>
  <si>
    <t xml:space="preserve"> penunjang AMPL (bln)</t>
  </si>
  <si>
    <t>Pemeliharaan Sarana Prasarana Air Bersih Kab. Pesisir Selatan (bln)</t>
  </si>
  <si>
    <t>Operasional IPLT (bln)</t>
  </si>
  <si>
    <t>pemeliharaan tenda (bln)</t>
  </si>
  <si>
    <t xml:space="preserve"> Operasioanal TPA (bln)</t>
  </si>
  <si>
    <t xml:space="preserve"> Operasioanal tenaga Kebersihan (bln)</t>
  </si>
  <si>
    <t>Pemeliharaan Kendaraan Kebersihan (bln)</t>
  </si>
  <si>
    <t>Faktor pendorong keberhasilan kinerja:</t>
  </si>
  <si>
    <t>Tindak lanjut yang diperlukan dalam RKPD berikutnya:</t>
  </si>
  <si>
    <t>: Terlampir</t>
  </si>
  <si>
    <t>BUPATI PESISIR SELATAM</t>
  </si>
  <si>
    <t>H. HENDRAJONI, SH. MH.</t>
  </si>
  <si>
    <t>YOZKI WANDRI, S.Pi. M.Si.</t>
  </si>
  <si>
    <t>NIP. 19750101 200003 1 003</t>
  </si>
  <si>
    <t>Urusan/Bidang Urusan Pemerintahan Daerah Dan Program/Kegiatan</t>
  </si>
  <si>
    <t>Rehabilitasi/sedang berat bangunan sekolah</t>
  </si>
  <si>
    <t>jumlah sekolah yang direhabilitasi atau diperbaiki</t>
  </si>
  <si>
    <t>Monitoring dan Evaluasi dan Pelaporan Pembinaan dan Pembelajaran Sekolah</t>
  </si>
  <si>
    <t>Terlaksananya Kegiatan monitoring dan evaluasi pembelajaran sekolah</t>
  </si>
  <si>
    <t>tersedianya mobiler kantor (paket)</t>
  </si>
  <si>
    <t>Pemeliharaan rutin /berkala gedung kantor</t>
  </si>
  <si>
    <t>Terpiliharanya gedung kantor dinas perikanan (paket)</t>
  </si>
  <si>
    <t>0,20</t>
  </si>
  <si>
    <t>0,169</t>
  </si>
  <si>
    <t>Program Peningkatan sarana dan Prasarana Aparatur</t>
  </si>
  <si>
    <t>Penunjang Kegiatan WTN</t>
  </si>
  <si>
    <t>Program Pengendalian dan Pengamanan Lalu Lintas</t>
  </si>
  <si>
    <t>Jumlah alat pengendali dan pengamanan lalu lintas</t>
  </si>
  <si>
    <t>Pelaksanaan Promosi dan Publikasi</t>
  </si>
  <si>
    <t>Penyedian makan dan minum</t>
  </si>
  <si>
    <t>Pemeliharaan Rutin/Berkala Kenderaan Dinas operasional</t>
  </si>
  <si>
    <t>Penyusunan Perjanjian Kinerja</t>
  </si>
  <si>
    <t>Persentase Peningkatan Sinkronisasi Perjanjian Kinerja Eselon,II,III,IV dengan Renja dan Renstra</t>
  </si>
  <si>
    <t>Mengasilkan tenaga keuangan berkualitas</t>
  </si>
  <si>
    <t>j</t>
  </si>
  <si>
    <t>Pemenuhan pelayanan administrasi kantor (bln)</t>
  </si>
  <si>
    <t>DINAS PEKERJAAN UMUM DAN PENATAAN RUANG</t>
  </si>
  <si>
    <t>ruas jalan yang ditingkatkan (ruas)</t>
  </si>
  <si>
    <t>Terwujudnya dukungan terhadap sektor pariwisata (%)</t>
  </si>
  <si>
    <t>Terwujudnya ;ingkungan bersih dan bebas sampah (%)</t>
  </si>
  <si>
    <t>Jumlah paket Normalisasi Saluran Sungai (Paket)</t>
  </si>
  <si>
    <t>laporan Pengawasan dan Konservasi Sumber Daya Air (Dokumen)</t>
  </si>
  <si>
    <t>Luas genangan yang dikeringkan (Ha)</t>
  </si>
  <si>
    <t xml:space="preserve"> Dokumen UKL-UPL (Dokumen)</t>
  </si>
  <si>
    <t>Laporan Pelaksanaan AMDAL (Dokumen)</t>
  </si>
  <si>
    <t>Jumlah paket Rehabilitasi dan Pemeliharaan Bantaran Tanggul Sungai</t>
  </si>
  <si>
    <t xml:space="preserve"> Database Sungai dan Pantai</t>
  </si>
  <si>
    <t>Jumlah paket Pengeringan dan Pengurangan Banjir Pada Daerah Rawa</t>
  </si>
  <si>
    <t>Jumlah Pembersihan dan Pengerukan Sungai yang dilakukan (kegiatan)</t>
  </si>
  <si>
    <t>Jumlah rumah dinas yang dibangun (unit)</t>
  </si>
  <si>
    <t>Jumlah gedungkantor yang direhab berat (unit)</t>
  </si>
  <si>
    <t>Tersedianya Meubiler (unit)</t>
  </si>
  <si>
    <t>Terlaksananya Pemeliharaan Rutin/ Berkala Kendaraan Dinas Operasional (bln)</t>
  </si>
  <si>
    <t>Terlaksananya Pemeliharaan Rutin/ Berkala Peralatan Gedung Kantor (bln)</t>
  </si>
  <si>
    <t>Jumlah rumah dinas yang direhab (unit)</t>
  </si>
  <si>
    <t>laporan Monitoring Evaluasi dan Pelaporan (dokumen)</t>
  </si>
  <si>
    <t>dokumen perencanaan dan anggaran SKPD (dokumen)</t>
  </si>
  <si>
    <t>Laporan Monitoring dan Evaluasi Penataan Kawasan Permukiman (dokumen)</t>
  </si>
  <si>
    <t>Laporan Monitoring dan Evaluasi Penataan Kegiatan Perumahan (dok)</t>
  </si>
  <si>
    <t>Terlaksananya rapat-rapat tentang pembangunan kawasan permukiman (bln)</t>
  </si>
  <si>
    <t>Jumlah peserta sosialisasi (org)</t>
  </si>
  <si>
    <t>Tersedianya Penunjang Permukiman dan BSPS (bln)</t>
  </si>
  <si>
    <t>Terlaksananhya pembangunan jalan minapolitan mandeh (km)</t>
  </si>
  <si>
    <t>Jumlah RTLH yang dibedah (unit)</t>
  </si>
  <si>
    <t>Laporan Validasi data PBI APBD (dok)</t>
  </si>
  <si>
    <t>Program Penciptaan Iklim Usaha Kecil Menengah yang Kondusif</t>
  </si>
  <si>
    <t>Penggunaan SKIP (sistem Informasi kredit program) KUR</t>
  </si>
  <si>
    <t>Program Pengembangan kewirausahaan dan keunggulan Kompetitif usaha kecil menengah</t>
  </si>
  <si>
    <t>Penyelengaraan Pelatihan Kewirausahaan</t>
  </si>
  <si>
    <t>Pendataan validasi data UMKM</t>
  </si>
  <si>
    <t>8000</t>
  </si>
  <si>
    <t>Penyelenggaraan bazar dan promosi produk UMKM</t>
  </si>
  <si>
    <t>jumlah bazar yang di ikuti (paket)</t>
  </si>
  <si>
    <t>6</t>
  </si>
  <si>
    <t>Bintek peningkatan Kapasitas SDM UMKM</t>
  </si>
  <si>
    <t>Jumlah UMKM yang mengikuti bintek</t>
  </si>
  <si>
    <t>600</t>
  </si>
  <si>
    <t>60</t>
  </si>
  <si>
    <t>Bantuan Sarana dan Prasarana bagi UMKM</t>
  </si>
  <si>
    <t>400</t>
  </si>
  <si>
    <t>135</t>
  </si>
  <si>
    <t>Pengembangan Produk Unggulan Daerah</t>
  </si>
  <si>
    <t>Jumlah UMKM ola PUD dengan Pedekatan OVOP yang terbina</t>
  </si>
  <si>
    <t>120</t>
  </si>
  <si>
    <t>Program Peningkatan Kualitas Kelembagaan Koperasi</t>
  </si>
  <si>
    <t>Persentase koperasi aktif melaksanakan RAT</t>
  </si>
  <si>
    <t xml:space="preserve">Sosialisasi prinsip -prinsip pemahaman kopersaian </t>
  </si>
  <si>
    <t>Jumlah koperasi yang mengikuti bintek</t>
  </si>
  <si>
    <t>300</t>
  </si>
  <si>
    <t>Pembinaan dan pengawasan dan penghargaan koperasi berprestasi dan peringkatan hari koperasi</t>
  </si>
  <si>
    <t>Jumlah koperasi yang menerima penghargaan koperasi berprestasi</t>
  </si>
  <si>
    <t>Jumlah koperasi yang dibina dan diawasi</t>
  </si>
  <si>
    <t>350</t>
  </si>
  <si>
    <t>110</t>
  </si>
  <si>
    <t>Pelatihan Akutansi Koperasi</t>
  </si>
  <si>
    <t>150</t>
  </si>
  <si>
    <t>Revitalisasi koperasi/KUD</t>
  </si>
  <si>
    <t>jumlah koperasi yang direvilisasi</t>
  </si>
  <si>
    <t>Bintek kelembagaan dan usaha koperasi</t>
  </si>
  <si>
    <t>Pemberdayaan kelembagaan Dharmawanita persatuan kabupaten</t>
  </si>
  <si>
    <t>Pemberdayaan kelembagaan BKMT Kabupaten</t>
  </si>
  <si>
    <t>Operasional Balai Benih Ikan (BBI) Pincuran</t>
  </si>
  <si>
    <t>koodinasi percepatan pemb. Kawasan perdesaan</t>
  </si>
  <si>
    <t>Pengadaann alat kesehatan (Penunjang DAK)</t>
  </si>
  <si>
    <t>Pengadaan Alat Kesehatan  (DAK 2018)</t>
  </si>
  <si>
    <t xml:space="preserve">Pesentase alat kesehatan </t>
  </si>
  <si>
    <t>Dukumen lingkungan</t>
  </si>
  <si>
    <t>Sosialisasi program kegiatan bantuan perumahan</t>
  </si>
  <si>
    <t>Tersedianya jasa komunikasi, sumber daya air dan listrik (bln)</t>
  </si>
  <si>
    <t>Tersedianya jasa administrasi keuangan (bln)</t>
  </si>
  <si>
    <t>Tersedianya jasa kebersihan kantor (bln)</t>
  </si>
  <si>
    <t>Tersedianya jasa perbaikan peralatan kerja (bln)</t>
  </si>
  <si>
    <t>Tersedianya alat tulis kantor (bln)</t>
  </si>
  <si>
    <t>Tersedianya barang cetakan dan penggandaan (bln)</t>
  </si>
  <si>
    <t>Tersedianya komponen instalasi listrik/ penerangan bangunan kantor (bln)</t>
  </si>
  <si>
    <t>Tersedianya Bahan Bacaan dan Peraturan Perundang-undangan (bln)</t>
  </si>
  <si>
    <t>Tersedianya makanan dan minuman (bln)</t>
  </si>
  <si>
    <t>Tersedianya biaya rapat koordinasi dan konsultasi keluar daerah (bln)</t>
  </si>
  <si>
    <t>Tersedianya biaya rapat koordinasi dan konsultasi dalam daerah (bln)</t>
  </si>
  <si>
    <t>Terlaksananya Pembinaan dan Pengelolaan Aset (bln)</t>
  </si>
  <si>
    <t>Terlaksananya program peningkatan sarana dan prasarana aparatur (bln)</t>
  </si>
  <si>
    <t>Terlaksananya pengadaan peralatan gedung kantor (bln)</t>
  </si>
  <si>
    <t>Pengadaan Meubilier</t>
  </si>
  <si>
    <t>Terlaksananya pengadaan mebeleur (bln)</t>
  </si>
  <si>
    <t>Pemeliharaan Rutin/Berkala Alat Berat</t>
  </si>
  <si>
    <t>Terlaksananya pemeliharaan alat berat (bln)</t>
  </si>
  <si>
    <t>Terlaksananya pemeliharaan rutin/ berkala gedung kantor (bln)</t>
  </si>
  <si>
    <t>Terlaksananya pemeliharaan rutin/ berkala kendaraan dinas/ operasional (bln)</t>
  </si>
  <si>
    <t>Persentase peningkatan kapasitas aparatur</t>
  </si>
  <si>
    <t>Jumlah aparatur yang mengikuti pelatihan (org)</t>
  </si>
  <si>
    <t>Persentase Saluran Drainase/ Gorong - Gorong kondisi baik (%)</t>
  </si>
  <si>
    <t>Tersedianya Perencanaan Saluran Drainase / Gorong-Gorong (Dok)</t>
  </si>
  <si>
    <t>Jumlah dokumen Perencanaan Normalisasi Saluran Sungai (Dokumen)</t>
  </si>
  <si>
    <t>Jumlah paket pekerjaan Rehabilitasi / pemeliharaan jaringan irigasi  (Paket)</t>
  </si>
  <si>
    <t>Jumlah Dokumen Perencanaan Irigasi yang dibuat (Dok)</t>
  </si>
  <si>
    <t>Jumlah paket pekerjaan optimalisasi fungsi jaringan irigasi (Paket)</t>
  </si>
  <si>
    <t>Jumlah paket pekerjaan peningkatan dan rehabilitasi jaringan irigasi (Paket)</t>
  </si>
  <si>
    <t>dokumen database irigasi (Dokumen)</t>
  </si>
  <si>
    <t>Laporan triwulan Monitoring Pembangunan Irigasi, Sungai, Rawa dan Embung (Dokumen)</t>
  </si>
  <si>
    <t>Jumlah dokumen Perencanaan Embung dan Bangunan Penampungan Air Lainnya (Paket)</t>
  </si>
  <si>
    <t>Pemenuhan layanan adminstrasi perkantoran (bln)</t>
  </si>
  <si>
    <t xml:space="preserve">Terlaksananya pembayaran rekening Listrik, Air, dan Koran bln </t>
  </si>
  <si>
    <t>Terpenuhinya pembayaran jasa administrasi keuangan (bln)</t>
  </si>
  <si>
    <t>Terlaksananya pembayaran jasa kebersihan kantor dan tersedianya alat kebersihan kantor  (bln)</t>
  </si>
  <si>
    <t>Tersedianya barang cetakan dan tersedianya penggandaan dokumen (bln)</t>
  </si>
  <si>
    <t>Tersedianya komponen instalasi listrik/penerangan bangunan (bln)</t>
  </si>
  <si>
    <t>Tersedianya Peralatan dan Perlengkapan Kantor (bln)</t>
  </si>
  <si>
    <t>Tersedianya makan minum rapat, makan minum tamu, makan minum harian (bln)</t>
  </si>
  <si>
    <t>Tersedianyan biaya rapat-rapat  keluar daerah (bln)</t>
  </si>
  <si>
    <t>Jumlah Dokumen Data Base Kawasan Permukiman yang disusun (dok)</t>
  </si>
  <si>
    <t>Jumlah lokasi rumah tapak yang dimatangkan (buah)</t>
  </si>
  <si>
    <t>Tersedianya Dokumen Data Base Perumahan Permukiman (dok)</t>
  </si>
  <si>
    <t>Database Rumah Tidak Layak Huni (dok)</t>
  </si>
  <si>
    <t xml:space="preserve"> Dokumen RP3KP (dok)</t>
  </si>
  <si>
    <t>Tersedianya Penunjang kegiatan Penyediaan dan Pelaksanaan (bln)</t>
  </si>
  <si>
    <t>jumlah Tangki Septik yang dibangun (unit)</t>
  </si>
  <si>
    <t>Terlaksananya Penunjang Pembangunan Infrastruktur Sanitasi (bln)</t>
  </si>
  <si>
    <t>Jumlah masyarakat yang mengikuti sosialisasi (org)</t>
  </si>
  <si>
    <t>jumlah event jambore yang diikuti (kegiatan)</t>
  </si>
  <si>
    <t>Terlaksananya Operasional SAR dan Tim Reaksi Cepat (bln).</t>
  </si>
  <si>
    <t>Jumlah data dan laporan triwulan yang dihasilkan (dokumen)</t>
  </si>
  <si>
    <t>berfungsinya Early Warning System (EWS) (bln)</t>
  </si>
  <si>
    <t>Rek. Listrik, Telp, air untk (bln)</t>
  </si>
  <si>
    <t>Penatausahaan Keuangan bln)</t>
  </si>
  <si>
    <t>tersedianya kebersihan kantor (bln)</t>
  </si>
  <si>
    <t>tersediannya jasa service peralatan (bln)</t>
  </si>
  <si>
    <t>tersedianya alat tulis kantor (bln)</t>
  </si>
  <si>
    <t>tersedianya barang cetakan dan pengadaan (bln)</t>
  </si>
  <si>
    <t>tersedianya alat listrik dan elektronik (bln)</t>
  </si>
  <si>
    <t>tersedia surat kabar untuk (bln)</t>
  </si>
  <si>
    <t>makanan dan minuman harian, rapat, tamu  (bln)</t>
  </si>
  <si>
    <t>Honorarium, makan petugas piket (bln)</t>
  </si>
  <si>
    <t>perjalanan dinas dalam daerah  (bln)</t>
  </si>
  <si>
    <t>Tersedianya sarana dan prasarana aparatur (bln)</t>
  </si>
  <si>
    <t>Tersedianya peralatan kantor yang layak (bln)</t>
  </si>
  <si>
    <t>Terpeliharanya gedung kantor (bln)</t>
  </si>
  <si>
    <t>terpeliharanya kendaraan dinas/ operasional (bln)</t>
  </si>
  <si>
    <t>Persentase terwujudnya tertib dan amanya lingkungan</t>
  </si>
  <si>
    <t>Persentase Penegakan Perda</t>
  </si>
  <si>
    <t>Persentase terwujudnya Kantrantibmas dan Berkurang tindak kriminal</t>
  </si>
  <si>
    <t>terlaksanya Koordinasi antara Penegak Perda (bln)</t>
  </si>
  <si>
    <t>Terlaksanaya pengamanan  Balimau Paga (keg)</t>
  </si>
  <si>
    <t>Terlaksanaya pengamanan  festival langkisau (keg)</t>
  </si>
  <si>
    <t>Terlaksanaya pengamanan  lebaran (keg)</t>
  </si>
  <si>
    <t>Terpenuhinya kebutuhan terhadap telepon, air dan listrik (bln)</t>
  </si>
  <si>
    <t>Terpenuhinya jasa administrasi dan laporan keuangan (bln)</t>
  </si>
  <si>
    <t>Terpenuhnya biaya kebersihan kantor, penjaga kantor, petugas kebersihan, pramu kantor dan sopir (bln)</t>
  </si>
  <si>
    <t>Terpenuhinya operasional administrasi kantor (bln)</t>
  </si>
  <si>
    <t>Terpenuhinya kebutuhan penggandaan dan percetakan kantor (bln)</t>
  </si>
  <si>
    <t>Terpenuhinya kebutuhan penerangan kantor (bln)</t>
  </si>
  <si>
    <t>Terpenuhinya kebutuhan terhadap informasi (bln)</t>
  </si>
  <si>
    <t>Terpenuhinya kebutuhan makan dan minum rapat, tamu (bln)</t>
  </si>
  <si>
    <t>Terlaksananya rapat-rapat dalam provinsi dan luar provinsi (bln)</t>
  </si>
  <si>
    <t>Terlaksananya rapat-rapat dalam daerah (bln)</t>
  </si>
  <si>
    <t>Terpenuhinya Sarana dan Prasarana Kantor (bln)</t>
  </si>
  <si>
    <t>Terenuhinya kebutuhan peralatan kantor (bln)</t>
  </si>
  <si>
    <t>Terpenuhinya kebutuhan meubiler kantor (bln)</t>
  </si>
  <si>
    <t>Tersedianya kendaraan dinas (bln)</t>
  </si>
  <si>
    <t>Terpeliharanya Peralatan Gedung Kantor (bln)</t>
  </si>
  <si>
    <t>Keikutsertaan pada festival Langkisau (kegiatan)</t>
  </si>
  <si>
    <t>Terpenuhinya operasional penanganan bencana (bln)</t>
  </si>
  <si>
    <t>Laporan triwulan Hasil monev beras Raskin (dok)</t>
  </si>
  <si>
    <t>Persentase PMKS yang diberdayakan dengan memberikan bimbingan dan bantuan (%)</t>
  </si>
  <si>
    <t>Persentase fakir miskin dan OMKS yang ditangani dengan Program PKH</t>
  </si>
  <si>
    <t>Jumlah Orang Terlantar, Mayat Terlantar dan ODGJ yang ditangani</t>
  </si>
  <si>
    <t>Jumlah KUBE Fakir Miskin yang dibina</t>
  </si>
  <si>
    <t>Persentase peningkatan cakupan penerima layanan kesejahteraan sosial (%)</t>
  </si>
  <si>
    <t>Jumlah penyandang cacat yang diberi bantuan (org)</t>
  </si>
  <si>
    <t xml:space="preserve">Persentase panti yang mendapat bantuan pemerintah </t>
  </si>
  <si>
    <t>Jumlah anak panti yang dibantu sembako (org)</t>
  </si>
  <si>
    <t>Persentase LKKS dan TKSK yang meningkat kinerjanya</t>
  </si>
  <si>
    <t>Persentase LKKS dan TKSK yang dibina</t>
  </si>
  <si>
    <t>Tersedianya biaya jasa telepon dan listrik (bln)</t>
  </si>
  <si>
    <t>Tersedianya jasa administrasi keuangan. (bln)</t>
  </si>
  <si>
    <t>Tersedinya jasa petugas kebersihan kantor (bln)</t>
  </si>
  <si>
    <t>Tersedianya Alat Tulis Kantor (bln).</t>
  </si>
  <si>
    <t>Tersedianya barang cetakan dan pengandaan (bln).</t>
  </si>
  <si>
    <t>Tersedianya komponen instalasi listrik/penerangan bangunan kantor (bln).</t>
  </si>
  <si>
    <t>Tersedianya bahan bacaan/surat kabar (bln).</t>
  </si>
  <si>
    <t>Tersedianya makan minum rapat dan tamu kantor (bln).</t>
  </si>
  <si>
    <t>Adanya rapat- rapat koordinasi dan konsultasi baik dalam propinsi maupun luar propinsi (bln).</t>
  </si>
  <si>
    <t>Renstra Dinas Nakertrans (dok)</t>
  </si>
  <si>
    <t>Adanya rapat- rapat koordinasi dan konsultasi se kecamatan dalam kabupaten (bln).</t>
  </si>
  <si>
    <t>Laporan triwulan pelaksanaan Monev (dok)</t>
  </si>
  <si>
    <t>Tersedinya kendaraan dinas/Operasional yang layak dan siap pakai (bln).</t>
  </si>
  <si>
    <t>Tersedianya peralatan kantor (bln).</t>
  </si>
  <si>
    <t>Terlaksananya pemeliharaan peralatan gedung dan halaman kantor (bln).</t>
  </si>
  <si>
    <t>Tersedianya mobiler kantor (bln).</t>
  </si>
  <si>
    <t>Terlaksananya pemeliharaan gedung kantor (bln).</t>
  </si>
  <si>
    <t>Persentase aparatur yang berkompeten (%)</t>
  </si>
  <si>
    <t>Jumlah aparatur yang mengikuti pendidikan (org)</t>
  </si>
  <si>
    <t>Jumlah peserta pelatihan (org)</t>
  </si>
  <si>
    <t>jumlah peralatan workshop yang dipelihara (unit)</t>
  </si>
  <si>
    <t>Jumlah pencari kerja yang ditempatkan</t>
  </si>
  <si>
    <t>Publikasi yang dilaksanakan (bln)</t>
  </si>
  <si>
    <t>Buku PTKD (dok)</t>
  </si>
  <si>
    <t>Persentase lembaga PUG yang dibina</t>
  </si>
  <si>
    <t>Jumlah OPD yang menerapkan anggaran responsif gender</t>
  </si>
  <si>
    <t>Persentase capaian penguatan dan pembangunan kelembagaan beserta jaringan P2TP2A</t>
  </si>
  <si>
    <t>Buku profil Gender (dok)</t>
  </si>
  <si>
    <t>Persentase peningkatan peran perempuan di nagari/ kecamatan</t>
  </si>
  <si>
    <t>Terlaksananya kegiatan pembinaan DW (bln)</t>
  </si>
  <si>
    <t xml:space="preserve">Terlaksananya kegiatan pembinaan BKMT </t>
  </si>
  <si>
    <t>Jenis Laporan Yang Disampaikan (dok)</t>
  </si>
  <si>
    <t>Terpnuhinya pelayanan administrasi perkantoran (bln)</t>
  </si>
  <si>
    <t>tersedianya peralatan dan perlengkapan kantor (bln)</t>
  </si>
  <si>
    <t>Tersedianya listrik, air dan telfon (bln)</t>
  </si>
  <si>
    <t>Terselenggaranya jasa administrasi keuangan (bln)</t>
  </si>
  <si>
    <t>Terselenggaranya jasa kebersihan kantor (bln)</t>
  </si>
  <si>
    <t>Terselenggaranya perbaikan peralatan kerja (bln)</t>
  </si>
  <si>
    <t>Tersedianya peralatan penerangan (bln)</t>
  </si>
  <si>
    <t>Tersediaan bahan bacaan dan peraturan perundang- undangan (bln)</t>
  </si>
  <si>
    <t>Terpenuhi perjalanan dinas untuk rapat-rapat ke luar daerah (bln)</t>
  </si>
  <si>
    <t>Terpenuhi perjalanan dinas untuk rapat-rapat dalam daerah (bln)</t>
  </si>
  <si>
    <t>Terselenggarannya Jfungsi perencanaan dan pelaporan (bln)</t>
  </si>
  <si>
    <t>Tersedianya layanan jasa tenaga kerja non PNS (bln)</t>
  </si>
  <si>
    <t>Tersedianya pemeliharaan dan BBM kendaraan dinas/ operasional (bln)</t>
  </si>
  <si>
    <t>tingkat pelayanan pelaporan (bulan)</t>
  </si>
  <si>
    <t>Laporan triwulan hasil monev kegiatan (bln)</t>
  </si>
  <si>
    <t>Jumlah pembangunan fasilitas transportasi Unit)</t>
  </si>
  <si>
    <t>Jumlah alat keselamatan lalu lintas yang terpelihara (unit)</t>
  </si>
  <si>
    <t>Penghargaan Bidang lalu lintas (piala)</t>
  </si>
  <si>
    <t>Terlaksananya Pengawasan dan Pengendalian LLAJ (bln)</t>
  </si>
  <si>
    <t>Terlaksananya  Pengamanan  Lalu Lintas Angkutan Laut (bln)</t>
  </si>
  <si>
    <t>Terlaksanaya operasi Penertiban Lalu Lintas Angkutan Laut (bln)</t>
  </si>
  <si>
    <t>Terlaksananya Pemeliharan PJU (bln)</t>
  </si>
  <si>
    <t>Terselenggaranya pelayanan pengujian kendaraan bermotor (bln)</t>
  </si>
  <si>
    <t>Jumlah Pengadaan alat uji mekanis PKB (paket)</t>
  </si>
  <si>
    <t>Terselenggranya Pelayanan Terminal dan Perparkiran (bln)</t>
  </si>
  <si>
    <t>Terlaksanaya Pemungutan Pajak dan Retribusi Daerah (bln)</t>
  </si>
  <si>
    <t>jenis dokumen perencanaan dan laporan (dok)</t>
  </si>
  <si>
    <t>Persentase pemnuhan pemeliharaan gedung dan halaman kantor (%)</t>
  </si>
  <si>
    <t>Persentase pemenuhan pemeliharaan rutin berkala kendaraan dinas</t>
  </si>
  <si>
    <t>Jumlah berita dan artikel yang diterbitkan (buah)</t>
  </si>
  <si>
    <t>Jumlah publikasi yang dilaksanakan (paket)</t>
  </si>
  <si>
    <t>Persentase  informasi yang mudah diakses</t>
  </si>
  <si>
    <t>Jumlah Kelompok Informasi Masyarakat yang dibina</t>
  </si>
  <si>
    <t>Persentase cakupan pelayanan informasi dengan penerangan keliling(%)</t>
  </si>
  <si>
    <t>beroperasinya Radio Langkisau (bln)</t>
  </si>
  <si>
    <t>Jumlah regulasi bid.kominfo yang diterbitkan (dokumen)</t>
  </si>
  <si>
    <t>Jumlah masyarakat yang menerima sosialisasi (orang)</t>
  </si>
  <si>
    <t>Jumlah aparatur yang mengikutii Bimtek peningkatan SDM bidang TIK (orang)</t>
  </si>
  <si>
    <t>Persentase pemenuhan kebutihan infrastruktur TIK (%)</t>
  </si>
  <si>
    <t>Terlaksanaya Perawatan jaringan dan komunikasi data (bln)</t>
  </si>
  <si>
    <t>Program Pelestarian Keanekaragaman Hayati Daerah Kab.Pesisir Selatan</t>
  </si>
  <si>
    <t>Penyusunan Profil keaneragaman hayati</t>
  </si>
  <si>
    <t>Jumlah dokumen kehayati</t>
  </si>
  <si>
    <t>Pengesahan perubahan RTRW Kab. Pessel</t>
  </si>
  <si>
    <t>Tercapainya Pelaksanaan Festival langkisau</t>
  </si>
  <si>
    <t>Program Peningkatan Kualitas Pelayanan Informasi</t>
  </si>
  <si>
    <t>Pembangunan galeri Peisir Selatan</t>
  </si>
  <si>
    <t>Program Pemeliharaan Rutin Berkala Sarana dan Prasarana kearsipan</t>
  </si>
  <si>
    <t>Pemelihraan Rutin/Berkala Arsip Daerah</t>
  </si>
  <si>
    <t>Program Pemberdayaan Penyuluh Pertanian Lapangan</t>
  </si>
  <si>
    <t>Pemeliharaan kesehatan dan pencegahan penyakit menular ternak</t>
  </si>
  <si>
    <t>Pengendalian dan pemberantasan penyakit rabies</t>
  </si>
  <si>
    <t>Pengawasan perdagangan ternak antar daerah</t>
  </si>
  <si>
    <t>Penyusunan ranperda rabies</t>
  </si>
  <si>
    <t>jumlah ternak yang dikendalikan dari penyakit endekmik</t>
  </si>
  <si>
    <t>terlaksananya pengawasan lalu lintas ternak (%)</t>
  </si>
  <si>
    <t>Diklat Teknis Manajemen Kinerja ASN</t>
  </si>
  <si>
    <t>Pelaksanaan Achievement Motivation Training</t>
  </si>
  <si>
    <t>Persentase pegawai yang memenuhi standar kompetensi</t>
  </si>
  <si>
    <t>Jumlah ASN yang mengikuti AMT (org)</t>
  </si>
  <si>
    <t>Jumlah ASN yang mengikuti Bimtek Manajemen kinerja ASN (org)</t>
  </si>
  <si>
    <t>Program Peningkatan Peran serta Kepemudaan</t>
  </si>
  <si>
    <t>Pembinaan Hasil karya Pemuda Pelopor</t>
  </si>
  <si>
    <t>Jumlah pemuda pelopor yang dibina</t>
  </si>
  <si>
    <t>Jumlah calon lokasi pengadaan tanah yang ditetapkan (lokasi)</t>
  </si>
  <si>
    <t>Jumlah Sertifikat pengadaan tanah yang diterbitkan (unit)</t>
  </si>
  <si>
    <t>Terlaksananya Pelaksanaan Promosi Pariwisata (kegiatan)</t>
  </si>
  <si>
    <t>Peningkatan jumlah kunjungan wisatawan (%)</t>
  </si>
  <si>
    <t>Meningkatnya luasan tutupan lahan terbuka (persen)</t>
  </si>
  <si>
    <t>Program tidak ada dalam RPJMD</t>
  </si>
  <si>
    <t>Dinas Sosial</t>
  </si>
  <si>
    <t>'05</t>
  </si>
  <si>
    <t>Monitoring dan evaluasi kegiatan</t>
  </si>
  <si>
    <t>Persentase program dan kegiatan sesuai target</t>
  </si>
  <si>
    <t>Laporan triwulan hasil monev (dok)</t>
  </si>
  <si>
    <t>Pengadaan kendaraan roda dua</t>
  </si>
  <si>
    <t>Jumlah kendaraan roda dua</t>
  </si>
  <si>
    <t>Penggadaan Peralatan kantor</t>
  </si>
  <si>
    <t>Persentase pemenuhan peralatan kantor (%)</t>
  </si>
  <si>
    <t>Jumlahbulan pelayanan  pramu  kantor (bln)</t>
  </si>
  <si>
    <t>ketersediaan listrik, air, telfon (bln)</t>
  </si>
  <si>
    <t>ketersediaan layanan administrasi keuangan (bln)</t>
  </si>
  <si>
    <t>Ketersediaan jasa kebersihan kantor (bln)</t>
  </si>
  <si>
    <t>ketersediaan perawatan bagi peralatan kerja (bln)</t>
  </si>
  <si>
    <t>ketersediaan ATK (bln)</t>
  </si>
  <si>
    <t>Ketersediaan barang cetak dan penggandaan (bln)</t>
  </si>
  <si>
    <t>Ketersediaan komponen instalasi listrik/ penerangan (bln)</t>
  </si>
  <si>
    <t>ketersediaan bahan bacaan dan peraturan perundang undangan (bln)</t>
  </si>
  <si>
    <t>Ketersediaan makan dan minum pegawai, rapat dan tamu (bln)</t>
  </si>
  <si>
    <t>Tersedianya jasa pengaman kantor (bln)</t>
  </si>
  <si>
    <t>Ketersediaan operasional untuk rapat-rapat koordinasi  dan konsultasi keluar daerah (bln)</t>
  </si>
  <si>
    <t>Ketersediaan operasional untuk rapat-rapat koordinasi  dan konsultasi dalam daerah (bln)</t>
  </si>
  <si>
    <t>Ketersediaan peralatan gedung kantor (bln)</t>
  </si>
  <si>
    <t>Terlaksanaya pemeliharaan gedung kantor (bln)</t>
  </si>
  <si>
    <t>Persentase program/kegiatan lintas daerah / kewenangan yang diselaraskan (%)</t>
  </si>
  <si>
    <t>Koordinasi Kerjasama Pembangunan Antar Daerah (Koordinasi Spasial,Kerjjasama Wilayah dan Perbatasan)</t>
  </si>
  <si>
    <t>Jumlah MOU dengan Daerah ,dan Instans9 lainya</t>
  </si>
  <si>
    <t>Jumlah peta tematik yang dihasilkan</t>
  </si>
  <si>
    <t>tersebarnya informasi  pelaksanaan pembanggunan (%)</t>
  </si>
  <si>
    <t>Ranperda RTRW / Revisi RTRW (dok)</t>
  </si>
  <si>
    <t>Perbup tentang RKPD (dok)</t>
  </si>
  <si>
    <t>RPJMD Nagari yang telah singkron dengan RPJMD (dok)</t>
  </si>
  <si>
    <t>Terlaksananya rapat dan Pertemuan Penyusunan Perencanaan Anggaran (bln)</t>
  </si>
  <si>
    <t>Perjanjian Kinerja Eselon,II,III,IV dengan Renja dan Renstra (dok)</t>
  </si>
  <si>
    <t>Persentase pemenuhan data berbasis peta untuk perencanaan (%)</t>
  </si>
  <si>
    <t>Nota kesepakatan KUARAPBD (dok)</t>
  </si>
  <si>
    <t>Nota kesepakatan PPAS RAPBD (dok)</t>
  </si>
  <si>
    <t>Nota kesepakatan KUPA  P-APBD (dok)</t>
  </si>
  <si>
    <t>Nota kesepakatan  PPAS P-APBD (dok)</t>
  </si>
  <si>
    <t xml:space="preserve"> Perda/ RPJMD Revisi perda RPJMD (dok)</t>
  </si>
  <si>
    <t>Terkelolanya psistem perencanaan pembangunan secara onlone (bln)</t>
  </si>
  <si>
    <t>Persentase Nagari ODF (Open Defication Free)</t>
  </si>
  <si>
    <t>Persentase puskesmas yang terakreditasi (%)</t>
  </si>
  <si>
    <t>Persentase pelayanan kesehatan masyarakat rawat jalan dan inap (%)</t>
  </si>
  <si>
    <t>Persentase kemampuan rumah sakit dalam pemenuhan kebutuhan operasional (%)</t>
  </si>
  <si>
    <t>Persentase pemenuhan cakupan layanan RSUD (%)</t>
  </si>
  <si>
    <t>tersedianya pelayanan admnistrasi perkantoran (bln)</t>
  </si>
  <si>
    <t>Tersediannya air dan listrik (bln)</t>
  </si>
  <si>
    <t>Tersedianya  Jasa Kebersihan Kantor (bln)</t>
  </si>
  <si>
    <t>Tersedianya Barang Cetakan dan Penggandaan (bln)</t>
  </si>
  <si>
    <t>Tersedianya  Komponen, Instalasi Listrik/Penerangan (bln)</t>
  </si>
  <si>
    <t>Tersedianya Bahan Bacaan (bln)</t>
  </si>
  <si>
    <t>Tersedianya  Makanan dan Minuman rapat dan tamu (bln)</t>
  </si>
  <si>
    <t>Tersedianya operasional untuk perencanaan dan pelaporan (bln)</t>
  </si>
  <si>
    <t>Tersedianya peralatan gedung kantor Unit)</t>
  </si>
  <si>
    <t>Trsedianya Pemeliharaan rutin/berkala gedung kantor (bln)</t>
  </si>
  <si>
    <t>Terlaksananya Pemeliharaan rutin Kendaraan dinas (bln)</t>
  </si>
  <si>
    <t>Terlaksanya Pemeliharaan rutin/berkala Perlengkapan gedung kantor (bln)</t>
  </si>
  <si>
    <t>jumlah ASN yang berkualitas (orang)</t>
  </si>
  <si>
    <t>Jumlah UMKM yang mengases permodalan ke lembaga keuangan (UMKM)</t>
  </si>
  <si>
    <t>Jumlah calon debitur potensi untuk dibiayai KUR kedalam SKIP (unitusaha)</t>
  </si>
  <si>
    <t>Persentase peningkatan permodalan UMK pertahun</t>
  </si>
  <si>
    <t>jumlah  UMKM ynag mengikuti pelatihan</t>
  </si>
  <si>
    <t>jumlah UKM aktif yang didata (unit)</t>
  </si>
  <si>
    <t>Jumlah UMKM yang mendapatkan bantuan binaan (unit usaha)</t>
  </si>
  <si>
    <t>Pesentase Koperasi dengan modal di atas5 M</t>
  </si>
  <si>
    <t>jumlah pengurus koperasi yang mengikuti pelatihan (org)</t>
  </si>
  <si>
    <t>jumlah pengurus koperasi yang mengikuti bintek</t>
  </si>
  <si>
    <t>Rekening listrik air, telpon (bln)</t>
  </si>
  <si>
    <t>Honor pengelola kegiatan (bln)</t>
  </si>
  <si>
    <t>operasional kebersihan kantor (bln)</t>
  </si>
  <si>
    <t>terpeliharanya peralatan kerja (bln)</t>
  </si>
  <si>
    <t>terpenuhinya kebutuhan barang cetakan dan penggandaan (bln)</t>
  </si>
  <si>
    <t>tersedianya peralatan listrik (bln)</t>
  </si>
  <si>
    <t>tersedianya peralatan kerja (bln)</t>
  </si>
  <si>
    <t>tersedianya koran, buku (bln)</t>
  </si>
  <si>
    <t>makan rapat, tamu (bln)</t>
  </si>
  <si>
    <t>operasional rapat ke propinsi dan luar propinsi (bln)</t>
  </si>
  <si>
    <t>survei, peninjauan lapangan (bln)</t>
  </si>
  <si>
    <t>pemeliharaan rutin (bln)</t>
  </si>
  <si>
    <t>Pengadaan kendaraan dinas (unit)</t>
  </si>
  <si>
    <t>Terlaksananya rehab gedung kantor (paket)</t>
  </si>
  <si>
    <t>Terlaksananya pemeliharaan rutin kendaraan dinas (bln)</t>
  </si>
  <si>
    <t>Jumlah promosi yang dilaksanakan (kegiatan)</t>
  </si>
  <si>
    <t>jumlah MOU antara investor dengan Pemerintahan daerah</t>
  </si>
  <si>
    <t>Tersedianya dokumen data investasi non fasilitasi rumah tangga (dok)</t>
  </si>
  <si>
    <t>Tercapainya koordinasi penanaman modal (bln)</t>
  </si>
  <si>
    <t xml:space="preserve"> jumlah izin yang diterbitkan</t>
  </si>
  <si>
    <t>Laporan triwulan hasil monev penanaman modal (dok)</t>
  </si>
  <si>
    <t xml:space="preserve"> Naskah akademis ranperda</t>
  </si>
  <si>
    <t>Tersedianya jasa surat menyurat kantor (bln)</t>
  </si>
  <si>
    <t>Tersedianya pembayaran/honorarium tenaga administrasi keuangan  (bln)</t>
  </si>
  <si>
    <t>Tersedianya jasa perbaikan peralatan kerja(bln)</t>
  </si>
  <si>
    <t>Tersedianya barang cetakan dan penggadaan (bln)</t>
  </si>
  <si>
    <t>Tersedianya komponen instalasi listrik (bln)</t>
  </si>
  <si>
    <t>Tersedianya makanan dan minuman rapat dan tamu(bln)</t>
  </si>
  <si>
    <t>operasional rapat dan kunjungnan lapangan dalam daerah (bln)</t>
  </si>
  <si>
    <t>Terpeliharanya secara rutin/berkala Gedung Kantor (bln)</t>
  </si>
  <si>
    <t>Terpeliharanya kendaraan dinas/operasional (bln)</t>
  </si>
  <si>
    <t>Terlaksananya Pembangunan Tempat Parkir (paket)</t>
  </si>
  <si>
    <t>Jumlah kelompok / klub olah raga yang dibantu</t>
  </si>
  <si>
    <t>Jumlah olahraga massal yang dilaksankan (kali)</t>
  </si>
  <si>
    <t>Jumlah atlit dan pemuda berprestasi yang dikirim (kali)</t>
  </si>
  <si>
    <t>Terlaksananya pagelaran seni dan budaya tingkat Kabupaten dan Provinsi (kegiatan)</t>
  </si>
  <si>
    <t>jumlah  pendampingan festival budaya maritim (kegiatan)</t>
  </si>
  <si>
    <t>jumlah paket seni yang diselenggarakan</t>
  </si>
  <si>
    <t>jumlah simbol-simbol adat yang dilestarikan</t>
  </si>
  <si>
    <t>Penambahan koleksi buku, majalah dan koran (buku)</t>
  </si>
  <si>
    <t>Terlaksananya Pelayanan  Perpustakaan Keliling (bln)</t>
  </si>
  <si>
    <t>Terlaksananya pelayanan rumah pintar perintis Painan (bln)</t>
  </si>
  <si>
    <t>Jumlah peserta bintek (org)</t>
  </si>
  <si>
    <t>cakupan pelayanan administrasi perkantoran (bln)</t>
  </si>
  <si>
    <t>Pembayaran rekening telepon, air dan listrik (bln)</t>
  </si>
  <si>
    <t>Tersedianya peralatan &amp; perlengkapan kantor (bln)</t>
  </si>
  <si>
    <t>Terpeliharannya Kendaraan Dinas perasional (bln)</t>
  </si>
  <si>
    <t>Terlaksananya pengelola administrasi keuangan dan aset (bln)</t>
  </si>
  <si>
    <t>Jasa kebersihan kantor (bln)</t>
  </si>
  <si>
    <t>Terlaksananya Pemeliharaan Peralatan Kerja (bln)</t>
  </si>
  <si>
    <t>Tersedianya ATK (bln)</t>
  </si>
  <si>
    <t>Tersedianya barang cetakan &amp; penggandaan (bln)</t>
  </si>
  <si>
    <t>Komponen instalasi listrik dan bola lampu (bln)</t>
  </si>
  <si>
    <t>Tersedianya bahan bacaan &amp; per-UU (bln)</t>
  </si>
  <si>
    <t>Tersedianya makanan &amp; minuman rapat dan tamu (bln)</t>
  </si>
  <si>
    <t>operasional untuk rapat koordinasi &amp; konsultasi ke luar daerah (bln)</t>
  </si>
  <si>
    <t>operasional untuk rapat koordinasi dan kunjungan lapangan dalam daerah (bln)</t>
  </si>
  <si>
    <t>Tertanganinya Hama dan Penyakit Ikan         ( kasus)</t>
  </si>
  <si>
    <t>Jumlah objek yang dibangun (unit)</t>
  </si>
  <si>
    <t>Terlaksananya pembayaran rekening listrik, air dan telpon kantor (bln)</t>
  </si>
  <si>
    <t>Terlaksananya pembayaran honor jasa administrasi keuangan (bln)</t>
  </si>
  <si>
    <t>Terlaksananya pemeliharaan kebersihan kantor (bln)</t>
  </si>
  <si>
    <t>Terlaksananya perbaikan peralatan dan perlengkapan kantor (bln)</t>
  </si>
  <si>
    <t>Terlaksananya administrasi perkantoran (bln)</t>
  </si>
  <si>
    <t>Tersedianya komponen listrik /penerangan gedung kantor (bln)</t>
  </si>
  <si>
    <t>Tersedianya bahan bacaan dan peraturan perundang-undangan (bln)</t>
  </si>
  <si>
    <t>Tersedianya makanan dan minuman untuk peserta rapat dan tamu dinas (bln)</t>
  </si>
  <si>
    <t>Terlaksananya koordinasi dan konsultasi keluar daerah (bln)</t>
  </si>
  <si>
    <t>Terlaksananya koordinasi dan konsultasi dalam daerah (bln)</t>
  </si>
  <si>
    <t>Terlaksananya penunjang operasional perencanaan (bln)</t>
  </si>
  <si>
    <t>terpeliharanya kendaraan dinas/operasional (bln)</t>
  </si>
  <si>
    <t>tersedianya peralatan kantor (unit)</t>
  </si>
  <si>
    <t>Tersusunnya laporan tahunan (dok)</t>
  </si>
  <si>
    <t>Populasi ternak (ekor)</t>
  </si>
  <si>
    <t>Terlaksananya operasionnal pemeliharaan ternak di P4 Lengayang (bln)</t>
  </si>
  <si>
    <t>tersedianya operasional kegiatan APBN (bln)</t>
  </si>
  <si>
    <t xml:space="preserve"> ranperda rabies (dok)</t>
  </si>
  <si>
    <t>Even Promosi (kegiatan)</t>
  </si>
  <si>
    <t>Jumlah papan display informasi harga 9unit)</t>
  </si>
  <si>
    <t>Operasional pengelolaan pasar (bln)</t>
  </si>
  <si>
    <t>Pasar Nagari yang terbangun / direvitalisasi (unit)</t>
  </si>
  <si>
    <t>jumlah IKM yang mengikuti sosialisasi (unit usaha)</t>
  </si>
  <si>
    <t>Jumlah  IKM yang difasilitasi (unit)</t>
  </si>
  <si>
    <t>Fasilitasi Dukungan KTM Lunang Silaut</t>
  </si>
  <si>
    <t>Jumlah Tagihan Rekening listrik, telepon dan air (bln)</t>
  </si>
  <si>
    <t>Jumlah biaya honorarium pengelola keuangan (bln)</t>
  </si>
  <si>
    <t>Jumlah sarana Kebersihan (bln)</t>
  </si>
  <si>
    <t>Jumlah Perbaikan Peralatan Kerja (bln)</t>
  </si>
  <si>
    <t>Jumlah ATK (bln)</t>
  </si>
  <si>
    <t>Jumlah cetakan penggandaan (bln)</t>
  </si>
  <si>
    <t>Jumlah komponen instalasi listrik penerangan bangunan (bln)</t>
  </si>
  <si>
    <t>Jumlah surat Kabar dean Buku Per-UU (bln)</t>
  </si>
  <si>
    <t>Jumlah biaya jamuan makan dan minum (bln)</t>
  </si>
  <si>
    <t>Jumlah Koordinasi dan Kosultasi yang diikuti luar daerah (bln)</t>
  </si>
  <si>
    <t>Jumlah Koordinasi dan Kosultasi yang diikuti dalam daerah (bln)</t>
  </si>
  <si>
    <t>Jumlah kegiatan penyampaian nformasi pembangunan   (keg)</t>
  </si>
  <si>
    <t>Jumlah pengadaan perlengkapan gedung kantor (bln)</t>
  </si>
  <si>
    <t>Jumlah pengadaan peralatan gedung kantor (bln)</t>
  </si>
  <si>
    <t>Jumlah Pengadaan Mobileur (bln)</t>
  </si>
  <si>
    <t>Jumlah pemeliharaan kendaraan dinas (bln)</t>
  </si>
  <si>
    <t>Jumlah Pengawasan Internal secara Berkala(kegiatan)</t>
  </si>
  <si>
    <t>Jumlah kasus pengaduan dilingkungan Pemerintahan Daerah (kasus)</t>
  </si>
  <si>
    <t>Dokumen BMD (buku)</t>
  </si>
  <si>
    <t>Jumlah ASN yang dilatih (org)</t>
  </si>
  <si>
    <t>Jumlah PD yang dibina (unit)</t>
  </si>
  <si>
    <t>Dokumen SAP (buku)</t>
  </si>
  <si>
    <t>Perbup Standar Biaya (buku)</t>
  </si>
  <si>
    <t>Jumlah OPD yang mengikuti sosialisasi (unit)</t>
  </si>
  <si>
    <t>Terlaksananya jasa komunikasi sumber daya air dan listrik (bln)</t>
  </si>
  <si>
    <t>Tersusunnya Laporan Keuangan (bln)</t>
  </si>
  <si>
    <t>Terciptanya suasana kantor yang bersih dan nyaman (bln)</t>
  </si>
  <si>
    <t>Terpenuhinya Kebutuhan Alat Tulis Kantor (bln)</t>
  </si>
  <si>
    <t>Terpenuhinya Kebutuhan Barang Cetakan dan Penggandaan (bln)</t>
  </si>
  <si>
    <t>Terpenuhinya kebutuhan instalasi listrik/penerangan bangunan kantor (bln)</t>
  </si>
  <si>
    <t>Tersedianya Bahan Bacaan dan Buku Referensi Perundang-undangan (bln)</t>
  </si>
  <si>
    <t>Terpenuhinya makan-minum tamu dan piket (bln)</t>
  </si>
  <si>
    <t>Terlaksananya kegiatan rapat-rapat koordinasi dan konsultasi ke luar daerah (bln)</t>
  </si>
  <si>
    <t>Terlaksananya kegiatan rapat-rapat koordinasi dan konsultasi dalam daerah (bln)</t>
  </si>
  <si>
    <t>Tersusunnya Dokumen Perencanaan dan Pelaporan (Renja, Renstra, KUA PPAS, RKA, DPA, LAKIP, TAPKIN dan SAKIP) (bln)</t>
  </si>
  <si>
    <t>Tersusunnya Laporan Capaian Kinerja (%)</t>
  </si>
  <si>
    <t>Terdatanya seluruh objek pajak yang ada di Kabupaten Pesisir Selatan (%)</t>
  </si>
  <si>
    <t>Tersusunnya Laporan Pendapatan Asli Daerah (%)</t>
  </si>
  <si>
    <t>Diperolehnya Data Objek Pajak PBB-P2 yang Akurat dan Terkini (%)</t>
  </si>
  <si>
    <t>Tersedianya Blanko SKP PBB-P2 (%)</t>
  </si>
  <si>
    <t>Tersedianya Karcis Retribusi/tanda masuk/parkir (%)</t>
  </si>
  <si>
    <t>Terlaksananya Pelayanan dan Peningkatan Pemungutan Pajak Daerah Wilayah I (%)</t>
  </si>
  <si>
    <t>Terlaksananya Pelayanan dan Peningkatan Pemungutan Pajak Daerah Wilayah II (%)</t>
  </si>
  <si>
    <t>Terlaksananya Pelayanan dan Peningkatan Pemungutan Pajak Daerah Wilayah III (%)</t>
  </si>
  <si>
    <t>Diperolehnya data capaian pajak PBB-P2 (%)</t>
  </si>
  <si>
    <t>Terlaksananya Sosialisasi Pajak Daerah (%)</t>
  </si>
  <si>
    <t>tersedianya data potensi PAD  (%)</t>
  </si>
  <si>
    <t>Tersedianya data pajak yang akurat (%)</t>
  </si>
  <si>
    <t>Tersedianya data NJOP yang akurat (%)</t>
  </si>
  <si>
    <t>Jumlah tagihan pengiriman surat menyurat (bln)</t>
  </si>
  <si>
    <t>Jumlah peralatan dan perlengkapan kantor yang disewa (bln)</t>
  </si>
  <si>
    <t>Jumlah biaya honorarium tenaga kebersihan yang dibayarkan (bln)</t>
  </si>
  <si>
    <t>Jumlah peralatan kerja yang diperbaiki (bln)</t>
  </si>
  <si>
    <t>Jumlah komponen instalasi listrik/penerangan bangunan (bln)</t>
  </si>
  <si>
    <t>Jumlah peralatan dan perlengkapan kantor yang disediakan (bln)</t>
  </si>
  <si>
    <t>Jumlah Koordinasi dan Konsultasi ke luar daerah yang diikuti (bln)</t>
  </si>
  <si>
    <t>Jumlah Koordinasi dan Konsultasi ke dalam daerah yang diikuti (bln)</t>
  </si>
  <si>
    <t>Jumlah Dokumen Perencanaan dan Pelaporan Sekretariat Daerah (bln)</t>
  </si>
  <si>
    <t>Jumlah tenaga kerja kontrak yang dibayarkan (bln)</t>
  </si>
  <si>
    <t>Jumlah Laporan Keuangan yang disusun (bln)</t>
  </si>
  <si>
    <t>Jumlah Koordinasi dan Konsultasi ke Luar Provinsi yang diikuti (bln)</t>
  </si>
  <si>
    <t>Jumlah kendaraan dinas roda 2 (unit)</t>
  </si>
  <si>
    <t>Jumlah pemeliharaan kendaraan dinas/operasional (bln)</t>
  </si>
  <si>
    <t>dokumen SIPD (dok)</t>
  </si>
  <si>
    <t>dokumen SDP2D (dok)</t>
  </si>
  <si>
    <t>Peningkatan pelayanan informasi</t>
  </si>
  <si>
    <t>gedung galeri dan perlengkapannya (unit)</t>
  </si>
  <si>
    <t>persentase sarpras arsip kondisi baik</t>
  </si>
  <si>
    <t>terlaksanaya perawatan depo arsip (bln)</t>
  </si>
  <si>
    <t>Program Peningkatan Sarana dan Prasarana Kebimargaan</t>
  </si>
  <si>
    <t>Pembangunan jalan kabupaten</t>
  </si>
  <si>
    <t>panjang jalan yang dibangun</t>
  </si>
  <si>
    <t>Program Pembangunan Sarana dan Prasarana Peribatan</t>
  </si>
  <si>
    <t>Perencanaan Pembangunan Sarana dan Prasarana Ibadah</t>
  </si>
  <si>
    <t>Pertanse Pembangunansarana dan prasarana ibadah</t>
  </si>
  <si>
    <t>Dokumen Perencanaan</t>
  </si>
  <si>
    <t>Disetujui,</t>
  </si>
  <si>
    <t>Disusun,</t>
  </si>
  <si>
    <t>Program Penguatan dan Pembangunan Kelembagaan beserta Jaringanya dan Penyusunan Regulasi Daerah</t>
  </si>
  <si>
    <t>Tersedianya barang cetakan dan penggandaan</t>
  </si>
  <si>
    <t>TRIWULAN III TAHUN 2018</t>
  </si>
  <si>
    <t>72</t>
  </si>
  <si>
    <t>Jumlah pembangunan gedung pemerintah ( Unit )</t>
  </si>
  <si>
    <t>Gedung kantor yang di rehab berat</t>
  </si>
  <si>
    <t>Pembangunan Kantor wali nagari taratak sei lundang Kec. Koto XI Tarusan Kab. Pesisir Selatan ( Alokasi dana bantuan keuangan bersifat khusus propinsi tahun 2018 )</t>
  </si>
  <si>
    <t>Pembangunan  gedung kantor</t>
  </si>
  <si>
    <t>Pembangunan Kantor wali nagari bukik kaciak lumpo kec. Iv jurai Kab. Pesisir Selatan ( Alokasi dana bantuan keuangan bersifat khusus propinsi tahun 2018 )</t>
  </si>
  <si>
    <t>Rehab gedung pertemuan inderapura  kec. Pancung soal Kab. Pesisir Selatan ( Alokasi dana bantuan keuangan bersifat khusus propinsi tahun 2018 )</t>
  </si>
  <si>
    <t>Rehab  gedung kantor</t>
  </si>
  <si>
    <t>Pembangunan kantor wali nagari api - api kec. Bayang  Kab. Pesisir Selatan ( Alokasi dana bantuan keuangan bersifat khusus propinsi tahun 2018 )</t>
  </si>
  <si>
    <t>Pembangunan kantor wali nagari lakitan timur kec. lengayang  Kab. Pesisir Selatan ( Alokasi dana bantuan keuangan bersifat khusus propinsi tahun 2018 )</t>
  </si>
  <si>
    <t>Pembangunan kantor wali nagari kapelgam kec. Bayang  Kab. Pesisir Selatan ( Alokasi dana bantuan keuangan bersifat khusus propinsi tahun 2018 )</t>
  </si>
  <si>
    <t>Pembangunan kantor wali nagari jinang kp. pansur kec. Koto XI Tarusan  Kab. Pesisir Selatan ( Alokasi dana bantuan keuangan bersifat khusus propinsi tahun 2018 )</t>
  </si>
  <si>
    <t>Pembangunan kantor wali nagari bungo pasang salido kec. IV Jurai  Kab. Pesisir Selatan ( Alokasi dana bantuan keuangan bersifat khusus propinsi tahun 2018 )</t>
  </si>
  <si>
    <t>Pembangunan kantor badan usaha milik nagari ( BUM Nagari )  Kab. Pesisir Selatan ( Alokasi dana bantuan keuangan bersifat khusus propinsi tahun 2018 )</t>
  </si>
  <si>
    <t>Pembangunan kantor wali nagari gurun panjang utara kec. Bayang  Kab. Pesisir Selatan ( Alokasi dana bantuan keuangan bersifat khusus propinsi tahun 2018 )</t>
  </si>
  <si>
    <t>Pembangunan kantor wali nagari sawah laweh kec. Bayang  Kab. Pesisir Selatan ( Alokasi dana bantuan keuangan bersifat khusus propinsi tahun 2018 )</t>
  </si>
  <si>
    <t>Kantor KAN Nagari Nanggalo Kec. Koto XI Tarusan  Kab. Pesisir Selatan ( Alokasi dana bantuan keuangan bersifat khusus propinsi tahun 2018 )</t>
  </si>
  <si>
    <t>Pembangunan Kantor wali nagari batu hampa Kec. Koto XI Tarusan Kab. Pesisir Selatan ( Alokasi dana bantuan keuangan bersifat khusus propinsi tahun 2018 )</t>
  </si>
  <si>
    <t>Pembangunan Kantor wali nagari kapuh utara Kec. Koto XI Tarusan Kab. Pesisir Selatan ( Alokasi dana bantuan keuangan bersifat khusus propinsi tahun 2018 )</t>
  </si>
  <si>
    <t>Pembangunan Kantor wali nagari nanggalo Kec. Koto XI Tarusan Kab. Pesisir Selatan ( Alokasi dana bantuan keuangan bersifat khusus propinsi tahun 2018 )</t>
  </si>
  <si>
    <t>Pembangunan Kantor wali nagari sungai pinang Kec. Koto XI Tarusan Kab. Pesisir Selatan ( Alokasi dana bantuan keuangan bersifat khusus propinsi tahun 2018 )</t>
  </si>
  <si>
    <t>Rehab Jembatan gantung pelangai gadang kenag. Pelangai gadang kec. Ranah Pesisir Kab.Pesisir Selatan ( alokasi dana bantuan keuangan yang bersifat khusus propinsi tahun 2018 )</t>
  </si>
  <si>
    <t>Rehab Jembatan gantung sumbaru kenag.pelangai koto nan ampek kec. Ranah Pesisir Kab.Pesisir Selatan ( alokasi dana bantuan keuangan yang bersifat khusus propinsi tahun 2018 )</t>
  </si>
  <si>
    <t>Rehab Jembatan gantung kampung mantayan air haji nagari sungai sirah air haji kec. Linggo sari baganti Kab.Pesisir Selatan ( alokasi dana bantuan keuangan yang bersifat khusus propinsi tahun 2018 )</t>
  </si>
  <si>
    <t>Sharing Pembangunan sarana prasarana wisata carocok painan  ( Alokasi dana bantuan keuangan bersifat khusus propinsi tahun 2018 )</t>
  </si>
  <si>
    <t>sarana dan prasarana wisata</t>
  </si>
  <si>
    <t xml:space="preserve">Persentase masyarakat dengan akses air bersih (persen) </t>
  </si>
  <si>
    <t>laporan triwulan hasil monev (dokumen)</t>
  </si>
  <si>
    <t>Koordinasi kegiatan DAK dan APBN (bln)</t>
  </si>
  <si>
    <t>Pemasangan parit miring ( drainse ) jalan api -api di kenagarian api - api (alokasi dana bantuan keuangan yang bersifat khusus propinsi tahun 2018 )</t>
  </si>
  <si>
    <t>Pembangunan jalan ambacang kamba kenag. Asam kamba kec. Bayang Kab. Pesisir Selatan  (alokasi dana bantuan keuangan yang bersifat khusus propinsi tahun 2018 )</t>
  </si>
  <si>
    <t>Peningkatan jalan sawah laweh - gurun panjang kec. Bayang Kab. Pesisir Selatan  (alokasi dana bantuan keuangan yang bersifat khusus propinsi tahun 2018 )</t>
  </si>
  <si>
    <t>Peningkatan jalan Persipan SMA 3 kec. Sutera Kab. Pesisir Selatan (alokasi dana bantuan keuangan yang bersifat khusus propinsi tahun 2018 )</t>
  </si>
  <si>
    <t>Pembuatan jalan lingkung kec. Bayang Kab. Pesisir Selatan (alokasi dana bantuan keuangan yang bersifat khusus propinsi tahun 2018 )</t>
  </si>
  <si>
    <t>Pembuatan jalan lingkung taluak kualo kec. Pancung soal Kab. Pesisir Selatan (alokasi dana bantuan keuangan yang bersifat khusus propinsi tahun 2018 )</t>
  </si>
  <si>
    <t>Pembuatan jalan ruas kapencong nagari kapelgam - nagari koto marapak kec. Bayang Kab. Pesisir Selatan (alokasi dana bantuan keuangan yang bersifat khusus propinsi tahun 2018 )</t>
  </si>
  <si>
    <t>Pembuatan jalan ruas lubuk gambir nagari kapelgam - nagari koto berapak kec. Bayang  Kab. Pesisir Selatan (alokasi dana bantuan keuangan yang bersifat khusus propinsi tahun 2018 )</t>
  </si>
  <si>
    <t>Pembangunan jalan ruas kenag. Barung - barung balantai kenag. Sungai lundang kec. Koto XI Tarusan  Kab. Pesisir Selatan (alokasi dana bantuan keuangan yang bersifat khusus propinsi tahun 2018 )</t>
  </si>
  <si>
    <t>Peningkatan jalan kapujan kec. Bayang  Kab. Pesisir Selatan (alokasi dana bantuan keuangan yang bersifat khusus propinsi tahun 2018 )</t>
  </si>
  <si>
    <t>Pembangunan jalan siguntur kec. Koto XI Tarusan Kab. Pesisir Selatan (alokasi dana bantuan keuangan yang bersifat khusus propinsi tahun 2018 )</t>
  </si>
  <si>
    <t>Pembangunan jalan lambung bukik gunung malelo kec. sutera  Kab. Pesisir Selatan (alokasi dana bantuan keuangan yang bersifat khusus propinsi tahun 2018 )</t>
  </si>
  <si>
    <t>Kelanjutan pengamanan jalan taratak tapatiah limo hantu (alokasi dana bantuan keuangan yang bersifat khusus propinsi tahun 2018 )</t>
  </si>
  <si>
    <t>Peningkatan jalan lingkung sungai sirah kec. Sutera (alokasi dana bantuan keuangan yang bersifat khusus propinsi tahun 2018 )</t>
  </si>
  <si>
    <t>Pembangunan jembatan usaha tani di sungai normalisasi sungai sirah  kec. Batang kapas (alokasi dana bantuan keuangan yang bersifat khusus propinsi tahun 2018 )</t>
  </si>
  <si>
    <t>Pembangunan jembatan usaha tani sungai sirah kenag. Pasa surantih kec. sutera (alokasi dana bantuan keuangan yang bersifat khusus propinsi tahun 2018 )</t>
  </si>
  <si>
    <t>Pembangunan jalan lingkar nagari puluik - puluik kec. Bayang Utara (alokasi dana bantuan keuangan yang bersifat khusus propinsi tahun 2018 )</t>
  </si>
  <si>
    <t>Aspal lapen jalan simpang coklat menuju pale kenag. Koto VII pelangai ranah pesisir Kab. Pesisir Selatan (alokasi dana bantuan keuangan yang bersifat khusus propinsi tahun 2018 )</t>
  </si>
  <si>
    <t>Pembangunan jembatan rawang KM 11  padang laban pasir peelangai kec. Ranah  pesisir Kab. Pesisir Selatan (alokasi dana bantuan keuangan yang bersifat khusus propinsi tahun 2018 )</t>
  </si>
  <si>
    <t>Pembukaan / pengerasan jalan kurao sungai liku menuju koto lamo lakitan tengah kec. Ranah  pesisir Kab. Pesisir Selatan (alokasi dana bantuan keuangan yang bersifat khusus propinsi tahun 2018 )</t>
  </si>
  <si>
    <t>Rabat beton jalan lingkung taratak panas kenag. Pelangai gadang kec. Ranah  pesisir Kab. Pesisir Selatan (alokasi dana bantuan keuangan yang bersifat khusus propinsi tahun 2018 )</t>
  </si>
  <si>
    <t>Aspal lapen jalan ambaan kenag. Nyiur melambai kec. Ranah  pesisir Kab. Pesisir Selatan ( alokasi dana bantuan keuangan yang bersifat khusus propinsi tahun 2018 )</t>
  </si>
  <si>
    <t>Kelanjutan pembangunan jembatan talao nag. Taluk ampalu inderapura kec. Pancung soal Kab. Pesisir Selatan ( alokasi dana bantuan keuangan yang bersifat khusus propinsi tahun 2018 )</t>
  </si>
  <si>
    <t>Pengerasan jalan sungai putih menuju koto kanggo lumpo  nag. Gurun panjang selatan Kab. Pesisir Selatan ( alokasi dana bantuan keuangan yang bersifat khusus propinsi tahun 2018 )</t>
  </si>
  <si>
    <t>Rabat beton jalan pulau siandah karang tangah kenag. Lakitan selatan kec. Lengayang Kab. Pesisir Selatan ( alokasi dana bantuan keuangan yang bersifat khusus propinsi tahun 2018 )</t>
  </si>
  <si>
    <t>Painan,         September  2018</t>
  </si>
  <si>
    <t>Program Penataan Administrasi Kependudukan</t>
  </si>
  <si>
    <t>Jumlah sarana pengolah data dalam kondisi baik</t>
  </si>
  <si>
    <t>Jumlas struktur jaringan data yang baik</t>
  </si>
  <si>
    <t>Jumlah buku profil kependudukan yang diterbitkan</t>
  </si>
  <si>
    <t>Jumlah media penyebarluasan informasi kependudukan</t>
  </si>
  <si>
    <t>Jumlah penerbitan akta kelahiran</t>
  </si>
  <si>
    <t>Jumlah peserta bimtek pelayanan pendaftaran penduduk</t>
  </si>
  <si>
    <t>Jumlah pelaksanaan SOP yang dievaluasi</t>
  </si>
  <si>
    <t>Jumlah aduan masyarakat yang ditindaklanjuti tepat waktu</t>
  </si>
  <si>
    <t>Jumlah penerbitan Kartu Identitas Anak</t>
  </si>
  <si>
    <t>Jumlah penerbitan kartu keluarga</t>
  </si>
  <si>
    <t>Jumlah penerbitan KTP_el</t>
  </si>
  <si>
    <t>Jumlah Nagari dan sekolah yang dikunjungi</t>
  </si>
  <si>
    <t>Jumlah penerbitan akta kematian</t>
  </si>
  <si>
    <t>Jenis layanan pada pos layanan khusus</t>
  </si>
  <si>
    <t>Jenis layanan online kependudukan</t>
  </si>
  <si>
    <t>Jumlah arsip digital register akta kelahiran</t>
  </si>
  <si>
    <t>Jumlah bimtek/pelatihan yang diikuti</t>
  </si>
  <si>
    <t>Jumlah dokumen kependudukan yang diterbitkan di UKL</t>
  </si>
  <si>
    <t>Jumlah perekaman KTP_el di UKL</t>
  </si>
  <si>
    <t>Meningkatnya Akuntabilitas Kinerja Pemerintah Daerah</t>
  </si>
  <si>
    <t>Meningkatnya Pembinaan Taman Pendidikan Alquran</t>
  </si>
  <si>
    <t>Meningkatnya Pengetahuan Masyarakat pada forum Komunilasi, Pengetahuan dan Partai Politik</t>
  </si>
  <si>
    <t>Meningkatnya Jumlah Struktur Sosial Dalam Rangka Mencegah Penyalahgunaan Narkoba dan Obat-Obat Terlarang</t>
  </si>
  <si>
    <t>Meningkatnya Nilai Layanan Penyelenggaraan Pemerintah Daerah (LPPD)</t>
  </si>
  <si>
    <t>Meningkatnya Pembinaan Peserta Musabaqah Tilawatil Quran (MTQ)</t>
  </si>
  <si>
    <t>Meningkatnya Layanan Publikasi</t>
  </si>
  <si>
    <t>Meningkatnya Layanan Pengadaaan Barang dan Jasa</t>
  </si>
  <si>
    <t>Meningkatnya Layanan Pembentukan Produk Hukum Daerah</t>
  </si>
  <si>
    <t>Meningkatnya Nilai Pelayanan Publik OPD Pelayanan</t>
  </si>
  <si>
    <t>Perawatan Cagar Budaya. Museum dan Peninggalan bawah air</t>
  </si>
  <si>
    <t xml:space="preserve">Perlindungan anak </t>
  </si>
  <si>
    <t>KECAMATAN BAYANG</t>
  </si>
  <si>
    <t>Kec.Kt.XI Trs</t>
  </si>
  <si>
    <t>Penyediaan jasa suarat menyurat</t>
  </si>
  <si>
    <t>Terlaksananya pembayaran jasa surat menyurat</t>
  </si>
  <si>
    <t>,02</t>
  </si>
  <si>
    <t>Penyediaan Jasa komunikasi, Sumber  daya air.</t>
  </si>
  <si>
    <t>Terlaksannya pembyran jasa komunikasi sumber daya air</t>
  </si>
  <si>
    <t>terlaksananya pembayaran jasa kebersihan kantor</t>
  </si>
  <si>
    <t>tersedianya alat tulis kantor          ( jenis )</t>
  </si>
  <si>
    <t>Penyediaan barang cetakan dan Penggandaan</t>
  </si>
  <si>
    <t>Penyediaan komponen Instalasi listrik / penerangan bangunan kantor</t>
  </si>
  <si>
    <t>tersedianya makan dan minum rapat     ( bulan ) Tersedianya makan minum tamu ( bulan )</t>
  </si>
  <si>
    <t>Rapat - rapat Koordinasi dan konsultasi ke luar Daerah</t>
  </si>
  <si>
    <t>terlaksananya Koordinasi dan konsultasi keluar Daerah    ( bulan )</t>
  </si>
  <si>
    <t>Rapat - rapat Koordinasi dan konsultasi dalam Daerah</t>
  </si>
  <si>
    <t>terlaksananya Koordinasi dan konsultasi kedalam Daerah               ( bulan )</t>
  </si>
  <si>
    <t>Penunjang operasional perencanaan dan pelaporan SKPD</t>
  </si>
  <si>
    <t>Dokumen perencanaan dan pelaporan yang dihasilkan         ( dokumen )</t>
  </si>
  <si>
    <t>Program peningkatan Sarana dan Prasarana Aparatur</t>
  </si>
  <si>
    <t>Pengadaan perlengkapan gedung kantor</t>
  </si>
  <si>
    <t>Terlaksananya pengadaan perlengkapan gedung kantor ( Unit )</t>
  </si>
  <si>
    <t>Terlaksananya pemeliharaan gedung kantor ( unit kantor )</t>
  </si>
  <si>
    <t>Pemeliharaan rutin/berkala kendaraan dinas /operasional</t>
  </si>
  <si>
    <t>Pemeliharaan rutin peralatan gedung kantor</t>
  </si>
  <si>
    <t>Terlaksananya pemeliharaan peralatan gedung kantor       ( unit  )</t>
  </si>
  <si>
    <t>95</t>
  </si>
  <si>
    <t>operasional bot kecamatan</t>
  </si>
  <si>
    <t xml:space="preserve">Program peningkatan kapasitas sumberdaya Aparatur </t>
  </si>
  <si>
    <t>Persentase cakupan pelayanan kapasitas sumberdaya aparatur</t>
  </si>
  <si>
    <t>Terlaksananya pelatihan formal</t>
  </si>
  <si>
    <t>Program peningkatan mutu pendidik dan tenaga kependidikan</t>
  </si>
  <si>
    <t>Persentase cakupan mutu pendidik dan tenaga kependidikan</t>
  </si>
  <si>
    <t>Monitoring dan evaluasi unit kesehatan sekolah</t>
  </si>
  <si>
    <t>Terlaksananya unit kesehatan sekolah</t>
  </si>
  <si>
    <t>Program Pemperdayaan Kelembagaan kesejahteraan sosial</t>
  </si>
  <si>
    <t>Kec.Kt.XI Trs.</t>
  </si>
  <si>
    <t>Penunjang Kegiatan MTQ Kecamatan</t>
  </si>
  <si>
    <t>Terlaksannya Kegaiatan MTQ tk kecamatan</t>
  </si>
  <si>
    <t>Pembinaan lembaga didikan subuh</t>
  </si>
  <si>
    <t>Terlaksannya Pembinaan lembaga didikan subuh</t>
  </si>
  <si>
    <t xml:space="preserve">Program pengembangan pemasaran Pariwisata </t>
  </si>
  <si>
    <t>Persentase promosi budaya daerah dan potensi daya lokal</t>
  </si>
  <si>
    <t>Kegiatan Pergelaran seni budaya dan potensi daerah</t>
  </si>
  <si>
    <t>Program pembinaan dan fasilitasi pengelolaan keuangan desa/nagari</t>
  </si>
  <si>
    <t>Persentase tata kelola keuangan nagari yang baik</t>
  </si>
  <si>
    <t>Pembinaan dan fasilitasi pengelolaan pemerintah Nagari</t>
  </si>
  <si>
    <t>Pembinaan pengelolaan keuangan Nagari</t>
  </si>
  <si>
    <t xml:space="preserve">Program pengembangan wawasan kebangsaan </t>
  </si>
  <si>
    <t>Persentase ASN ,sekolah, Abri dan ormas yg mengikuti PHBN</t>
  </si>
  <si>
    <t>Pelaksanaan peringatan hari besar nasional</t>
  </si>
  <si>
    <t xml:space="preserve">Program pendidikan politik masyarakat </t>
  </si>
  <si>
    <t>Persentase terlaksananya pemilihan wali Nagari se Kecamatan</t>
  </si>
  <si>
    <t>Fasilitasi penyelenggaraan Pilwana</t>
  </si>
  <si>
    <t>Jumlah Pelaksanaan Pilwana</t>
  </si>
  <si>
    <t>Program pembangunan wilayah Kecamatan</t>
  </si>
  <si>
    <t>Persentase pemberdayaan Masyarakat dalam peningkatan ekonomi</t>
  </si>
  <si>
    <t>Pembinaan PKK Kecamatan</t>
  </si>
  <si>
    <t>Jumlah PPK Nagari yang di bina</t>
  </si>
  <si>
    <t>Pembinaan bulan Bhakti gontong royong</t>
  </si>
  <si>
    <t>jumlah bulan gontong royong yang dilaksanakan</t>
  </si>
  <si>
    <t>Perencanaan pembangunan Kecamatan</t>
  </si>
  <si>
    <t>Jumlah Musrembang RKPD yang diselenggarakan di tingkat Kecamatan</t>
  </si>
  <si>
    <t>Fasilitasi kegiatan kepemudaan keagamaan dan kemasyarakatan</t>
  </si>
  <si>
    <t>Meningkatnya capaian kehidupan beragama beradap dan mandiri</t>
  </si>
  <si>
    <t>Fasilitasi penyelenggaraan dan pelayanan administrasi terpadu</t>
  </si>
  <si>
    <t>jumlah rekomendasi yang dikeluarkan</t>
  </si>
  <si>
    <t>Program pemantapan otonomi Daerah</t>
  </si>
  <si>
    <t>Persentase penyelesaian permasahan pemerintahan daerah</t>
  </si>
  <si>
    <t>Koordinasi dan pembinaan kewilayahan</t>
  </si>
  <si>
    <t>jumlah Koordinasi dan pembinaan wilayah yang dilakukan</t>
  </si>
  <si>
    <t>Terlaksanaya fasilitasi pemberdayaan program unggulan kecamatan</t>
  </si>
  <si>
    <t>Program pemberdayaan potensi unggulan kecamatan</t>
  </si>
  <si>
    <t>Persentase terselenggaranya fasilitasi pemberdayaan program unggulan kecamatan</t>
  </si>
  <si>
    <t>Fasilitasi peberdayaan program unggulan kecatan</t>
  </si>
  <si>
    <t>jumlah dana yang dibutuhkan</t>
  </si>
  <si>
    <t>Program fasilitasi masalah trantip dan pertanahan</t>
  </si>
  <si>
    <t xml:space="preserve">Persentase jumlah khusus yang ditangani /fasilitasi </t>
  </si>
  <si>
    <t>Fasilitasi masalah trantip dan pertanahan</t>
  </si>
  <si>
    <t>jumlah penyelesaian permasahan trantip yang di fasilitasi</t>
  </si>
  <si>
    <t>terlaksananya pembayaran honor dan operasional pengelolaan keuangan           (bulan)</t>
  </si>
  <si>
    <t>Tersedianya barang cetakan            dan penggandaan dokumen (bulan)</t>
  </si>
  <si>
    <t>Tersedianya bahan bacaan dan peraturan perundang undangan                    (jenis)</t>
  </si>
  <si>
    <t>Tersedianya komponen istalasi listrik / penerangan bangunan (jenis)</t>
  </si>
  <si>
    <t>ketersediaan pelayanan Administrasi perkantoran (Bln)</t>
  </si>
  <si>
    <t>Ketersediaan pelayanan sarana dan prasarana penunjang bagi aparatur (bln)</t>
  </si>
  <si>
    <t>Terlaksananya pemeliharaan kendaraan dinas / operasional       (unit)</t>
  </si>
  <si>
    <t>Terlaksananya pemeliharaan Bot Kecamatan      (unit )</t>
  </si>
  <si>
    <t>Pendidikan dan pelatihan formal (kegiata</t>
  </si>
  <si>
    <t>Persentase lembaga sosial aktif (%)</t>
  </si>
  <si>
    <t>Pameran pergelaran seni budaya dan festifal langkisau (event)</t>
  </si>
  <si>
    <t>tersedianya operasional pembinaan pemerintahan nagari (bln)</t>
  </si>
  <si>
    <t>Tersedianya operasional pembinaan keuangan nagari (bln)</t>
  </si>
  <si>
    <t>jumlah kegiatan  PHBN yang dilaksanakan</t>
  </si>
  <si>
    <t>5</t>
  </si>
  <si>
    <t>Fasilitasi Masalah Trantib dan Pertanahan</t>
  </si>
  <si>
    <t>KECAMATAN AIR PURA</t>
  </si>
  <si>
    <t>Meningkatnya akuntabilitas laporan keuangan yang baik dan tepat waktu</t>
  </si>
  <si>
    <t>Program Pelayanan administrasi perkantoran</t>
  </si>
  <si>
    <t>Prosentase Cakupan pelayanan administrasi perkantoran (persen)</t>
  </si>
  <si>
    <t>Kec. BAB Tapan</t>
  </si>
  <si>
    <t>Terpenuhinya jasa pramu kantor</t>
  </si>
  <si>
    <t>Kegiatan Penyediaan jasa Komunikasi, sumberdaya air dan listrik</t>
  </si>
  <si>
    <t>Terlaksananya pembayaran rekening listrik (rekening/ bulan)</t>
  </si>
  <si>
    <t xml:space="preserve"> Penyediaan jasa administrasi keuangan</t>
  </si>
  <si>
    <t>Terlaksananya pembayaran honor dan operasional pengelolaan keuangan (bulan)</t>
  </si>
  <si>
    <t xml:space="preserve">Terlaksananya pembayaran jasa kebersihan kantor (bulan)                                                    </t>
  </si>
  <si>
    <t>Tersedianya alat tulis kantor (jenis)</t>
  </si>
  <si>
    <t xml:space="preserve">-Tersedianya barang cetakan (jenis) </t>
  </si>
  <si>
    <t>- Tersedianya belanja perangko, materai dan benda pos lainnya</t>
  </si>
  <si>
    <t>-Tersedianya penggandaan dokumen (lembar)</t>
  </si>
  <si>
    <t>Penyediaan komponen instalansi listrik/penerangan bangunan kantor</t>
  </si>
  <si>
    <t>Tersedianya komponen instalasi listrik/ penerangan bangunan (jenis)</t>
  </si>
  <si>
    <t>Penyediaan bahan bacaan dan peraturan Perundang-undangan</t>
  </si>
  <si>
    <t>Tersedianya bahan bacaan dan peraturan Perundang-undangan (jenis)</t>
  </si>
  <si>
    <t>-Tersedianya bmakan minum rapat (bulan)</t>
  </si>
  <si>
    <t>-Tersedianya makan minum tamu (bulan)</t>
  </si>
  <si>
    <t>Terlaksananya Koordinasi dan Kosultasi keluar daerah (bulan)</t>
  </si>
  <si>
    <t>Rapat-rapat koordinasi dan Konsultasi dalam daerah</t>
  </si>
  <si>
    <t>Terlaksananya Koordinasi dan Kosultasi kedalam daerah (bulan)</t>
  </si>
  <si>
    <t>Dokumen perencanaan dan pelaporan yang dihasilkan (dokumen)</t>
  </si>
  <si>
    <t>Terciptanya suasana yang baik dalam pelaksanaan dan pelayanan di kecamatan Basa Ampek Balai Tapan</t>
  </si>
  <si>
    <t>Program Peningkatan Sarana dan Prasarana aparatur</t>
  </si>
  <si>
    <t>Persentase Cakupan pelayanan sarana dan prasarana penunjang bagi aparatur (persen)</t>
  </si>
  <si>
    <t>Terlaksananya pengadaan perlengkapan gedung kantor (unit)</t>
  </si>
  <si>
    <t>Terlaksananya pengadaan peralatan gedung kantor (unit)</t>
  </si>
  <si>
    <t>Pengadaan  Peralatan rumah dinas/jabatan</t>
  </si>
  <si>
    <t>Terlaksananya pengadaan peralatan rumah dinas/jabatan</t>
  </si>
  <si>
    <t>Pemeliharaan rutin/berkala rumah dinas</t>
  </si>
  <si>
    <t>Terlaksananya pemeliharaan rumah dinas</t>
  </si>
  <si>
    <t>Terlaksananya pemeliharaan gedung kantor (unit kantor)</t>
  </si>
  <si>
    <t>Pemeliharaan rutin/berkala kendaraan dinas/operasional</t>
  </si>
  <si>
    <t>Terlaksananya pemeliharaan kendaraan dinas/ operasional (unit)</t>
  </si>
  <si>
    <t xml:space="preserve"> Pemeliharaan rutin peralatan Gedung Kantor</t>
  </si>
  <si>
    <t>Terlaksananya pemeliharaan peralatan gedung kantor (unit)</t>
  </si>
  <si>
    <t>Terciptanya masyarakat yang memiliki semangat kemerdekaan dalam mengisi pembangunan di kec. Basa Ampek Balai Tapan</t>
  </si>
  <si>
    <t>Program Pengembangan Wawasan kebangsaan</t>
  </si>
  <si>
    <t>Persentase ASN, Sekolah, ABRI, Ormas yang mengikuti HUT RI</t>
  </si>
  <si>
    <t>Kegiatan pelaksanaan Upacara HUR RI</t>
  </si>
  <si>
    <t>jumlah pelaksanaan PHBN (kali)</t>
  </si>
  <si>
    <t>Terciptanya usaha mikro, kecil dan menengah berbasis sumber daya lokal di kec. Basa Ampek Balai Tapan</t>
  </si>
  <si>
    <t>Program pengembangan pemasaran pariwisata</t>
  </si>
  <si>
    <t>persentase Promosi budaya daerah dan potensi sumber daya lokal (persen)</t>
  </si>
  <si>
    <t>Kegiatan Pelaksanaan festival langkisau</t>
  </si>
  <si>
    <t>Pameran Budaya dan pemasaran UMKM sumber daya lokal Kecamatan BAB Tapan</t>
  </si>
  <si>
    <t>Program Peningkatan dan pengembangan pengelolaan keuangan daerah</t>
  </si>
  <si>
    <t>Persentase peningkatan PAD (persen)</t>
  </si>
  <si>
    <t>Kegiatan Fasilitasi capaian penerimaan PBB-P2</t>
  </si>
  <si>
    <t>Persentase penerimaan PBB terhadap target (persen)</t>
  </si>
  <si>
    <t>Terwujudnya Penyelenggaraan Pemerintahan Nagari Yang Baik</t>
  </si>
  <si>
    <t>Program Pembinaan dan Fasilitasi Pengelolaan Keuangan Desa/Nagari</t>
  </si>
  <si>
    <t>Persentase Nagari tertib administrasi dalam pengelolaan keuangan (nagari)</t>
  </si>
  <si>
    <t>Monitoring dan Evaluasi Pembinaan Pengelolaan Pemerintahan Nagari</t>
  </si>
  <si>
    <t>Laporan keuangan pemerintahan nagari yang akuntabel (10 Nagari x 6 tahun)</t>
  </si>
  <si>
    <t>1.Peringkat MTQ Pesisir Selan. 2.Persentase lembaga sosial masyarakat yang aktif.</t>
  </si>
  <si>
    <t>Penunjang kegiatan MTQ Tingkat Kecamatan</t>
  </si>
  <si>
    <t>Jumlah MTQ yang diikuti (kali)</t>
  </si>
  <si>
    <t>Penunjang Kegiatan MTQ tingkat Kabupaten</t>
  </si>
  <si>
    <t>Terciptanya masyarakat yang sejahtera dan berkemampuan</t>
  </si>
  <si>
    <t>Program Pembangunan Wilayah Kecamatan</t>
  </si>
  <si>
    <t>persentase pemberdayaan masyarakat dalam peningkatan ekonomi</t>
  </si>
  <si>
    <t>Jumlah PKK Nagari yang dibina (10 nagari x 6 tahun)</t>
  </si>
  <si>
    <t>Pembinaan bulan bhakti gotong royong</t>
  </si>
  <si>
    <t>Jumlah Bulan Gotong Royong yang dilaksanakan (kali)</t>
  </si>
  <si>
    <t>Perencanaan pembangunan kecamatan</t>
  </si>
  <si>
    <t>Jumlah Musrenbang RKPD yang diselenggarakan di tingkat kecamatan (kali)</t>
  </si>
  <si>
    <t>Koordinasi muspika dan pembinaan kewilayahan</t>
  </si>
  <si>
    <t>Jumlah koordinasi dan pembinaan kewilayahan yang dilakukan (bulan)</t>
  </si>
  <si>
    <t>jumlah rekomendasi yang dikeluarkan (rekomendasi)</t>
  </si>
  <si>
    <t>Pembinaan produk unggul nagari dan pemberdayaan masyarakat</t>
  </si>
  <si>
    <t>Jumlah produk unggulan yang dibina (nagari)</t>
  </si>
  <si>
    <t>Program Pemberdayaan keamanan dan kenyamanan</t>
  </si>
  <si>
    <t>Jumlah kasus yang ditangani/fasilitasi</t>
  </si>
  <si>
    <t>Meningkatnya Tingkat Keamanan Nagari</t>
  </si>
  <si>
    <t>Fasilitasi penyelesaian permasalahan trantibum</t>
  </si>
  <si>
    <t>Terwujudnya penyelesaian permasalahan trantibum dan kenyamanan lingkungan</t>
  </si>
  <si>
    <t>Kec. Pancung Soal</t>
  </si>
  <si>
    <t xml:space="preserve">Persentase masyarakat miskin yang mendapatkan beras miskin </t>
  </si>
  <si>
    <t>Kegiatan Distribusi Raskin</t>
  </si>
  <si>
    <t>Terlaksananya monitoring dan evaluasi distribusi raskin kepada masyarakat nagari</t>
  </si>
  <si>
    <t>Pameran Budaya dan pemasaran UMKM sumber daya lokal Kecamatan Pancung Soal (kali)</t>
  </si>
  <si>
    <t>KECAMATAN  LENGAYANG</t>
  </si>
  <si>
    <t>Persentase Cakupan pelayanan Administrasi perkantoran</t>
  </si>
  <si>
    <t>Kec. Lengayang</t>
  </si>
  <si>
    <t>Penyediaan jasa komunikasi,sumber daya air dan listrik</t>
  </si>
  <si>
    <t>Jumlah kebutuhan air dan listrik</t>
  </si>
  <si>
    <t>Terlaksananya administarsi keuangan yang baik dan benar</t>
  </si>
  <si>
    <t>Tersedianya biaya kebersihan kantor</t>
  </si>
  <si>
    <t>Tersedianya jasa peralatan dan perlengkapan kantor</t>
  </si>
  <si>
    <t>Tersedianya alat alat tulis untuk kebersihan kantor</t>
  </si>
  <si>
    <t>Tersediayan Komponen instalasi listrik yang dibutuhkan</t>
  </si>
  <si>
    <t>Tersedianya biaya berlangganan koran</t>
  </si>
  <si>
    <t>Tersedianya makan dan minum</t>
  </si>
  <si>
    <t>Tersediaya koordinasi dan konsultasike luar daerah</t>
  </si>
  <si>
    <t>Tersediayan biaya konsultasi dan koordinasi dalam daerah</t>
  </si>
  <si>
    <t>Penunjang Operasional Perencanaan dan Pelaporan OPD</t>
  </si>
  <si>
    <t>Nilai LAKIP Kecamatan Lengayang</t>
  </si>
  <si>
    <t>Program Peningkata Sarana dan Prasarana Aparatur</t>
  </si>
  <si>
    <t>Persentase cakupan lyanan sarana dan prasarana penunjang bagi aparatur</t>
  </si>
  <si>
    <t>Pengadaan perlengkapan gedung kantor</t>
  </si>
  <si>
    <t>Tersediayan peralatan gedung kantor</t>
  </si>
  <si>
    <t>Pemeliharaan rutin/berkala rumah Dinas</t>
  </si>
  <si>
    <t>Terawatnya Rumah Dinas</t>
  </si>
  <si>
    <t>Pengadaan perlengkapan rumah dinas Camat lengayang</t>
  </si>
  <si>
    <t>Tersedianya perlengkapan rumah dinas camat lengayang</t>
  </si>
  <si>
    <t>Pemeliharaan Rutin/berkala gedung kantor</t>
  </si>
  <si>
    <t>Terawatnya / Gedung Kantor</t>
  </si>
  <si>
    <t>Pemeliharaan rutin/ berkala kendaraan dinas/ operasional</t>
  </si>
  <si>
    <t>Kelancaran perjalanan dinas</t>
  </si>
  <si>
    <t>Program peningkatan Kapasitas Sumber Daya Aparatur</t>
  </si>
  <si>
    <t>Persentare peningkatan kapasitas sumber daya aparatur</t>
  </si>
  <si>
    <t>Jumlah pegawai yang ikut kursus/diklat</t>
  </si>
  <si>
    <t>Penunjang kegiatan MTQ Kecamatan</t>
  </si>
  <si>
    <t>Terlaksananya Mtq Kecamatan</t>
  </si>
  <si>
    <t>Peningkatan kegiatan keagamaan ( didikan subuh wirid remaja)</t>
  </si>
  <si>
    <t xml:space="preserve">Program Pengembangan Wawasan Kebangsaan </t>
  </si>
  <si>
    <t>Persentase penurunan kasus Narkoba Tingkat Pelajar</t>
  </si>
  <si>
    <t>Pelaksanaan Upacara HUT RI</t>
  </si>
  <si>
    <t>Tersedianya biaya HUT - RI</t>
  </si>
  <si>
    <t>Peningkatan kompetensi kelembagaan KAN</t>
  </si>
  <si>
    <t>Peningkatan mutu kelembagaan KAN</t>
  </si>
  <si>
    <t>Program pelayanan dan rehabilitasi kesejahteran sosial</t>
  </si>
  <si>
    <t>Persentase Nagari yang menyalurkan bantuan pangan non tunai tepat sasaran</t>
  </si>
  <si>
    <t>Distribusi Raskin</t>
  </si>
  <si>
    <t>Tersedianya biaya untuk monitoring</t>
  </si>
  <si>
    <t>Persentase Pengembangan Ekonomi Kreatif</t>
  </si>
  <si>
    <t>Partisipasi Pada Event Ekonomi Kreatif Berbasis Seni dan Budaya Daerah</t>
  </si>
  <si>
    <t>Tersediayan biaya pagelaran sni budaya dan potensi daerah</t>
  </si>
  <si>
    <t>Program Pembinaan dan pasilitasi pengelolaan Keuangan Desa/Nagari</t>
  </si>
  <si>
    <t>Persentase Pembinaan dan fasilitas Pengelolaan Keuangan Desa/Nagarai</t>
  </si>
  <si>
    <t>Tersedianya biaya Pembinaan Pengelolaan Keu.nagari</t>
  </si>
  <si>
    <t>Program Pembagunan Wilayah Kecamatan</t>
  </si>
  <si>
    <t>Persentase Pembangunan Wilayah Kecamatan</t>
  </si>
  <si>
    <t>Tersedianya biaya Pembinaan  Kegiatan PKK Kecamatan</t>
  </si>
  <si>
    <t>Pembinaan Bulan Bakti Gotong Royong</t>
  </si>
  <si>
    <t>Tersdianya biaya bulan bakti gotong royaong ke nagari</t>
  </si>
  <si>
    <t xml:space="preserve">Perencanaan Pembagunan Kecamatan </t>
  </si>
  <si>
    <t>Jumlah Nagari yang ikut gotong royong</t>
  </si>
  <si>
    <t xml:space="preserve">Lomba K3 dan Taman Se- Kecamatan </t>
  </si>
  <si>
    <t>Terjaganya  lingkungan yang sehat</t>
  </si>
  <si>
    <t xml:space="preserve">Koordinasi Muspika dan pembinaan kewilayaan </t>
  </si>
  <si>
    <t>Tersediya biaya Operasional koordinasi Muspika</t>
  </si>
  <si>
    <t>Kepemudaan dan keagamaan dan kemasyarakatan</t>
  </si>
  <si>
    <t xml:space="preserve"> Terlaksananya acara kepemudaan  dan keagamaan              </t>
  </si>
  <si>
    <t>Pembinaan pramuka kecamatan</t>
  </si>
  <si>
    <t>Terlaksananya kegiatan pramuka</t>
  </si>
  <si>
    <t>Fasilitasi Penyelenggaraan Pelayanan Administrasi Terpadu Kecamatan</t>
  </si>
  <si>
    <t>Persentase Penyelenggaraan Pelayanan Administrasi Terpadu Kecamatan</t>
  </si>
  <si>
    <t>Tersedianya biaya operasional Paten</t>
  </si>
  <si>
    <t>Terlaksanaya biaya operasional terpadu ( PATEN)</t>
  </si>
  <si>
    <t>Program Peningkatan pembeantasa penyakit masyarakat    ( PEKAT)</t>
  </si>
  <si>
    <t>Persentase penurunan Narkoba Tingkat Pelajar</t>
  </si>
  <si>
    <t>Penyuluhan pencegah peredaran penggunaan minuman keras dan narkoba</t>
  </si>
  <si>
    <t>Terlaksananya pemberantasan pencegahan narkoba</t>
  </si>
  <si>
    <t>Kec. Ranah Pesisir</t>
  </si>
  <si>
    <t>2.375.000</t>
  </si>
  <si>
    <t>398.654.318,-</t>
  </si>
  <si>
    <t>3.297.000,-</t>
  </si>
  <si>
    <t>Pemeliharaan rutin/berkala rumah Dinas</t>
  </si>
  <si>
    <t>1.838.000,-</t>
  </si>
  <si>
    <t>24.519.318,-</t>
  </si>
  <si>
    <t>Rehabilitasi Sedang/Berat Gedung kantor</t>
  </si>
  <si>
    <t>Terawatnya Gedung Kantor</t>
  </si>
  <si>
    <t>Penyelenggaraan MTQ Tk.Kabupaten</t>
  </si>
  <si>
    <t>1.925.000,-</t>
  </si>
  <si>
    <t>12.250.000,-</t>
  </si>
  <si>
    <t>003</t>
  </si>
  <si>
    <t>Pembinaan dan Fasilitasi Pengelolaan Pemerintahan Nagari</t>
  </si>
  <si>
    <t>Tercapainya kegiatan verifikasi dan evaluasi APB Nagari</t>
  </si>
  <si>
    <t>7.390.000,-</t>
  </si>
  <si>
    <t>Pembinaan Pengelolaan Keuangan nagari</t>
  </si>
  <si>
    <t xml:space="preserve">Terbitnya administrasi Pemerintahan   Nagari                                                           </t>
  </si>
  <si>
    <t>4.860.000,-</t>
  </si>
  <si>
    <t>82.844.802,-</t>
  </si>
  <si>
    <t>45.183.932,-</t>
  </si>
  <si>
    <t>Pembinaan Bulan Bakti Gonto Royong</t>
  </si>
  <si>
    <t>1.000.000,-</t>
  </si>
  <si>
    <t>Terciptanya kondisi lingkungan yang kondutif</t>
  </si>
  <si>
    <t>11.790.000,-</t>
  </si>
  <si>
    <t>1.650.000,-</t>
  </si>
  <si>
    <t>7.039.910,-</t>
  </si>
  <si>
    <t>Program Pemberdayaan Potensi Unggulan Kecamatan</t>
  </si>
  <si>
    <t>Tercapainya Pemberdayaan Potensi Unggulan Kecamatan</t>
  </si>
  <si>
    <t>Fasilitasi Promosi Produk Ungglan Kecamatan dan Ekonomi Keratif</t>
  </si>
  <si>
    <t>Terlaksananya lomba mangaik Mungkui</t>
  </si>
  <si>
    <t>Terlayaninya Dokumen Kependudukan</t>
  </si>
  <si>
    <t>001</t>
  </si>
  <si>
    <t>Penunjang Penerapan KTP berbasis NIK Nasional ( E-KTP )</t>
  </si>
  <si>
    <t>Terlaksananya perekaman dan pencetakan E-KTP di Kecamatan</t>
  </si>
  <si>
    <t>Kec. Silaut</t>
  </si>
  <si>
    <t xml:space="preserve">-Tersedianya barang cetakan (buku) </t>
  </si>
  <si>
    <t>Tersedianya komponen instalasi listrik/ penerangan bangunan (bulan)</t>
  </si>
  <si>
    <t>Pameran Budaya dan pemasaran UMKM sumber daya lokal Kecamatan Silaut (kali)</t>
  </si>
  <si>
    <t>Pembinaan Pemuda Karang taruna</t>
  </si>
  <si>
    <t>Jumlah organisasi pemuda yang dibina (kali)</t>
  </si>
  <si>
    <t>Pemberdayaan masyarakat pinggir kawasaan hutan</t>
  </si>
  <si>
    <t>Jumlah nagari yang difasilitasi dalam pembangunan kawasan perhutanan sosial (nagari)</t>
  </si>
  <si>
    <t>Program Pemberdayaan Potensi unggulan Kecamatan</t>
  </si>
  <si>
    <t>Jumlah nagari yang memiliki potensi unggulan (nagari)</t>
  </si>
  <si>
    <t>Fasilitasi Pengembangan Kawasan Perdesaan Berbasis Ternak Sapi Bali</t>
  </si>
  <si>
    <t>Jumlah nagari yang difasilitasi dalam pembangunan kawasan perdesaan berbasis peternakan (nagari)</t>
  </si>
  <si>
    <t>Ketersediaan Cakupan pelayanan administrasi perkantoran bln</t>
  </si>
  <si>
    <t>KECAMATAN RANAH AMPEK HULU TAPAN</t>
  </si>
  <si>
    <t>pemenuhan sarana dan prasarana aparatur (bln)</t>
  </si>
  <si>
    <t>jumlah dokumen perencanaan (paket )</t>
  </si>
  <si>
    <t>Pemeliharaan/ operasional kendaraan dinas (b)ln</t>
  </si>
  <si>
    <t>Persentase penyelesaian relokasi RSUD</t>
  </si>
  <si>
    <t>Manajemen Konstruksi RSUD ( paket )</t>
  </si>
  <si>
    <t>Master Plan RSUD ( paket )</t>
  </si>
  <si>
    <t>Pembangunan Relokasi RSUD (paket )</t>
  </si>
  <si>
    <t>Persentase drainase kondisi baik</t>
  </si>
  <si>
    <t>terlaksananya pemeliharaan drainase (bln )</t>
  </si>
  <si>
    <t xml:space="preserve"> Pembangunan Saluran Drainase dan trotoar (paket )</t>
  </si>
  <si>
    <t>Pemeliharaan Jalan (bln)</t>
  </si>
  <si>
    <t>Pemeliharaan Jembatan (bln)</t>
  </si>
  <si>
    <t>Rehab Jembatan (bln)</t>
  </si>
  <si>
    <t>Persentase Pembangunan/ Peningkatan Infrastruktur pariwisata</t>
  </si>
  <si>
    <t>jumlah lokasi pengembangan air minum</t>
  </si>
  <si>
    <t>Kec. Sutera</t>
  </si>
  <si>
    <t xml:space="preserve">-Tersedianya barang cetakan dan penggandaan (bln) </t>
  </si>
  <si>
    <t>Tersedianya bahan bacaan dan peraturan Perundang-undangan (bln)</t>
  </si>
  <si>
    <t>Pemeliharaan rutin/berkala Rumah dinas</t>
  </si>
  <si>
    <t>Terlaksananya pemeliharaan rumah dinas (unit)</t>
  </si>
  <si>
    <t>Verifikasi dan Evaluasi APB Nagari</t>
  </si>
  <si>
    <t>APB nagari terverifikasi</t>
  </si>
  <si>
    <t>Jambore Kader PKK Berprestasi tingkat Kabupaten</t>
  </si>
  <si>
    <t>kepesertaan dalam jambore PKK tingkat Kabupaten (kegiatan)</t>
  </si>
  <si>
    <t>Program Peningkatan Pengembangan Sistem Pelaporan dan Capaian Kinerja dan Keuangan</t>
  </si>
  <si>
    <t xml:space="preserve"> Peningkatan Nilai SAKIP Kecamatan </t>
  </si>
  <si>
    <t>Penyusunan Laporan AKIP SKPD</t>
  </si>
  <si>
    <t>Laporan AKIP Kecmatan (dokumen)</t>
  </si>
  <si>
    <t>Painan,        Oktober 2018</t>
  </si>
  <si>
    <t>Kec. Air Pura</t>
  </si>
  <si>
    <t>Laporan LAKIP Kecamatan Lengayang</t>
  </si>
  <si>
    <t>Kec. Bayang</t>
  </si>
  <si>
    <t xml:space="preserve">Jumlah PKK Nagari yang dibina </t>
  </si>
  <si>
    <t>Laporan keuangan pemerintahan nagari yang akuntabel</t>
  </si>
  <si>
    <t>Pameran Budaya dan pemasaran UMKM sumber daya lokal (kali)</t>
  </si>
  <si>
    <t>Kec. Bayang Utara</t>
  </si>
  <si>
    <t>Jumlah PKK Nagari yang dibina</t>
  </si>
  <si>
    <t>Kec. IV Jurai</t>
  </si>
  <si>
    <t>Kec. Batang Kapas</t>
  </si>
  <si>
    <t>Kec. Linggo Sari Baganti</t>
  </si>
  <si>
    <t>Kec. Airpura</t>
  </si>
  <si>
    <t>URUSAN KEWILAYAHAN</t>
  </si>
  <si>
    <t xml:space="preserve">-Tersedianya barang cetakan  dan penggandaan (bulan) </t>
  </si>
  <si>
    <t>Penyediaan asa publikasi</t>
  </si>
  <si>
    <t>Publikasi dimedia masa</t>
  </si>
  <si>
    <t>Program Pendidikan Politik msyarakat</t>
  </si>
  <si>
    <t>Persentase masyarakat yang terbina</t>
  </si>
  <si>
    <t>kegiatan Pilwana yang difasilitasi</t>
  </si>
  <si>
    <t>umlah nagari yang dibina</t>
  </si>
  <si>
    <t>Pembinaan Pengelollaan Keuangan Nagari</t>
  </si>
  <si>
    <t>Peningkatan Nilai SAKIP kecamatan (skor)</t>
  </si>
  <si>
    <t>Penyusunan laporan capaian kinera dan ikhtisar realisasi kinera OPD</t>
  </si>
  <si>
    <t>laporan kinera (dokumen)</t>
  </si>
  <si>
    <t>Penyusunan perencanaan anggaran</t>
  </si>
  <si>
    <t>Rena dan RKA (dokumen)</t>
  </si>
  <si>
    <t>Kegiatan Penyediaan jasa asa surat menyurat</t>
  </si>
  <si>
    <t>Tersedianya layannan surat menyurat kantor bulan)</t>
  </si>
  <si>
    <t>Nagari yang dibina (unit)</t>
  </si>
  <si>
    <t>Pelayanan Administrasi Terpadu (PATEN)</t>
  </si>
  <si>
    <t>Pelayanan yang diberikan (bln)</t>
  </si>
  <si>
    <t>Lomba K3 dan Taman se Kecamatan</t>
  </si>
  <si>
    <t>umkah sekolah yang dinilai (unit)</t>
  </si>
  <si>
    <t>Rapat Koordinasi Kecamatan</t>
  </si>
  <si>
    <t>umlah rakor yang diselenggarakan (kegiatan)</t>
  </si>
  <si>
    <t>Persentase masyarakat yang tersentuh pembinaan (%)</t>
  </si>
  <si>
    <t>Fasilitasi dan Monitoring Kegiatan Pemilihan Wali Nagari Tahun 2017</t>
  </si>
  <si>
    <t>Kegiatan pilwana yang didampingi (kegiatan)</t>
  </si>
  <si>
    <t>Program Pemberdayaan Kelembagaan Keseahteraan sosial</t>
  </si>
  <si>
    <t>Meningkatnya pengamalan nilai-nilai agama dan peran lembaga adat</t>
  </si>
  <si>
    <t>Penyelenggaraan MTQ Kecamatan</t>
  </si>
  <si>
    <t>event MTQ yang dilaksanakan / diikuti (kegiatan)</t>
  </si>
  <si>
    <t>Pembinaan Lembaga didikan subuh</t>
  </si>
  <si>
    <t>umlah nagari yang dibina (unit)</t>
  </si>
  <si>
    <t>Tersedianya peralatan kantor (paket)</t>
  </si>
  <si>
    <t>Terawatnya Rumah Dinas (bln)</t>
  </si>
  <si>
    <t>Pemeliharaan rutin/ berkala Peralatan dan Perlengkapan  Gedung kantor</t>
  </si>
  <si>
    <t>terpeliharanya peralatan kantor (bln)</t>
  </si>
  <si>
    <t>Program Peningkatan keamanan dan kenyamanan Lingkungan</t>
  </si>
  <si>
    <t>Pengendalian ketentraman dan ketertiban umum</t>
  </si>
  <si>
    <t>jumlah nagari yang dilayani</t>
  </si>
  <si>
    <t>Program Pemeliharaan kntrantibmas dan Pencegahan Tindak Kriminal</t>
  </si>
  <si>
    <t>Pencapaian target pengurangan kasus pelanggaran Perda (persen)</t>
  </si>
  <si>
    <t>Jumlah nagari yang difasilitasi</t>
  </si>
  <si>
    <t>Persentase masyarakat yang tersentuh pembinaan (persen)</t>
  </si>
  <si>
    <t>Fasilitasi Penyelenggaraan Pilwana</t>
  </si>
  <si>
    <t>Jumlah Nagari yang difasilitasi</t>
  </si>
  <si>
    <t>Program Pemberdayaan kelembagaan Kesejahteraan Sosial</t>
  </si>
  <si>
    <t>Persentase lembaga sosial masyarakat yang aktif (persen)</t>
  </si>
  <si>
    <t>Penunjang kegiatan MTQ kecamatan</t>
  </si>
  <si>
    <t>Kegiatan MTQ yang diikuti (kegiatan)</t>
  </si>
  <si>
    <t>Pergelaran seni budaya dan potensi daerah</t>
  </si>
  <si>
    <t>Program Peningkatan Pengembangan Pengelolaan Keuangan daerah</t>
  </si>
  <si>
    <t>Fasilitasi penerimaan PBB-P2</t>
  </si>
  <si>
    <t>jumlah nagari yang difasilitasi</t>
  </si>
  <si>
    <t>Pembinaan dan  pengawasan administrasi keuangan pemerintah nagari</t>
  </si>
  <si>
    <t>Laporan keuangan pemerintahan nagari yang akuntabel (16 Nagari x 6 tahun)</t>
  </si>
  <si>
    <t>Jumlah PKK Nagari yang dibina (16 nagari x 6 tahun)</t>
  </si>
  <si>
    <t>jumlah pemuda yang dibina</t>
  </si>
  <si>
    <t>Terselengaranya PATEn (bln)</t>
  </si>
  <si>
    <t>Tersedianya layanan jasa surat menyirat/ bulan)</t>
  </si>
  <si>
    <t>Laporan perencanaan dan pelaporan yang dihasilkan</t>
  </si>
  <si>
    <t>Pemeliharaan rutin/ berkala Peralatan Gedung kantor</t>
  </si>
  <si>
    <t>Program Peningkatan dan Pengembangan Pengelolaan keuangan daerah</t>
  </si>
  <si>
    <t>persentse peningkatan PAD</t>
  </si>
  <si>
    <t>Program Peningkatan Kapasitas Aparatur Pemerintahan Desa/Nagari</t>
  </si>
  <si>
    <t>Monitoring dan Evaluasi Penyelenggaraan Pemerintahan Nagari</t>
  </si>
  <si>
    <t>Jumlah nagari yang dibina</t>
  </si>
  <si>
    <t>Program Pemantapan Otonomi daerah</t>
  </si>
  <si>
    <t>persentase penyelengaraan otonomi daerah</t>
  </si>
  <si>
    <t>Pembinaan kegiatan sosial kemasyarakatan (UKS, Pramuka dan Festifal Langkisau)</t>
  </si>
  <si>
    <t>jumlah UKS yang dibina</t>
  </si>
  <si>
    <t>Fasilitasi forum loordinasi pimpinan kecamatan</t>
  </si>
  <si>
    <t>rapat-raat koordinasi muspika (bln)</t>
  </si>
  <si>
    <t>Fasilitasi Pemilihan wali nagari</t>
  </si>
  <si>
    <t>Fasilitasi Pemberdayaan program unguulan kecamatan</t>
  </si>
  <si>
    <t>Jumlah nagari yang difasilitasi (nagari)</t>
  </si>
  <si>
    <t>g</t>
  </si>
  <si>
    <t>Program Monitoring, Evaluasi dan Pelaporan</t>
  </si>
  <si>
    <t>operasional labor (bln)</t>
  </si>
  <si>
    <t>Persentase rumah tangga dengan akses air bersih</t>
  </si>
  <si>
    <t>Panjang Jalan Produksi/ Jalan Usaha Tani yang dibangun/ direhabilitasi (km)</t>
  </si>
  <si>
    <t>Koordinasi Pembangunan Ekonomi pesisir Seltan</t>
  </si>
  <si>
    <t>penyelenggaraan rapat-rapat (bln)</t>
  </si>
</sst>
</file>

<file path=xl/styles.xml><?xml version="1.0" encoding="utf-8"?>
<styleSheet xmlns="http://schemas.openxmlformats.org/spreadsheetml/2006/main">
  <numFmts count="30">
    <numFmt numFmtId="42" formatCode="_(&quot;Rp&quot;* #,##0_);_(&quot;Rp&quot;* \(#,##0\);_(&quot;Rp&quot;* &quot;-&quot;_);_(@_)"/>
    <numFmt numFmtId="41" formatCode="_(* #,##0_);_(* \(#,##0\);_(* &quot;-&quot;_);_(@_)"/>
    <numFmt numFmtId="43" formatCode="_(* #,##0.00_);_(* \(#,##0.00\);_(* &quot;-&quot;??_);_(@_)"/>
    <numFmt numFmtId="164" formatCode="_(* #,##0_);_(* \(#,##0\);_(* &quot;-&quot;??_);_(@_)"/>
    <numFmt numFmtId="165" formatCode="_(* #,##0.0_);_(* \(#,##0.0\);_(* &quot;-&quot;_);_(@_)"/>
    <numFmt numFmtId="166" formatCode="_(* #,##0.00_);_(* \(#,##0.00\);_(* &quot;-&quot;_);_(@_)"/>
    <numFmt numFmtId="167" formatCode="_-* #,##0_-;\-* #,##0_-;_-* &quot;-&quot;_-;_-@_-"/>
    <numFmt numFmtId="168" formatCode="0.0"/>
    <numFmt numFmtId="169" formatCode="_-* #,##0.00_-;\-* #,##0.00_-;_-* &quot;-&quot;??_-;_-@_-"/>
    <numFmt numFmtId="170" formatCode="_ * #,##0_ ;_ * \-#,##0_ ;_ * &quot;-&quot;??_ ;_ @_ "/>
    <numFmt numFmtId="171" formatCode="#,##0.000"/>
    <numFmt numFmtId="172" formatCode="_-* #,##0_-;\-* #,##0_-;_-* &quot;-&quot;??_-;_-@_-"/>
    <numFmt numFmtId="173" formatCode="_(* #,##0.000_);_(* \(#,##0.000\);_(* &quot;-&quot;_);_(@_)"/>
    <numFmt numFmtId="174" formatCode="0.00000000_ "/>
    <numFmt numFmtId="175" formatCode="_(* #,##0.0_);_(* \(#,##0.0\);_(* &quot;-&quot;??_);_(@_)"/>
    <numFmt numFmtId="176" formatCode="0.0000%"/>
    <numFmt numFmtId="177" formatCode="0.000%"/>
    <numFmt numFmtId="178" formatCode="0.0%"/>
    <numFmt numFmtId="179" formatCode="_-* #,##0.00_-;\-* #,##0.00_-;_-* &quot;-&quot;_-;_-@_-"/>
    <numFmt numFmtId="180" formatCode="0.000"/>
    <numFmt numFmtId="181" formatCode="_-* #,##0.0_-;\-* #,##0.0_-;_-* &quot;-&quot;?_-;_-@_-"/>
    <numFmt numFmtId="182" formatCode="0.0000"/>
    <numFmt numFmtId="183" formatCode="0_ "/>
    <numFmt numFmtId="184" formatCode="_(* #,##0.000_);_(* \(#,##0.000\);_(* &quot;-&quot;??_);_(@_)"/>
    <numFmt numFmtId="185" formatCode="_(* #,##0.00_);_(* \(#,##0.00\);_(* &quot;-&quot;???_);_(@_)"/>
    <numFmt numFmtId="186" formatCode="0E+00"/>
    <numFmt numFmtId="187" formatCode="_(* #,##0.000_);_(* \(#,##0.000\);_(* &quot;-&quot;???_);_(@_)"/>
    <numFmt numFmtId="188" formatCode="#,##0.000_);\(#,##0.000\)"/>
    <numFmt numFmtId="189" formatCode="_(&quot;$&quot;* #,##0.0000_);_(&quot;$&quot;* \(#,##0.0000\);_(&quot;$&quot;* &quot;-&quot;????_);_(@_)"/>
    <numFmt numFmtId="190" formatCode="_(* #,##0_);_(* \(#,##0\);_(* &quot;-&quot;???_);_(@_)"/>
  </numFmts>
  <fonts count="68">
    <font>
      <sz val="11"/>
      <color theme="1"/>
      <name val="Calibri"/>
      <family val="2"/>
      <charset val="1"/>
      <scheme val="minor"/>
    </font>
    <font>
      <sz val="11"/>
      <color theme="1"/>
      <name val="Calibri"/>
      <family val="2"/>
      <scheme val="minor"/>
    </font>
    <font>
      <sz val="11"/>
      <color theme="1"/>
      <name val="Calibri"/>
      <family val="2"/>
      <scheme val="minor"/>
    </font>
    <font>
      <b/>
      <sz val="14"/>
      <color theme="1"/>
      <name val="Calibri"/>
      <family val="2"/>
      <scheme val="minor"/>
    </font>
    <font>
      <b/>
      <sz val="11"/>
      <color theme="1"/>
      <name val="Calibri"/>
      <family val="2"/>
      <scheme val="minor"/>
    </font>
    <font>
      <sz val="11"/>
      <color theme="1"/>
      <name val="Calibri"/>
      <family val="2"/>
      <charset val="1"/>
      <scheme val="minor"/>
    </font>
    <font>
      <b/>
      <u val="singleAccounting"/>
      <sz val="11"/>
      <color theme="1"/>
      <name val="Calibri"/>
      <family val="2"/>
      <scheme val="minor"/>
    </font>
    <font>
      <b/>
      <sz val="10"/>
      <color theme="1"/>
      <name val="Arial Narrow"/>
      <family val="2"/>
    </font>
    <font>
      <sz val="10"/>
      <color theme="1"/>
      <name val="Arial Narrow"/>
      <family val="2"/>
    </font>
    <font>
      <b/>
      <u val="singleAccounting"/>
      <sz val="10"/>
      <color theme="1"/>
      <name val="Arial Narrow"/>
      <family val="2"/>
    </font>
    <font>
      <b/>
      <sz val="8"/>
      <color theme="1"/>
      <name val="Arial Narrow"/>
      <family val="2"/>
    </font>
    <font>
      <sz val="8"/>
      <color theme="1"/>
      <name val="Arial Narrow"/>
      <family val="2"/>
    </font>
    <font>
      <sz val="8"/>
      <name val="Arial Narrow"/>
      <family val="2"/>
    </font>
    <font>
      <b/>
      <sz val="8"/>
      <name val="Arial Narrow"/>
      <family val="2"/>
    </font>
    <font>
      <sz val="8"/>
      <color rgb="FF000000"/>
      <name val="Arial Narrow"/>
      <family val="2"/>
    </font>
    <font>
      <sz val="10"/>
      <color rgb="FF000000"/>
      <name val="Arial Narrow"/>
      <family val="2"/>
    </font>
    <font>
      <b/>
      <sz val="9"/>
      <name val="Arial Narrow"/>
      <family val="2"/>
    </font>
    <font>
      <b/>
      <sz val="10"/>
      <name val="Arial Narrow"/>
      <family val="2"/>
    </font>
    <font>
      <sz val="9"/>
      <name val="Arial Narrow"/>
      <family val="2"/>
    </font>
    <font>
      <sz val="9"/>
      <color theme="0"/>
      <name val="Arial Narrow"/>
      <family val="2"/>
    </font>
    <font>
      <b/>
      <sz val="10"/>
      <color theme="0"/>
      <name val="Arial Narrow"/>
      <family val="2"/>
    </font>
    <font>
      <sz val="10"/>
      <name val="Arial Narrow"/>
      <family val="2"/>
    </font>
    <font>
      <sz val="10"/>
      <color theme="0"/>
      <name val="Arial Narrow"/>
      <family val="2"/>
    </font>
    <font>
      <b/>
      <sz val="10"/>
      <color rgb="FF000000"/>
      <name val="Arial Narrow"/>
      <family val="2"/>
    </font>
    <font>
      <sz val="10"/>
      <color indexed="8"/>
      <name val="Arial Narrow"/>
      <family val="2"/>
    </font>
    <font>
      <b/>
      <sz val="9"/>
      <color theme="1"/>
      <name val="Batang"/>
      <family val="1"/>
    </font>
    <font>
      <sz val="11"/>
      <color indexed="8"/>
      <name val="Calibri"/>
      <family val="2"/>
      <charset val="1"/>
    </font>
    <font>
      <sz val="11"/>
      <name val="Calibri"/>
      <family val="2"/>
      <scheme val="minor"/>
    </font>
    <font>
      <b/>
      <sz val="11"/>
      <name val="Calibri"/>
      <family val="2"/>
      <scheme val="minor"/>
    </font>
    <font>
      <sz val="12"/>
      <color theme="1"/>
      <name val="Arial"/>
      <family val="2"/>
    </font>
    <font>
      <b/>
      <sz val="12"/>
      <color theme="1"/>
      <name val="Arial"/>
      <family val="2"/>
    </font>
    <font>
      <sz val="11"/>
      <color theme="1"/>
      <name val="Arial"/>
      <family val="2"/>
    </font>
    <font>
      <sz val="11"/>
      <color theme="1"/>
      <name val="Batang"/>
      <family val="1"/>
    </font>
    <font>
      <b/>
      <sz val="11"/>
      <color theme="1"/>
      <name val="Arial"/>
      <family val="2"/>
    </font>
    <font>
      <sz val="10"/>
      <color theme="1"/>
      <name val="Cambria"/>
      <family val="1"/>
      <scheme val="major"/>
    </font>
    <font>
      <sz val="10"/>
      <color rgb="FFFF0000"/>
      <name val="Arial Narrow"/>
      <family val="2"/>
    </font>
    <font>
      <b/>
      <sz val="10"/>
      <color rgb="FFC00000"/>
      <name val="Arial Narrow"/>
      <family val="2"/>
    </font>
    <font>
      <sz val="10"/>
      <color rgb="FFC00000"/>
      <name val="Arial Narrow"/>
      <family val="2"/>
    </font>
    <font>
      <b/>
      <u val="singleAccounting"/>
      <sz val="10"/>
      <name val="Arial Narrow"/>
      <family val="2"/>
    </font>
    <font>
      <b/>
      <sz val="10"/>
      <color indexed="8"/>
      <name val="Arial Narrow"/>
      <family val="2"/>
    </font>
    <font>
      <b/>
      <sz val="10"/>
      <color theme="1"/>
      <name val="Calibri"/>
      <family val="2"/>
      <scheme val="minor"/>
    </font>
    <font>
      <b/>
      <sz val="10"/>
      <color theme="1"/>
      <name val="Arial"/>
      <family val="2"/>
    </font>
    <font>
      <sz val="10"/>
      <color theme="1"/>
      <name val="Arial"/>
      <family val="2"/>
    </font>
    <font>
      <sz val="10"/>
      <color theme="1"/>
      <name val="Calibri"/>
      <family val="2"/>
      <scheme val="minor"/>
    </font>
    <font>
      <sz val="10"/>
      <color theme="1"/>
      <name val="Calibri"/>
      <family val="2"/>
      <charset val="1"/>
      <scheme val="minor"/>
    </font>
    <font>
      <sz val="10"/>
      <name val="Arial Unicode MS"/>
      <family val="2"/>
    </font>
    <font>
      <b/>
      <sz val="10"/>
      <color theme="1"/>
      <name val="Calibri"/>
      <family val="2"/>
      <charset val="1"/>
      <scheme val="minor"/>
    </font>
    <font>
      <b/>
      <sz val="10"/>
      <color theme="1"/>
      <name val="Batang"/>
      <family val="1"/>
    </font>
    <font>
      <b/>
      <sz val="11"/>
      <name val="Arial Narrow"/>
      <family val="2"/>
    </font>
    <font>
      <b/>
      <sz val="11"/>
      <color theme="1"/>
      <name val="Arial Narrow"/>
      <family val="2"/>
    </font>
    <font>
      <b/>
      <sz val="10"/>
      <color rgb="FFFF0000"/>
      <name val="Arial Narrow"/>
      <family val="2"/>
    </font>
    <font>
      <b/>
      <sz val="14"/>
      <color theme="1"/>
      <name val="Arial Narrow"/>
      <family val="2"/>
    </font>
    <font>
      <sz val="11"/>
      <color theme="1"/>
      <name val="Arial Narrow"/>
      <family val="2"/>
    </font>
    <font>
      <sz val="12"/>
      <color theme="1"/>
      <name val="Arial Narrow"/>
      <family val="2"/>
    </font>
    <font>
      <sz val="18"/>
      <color theme="1"/>
      <name val="Arial Narrow"/>
      <family val="2"/>
    </font>
    <font>
      <b/>
      <sz val="18"/>
      <color theme="1"/>
      <name val="Arial Narrow"/>
      <family val="2"/>
    </font>
    <font>
      <b/>
      <u/>
      <sz val="18"/>
      <color theme="1"/>
      <name val="Arial Narrow"/>
      <family val="2"/>
    </font>
    <font>
      <sz val="10"/>
      <color indexed="8"/>
      <name val="Arial"/>
      <family val="2"/>
    </font>
    <font>
      <b/>
      <sz val="11"/>
      <color indexed="8"/>
      <name val="Arial Narrow"/>
      <family val="2"/>
    </font>
    <font>
      <sz val="10"/>
      <color indexed="8"/>
      <name val="Calibri"/>
      <family val="2"/>
      <charset val="1"/>
    </font>
    <font>
      <sz val="11"/>
      <color indexed="8"/>
      <name val="Arial Narrow"/>
      <family val="2"/>
    </font>
    <font>
      <b/>
      <sz val="10"/>
      <color indexed="8"/>
      <name val="Calibri"/>
      <family val="2"/>
      <charset val="1"/>
    </font>
    <font>
      <b/>
      <sz val="11"/>
      <color indexed="8"/>
      <name val="Calibri"/>
      <family val="2"/>
    </font>
    <font>
      <b/>
      <sz val="11"/>
      <color indexed="8"/>
      <name val="Calibri"/>
      <family val="2"/>
      <charset val="1"/>
    </font>
    <font>
      <b/>
      <sz val="11"/>
      <color theme="1"/>
      <name val="Calibri"/>
      <family val="2"/>
      <charset val="1"/>
      <scheme val="minor"/>
    </font>
    <font>
      <sz val="11"/>
      <color rgb="FF000000"/>
      <name val="Arial Narrow"/>
      <family val="2"/>
    </font>
    <font>
      <b/>
      <sz val="11"/>
      <color theme="1"/>
      <name val="Calibri"/>
      <charset val="134"/>
      <scheme val="minor"/>
    </font>
    <font>
      <b/>
      <sz val="11"/>
      <color rgb="FF000000"/>
      <name val="Arial Narrow"/>
      <family val="2"/>
    </font>
  </fonts>
  <fills count="27">
    <fill>
      <patternFill patternType="none"/>
    </fill>
    <fill>
      <patternFill patternType="gray125"/>
    </fill>
    <fill>
      <patternFill patternType="solid">
        <fgColor theme="6" tint="0.59999389629810485"/>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9"/>
        <bgColor indexed="64"/>
      </patternFill>
    </fill>
    <fill>
      <patternFill patternType="solid">
        <fgColor theme="6"/>
        <bgColor indexed="64"/>
      </patternFill>
    </fill>
    <fill>
      <patternFill patternType="solid">
        <fgColor theme="3" tint="0.59999389629810485"/>
        <bgColor indexed="64"/>
      </patternFill>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theme="2" tint="-0.249977111117893"/>
        <bgColor indexed="64"/>
      </patternFill>
    </fill>
    <fill>
      <patternFill patternType="solid">
        <fgColor theme="4" tint="0.79995117038483843"/>
        <bgColor indexed="64"/>
      </patternFill>
    </fill>
    <fill>
      <patternFill patternType="solid">
        <fgColor theme="4" tint="0.39997558519241921"/>
        <bgColor indexed="64"/>
      </patternFill>
    </fill>
    <fill>
      <patternFill patternType="solid">
        <fgColor indexed="9"/>
        <bgColor indexed="64"/>
      </patternFill>
    </fill>
    <fill>
      <patternFill patternType="solid">
        <fgColor theme="2" tint="-9.9978637043366805E-2"/>
        <bgColor indexed="64"/>
      </patternFill>
    </fill>
    <fill>
      <patternFill patternType="solid">
        <fgColor theme="2"/>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indexed="22"/>
        <bgColor indexed="64"/>
      </patternFill>
    </fill>
    <fill>
      <patternFill patternType="solid">
        <fgColor rgb="FFFFC000"/>
        <bgColor indexed="64"/>
      </patternFill>
    </fill>
    <fill>
      <patternFill patternType="solid">
        <fgColor theme="6" tint="0.79998168889431442"/>
        <bgColor indexed="64"/>
      </patternFill>
    </fill>
    <fill>
      <patternFill patternType="solid">
        <fgColor theme="5" tint="0.59999389629810485"/>
        <bgColor indexed="64"/>
      </patternFill>
    </fill>
  </fills>
  <borders count="12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auto="1"/>
      </top>
      <bottom/>
      <diagonal/>
    </border>
    <border>
      <left/>
      <right/>
      <top/>
      <bottom style="thin">
        <color auto="1"/>
      </bottom>
      <diagonal/>
    </border>
    <border>
      <left style="thin">
        <color rgb="FF000000"/>
      </left>
      <right style="thin">
        <color rgb="FF000000"/>
      </right>
      <top/>
      <bottom style="thin">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bottom style="hair">
        <color rgb="FF000000"/>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top style="hair">
        <color auto="1"/>
      </top>
      <bottom style="hair">
        <color auto="1"/>
      </bottom>
      <diagonal/>
    </border>
    <border>
      <left style="thin">
        <color rgb="FF000000"/>
      </left>
      <right style="thin">
        <color rgb="FF000000"/>
      </right>
      <top style="hair">
        <color auto="1"/>
      </top>
      <bottom style="hair">
        <color auto="1"/>
      </bottom>
      <diagonal/>
    </border>
    <border>
      <left style="thin">
        <color rgb="FF000000"/>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top style="hair">
        <color auto="1"/>
      </top>
      <bottom style="thin">
        <color auto="1"/>
      </bottom>
      <diagonal/>
    </border>
    <border>
      <left style="thin">
        <color rgb="FF000000"/>
      </left>
      <right style="thin">
        <color rgb="FF000000"/>
      </right>
      <top style="hair">
        <color auto="1"/>
      </top>
      <bottom style="thin">
        <color auto="1"/>
      </bottom>
      <diagonal/>
    </border>
    <border>
      <left style="thin">
        <color auto="1"/>
      </left>
      <right style="thin">
        <color auto="1"/>
      </right>
      <top style="thin">
        <color rgb="FF000000"/>
      </top>
      <bottom style="thin">
        <color auto="1"/>
      </bottom>
      <diagonal/>
    </border>
    <border>
      <left style="thin">
        <color auto="1"/>
      </left>
      <right style="thin">
        <color auto="1"/>
      </right>
      <top/>
      <bottom style="hair">
        <color auto="1"/>
      </bottom>
      <diagonal/>
    </border>
    <border>
      <left style="thin">
        <color auto="1"/>
      </left>
      <right style="thin">
        <color auto="1"/>
      </right>
      <top style="thin">
        <color rgb="FF000000"/>
      </top>
      <bottom/>
      <diagonal/>
    </border>
    <border>
      <left style="thin">
        <color auto="1"/>
      </left>
      <right/>
      <top/>
      <bottom style="thin">
        <color rgb="FF000000"/>
      </bottom>
      <diagonal/>
    </border>
    <border>
      <left/>
      <right/>
      <top/>
      <bottom style="thin">
        <color rgb="FF000000"/>
      </bottom>
      <diagonal/>
    </border>
    <border>
      <left/>
      <right style="thin">
        <color auto="1"/>
      </right>
      <top/>
      <bottom style="thin">
        <color rgb="FF000000"/>
      </bottom>
      <diagonal/>
    </border>
    <border>
      <left style="thin">
        <color auto="1"/>
      </left>
      <right style="thin">
        <color auto="1"/>
      </right>
      <top style="hair">
        <color auto="1"/>
      </top>
      <bottom/>
      <diagonal/>
    </border>
    <border>
      <left style="thin">
        <color auto="1"/>
      </left>
      <right/>
      <top/>
      <bottom style="hair">
        <color auto="1"/>
      </bottom>
      <diagonal/>
    </border>
    <border>
      <left/>
      <right style="thin">
        <color auto="1"/>
      </right>
      <top/>
      <bottom style="hair">
        <color auto="1"/>
      </bottom>
      <diagonal/>
    </border>
    <border>
      <left style="thin">
        <color rgb="FF000000"/>
      </left>
      <right style="thin">
        <color rgb="FF000000"/>
      </right>
      <top/>
      <bottom style="hair">
        <color auto="1"/>
      </bottom>
      <diagonal/>
    </border>
    <border>
      <left/>
      <right/>
      <top style="hair">
        <color auto="1"/>
      </top>
      <bottom/>
      <diagonal/>
    </border>
    <border>
      <left style="thin">
        <color rgb="FF000000"/>
      </left>
      <right style="thin">
        <color auto="1"/>
      </right>
      <top style="hair">
        <color auto="1"/>
      </top>
      <bottom/>
      <diagonal/>
    </border>
    <border>
      <left style="thin">
        <color auto="1"/>
      </left>
      <right/>
      <top style="hair">
        <color auto="1"/>
      </top>
      <bottom/>
      <diagonal/>
    </border>
    <border>
      <left style="thin">
        <color rgb="FF000000"/>
      </left>
      <right style="thin">
        <color rgb="FF000000"/>
      </right>
      <top style="hair">
        <color auto="1"/>
      </top>
      <bottom/>
      <diagonal/>
    </border>
    <border>
      <left/>
      <right/>
      <top style="hair">
        <color auto="1"/>
      </top>
      <bottom style="thin">
        <color auto="1"/>
      </bottom>
      <diagonal/>
    </border>
    <border>
      <left style="thin">
        <color rgb="FF000000"/>
      </left>
      <right style="thin">
        <color auto="1"/>
      </right>
      <top style="hair">
        <color auto="1"/>
      </top>
      <bottom style="thin">
        <color auto="1"/>
      </bottom>
      <diagonal/>
    </border>
    <border>
      <left style="thin">
        <color auto="1"/>
      </left>
      <right style="thin">
        <color auto="1"/>
      </right>
      <top style="dashed">
        <color rgb="FF000000"/>
      </top>
      <bottom style="dashed">
        <color rgb="FF000000"/>
      </bottom>
      <diagonal/>
    </border>
    <border>
      <left style="thin">
        <color auto="1"/>
      </left>
      <right style="thin">
        <color auto="1"/>
      </right>
      <top style="dashed">
        <color rgb="FF000000"/>
      </top>
      <bottom/>
      <diagonal/>
    </border>
    <border>
      <left style="thin">
        <color auto="1"/>
      </left>
      <right style="thin">
        <color auto="1"/>
      </right>
      <top style="dashed">
        <color auto="1"/>
      </top>
      <bottom style="dashed">
        <color auto="1"/>
      </bottom>
      <diagonal/>
    </border>
    <border>
      <left style="thin">
        <color auto="1"/>
      </left>
      <right style="thin">
        <color auto="1"/>
      </right>
      <top style="medium">
        <color auto="1"/>
      </top>
      <bottom style="medium">
        <color auto="1"/>
      </bottom>
      <diagonal/>
    </border>
    <border>
      <left style="thin">
        <color auto="1"/>
      </left>
      <right style="thin">
        <color auto="1"/>
      </right>
      <top style="thin">
        <color auto="1"/>
      </top>
      <bottom style="dashed">
        <color rgb="FF000000"/>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right/>
      <top style="dashed">
        <color rgb="FF000000"/>
      </top>
      <bottom style="dashed">
        <color rgb="FF000000"/>
      </bottom>
      <diagonal/>
    </border>
    <border>
      <left style="thin">
        <color indexed="64"/>
      </left>
      <right/>
      <top style="dashed">
        <color rgb="FF000000"/>
      </top>
      <bottom/>
      <diagonal/>
    </border>
    <border>
      <left style="medium">
        <color rgb="FF000000"/>
      </left>
      <right style="medium">
        <color rgb="FF000000"/>
      </right>
      <top style="dashed">
        <color rgb="FF000000"/>
      </top>
      <bottom/>
      <diagonal/>
    </border>
    <border>
      <left style="medium">
        <color rgb="FF000000"/>
      </left>
      <right/>
      <top style="dashed">
        <color rgb="FF000000"/>
      </top>
      <bottom/>
      <diagonal/>
    </border>
    <border>
      <left/>
      <right style="medium">
        <color rgb="FF000000"/>
      </right>
      <top style="dashed">
        <color rgb="FF000000"/>
      </top>
      <bottom/>
      <diagonal/>
    </border>
    <border>
      <left style="medium">
        <color auto="1"/>
      </left>
      <right style="medium">
        <color auto="1"/>
      </right>
      <top style="dashed">
        <color rgb="FF000000"/>
      </top>
      <bottom/>
      <diagonal/>
    </border>
    <border>
      <left/>
      <right style="thin">
        <color indexed="64"/>
      </right>
      <top style="dashed">
        <color rgb="FF000000"/>
      </top>
      <bottom/>
      <diagonal/>
    </border>
    <border>
      <left style="thin">
        <color indexed="64"/>
      </left>
      <right style="medium">
        <color indexed="64"/>
      </right>
      <top style="dashed">
        <color rgb="FF000000"/>
      </top>
      <bottom style="dashed">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dashed">
        <color rgb="FF000000"/>
      </top>
      <bottom style="dashed">
        <color rgb="FF000000"/>
      </bottom>
      <diagonal/>
    </border>
    <border>
      <left style="medium">
        <color rgb="FF000000"/>
      </left>
      <right/>
      <top style="thin">
        <color rgb="FF000000"/>
      </top>
      <bottom style="thin">
        <color indexed="64"/>
      </bottom>
      <diagonal/>
    </border>
    <border>
      <left/>
      <right/>
      <top style="thin">
        <color rgb="FF000000"/>
      </top>
      <bottom style="thin">
        <color rgb="FF00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auto="1"/>
      </left>
      <right/>
      <top/>
      <bottom style="medium">
        <color auto="1"/>
      </bottom>
      <diagonal/>
    </border>
    <border>
      <left/>
      <right/>
      <top/>
      <bottom style="medium">
        <color auto="1"/>
      </bottom>
      <diagonal/>
    </border>
    <border>
      <left/>
      <right style="medium">
        <color rgb="FF000000"/>
      </right>
      <top/>
      <bottom style="dashed">
        <color rgb="FF000000"/>
      </bottom>
      <diagonal/>
    </border>
    <border>
      <left style="medium">
        <color rgb="FF000000"/>
      </left>
      <right style="medium">
        <color rgb="FF000000"/>
      </right>
      <top/>
      <bottom style="dashed">
        <color rgb="FF000000"/>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style="medium">
        <color rgb="FF000000"/>
      </right>
      <top style="dashed">
        <color rgb="FF000000"/>
      </top>
      <bottom style="dashed">
        <color rgb="FF000000"/>
      </bottom>
      <diagonal/>
    </border>
    <border>
      <left style="thin">
        <color auto="1"/>
      </left>
      <right style="thin">
        <color auto="1"/>
      </right>
      <top/>
      <bottom style="dashed">
        <color rgb="FF000000"/>
      </bottom>
      <diagonal/>
    </border>
    <border>
      <left style="thin">
        <color auto="1"/>
      </left>
      <right style="thin">
        <color auto="1"/>
      </right>
      <top/>
      <bottom style="dashed">
        <color indexed="64"/>
      </bottom>
      <diagonal/>
    </border>
    <border>
      <left style="thin">
        <color auto="1"/>
      </left>
      <right style="thin">
        <color auto="1"/>
      </right>
      <top style="dashed">
        <color indexed="64"/>
      </top>
      <bottom/>
      <diagonal/>
    </border>
    <border>
      <left style="thin">
        <color auto="1"/>
      </left>
      <right style="thin">
        <color auto="1"/>
      </right>
      <top style="dashed">
        <color rgb="FF000000"/>
      </top>
      <bottom style="dashed">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rgb="FF000000"/>
      </right>
      <top style="thin">
        <color auto="1"/>
      </top>
      <bottom/>
      <diagonal/>
    </border>
    <border>
      <left/>
      <right style="medium">
        <color rgb="FF000000"/>
      </right>
      <top/>
      <bottom style="thin">
        <color auto="1"/>
      </bottom>
      <diagonal/>
    </border>
    <border>
      <left style="thin">
        <color rgb="FF000000"/>
      </left>
      <right style="thin">
        <color rgb="FF000000"/>
      </right>
      <top style="thin">
        <color rgb="FF000000"/>
      </top>
      <bottom/>
      <diagonal/>
    </border>
    <border>
      <left/>
      <right style="medium">
        <color rgb="FF000000"/>
      </right>
      <top/>
      <bottom style="dashed">
        <color indexed="64"/>
      </bottom>
      <diagonal/>
    </border>
    <border>
      <left/>
      <right style="medium">
        <color rgb="FF000000"/>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style="medium">
        <color rgb="FF000000"/>
      </right>
      <top style="dashed">
        <color indexed="64"/>
      </top>
      <bottom style="dashed">
        <color indexed="64"/>
      </bottom>
      <diagonal/>
    </border>
    <border>
      <left/>
      <right style="medium">
        <color indexed="64"/>
      </right>
      <top/>
      <bottom style="dashed">
        <color indexed="64"/>
      </bottom>
      <diagonal/>
    </border>
    <border>
      <left style="medium">
        <color indexed="64"/>
      </left>
      <right style="medium">
        <color rgb="FF000000"/>
      </right>
      <top style="thin">
        <color indexed="64"/>
      </top>
      <bottom style="dashed">
        <color indexed="64"/>
      </bottom>
      <diagonal/>
    </border>
    <border>
      <left/>
      <right style="medium">
        <color indexed="64"/>
      </right>
      <top style="dashed">
        <color indexed="64"/>
      </top>
      <bottom style="dashed">
        <color rgb="FF000000"/>
      </bottom>
      <diagonal/>
    </border>
    <border>
      <left/>
      <right/>
      <top/>
      <bottom style="dashed">
        <color rgb="FF000000"/>
      </bottom>
      <diagonal/>
    </border>
    <border>
      <left/>
      <right/>
      <top style="dashed">
        <color indexed="64"/>
      </top>
      <bottom style="dashed">
        <color indexed="64"/>
      </bottom>
      <diagonal/>
    </border>
    <border>
      <left/>
      <right/>
      <top style="dashed">
        <color indexed="64"/>
      </top>
      <bottom style="dashed">
        <color rgb="FF000000"/>
      </bottom>
      <diagonal/>
    </border>
    <border>
      <left style="medium">
        <color rgb="FF000000"/>
      </left>
      <right style="medium">
        <color rgb="FF000000"/>
      </right>
      <top style="dashed">
        <color rgb="FF000000"/>
      </top>
      <bottom style="medium">
        <color auto="1"/>
      </bottom>
      <diagonal/>
    </border>
    <border>
      <left style="medium">
        <color rgb="FF000000"/>
      </left>
      <right/>
      <top style="dashed">
        <color rgb="FF000000"/>
      </top>
      <bottom style="dashed">
        <color rgb="FF000000"/>
      </bottom>
      <diagonal/>
    </border>
    <border>
      <left style="thin">
        <color indexed="64"/>
      </left>
      <right/>
      <top style="dashed">
        <color rgb="FF000000"/>
      </top>
      <bottom style="dashed">
        <color rgb="FF000000"/>
      </bottom>
      <diagonal/>
    </border>
    <border>
      <left style="medium">
        <color rgb="FF000000"/>
      </left>
      <right style="thin">
        <color indexed="64"/>
      </right>
      <top style="dashed">
        <color rgb="FF000000"/>
      </top>
      <bottom style="dashed">
        <color rgb="FF000000"/>
      </bottom>
      <diagonal/>
    </border>
    <border>
      <left style="medium">
        <color rgb="FF000000"/>
      </left>
      <right style="medium">
        <color rgb="FF000000"/>
      </right>
      <top style="medium">
        <color rgb="FF000000"/>
      </top>
      <bottom style="medium">
        <color rgb="FF000000"/>
      </bottom>
      <diagonal/>
    </border>
    <border>
      <left style="medium">
        <color auto="1"/>
      </left>
      <right style="medium">
        <color auto="1"/>
      </right>
      <top style="dashed">
        <color rgb="FF000000"/>
      </top>
      <bottom style="dashed">
        <color rgb="FF000000"/>
      </bottom>
      <diagonal/>
    </border>
    <border>
      <left/>
      <right style="thin">
        <color indexed="64"/>
      </right>
      <top style="dashed">
        <color rgb="FF000000"/>
      </top>
      <bottom style="dashed">
        <color rgb="FF000000"/>
      </bottom>
      <diagonal/>
    </border>
    <border>
      <left style="thin">
        <color indexed="64"/>
      </left>
      <right style="medium">
        <color rgb="FF000000"/>
      </right>
      <top style="dashed">
        <color rgb="FF000000"/>
      </top>
      <bottom style="dashed">
        <color rgb="FF000000"/>
      </bottom>
      <diagonal/>
    </border>
    <border>
      <left style="medium">
        <color rgb="FF000000"/>
      </left>
      <right style="medium">
        <color auto="1"/>
      </right>
      <top/>
      <bottom/>
      <diagonal/>
    </border>
    <border>
      <left style="medium">
        <color rgb="FF000000"/>
      </left>
      <right style="medium">
        <color rgb="FF000000"/>
      </right>
      <top style="medium">
        <color rgb="FF000000"/>
      </top>
      <bottom/>
      <diagonal/>
    </border>
    <border>
      <left style="thin">
        <color rgb="FF000000"/>
      </left>
      <right style="thin">
        <color rgb="FF000000"/>
      </right>
      <top/>
      <bottom/>
      <diagonal/>
    </border>
    <border>
      <left style="thin">
        <color rgb="FF000000"/>
      </left>
      <right style="thin">
        <color rgb="FF000000"/>
      </right>
      <top style="thin">
        <color auto="1"/>
      </top>
      <bottom style="thin">
        <color auto="1"/>
      </bottom>
      <diagonal/>
    </border>
    <border>
      <left style="thin">
        <color rgb="FF000000"/>
      </left>
      <right style="thin">
        <color rgb="FF000000"/>
      </right>
      <top style="thin">
        <color auto="1"/>
      </top>
      <bottom/>
      <diagonal/>
    </border>
    <border>
      <left style="thin">
        <color rgb="FF000000"/>
      </left>
      <right style="thin">
        <color rgb="FF000000"/>
      </right>
      <top style="thin">
        <color rgb="FF000000"/>
      </top>
      <bottom style="thin">
        <color auto="1"/>
      </bottom>
      <diagonal/>
    </border>
    <border>
      <left style="thin">
        <color rgb="FF000000"/>
      </left>
      <right style="thin">
        <color auto="1"/>
      </right>
      <top style="thin">
        <color auto="1"/>
      </top>
      <bottom style="thin">
        <color auto="1"/>
      </bottom>
      <diagonal/>
    </border>
    <border>
      <left style="thin">
        <color rgb="FF000000"/>
      </left>
      <right style="thin">
        <color rgb="FF000000"/>
      </right>
      <top style="dashed">
        <color rgb="FF000000"/>
      </top>
      <bottom style="thin">
        <color auto="1"/>
      </bottom>
      <diagonal/>
    </border>
    <border>
      <left style="thin">
        <color rgb="FF000000"/>
      </left>
      <right style="thin">
        <color rgb="FF000000"/>
      </right>
      <top style="thin">
        <color auto="1"/>
      </top>
      <bottom style="thin">
        <color rgb="FF000000"/>
      </bottom>
      <diagonal/>
    </border>
    <border>
      <left style="thin">
        <color rgb="FF000000"/>
      </left>
      <right style="thin">
        <color rgb="FF000000"/>
      </right>
      <top style="dashed">
        <color rgb="FF000000"/>
      </top>
      <bottom/>
      <diagonal/>
    </border>
    <border>
      <left style="thin">
        <color rgb="FF000000"/>
      </left>
      <right style="thin">
        <color auto="1"/>
      </right>
      <top style="thin">
        <color auto="1"/>
      </top>
      <bottom/>
      <diagonal/>
    </border>
    <border>
      <left style="thin">
        <color rgb="FF000000"/>
      </left>
      <right style="thin">
        <color auto="1"/>
      </right>
      <top style="thin">
        <color auto="1"/>
      </top>
      <bottom style="thin">
        <color rgb="FF000000"/>
      </bottom>
      <diagonal/>
    </border>
    <border>
      <left style="thin">
        <color rgb="FF000000"/>
      </left>
      <right style="thin">
        <color rgb="FF000000"/>
      </right>
      <top/>
      <bottom style="thin">
        <color auto="1"/>
      </bottom>
      <diagonal/>
    </border>
    <border>
      <left style="thin">
        <color auto="1"/>
      </left>
      <right style="thin">
        <color rgb="FF000000"/>
      </right>
      <top style="thin">
        <color auto="1"/>
      </top>
      <bottom style="thin">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thin">
        <color auto="1"/>
      </bottom>
      <diagonal/>
    </border>
  </borders>
  <cellStyleXfs count="9">
    <xf numFmtId="0" fontId="0" fillId="0" borderId="0"/>
    <xf numFmtId="41"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1" fontId="5" fillId="0" borderId="0" applyFont="0" applyFill="0" applyBorder="0" applyAlignment="0" applyProtection="0"/>
    <xf numFmtId="0" fontId="5" fillId="0" borderId="0"/>
    <xf numFmtId="41" fontId="26" fillId="0" borderId="0" applyFont="0" applyFill="0" applyBorder="0" applyAlignment="0" applyProtection="0"/>
    <xf numFmtId="43" fontId="1" fillId="0" borderId="0" applyFont="0" applyFill="0" applyBorder="0" applyAlignment="0" applyProtection="0"/>
    <xf numFmtId="42" fontId="5" fillId="0" borderId="0" applyFont="0" applyFill="0" applyBorder="0" applyAlignment="0" applyProtection="0"/>
  </cellStyleXfs>
  <cellXfs count="4612">
    <xf numFmtId="0" fontId="0" fillId="0" borderId="0" xfId="0"/>
    <xf numFmtId="0" fontId="0" fillId="0" borderId="3" xfId="0" applyBorder="1"/>
    <xf numFmtId="0" fontId="4" fillId="0" borderId="0" xfId="0" applyFont="1"/>
    <xf numFmtId="0" fontId="0" fillId="0" borderId="11" xfId="0" applyBorder="1"/>
    <xf numFmtId="0" fontId="0" fillId="0" borderId="13" xfId="0" applyBorder="1"/>
    <xf numFmtId="0" fontId="0" fillId="0" borderId="12" xfId="0" applyBorder="1"/>
    <xf numFmtId="0" fontId="0" fillId="0" borderId="0" xfId="0" applyAlignment="1">
      <alignment vertical="top"/>
    </xf>
    <xf numFmtId="0" fontId="0" fillId="0" borderId="0" xfId="0" applyAlignment="1">
      <alignment vertical="top" wrapText="1"/>
    </xf>
    <xf numFmtId="0" fontId="0" fillId="0" borderId="4" xfId="0" applyBorder="1" applyAlignment="1">
      <alignment vertical="top"/>
    </xf>
    <xf numFmtId="0" fontId="0" fillId="0" borderId="4" xfId="0" quotePrefix="1" applyBorder="1" applyAlignment="1">
      <alignment vertical="top"/>
    </xf>
    <xf numFmtId="0" fontId="0" fillId="0" borderId="4" xfId="0" applyBorder="1" applyAlignment="1">
      <alignment vertical="top" wrapText="1"/>
    </xf>
    <xf numFmtId="41" fontId="0" fillId="0" borderId="4" xfId="1" applyFont="1" applyBorder="1" applyAlignment="1">
      <alignment vertical="top"/>
    </xf>
    <xf numFmtId="41" fontId="0" fillId="0" borderId="4" xfId="0" applyNumberFormat="1" applyBorder="1" applyAlignment="1">
      <alignment vertical="top"/>
    </xf>
    <xf numFmtId="2" fontId="0" fillId="0" borderId="4" xfId="0" applyNumberFormat="1" applyBorder="1" applyAlignment="1">
      <alignment horizontal="right" vertical="top"/>
    </xf>
    <xf numFmtId="2" fontId="0" fillId="0" borderId="4" xfId="0" applyNumberFormat="1" applyBorder="1" applyAlignment="1">
      <alignment vertical="top"/>
    </xf>
    <xf numFmtId="0" fontId="0" fillId="0" borderId="1" xfId="0" applyBorder="1" applyAlignment="1">
      <alignment vertical="top" wrapText="1"/>
    </xf>
    <xf numFmtId="41" fontId="0" fillId="0" borderId="1" xfId="1" applyFont="1" applyBorder="1" applyAlignment="1">
      <alignment vertical="top" wrapText="1"/>
    </xf>
    <xf numFmtId="2" fontId="0" fillId="0" borderId="1" xfId="1" applyNumberFormat="1" applyFont="1" applyBorder="1" applyAlignment="1">
      <alignment vertical="top" wrapText="1"/>
    </xf>
    <xf numFmtId="0" fontId="0" fillId="0" borderId="1" xfId="0" applyBorder="1" applyAlignment="1">
      <alignment vertical="top"/>
    </xf>
    <xf numFmtId="2" fontId="0" fillId="0" borderId="1" xfId="0" applyNumberFormat="1" applyBorder="1" applyAlignment="1">
      <alignment vertical="top" wrapText="1"/>
    </xf>
    <xf numFmtId="2" fontId="4" fillId="0" borderId="1" xfId="0" applyNumberFormat="1" applyFont="1" applyBorder="1" applyAlignment="1">
      <alignment vertical="top"/>
    </xf>
    <xf numFmtId="0" fontId="0" fillId="3" borderId="1" xfId="0" applyFill="1" applyBorder="1" applyAlignment="1">
      <alignment vertical="top"/>
    </xf>
    <xf numFmtId="0" fontId="4" fillId="0" borderId="1" xfId="0" applyFont="1" applyBorder="1" applyAlignment="1">
      <alignment horizontal="center" vertical="top"/>
    </xf>
    <xf numFmtId="0" fontId="0" fillId="2" borderId="1" xfId="0" applyFill="1" applyBorder="1" applyAlignment="1">
      <alignment horizontal="center" vertical="top"/>
    </xf>
    <xf numFmtId="0" fontId="0" fillId="2" borderId="1" xfId="0" applyFill="1" applyBorder="1" applyAlignment="1">
      <alignment vertical="top"/>
    </xf>
    <xf numFmtId="0" fontId="4" fillId="2" borderId="1" xfId="0" applyFont="1" applyFill="1" applyBorder="1" applyAlignment="1">
      <alignment vertical="top" wrapText="1"/>
    </xf>
    <xf numFmtId="0" fontId="0" fillId="2" borderId="1" xfId="0" applyFill="1" applyBorder="1" applyAlignment="1">
      <alignment vertical="top" wrapText="1"/>
    </xf>
    <xf numFmtId="41" fontId="0" fillId="2" borderId="1" xfId="1" applyFont="1" applyFill="1" applyBorder="1" applyAlignment="1">
      <alignment vertical="top"/>
    </xf>
    <xf numFmtId="41" fontId="0" fillId="2" borderId="1" xfId="0" applyNumberFormat="1" applyFill="1" applyBorder="1" applyAlignment="1">
      <alignment vertical="top"/>
    </xf>
    <xf numFmtId="2" fontId="0" fillId="2" borderId="1" xfId="0" applyNumberFormat="1" applyFill="1" applyBorder="1" applyAlignment="1">
      <alignment vertical="top"/>
    </xf>
    <xf numFmtId="41" fontId="6" fillId="4" borderId="1" xfId="0" applyNumberFormat="1" applyFont="1" applyFill="1" applyBorder="1"/>
    <xf numFmtId="0" fontId="0" fillId="4" borderId="1" xfId="0" applyFill="1" applyBorder="1"/>
    <xf numFmtId="2" fontId="0" fillId="4" borderId="1" xfId="0" applyNumberFormat="1" applyFill="1" applyBorder="1"/>
    <xf numFmtId="0" fontId="0" fillId="4" borderId="1" xfId="0" applyFill="1" applyBorder="1" applyAlignment="1">
      <alignment horizontal="center"/>
    </xf>
    <xf numFmtId="0" fontId="0" fillId="2" borderId="1" xfId="0" quotePrefix="1" applyFill="1" applyBorder="1" applyAlignment="1">
      <alignment horizontal="center" vertical="top"/>
    </xf>
    <xf numFmtId="0" fontId="0" fillId="0" borderId="4" xfId="0" quotePrefix="1" applyBorder="1" applyAlignment="1">
      <alignment horizontal="center" vertical="top"/>
    </xf>
    <xf numFmtId="0" fontId="0" fillId="0" borderId="1" xfId="0" quotePrefix="1" applyFill="1" applyBorder="1" applyAlignment="1">
      <alignment horizontal="center" vertical="top"/>
    </xf>
    <xf numFmtId="0" fontId="0" fillId="0" borderId="3" xfId="0" applyBorder="1" applyAlignment="1">
      <alignment wrapText="1"/>
    </xf>
    <xf numFmtId="0" fontId="0" fillId="0" borderId="1" xfId="0" applyBorder="1" applyAlignment="1">
      <alignment vertical="center" wrapText="1"/>
    </xf>
    <xf numFmtId="0" fontId="0" fillId="0" borderId="1" xfId="0" applyBorder="1" applyAlignment="1">
      <alignment wrapText="1"/>
    </xf>
    <xf numFmtId="0" fontId="2" fillId="0" borderId="0" xfId="0" applyFont="1"/>
    <xf numFmtId="0" fontId="0" fillId="5" borderId="2" xfId="0" applyFill="1" applyBorder="1"/>
    <xf numFmtId="0" fontId="0" fillId="5" borderId="9" xfId="0" applyFill="1" applyBorder="1" applyAlignment="1">
      <alignment horizontal="center"/>
    </xf>
    <xf numFmtId="0" fontId="0" fillId="5" borderId="10" xfId="0" applyFill="1" applyBorder="1"/>
    <xf numFmtId="0" fontId="0" fillId="5" borderId="9" xfId="0" applyFill="1" applyBorder="1"/>
    <xf numFmtId="0" fontId="0" fillId="5" borderId="3" xfId="0" applyFill="1" applyBorder="1"/>
    <xf numFmtId="0" fontId="0" fillId="5" borderId="5" xfId="0" applyFill="1" applyBorder="1" applyAlignment="1">
      <alignment horizontal="center"/>
    </xf>
    <xf numFmtId="0" fontId="0" fillId="5" borderId="6" xfId="0" applyFill="1" applyBorder="1"/>
    <xf numFmtId="0" fontId="0" fillId="5" borderId="5" xfId="0" applyFill="1" applyBorder="1"/>
    <xf numFmtId="0" fontId="0" fillId="5" borderId="3" xfId="0" applyFill="1" applyBorder="1" applyAlignment="1">
      <alignment horizontal="center"/>
    </xf>
    <xf numFmtId="0" fontId="0" fillId="5" borderId="4" xfId="0" applyFill="1" applyBorder="1"/>
    <xf numFmtId="0" fontId="0" fillId="5" borderId="7" xfId="0" applyFill="1" applyBorder="1"/>
    <xf numFmtId="0" fontId="0" fillId="5" borderId="8" xfId="0" applyFill="1" applyBorder="1"/>
    <xf numFmtId="0" fontId="0" fillId="5" borderId="1" xfId="0" applyFill="1" applyBorder="1" applyAlignment="1">
      <alignment horizontal="center"/>
    </xf>
    <xf numFmtId="0" fontId="8" fillId="0" borderId="0" xfId="0" applyFont="1" applyAlignment="1">
      <alignment vertical="top"/>
    </xf>
    <xf numFmtId="0" fontId="7" fillId="0" borderId="0" xfId="0" applyFont="1" applyAlignment="1">
      <alignment vertical="top"/>
    </xf>
    <xf numFmtId="0" fontId="8" fillId="0" borderId="3" xfId="0" applyFont="1" applyBorder="1" applyAlignment="1">
      <alignment vertical="top"/>
    </xf>
    <xf numFmtId="0" fontId="7" fillId="0" borderId="4" xfId="0" applyFont="1" applyFill="1" applyBorder="1" applyAlignment="1">
      <alignment vertical="top" wrapText="1"/>
    </xf>
    <xf numFmtId="0" fontId="8" fillId="0" borderId="4" xfId="0" applyFont="1" applyFill="1" applyBorder="1" applyAlignment="1">
      <alignment vertical="top" wrapText="1"/>
    </xf>
    <xf numFmtId="0" fontId="8" fillId="0" borderId="4" xfId="0" applyFont="1" applyFill="1" applyBorder="1" applyAlignment="1">
      <alignment vertical="top"/>
    </xf>
    <xf numFmtId="41" fontId="8" fillId="0" borderId="4" xfId="1" applyFont="1" applyFill="1" applyBorder="1" applyAlignment="1">
      <alignment vertical="top"/>
    </xf>
    <xf numFmtId="41" fontId="8" fillId="0" borderId="4" xfId="0" applyNumberFormat="1" applyFont="1" applyFill="1" applyBorder="1" applyAlignment="1">
      <alignment vertical="top"/>
    </xf>
    <xf numFmtId="2" fontId="8" fillId="0" borderId="4" xfId="0" applyNumberFormat="1" applyFont="1" applyFill="1" applyBorder="1" applyAlignment="1">
      <alignment vertical="top"/>
    </xf>
    <xf numFmtId="0" fontId="8" fillId="0" borderId="0" xfId="0" applyFont="1" applyFill="1" applyAlignment="1">
      <alignment vertical="top"/>
    </xf>
    <xf numFmtId="0" fontId="8" fillId="0" borderId="1" xfId="0" applyFont="1" applyBorder="1" applyAlignment="1">
      <alignment vertical="top"/>
    </xf>
    <xf numFmtId="0" fontId="8" fillId="0" borderId="0" xfId="0" applyFont="1" applyAlignment="1">
      <alignment vertical="top" wrapText="1"/>
    </xf>
    <xf numFmtId="0" fontId="7" fillId="5" borderId="1" xfId="0" applyFont="1" applyFill="1" applyBorder="1" applyAlignment="1">
      <alignment horizontal="center" vertical="top"/>
    </xf>
    <xf numFmtId="0" fontId="8" fillId="8" borderId="1" xfId="0" applyFont="1" applyFill="1" applyBorder="1" applyAlignment="1">
      <alignment vertical="center"/>
    </xf>
    <xf numFmtId="0" fontId="7" fillId="8" borderId="1" xfId="0" applyFont="1" applyFill="1" applyBorder="1" applyAlignment="1">
      <alignment vertical="center" wrapText="1"/>
    </xf>
    <xf numFmtId="0" fontId="8" fillId="0" borderId="0" xfId="0" applyFont="1" applyAlignment="1">
      <alignment vertical="center"/>
    </xf>
    <xf numFmtId="0" fontId="8" fillId="6" borderId="1" xfId="0" applyFont="1" applyFill="1" applyBorder="1" applyAlignment="1">
      <alignment vertical="center"/>
    </xf>
    <xf numFmtId="0" fontId="7" fillId="6" borderId="1" xfId="0" applyFont="1" applyFill="1" applyBorder="1" applyAlignment="1">
      <alignment vertical="center" wrapText="1"/>
    </xf>
    <xf numFmtId="0" fontId="8" fillId="7" borderId="1" xfId="0" applyFont="1" applyFill="1" applyBorder="1" applyAlignment="1">
      <alignment vertical="center"/>
    </xf>
    <xf numFmtId="0" fontId="7" fillId="7" borderId="1" xfId="0" applyFont="1" applyFill="1" applyBorder="1" applyAlignment="1">
      <alignment vertical="center" wrapText="1"/>
    </xf>
    <xf numFmtId="0" fontId="8" fillId="8" borderId="2" xfId="0" applyFont="1" applyFill="1" applyBorder="1" applyAlignment="1">
      <alignment vertical="center"/>
    </xf>
    <xf numFmtId="0" fontId="8" fillId="0" borderId="0" xfId="0" applyFont="1"/>
    <xf numFmtId="0" fontId="7" fillId="8" borderId="2" xfId="0" applyFont="1" applyFill="1" applyBorder="1" applyAlignment="1">
      <alignment vertical="center" wrapText="1"/>
    </xf>
    <xf numFmtId="0" fontId="11" fillId="0" borderId="18" xfId="0" applyFont="1" applyBorder="1" applyAlignment="1">
      <alignment vertical="top" wrapText="1"/>
    </xf>
    <xf numFmtId="41" fontId="11" fillId="0" borderId="18" xfId="1" applyFont="1" applyBorder="1" applyAlignment="1">
      <alignment vertical="top" wrapText="1"/>
    </xf>
    <xf numFmtId="165" fontId="10" fillId="0" borderId="18" xfId="0" applyNumberFormat="1" applyFont="1" applyBorder="1" applyAlignment="1">
      <alignment horizontal="right" vertical="top" wrapText="1"/>
    </xf>
    <xf numFmtId="0" fontId="12" fillId="0" borderId="16" xfId="0" applyFont="1" applyBorder="1" applyAlignment="1">
      <alignment vertical="top" wrapText="1"/>
    </xf>
    <xf numFmtId="0" fontId="12" fillId="0" borderId="18" xfId="0" quotePrefix="1" applyFont="1" applyBorder="1" applyAlignment="1">
      <alignment horizontal="center" vertical="top" wrapText="1"/>
    </xf>
    <xf numFmtId="0" fontId="12" fillId="0" borderId="18" xfId="0" applyFont="1" applyBorder="1" applyAlignment="1">
      <alignment vertical="top" wrapText="1"/>
    </xf>
    <xf numFmtId="0" fontId="12" fillId="0" borderId="18" xfId="0" applyNumberFormat="1" applyFont="1" applyFill="1" applyBorder="1" applyAlignment="1">
      <alignment horizontal="left" vertical="center"/>
    </xf>
    <xf numFmtId="0" fontId="13" fillId="0" borderId="18" xfId="0" applyNumberFormat="1" applyFont="1" applyFill="1" applyBorder="1" applyAlignment="1">
      <alignment horizontal="left" vertical="center"/>
    </xf>
    <xf numFmtId="9" fontId="11" fillId="0" borderId="18" xfId="0" applyNumberFormat="1" applyFont="1" applyBorder="1" applyAlignment="1">
      <alignment vertical="top" wrapText="1"/>
    </xf>
    <xf numFmtId="41" fontId="13" fillId="0" borderId="18" xfId="1" applyFont="1" applyFill="1" applyBorder="1" applyAlignment="1">
      <alignment horizontal="left" vertical="center"/>
    </xf>
    <xf numFmtId="0" fontId="11" fillId="0" borderId="18" xfId="0" applyFont="1" applyBorder="1" applyAlignment="1">
      <alignment horizontal="right" vertical="top" wrapText="1"/>
    </xf>
    <xf numFmtId="9" fontId="11" fillId="0" borderId="18" xfId="3" applyFont="1" applyBorder="1" applyAlignment="1">
      <alignment horizontal="right" vertical="top" wrapText="1"/>
    </xf>
    <xf numFmtId="165" fontId="10" fillId="0" borderId="18" xfId="1" applyNumberFormat="1" applyFont="1" applyBorder="1" applyAlignment="1">
      <alignment vertical="top" wrapText="1"/>
    </xf>
    <xf numFmtId="41" fontId="10" fillId="0" borderId="18" xfId="0" applyNumberFormat="1" applyFont="1" applyBorder="1" applyAlignment="1">
      <alignment vertical="top" wrapText="1"/>
    </xf>
    <xf numFmtId="10" fontId="11" fillId="0" borderId="18" xfId="0" applyNumberFormat="1" applyFont="1" applyBorder="1" applyAlignment="1">
      <alignment vertical="top" wrapText="1"/>
    </xf>
    <xf numFmtId="164" fontId="11" fillId="0" borderId="18" xfId="2" applyNumberFormat="1" applyFont="1" applyBorder="1" applyAlignment="1">
      <alignment vertical="top" wrapText="1"/>
    </xf>
    <xf numFmtId="10" fontId="11" fillId="0" borderId="18" xfId="3" applyNumberFormat="1" applyFont="1" applyBorder="1" applyAlignment="1">
      <alignment vertical="top" wrapText="1"/>
    </xf>
    <xf numFmtId="0" fontId="11" fillId="0" borderId="16" xfId="0" applyFont="1" applyBorder="1" applyAlignment="1">
      <alignment vertical="top" wrapText="1"/>
    </xf>
    <xf numFmtId="0" fontId="12" fillId="0" borderId="16" xfId="0" quotePrefix="1" applyFont="1" applyBorder="1" applyAlignment="1">
      <alignment horizontal="center" vertical="top" wrapText="1"/>
    </xf>
    <xf numFmtId="0" fontId="12" fillId="0" borderId="16" xfId="0" applyNumberFormat="1" applyFont="1" applyFill="1" applyBorder="1" applyAlignment="1">
      <alignment horizontal="left" vertical="center"/>
    </xf>
    <xf numFmtId="0" fontId="13" fillId="0" borderId="16" xfId="0" applyNumberFormat="1" applyFont="1" applyFill="1" applyBorder="1" applyAlignment="1">
      <alignment horizontal="left" vertical="center"/>
    </xf>
    <xf numFmtId="9" fontId="11" fillId="0" borderId="16" xfId="0" applyNumberFormat="1" applyFont="1" applyBorder="1" applyAlignment="1">
      <alignment vertical="top" wrapText="1"/>
    </xf>
    <xf numFmtId="41" fontId="13" fillId="0" borderId="16" xfId="1" applyFont="1" applyFill="1" applyBorder="1" applyAlignment="1">
      <alignment horizontal="left" vertical="center"/>
    </xf>
    <xf numFmtId="0" fontId="11" fillId="0" borderId="16" xfId="0" applyFont="1" applyBorder="1" applyAlignment="1">
      <alignment horizontal="right" vertical="top" wrapText="1"/>
    </xf>
    <xf numFmtId="9" fontId="11" fillId="0" borderId="16" xfId="3" applyFont="1" applyBorder="1" applyAlignment="1">
      <alignment horizontal="right" vertical="top" wrapText="1"/>
    </xf>
    <xf numFmtId="41" fontId="11" fillId="0" borderId="16" xfId="1" applyFont="1" applyBorder="1" applyAlignment="1">
      <alignment vertical="top" wrapText="1"/>
    </xf>
    <xf numFmtId="165" fontId="10" fillId="0" borderId="16" xfId="1" applyNumberFormat="1" applyFont="1" applyBorder="1" applyAlignment="1">
      <alignment vertical="top" wrapText="1"/>
    </xf>
    <xf numFmtId="41" fontId="10" fillId="0" borderId="16" xfId="0" applyNumberFormat="1" applyFont="1" applyBorder="1" applyAlignment="1">
      <alignment vertical="top" wrapText="1"/>
    </xf>
    <xf numFmtId="10" fontId="11" fillId="0" borderId="16" xfId="0" applyNumberFormat="1" applyFont="1" applyBorder="1" applyAlignment="1">
      <alignment vertical="top" wrapText="1"/>
    </xf>
    <xf numFmtId="164" fontId="11" fillId="0" borderId="16" xfId="2" applyNumberFormat="1" applyFont="1" applyBorder="1" applyAlignment="1">
      <alignment vertical="top" wrapText="1"/>
    </xf>
    <xf numFmtId="165" fontId="10" fillId="0" borderId="16" xfId="0" applyNumberFormat="1" applyFont="1" applyBorder="1" applyAlignment="1">
      <alignment horizontal="right" vertical="top" wrapText="1"/>
    </xf>
    <xf numFmtId="10" fontId="11" fillId="0" borderId="16" xfId="3" applyNumberFormat="1" applyFont="1" applyBorder="1" applyAlignment="1">
      <alignment vertical="top" wrapText="1"/>
    </xf>
    <xf numFmtId="0" fontId="8" fillId="8" borderId="30" xfId="0" applyFont="1" applyFill="1" applyBorder="1" applyAlignment="1">
      <alignment vertical="center"/>
    </xf>
    <xf numFmtId="0" fontId="7" fillId="8" borderId="30" xfId="0" applyFont="1" applyFill="1" applyBorder="1" applyAlignment="1">
      <alignment vertical="center" wrapText="1"/>
    </xf>
    <xf numFmtId="0" fontId="8" fillId="0" borderId="21" xfId="0" applyFont="1" applyBorder="1" applyAlignment="1">
      <alignment vertical="top"/>
    </xf>
    <xf numFmtId="0" fontId="8" fillId="0" borderId="31" xfId="0" applyFont="1" applyBorder="1" applyAlignment="1">
      <alignment vertical="top"/>
    </xf>
    <xf numFmtId="0" fontId="14" fillId="0" borderId="17" xfId="0" applyFont="1" applyFill="1" applyBorder="1" applyAlignment="1">
      <alignment vertical="top" wrapText="1"/>
    </xf>
    <xf numFmtId="0" fontId="7" fillId="0" borderId="0" xfId="0" applyFont="1" applyFill="1" applyAlignment="1">
      <alignment vertical="top" wrapText="1"/>
    </xf>
    <xf numFmtId="2" fontId="11" fillId="0" borderId="17" xfId="0" applyNumberFormat="1" applyFont="1" applyFill="1" applyBorder="1" applyAlignment="1">
      <alignment horizontal="center" vertical="top" wrapText="1"/>
    </xf>
    <xf numFmtId="0" fontId="11" fillId="0" borderId="17" xfId="0" applyFont="1" applyFill="1" applyBorder="1" applyAlignment="1">
      <alignment vertical="top" wrapText="1"/>
    </xf>
    <xf numFmtId="0" fontId="8" fillId="0" borderId="17" xfId="0" quotePrefix="1" applyFont="1" applyBorder="1" applyAlignment="1">
      <alignment horizontal="center" vertical="top" wrapText="1"/>
    </xf>
    <xf numFmtId="0" fontId="8" fillId="0" borderId="17" xfId="0" quotePrefix="1" applyFont="1" applyFill="1" applyBorder="1" applyAlignment="1">
      <alignment horizontal="center" vertical="top" wrapText="1"/>
    </xf>
    <xf numFmtId="0" fontId="8" fillId="0" borderId="17" xfId="0" applyFont="1" applyBorder="1" applyAlignment="1">
      <alignment horizontal="center" vertical="top"/>
    </xf>
    <xf numFmtId="41" fontId="8" fillId="0" borderId="17" xfId="1" applyFont="1" applyBorder="1" applyAlignment="1">
      <alignment vertical="top" wrapText="1"/>
    </xf>
    <xf numFmtId="41" fontId="8" fillId="0" borderId="17" xfId="0" applyNumberFormat="1" applyFont="1" applyBorder="1" applyAlignment="1">
      <alignment vertical="top" wrapText="1"/>
    </xf>
    <xf numFmtId="2" fontId="8" fillId="0" borderId="17" xfId="0" applyNumberFormat="1" applyFont="1" applyBorder="1" applyAlignment="1">
      <alignment horizontal="center" vertical="top"/>
    </xf>
    <xf numFmtId="0" fontId="8" fillId="0" borderId="17" xfId="0" applyFont="1" applyBorder="1" applyAlignment="1">
      <alignment horizontal="center" vertical="top" wrapText="1"/>
    </xf>
    <xf numFmtId="41" fontId="8" fillId="0" borderId="17" xfId="0" applyNumberFormat="1" applyFont="1" applyBorder="1" applyAlignment="1">
      <alignment horizontal="center" vertical="top" wrapText="1"/>
    </xf>
    <xf numFmtId="2" fontId="8" fillId="0" borderId="17" xfId="0" applyNumberFormat="1" applyFont="1" applyBorder="1" applyAlignment="1">
      <alignment horizontal="center" vertical="top" wrapText="1"/>
    </xf>
    <xf numFmtId="166" fontId="8" fillId="0" borderId="17" xfId="1" applyNumberFormat="1" applyFont="1" applyBorder="1" applyAlignment="1">
      <alignment horizontal="center" vertical="top" wrapText="1"/>
    </xf>
    <xf numFmtId="0" fontId="8" fillId="0" borderId="17" xfId="0" applyFont="1" applyBorder="1" applyAlignment="1">
      <alignment vertical="top"/>
    </xf>
    <xf numFmtId="41" fontId="8" fillId="0" borderId="17" xfId="1" applyNumberFormat="1" applyFont="1" applyBorder="1" applyAlignment="1">
      <alignment horizontal="center" vertical="top" wrapText="1"/>
    </xf>
    <xf numFmtId="41" fontId="8" fillId="0" borderId="17" xfId="1" applyFont="1" applyBorder="1" applyAlignment="1">
      <alignment horizontal="center" vertical="top" wrapText="1"/>
    </xf>
    <xf numFmtId="0" fontId="8" fillId="0" borderId="17" xfId="0" applyFont="1" applyBorder="1" applyAlignment="1">
      <alignment vertical="top" wrapText="1"/>
    </xf>
    <xf numFmtId="0" fontId="15" fillId="0" borderId="17" xfId="0" applyFont="1" applyBorder="1" applyAlignment="1">
      <alignment horizontal="left" vertical="top" wrapText="1"/>
    </xf>
    <xf numFmtId="0" fontId="8" fillId="0" borderId="19" xfId="0" applyFont="1" applyBorder="1" applyAlignment="1">
      <alignment vertical="top" wrapText="1"/>
    </xf>
    <xf numFmtId="0" fontId="11" fillId="0" borderId="17" xfId="0" quotePrefix="1" applyFont="1" applyFill="1" applyBorder="1" applyAlignment="1">
      <alignment horizontal="center" vertical="top" wrapText="1"/>
    </xf>
    <xf numFmtId="0" fontId="8" fillId="8" borderId="32" xfId="0" applyFont="1" applyFill="1" applyBorder="1" applyAlignment="1">
      <alignment vertical="center"/>
    </xf>
    <xf numFmtId="0" fontId="7" fillId="8" borderId="32" xfId="0" applyFont="1" applyFill="1" applyBorder="1" applyAlignment="1">
      <alignment vertical="center" wrapText="1"/>
    </xf>
    <xf numFmtId="0" fontId="11" fillId="0" borderId="17" xfId="0" applyFont="1" applyFill="1" applyBorder="1" applyAlignment="1">
      <alignment horizontal="center" vertical="top" wrapText="1"/>
    </xf>
    <xf numFmtId="41" fontId="11" fillId="0" borderId="17" xfId="1" applyNumberFormat="1" applyFont="1" applyFill="1" applyBorder="1" applyAlignment="1">
      <alignment horizontal="center" vertical="top" wrapText="1"/>
    </xf>
    <xf numFmtId="41" fontId="11" fillId="0" borderId="17" xfId="1" applyFont="1" applyFill="1" applyBorder="1" applyAlignment="1">
      <alignment horizontal="center" vertical="top" wrapText="1"/>
    </xf>
    <xf numFmtId="0" fontId="11" fillId="0" borderId="17" xfId="0" applyFont="1" applyFill="1" applyBorder="1" applyAlignment="1">
      <alignment horizontal="center" vertical="top"/>
    </xf>
    <xf numFmtId="41" fontId="11" fillId="0" borderId="17" xfId="1" applyFont="1" applyFill="1" applyBorder="1" applyAlignment="1">
      <alignment vertical="top" wrapText="1"/>
    </xf>
    <xf numFmtId="41" fontId="11" fillId="0" borderId="17" xfId="0" applyNumberFormat="1" applyFont="1" applyFill="1" applyBorder="1" applyAlignment="1">
      <alignment vertical="top" wrapText="1"/>
    </xf>
    <xf numFmtId="2" fontId="11" fillId="0" borderId="17" xfId="0" applyNumberFormat="1" applyFont="1" applyFill="1" applyBorder="1" applyAlignment="1">
      <alignment horizontal="center" vertical="top"/>
    </xf>
    <xf numFmtId="41" fontId="11" fillId="0" borderId="17" xfId="0" applyNumberFormat="1" applyFont="1" applyFill="1" applyBorder="1" applyAlignment="1">
      <alignment horizontal="center" vertical="top" wrapText="1"/>
    </xf>
    <xf numFmtId="166" fontId="11" fillId="0" borderId="17" xfId="1" applyNumberFormat="1" applyFont="1" applyFill="1" applyBorder="1" applyAlignment="1">
      <alignment horizontal="center" vertical="top" wrapText="1"/>
    </xf>
    <xf numFmtId="0" fontId="7" fillId="0" borderId="0" xfId="0" applyFont="1" applyFill="1" applyAlignment="1">
      <alignment vertical="top"/>
    </xf>
    <xf numFmtId="0" fontId="11" fillId="0" borderId="17" xfId="0" applyFont="1" applyFill="1" applyBorder="1" applyAlignment="1">
      <alignment horizontal="center" vertical="center" wrapText="1"/>
    </xf>
    <xf numFmtId="0" fontId="11" fillId="0" borderId="17" xfId="0" applyFont="1" applyFill="1" applyBorder="1" applyAlignment="1">
      <alignment vertical="top"/>
    </xf>
    <xf numFmtId="166" fontId="11" fillId="0" borderId="17" xfId="0" applyNumberFormat="1" applyFont="1" applyFill="1" applyBorder="1" applyAlignment="1">
      <alignment horizontal="center" vertical="top" wrapText="1"/>
    </xf>
    <xf numFmtId="0" fontId="8" fillId="0" borderId="0" xfId="0" applyFont="1" applyAlignment="1">
      <alignment horizontal="center" vertical="top"/>
    </xf>
    <xf numFmtId="0" fontId="16" fillId="9" borderId="1" xfId="0" applyFont="1" applyFill="1" applyBorder="1" applyAlignment="1">
      <alignment horizontal="center" vertical="top"/>
    </xf>
    <xf numFmtId="0" fontId="16" fillId="9" borderId="1" xfId="0" quotePrefix="1" applyFont="1" applyFill="1" applyBorder="1" applyAlignment="1">
      <alignment horizontal="center" vertical="top"/>
    </xf>
    <xf numFmtId="0" fontId="16" fillId="9" borderId="1" xfId="0" applyFont="1" applyFill="1" applyBorder="1" applyAlignment="1">
      <alignment vertical="top" wrapText="1"/>
    </xf>
    <xf numFmtId="166" fontId="16" fillId="9" borderId="1" xfId="4" applyNumberFormat="1" applyFont="1" applyFill="1" applyBorder="1" applyAlignment="1">
      <alignment horizontal="center" vertical="top"/>
    </xf>
    <xf numFmtId="41" fontId="16" fillId="9" borderId="1" xfId="4" applyFont="1" applyFill="1" applyBorder="1" applyAlignment="1">
      <alignment horizontal="center" vertical="top"/>
    </xf>
    <xf numFmtId="41" fontId="16" fillId="9" borderId="1" xfId="4" applyFont="1" applyFill="1" applyBorder="1" applyAlignment="1">
      <alignment horizontal="right" vertical="top"/>
    </xf>
    <xf numFmtId="41" fontId="16" fillId="9" borderId="1" xfId="4" applyFont="1" applyFill="1" applyBorder="1" applyAlignment="1">
      <alignment vertical="top"/>
    </xf>
    <xf numFmtId="2" fontId="16" fillId="9" borderId="1" xfId="0" applyNumberFormat="1" applyFont="1" applyFill="1" applyBorder="1" applyAlignment="1">
      <alignment vertical="top"/>
    </xf>
    <xf numFmtId="41" fontId="16" fillId="9" borderId="1" xfId="0" applyNumberFormat="1" applyFont="1" applyFill="1" applyBorder="1" applyAlignment="1">
      <alignment vertical="top"/>
    </xf>
    <xf numFmtId="0" fontId="17" fillId="9" borderId="0" xfId="0" applyFont="1" applyFill="1" applyAlignment="1">
      <alignment vertical="center"/>
    </xf>
    <xf numFmtId="0" fontId="18" fillId="9" borderId="4" xfId="0" applyFont="1" applyFill="1" applyBorder="1" applyAlignment="1">
      <alignment horizontal="center" vertical="top"/>
    </xf>
    <xf numFmtId="0" fontId="18" fillId="9" borderId="1" xfId="0" applyFont="1" applyFill="1" applyBorder="1" applyAlignment="1">
      <alignment vertical="top" wrapText="1"/>
    </xf>
    <xf numFmtId="0" fontId="18" fillId="9" borderId="1" xfId="0" quotePrefix="1" applyFont="1" applyFill="1" applyBorder="1" applyAlignment="1">
      <alignment horizontal="center" vertical="top"/>
    </xf>
    <xf numFmtId="0" fontId="18" fillId="9" borderId="4" xfId="0" quotePrefix="1" applyFont="1" applyFill="1" applyBorder="1" applyAlignment="1">
      <alignment horizontal="center" vertical="top"/>
    </xf>
    <xf numFmtId="0" fontId="18" fillId="9" borderId="4" xfId="0" applyFont="1" applyFill="1" applyBorder="1" applyAlignment="1">
      <alignment vertical="top" wrapText="1"/>
    </xf>
    <xf numFmtId="41" fontId="18" fillId="9" borderId="4" xfId="4" applyFont="1" applyFill="1" applyBorder="1" applyAlignment="1">
      <alignment vertical="top"/>
    </xf>
    <xf numFmtId="41" fontId="18" fillId="9" borderId="4" xfId="4" quotePrefix="1" applyFont="1" applyFill="1" applyBorder="1" applyAlignment="1">
      <alignment vertical="top"/>
    </xf>
    <xf numFmtId="41" fontId="18" fillId="9" borderId="4" xfId="0" applyNumberFormat="1" applyFont="1" applyFill="1" applyBorder="1" applyAlignment="1">
      <alignment horizontal="right" vertical="top"/>
    </xf>
    <xf numFmtId="0" fontId="18" fillId="9" borderId="4" xfId="0" applyFont="1" applyFill="1" applyBorder="1" applyAlignment="1">
      <alignment vertical="top"/>
    </xf>
    <xf numFmtId="41" fontId="18" fillId="9" borderId="1" xfId="0" applyNumberFormat="1" applyFont="1" applyFill="1" applyBorder="1" applyAlignment="1">
      <alignment vertical="top"/>
    </xf>
    <xf numFmtId="2" fontId="18" fillId="9" borderId="4" xfId="0" applyNumberFormat="1" applyFont="1" applyFill="1" applyBorder="1" applyAlignment="1">
      <alignment horizontal="right" vertical="top"/>
    </xf>
    <xf numFmtId="2" fontId="18" fillId="9" borderId="4" xfId="0" applyNumberFormat="1" applyFont="1" applyFill="1" applyBorder="1" applyAlignment="1">
      <alignment vertical="top"/>
    </xf>
    <xf numFmtId="0" fontId="18" fillId="9" borderId="1" xfId="0" applyNumberFormat="1" applyFont="1" applyFill="1" applyBorder="1" applyAlignment="1">
      <alignment horizontal="center" vertical="top"/>
    </xf>
    <xf numFmtId="41" fontId="18" fillId="9" borderId="1" xfId="4" applyFont="1" applyFill="1" applyBorder="1" applyAlignment="1">
      <alignment vertical="top"/>
    </xf>
    <xf numFmtId="167" fontId="18" fillId="9" borderId="1" xfId="4" applyNumberFormat="1" applyFont="1" applyFill="1" applyBorder="1" applyAlignment="1">
      <alignment horizontal="left" vertical="top" wrapText="1"/>
    </xf>
    <xf numFmtId="167" fontId="18" fillId="9" borderId="1" xfId="4" applyNumberFormat="1" applyFont="1" applyFill="1" applyBorder="1" applyAlignment="1">
      <alignment horizontal="right" vertical="top" wrapText="1"/>
    </xf>
    <xf numFmtId="0" fontId="18" fillId="9" borderId="1" xfId="0" applyFont="1" applyFill="1" applyBorder="1" applyAlignment="1">
      <alignment vertical="top"/>
    </xf>
    <xf numFmtId="0" fontId="18" fillId="9" borderId="1" xfId="0" applyFont="1" applyFill="1" applyBorder="1" applyAlignment="1">
      <alignment horizontal="center" vertical="top" wrapText="1"/>
    </xf>
    <xf numFmtId="41" fontId="18" fillId="9" borderId="1" xfId="4" applyFont="1" applyFill="1" applyBorder="1" applyAlignment="1">
      <alignment vertical="top" wrapText="1"/>
    </xf>
    <xf numFmtId="41" fontId="18" fillId="9" borderId="1" xfId="4" applyFont="1" applyFill="1" applyBorder="1" applyAlignment="1">
      <alignment horizontal="right" vertical="top" wrapText="1"/>
    </xf>
    <xf numFmtId="168" fontId="18" fillId="9" borderId="1" xfId="0" quotePrefix="1" applyNumberFormat="1" applyFont="1" applyFill="1" applyBorder="1" applyAlignment="1">
      <alignment horizontal="center" vertical="top"/>
    </xf>
    <xf numFmtId="41" fontId="19" fillId="9" borderId="1" xfId="0" applyNumberFormat="1" applyFont="1" applyFill="1" applyBorder="1" applyAlignment="1">
      <alignment vertical="top"/>
    </xf>
    <xf numFmtId="9" fontId="18" fillId="9" borderId="1" xfId="0" applyNumberFormat="1" applyFont="1" applyFill="1" applyBorder="1" applyAlignment="1">
      <alignment horizontal="center" vertical="top"/>
    </xf>
    <xf numFmtId="0" fontId="18" fillId="9" borderId="1" xfId="0" applyFont="1" applyFill="1" applyBorder="1"/>
    <xf numFmtId="0" fontId="18" fillId="9" borderId="1" xfId="0" applyFont="1" applyFill="1" applyBorder="1" applyAlignment="1"/>
    <xf numFmtId="0" fontId="18" fillId="9" borderId="1" xfId="0" applyNumberFormat="1" applyFont="1" applyFill="1" applyBorder="1" applyAlignment="1">
      <alignment vertical="top" wrapText="1"/>
    </xf>
    <xf numFmtId="41" fontId="18" fillId="9" borderId="4" xfId="4" applyNumberFormat="1" applyFont="1" applyFill="1" applyBorder="1" applyAlignment="1">
      <alignment vertical="top"/>
    </xf>
    <xf numFmtId="41" fontId="18" fillId="9" borderId="4" xfId="0" quotePrefix="1" applyNumberFormat="1" applyFont="1" applyFill="1" applyBorder="1" applyAlignment="1">
      <alignment vertical="top"/>
    </xf>
    <xf numFmtId="41" fontId="18" fillId="0" borderId="1" xfId="4" applyFont="1" applyBorder="1" applyAlignment="1">
      <alignment vertical="top" wrapText="1"/>
    </xf>
    <xf numFmtId="0" fontId="18" fillId="9" borderId="1" xfId="0" applyFont="1" applyFill="1" applyBorder="1" applyAlignment="1">
      <alignment horizontal="left" vertical="top" wrapText="1"/>
    </xf>
    <xf numFmtId="0" fontId="18" fillId="9" borderId="1" xfId="0" quotePrefix="1" applyFont="1" applyFill="1" applyBorder="1" applyAlignment="1">
      <alignment horizontal="left" vertical="top"/>
    </xf>
    <xf numFmtId="0" fontId="18" fillId="9" borderId="4" xfId="0" quotePrefix="1" applyFont="1" applyFill="1" applyBorder="1" applyAlignment="1">
      <alignment horizontal="left" vertical="top"/>
    </xf>
    <xf numFmtId="41" fontId="18" fillId="9" borderId="1" xfId="4" applyFont="1" applyFill="1" applyBorder="1" applyAlignment="1">
      <alignment horizontal="left" vertical="top" wrapText="1"/>
    </xf>
    <xf numFmtId="41" fontId="18" fillId="9" borderId="1" xfId="0" applyNumberFormat="1" applyFont="1" applyFill="1" applyBorder="1" applyAlignment="1">
      <alignment horizontal="left" vertical="top"/>
    </xf>
    <xf numFmtId="0" fontId="17" fillId="9" borderId="13" xfId="0" applyFont="1" applyFill="1" applyBorder="1" applyAlignment="1">
      <alignment horizontal="right" vertical="center"/>
    </xf>
    <xf numFmtId="0" fontId="16" fillId="9" borderId="4" xfId="0" applyFont="1" applyFill="1" applyBorder="1" applyAlignment="1">
      <alignment horizontal="center" vertical="top"/>
    </xf>
    <xf numFmtId="0" fontId="16" fillId="9" borderId="4" xfId="0" quotePrefix="1" applyFont="1" applyFill="1" applyBorder="1" applyAlignment="1">
      <alignment horizontal="center" vertical="top"/>
    </xf>
    <xf numFmtId="0" fontId="16" fillId="9" borderId="0" xfId="0" applyNumberFormat="1" applyFont="1" applyFill="1" applyAlignment="1">
      <alignment vertical="top" wrapText="1"/>
    </xf>
    <xf numFmtId="0" fontId="16" fillId="9" borderId="4" xfId="0" applyFont="1" applyFill="1" applyBorder="1" applyAlignment="1">
      <alignment vertical="top" wrapText="1"/>
    </xf>
    <xf numFmtId="167" fontId="16" fillId="9" borderId="4" xfId="1" applyNumberFormat="1" applyFont="1" applyFill="1" applyBorder="1" applyAlignment="1">
      <alignment horizontal="center" vertical="top"/>
    </xf>
    <xf numFmtId="167" fontId="16" fillId="9" borderId="4" xfId="1" applyNumberFormat="1" applyFont="1" applyFill="1" applyBorder="1" applyAlignment="1">
      <alignment horizontal="right" vertical="top"/>
    </xf>
    <xf numFmtId="168" fontId="16" fillId="9" borderId="4" xfId="0" applyNumberFormat="1" applyFont="1" applyFill="1" applyBorder="1" applyAlignment="1">
      <alignment horizontal="center" vertical="top"/>
    </xf>
    <xf numFmtId="0" fontId="16" fillId="9" borderId="4" xfId="0" applyFont="1" applyFill="1" applyBorder="1" applyAlignment="1">
      <alignment vertical="top"/>
    </xf>
    <xf numFmtId="0" fontId="16" fillId="9" borderId="1" xfId="0" applyFont="1" applyFill="1" applyBorder="1" applyAlignment="1">
      <alignment vertical="top"/>
    </xf>
    <xf numFmtId="0" fontId="18" fillId="9" borderId="1" xfId="0" quotePrefix="1" applyNumberFormat="1" applyFont="1" applyFill="1" applyBorder="1" applyAlignment="1">
      <alignment horizontal="center" vertical="top"/>
    </xf>
    <xf numFmtId="0" fontId="17" fillId="9" borderId="11" xfId="0" applyFont="1" applyFill="1" applyBorder="1" applyAlignment="1">
      <alignment horizontal="center" vertical="center"/>
    </xf>
    <xf numFmtId="0" fontId="17" fillId="9" borderId="13" xfId="0" applyFont="1" applyFill="1" applyBorder="1" applyAlignment="1">
      <alignment horizontal="left" vertical="center" wrapText="1"/>
    </xf>
    <xf numFmtId="0" fontId="17" fillId="9" borderId="13" xfId="0" applyFont="1" applyFill="1" applyBorder="1" applyAlignment="1">
      <alignment vertical="center"/>
    </xf>
    <xf numFmtId="0" fontId="17" fillId="9" borderId="13" xfId="0" applyFont="1" applyFill="1" applyBorder="1" applyAlignment="1">
      <alignment horizontal="center" vertical="center"/>
    </xf>
    <xf numFmtId="0" fontId="20" fillId="9" borderId="13" xfId="0" applyFont="1" applyFill="1" applyBorder="1" applyAlignment="1">
      <alignment horizontal="center" vertical="center"/>
    </xf>
    <xf numFmtId="0" fontId="20" fillId="9" borderId="13" xfId="0" applyFont="1" applyFill="1" applyBorder="1" applyAlignment="1">
      <alignment horizontal="right" vertical="center"/>
    </xf>
    <xf numFmtId="2" fontId="20" fillId="9" borderId="13" xfId="0" applyNumberFormat="1" applyFont="1" applyFill="1" applyBorder="1" applyAlignment="1">
      <alignment horizontal="center" vertical="center"/>
    </xf>
    <xf numFmtId="0" fontId="17" fillId="9" borderId="13" xfId="0" applyNumberFormat="1" applyFont="1" applyFill="1" applyBorder="1" applyAlignment="1">
      <alignment horizontal="center" vertical="center"/>
    </xf>
    <xf numFmtId="0" fontId="17" fillId="9" borderId="12" xfId="0" applyFont="1" applyFill="1" applyBorder="1" applyAlignment="1">
      <alignment vertical="center"/>
    </xf>
    <xf numFmtId="0" fontId="16" fillId="9" borderId="1" xfId="0" applyFont="1" applyFill="1" applyBorder="1" applyAlignment="1">
      <alignment horizontal="center" vertical="top" wrapText="1"/>
    </xf>
    <xf numFmtId="167" fontId="16" fillId="9" borderId="1" xfId="1" applyNumberFormat="1" applyFont="1" applyFill="1" applyBorder="1" applyAlignment="1">
      <alignment horizontal="right" vertical="top" wrapText="1"/>
    </xf>
    <xf numFmtId="2" fontId="16" fillId="9" borderId="1" xfId="0" applyNumberFormat="1" applyFont="1" applyFill="1" applyBorder="1" applyAlignment="1">
      <alignment horizontal="center" vertical="top" wrapText="1"/>
    </xf>
    <xf numFmtId="41" fontId="16" fillId="9" borderId="1" xfId="4" applyFont="1" applyFill="1" applyBorder="1" applyAlignment="1">
      <alignment horizontal="right" vertical="top" wrapText="1"/>
    </xf>
    <xf numFmtId="0" fontId="17" fillId="9" borderId="1" xfId="0" applyNumberFormat="1" applyFont="1" applyFill="1" applyBorder="1" applyAlignment="1">
      <alignment horizontal="center" vertical="top"/>
    </xf>
    <xf numFmtId="41" fontId="17" fillId="9" borderId="1" xfId="0" applyNumberFormat="1" applyFont="1" applyFill="1" applyBorder="1" applyAlignment="1">
      <alignment vertical="top"/>
    </xf>
    <xf numFmtId="0" fontId="17" fillId="9" borderId="1" xfId="0" applyFont="1" applyFill="1" applyBorder="1" applyAlignment="1">
      <alignment horizontal="center" vertical="top"/>
    </xf>
    <xf numFmtId="41" fontId="17" fillId="9" borderId="1" xfId="4" applyFont="1" applyFill="1" applyBorder="1" applyAlignment="1">
      <alignment vertical="top"/>
    </xf>
    <xf numFmtId="2" fontId="17" fillId="9" borderId="1" xfId="0" applyNumberFormat="1" applyFont="1" applyFill="1" applyBorder="1" applyAlignment="1">
      <alignment horizontal="right" vertical="top"/>
    </xf>
    <xf numFmtId="0" fontId="21" fillId="9" borderId="4" xfId="0" applyNumberFormat="1" applyFont="1" applyFill="1" applyBorder="1" applyAlignment="1">
      <alignment horizontal="center" vertical="top"/>
    </xf>
    <xf numFmtId="41" fontId="21" fillId="9" borderId="4" xfId="4" applyFont="1" applyFill="1" applyBorder="1" applyAlignment="1">
      <alignment horizontal="right" vertical="top"/>
    </xf>
    <xf numFmtId="0" fontId="21" fillId="9" borderId="2" xfId="0" applyFont="1" applyFill="1" applyBorder="1" applyAlignment="1">
      <alignment horizontal="center" vertical="top"/>
    </xf>
    <xf numFmtId="41" fontId="21" fillId="9" borderId="2" xfId="4" applyFont="1" applyFill="1" applyBorder="1" applyAlignment="1">
      <alignment horizontal="right" vertical="top"/>
    </xf>
    <xf numFmtId="2" fontId="21" fillId="9" borderId="2" xfId="0" applyNumberFormat="1" applyFont="1" applyFill="1" applyBorder="1" applyAlignment="1">
      <alignment horizontal="right" vertical="top"/>
    </xf>
    <xf numFmtId="167" fontId="18" fillId="9" borderId="4" xfId="4" quotePrefix="1" applyNumberFormat="1" applyFont="1" applyFill="1" applyBorder="1" applyAlignment="1">
      <alignment vertical="top"/>
    </xf>
    <xf numFmtId="167" fontId="18" fillId="9" borderId="1" xfId="4" applyNumberFormat="1" applyFont="1" applyFill="1" applyBorder="1" applyAlignment="1">
      <alignment horizontal="right" vertical="top"/>
    </xf>
    <xf numFmtId="167" fontId="18" fillId="9" borderId="1" xfId="4" applyNumberFormat="1" applyFont="1" applyFill="1" applyBorder="1" applyAlignment="1">
      <alignment vertical="top"/>
    </xf>
    <xf numFmtId="169" fontId="17" fillId="9" borderId="13" xfId="0" applyNumberFormat="1" applyFont="1" applyFill="1" applyBorder="1" applyAlignment="1">
      <alignment horizontal="right" vertical="center"/>
    </xf>
    <xf numFmtId="169" fontId="17" fillId="9" borderId="13" xfId="0" applyNumberFormat="1" applyFont="1" applyFill="1" applyBorder="1" applyAlignment="1">
      <alignment horizontal="center" vertical="center"/>
    </xf>
    <xf numFmtId="0" fontId="21" fillId="9" borderId="1" xfId="0" applyFont="1" applyFill="1" applyBorder="1" applyAlignment="1">
      <alignment vertical="top" wrapText="1"/>
    </xf>
    <xf numFmtId="49" fontId="21" fillId="9" borderId="1" xfId="0" quotePrefix="1" applyNumberFormat="1" applyFont="1" applyFill="1" applyBorder="1" applyAlignment="1">
      <alignment horizontal="center" vertical="top"/>
    </xf>
    <xf numFmtId="0" fontId="21" fillId="9" borderId="1" xfId="0" applyNumberFormat="1" applyFont="1" applyFill="1" applyBorder="1" applyAlignment="1">
      <alignment vertical="top" wrapText="1"/>
    </xf>
    <xf numFmtId="0" fontId="21" fillId="9" borderId="1" xfId="0" applyFont="1" applyFill="1" applyBorder="1" applyAlignment="1">
      <alignment horizontal="center" vertical="top"/>
    </xf>
    <xf numFmtId="41" fontId="21" fillId="9" borderId="1" xfId="4" applyFont="1" applyFill="1" applyBorder="1" applyAlignment="1">
      <alignment horizontal="right" vertical="top"/>
    </xf>
    <xf numFmtId="0" fontId="21" fillId="9" borderId="1" xfId="0" quotePrefix="1" applyFont="1" applyFill="1" applyBorder="1" applyAlignment="1">
      <alignment horizontal="center" vertical="top"/>
    </xf>
    <xf numFmtId="167" fontId="21" fillId="9" borderId="1" xfId="0" quotePrefix="1" applyNumberFormat="1" applyFont="1" applyFill="1" applyBorder="1" applyAlignment="1">
      <alignment horizontal="right" vertical="top"/>
    </xf>
    <xf numFmtId="41" fontId="21" fillId="9" borderId="1" xfId="0" applyNumberFormat="1" applyFont="1" applyFill="1" applyBorder="1" applyAlignment="1">
      <alignment horizontal="right" vertical="top"/>
    </xf>
    <xf numFmtId="0" fontId="21" fillId="9" borderId="2" xfId="0" applyFont="1" applyFill="1" applyBorder="1" applyAlignment="1">
      <alignment horizontal="right" vertical="top"/>
    </xf>
    <xf numFmtId="41" fontId="21" fillId="9" borderId="2" xfId="0" applyNumberFormat="1" applyFont="1" applyFill="1" applyBorder="1" applyAlignment="1">
      <alignment horizontal="right" vertical="top"/>
    </xf>
    <xf numFmtId="0" fontId="21" fillId="9" borderId="2" xfId="0" applyFont="1" applyFill="1" applyBorder="1" applyAlignment="1">
      <alignment vertical="top" wrapText="1"/>
    </xf>
    <xf numFmtId="0" fontId="21" fillId="9" borderId="0" xfId="0" applyFont="1" applyFill="1" applyAlignment="1">
      <alignment vertical="top"/>
    </xf>
    <xf numFmtId="0" fontId="21" fillId="9" borderId="1" xfId="0" applyFont="1" applyFill="1" applyBorder="1" applyAlignment="1">
      <alignment horizontal="center" vertical="top" wrapText="1"/>
    </xf>
    <xf numFmtId="0" fontId="21" fillId="9" borderId="4" xfId="0" applyFont="1" applyFill="1" applyBorder="1" applyAlignment="1">
      <alignment vertical="top" wrapText="1"/>
    </xf>
    <xf numFmtId="0" fontId="21" fillId="9" borderId="4" xfId="0" quotePrefix="1" applyFont="1" applyFill="1" applyBorder="1" applyAlignment="1">
      <alignment horizontal="center" vertical="top"/>
    </xf>
    <xf numFmtId="0" fontId="21" fillId="9" borderId="4" xfId="0" applyFont="1" applyFill="1" applyBorder="1" applyAlignment="1">
      <alignment horizontal="center" vertical="top"/>
    </xf>
    <xf numFmtId="41" fontId="21" fillId="9" borderId="4" xfId="4" applyFont="1" applyFill="1" applyBorder="1" applyAlignment="1">
      <alignment horizontal="right" vertical="top" wrapText="1"/>
    </xf>
    <xf numFmtId="41" fontId="21" fillId="9" borderId="4" xfId="0" applyNumberFormat="1" applyFont="1" applyFill="1" applyBorder="1" applyAlignment="1">
      <alignment horizontal="right" vertical="top"/>
    </xf>
    <xf numFmtId="0" fontId="21" fillId="9" borderId="4" xfId="0" applyFont="1" applyFill="1" applyBorder="1" applyAlignment="1">
      <alignment horizontal="center" vertical="top" wrapText="1"/>
    </xf>
    <xf numFmtId="0" fontId="21" fillId="9" borderId="1" xfId="0" applyFont="1" applyFill="1" applyBorder="1" applyAlignment="1">
      <alignment horizontal="right" vertical="top" wrapText="1"/>
    </xf>
    <xf numFmtId="2" fontId="21" fillId="9" borderId="1" xfId="4" applyNumberFormat="1" applyFont="1" applyFill="1" applyBorder="1" applyAlignment="1">
      <alignment horizontal="right" vertical="top" wrapText="1"/>
    </xf>
    <xf numFmtId="0" fontId="21" fillId="9" borderId="0" xfId="0" applyFont="1" applyFill="1" applyBorder="1" applyAlignment="1">
      <alignment vertical="top" wrapText="1"/>
    </xf>
    <xf numFmtId="0" fontId="21" fillId="9" borderId="0" xfId="0" applyFont="1" applyFill="1" applyAlignment="1">
      <alignment vertical="top" wrapText="1"/>
    </xf>
    <xf numFmtId="41" fontId="21" fillId="9" borderId="1" xfId="4" applyFont="1" applyFill="1" applyBorder="1" applyAlignment="1">
      <alignment horizontal="right" vertical="top" wrapText="1"/>
    </xf>
    <xf numFmtId="0" fontId="21" fillId="9" borderId="5" xfId="0" applyFont="1" applyFill="1" applyBorder="1" applyAlignment="1">
      <alignment vertical="top"/>
    </xf>
    <xf numFmtId="49" fontId="21" fillId="9" borderId="1" xfId="0" applyNumberFormat="1" applyFont="1" applyFill="1" applyBorder="1" applyAlignment="1">
      <alignment horizontal="center" vertical="top"/>
    </xf>
    <xf numFmtId="49" fontId="21" fillId="9" borderId="4" xfId="0" quotePrefix="1" applyNumberFormat="1" applyFont="1" applyFill="1" applyBorder="1" applyAlignment="1">
      <alignment horizontal="center" vertical="top"/>
    </xf>
    <xf numFmtId="0" fontId="21" fillId="9" borderId="4" xfId="0" applyNumberFormat="1" applyFont="1" applyFill="1" applyBorder="1" applyAlignment="1">
      <alignment horizontal="center" vertical="top" wrapText="1"/>
    </xf>
    <xf numFmtId="0" fontId="21" fillId="9" borderId="4" xfId="0" applyFont="1" applyFill="1" applyBorder="1" applyAlignment="1">
      <alignment horizontal="right" vertical="top" wrapText="1"/>
    </xf>
    <xf numFmtId="0" fontId="17" fillId="9" borderId="4" xfId="0" applyNumberFormat="1" applyFont="1" applyFill="1" applyBorder="1" applyAlignment="1">
      <alignment horizontal="center" vertical="top"/>
    </xf>
    <xf numFmtId="0" fontId="21" fillId="9" borderId="3" xfId="0" applyFont="1" applyFill="1" applyBorder="1" applyAlignment="1">
      <alignment horizontal="center" vertical="top"/>
    </xf>
    <xf numFmtId="41" fontId="21" fillId="9" borderId="3" xfId="4" applyFont="1" applyFill="1" applyBorder="1" applyAlignment="1">
      <alignment horizontal="right" vertical="top"/>
    </xf>
    <xf numFmtId="2" fontId="21" fillId="9" borderId="4" xfId="4" applyNumberFormat="1" applyFont="1" applyFill="1" applyBorder="1" applyAlignment="1">
      <alignment horizontal="right" vertical="top" wrapText="1"/>
    </xf>
    <xf numFmtId="0" fontId="21" fillId="9" borderId="3" xfId="0" applyFont="1" applyFill="1" applyBorder="1" applyAlignment="1">
      <alignment vertical="top" wrapText="1"/>
    </xf>
    <xf numFmtId="167" fontId="21" fillId="9" borderId="4" xfId="4" quotePrefix="1" applyNumberFormat="1" applyFont="1" applyFill="1" applyBorder="1" applyAlignment="1">
      <alignment horizontal="right" vertical="top"/>
    </xf>
    <xf numFmtId="167" fontId="21" fillId="9" borderId="1" xfId="4" applyNumberFormat="1" applyFont="1" applyFill="1" applyBorder="1" applyAlignment="1">
      <alignment horizontal="right" vertical="top"/>
    </xf>
    <xf numFmtId="41" fontId="21" fillId="9" borderId="1" xfId="4" applyFont="1" applyFill="1" applyBorder="1" applyAlignment="1">
      <alignment vertical="top" wrapText="1"/>
    </xf>
    <xf numFmtId="0" fontId="21" fillId="9" borderId="12" xfId="0" applyFont="1" applyFill="1" applyBorder="1" applyAlignment="1">
      <alignment horizontal="left" vertical="top" wrapText="1"/>
    </xf>
    <xf numFmtId="0" fontId="21" fillId="9" borderId="4" xfId="0" applyFont="1" applyFill="1" applyBorder="1" applyAlignment="1">
      <alignment horizontal="left" vertical="top" wrapText="1"/>
    </xf>
    <xf numFmtId="3" fontId="21" fillId="9" borderId="4" xfId="0" quotePrefix="1" applyNumberFormat="1" applyFont="1" applyFill="1" applyBorder="1" applyAlignment="1">
      <alignment horizontal="right" vertical="top"/>
    </xf>
    <xf numFmtId="0" fontId="21" fillId="9" borderId="1" xfId="0" applyFont="1" applyFill="1" applyBorder="1" applyAlignment="1">
      <alignment horizontal="left" vertical="top" wrapText="1"/>
    </xf>
    <xf numFmtId="164" fontId="21" fillId="9" borderId="4" xfId="2" quotePrefix="1" applyNumberFormat="1" applyFont="1" applyFill="1" applyBorder="1" applyAlignment="1">
      <alignment horizontal="right" vertical="top"/>
    </xf>
    <xf numFmtId="164" fontId="21" fillId="9" borderId="4" xfId="2" applyNumberFormat="1" applyFont="1" applyFill="1" applyBorder="1" applyAlignment="1">
      <alignment horizontal="right" vertical="top"/>
    </xf>
    <xf numFmtId="41" fontId="21" fillId="9" borderId="4" xfId="4" applyFont="1" applyFill="1" applyBorder="1" applyAlignment="1">
      <alignment vertical="top"/>
    </xf>
    <xf numFmtId="167" fontId="21" fillId="9" borderId="4" xfId="4" quotePrefix="1" applyNumberFormat="1" applyFont="1" applyFill="1" applyBorder="1" applyAlignment="1">
      <alignment vertical="top"/>
    </xf>
    <xf numFmtId="167" fontId="21" fillId="9" borderId="1" xfId="4" applyNumberFormat="1" applyFont="1" applyFill="1" applyBorder="1" applyAlignment="1">
      <alignment vertical="top"/>
    </xf>
    <xf numFmtId="0" fontId="21" fillId="9" borderId="4" xfId="0" applyFont="1" applyFill="1" applyBorder="1" applyAlignment="1">
      <alignment vertical="top"/>
    </xf>
    <xf numFmtId="41" fontId="21" fillId="9" borderId="1" xfId="0" applyNumberFormat="1" applyFont="1" applyFill="1" applyBorder="1" applyAlignment="1">
      <alignment vertical="top"/>
    </xf>
    <xf numFmtId="0" fontId="21" fillId="9" borderId="15" xfId="0" applyFont="1" applyFill="1" applyBorder="1" applyAlignment="1">
      <alignment vertical="top"/>
    </xf>
    <xf numFmtId="0" fontId="21" fillId="9" borderId="2" xfId="0" applyFont="1" applyFill="1" applyBorder="1" applyAlignment="1">
      <alignment horizontal="center" vertical="top" wrapText="1"/>
    </xf>
    <xf numFmtId="41" fontId="21" fillId="9" borderId="2" xfId="4" applyFont="1" applyFill="1" applyBorder="1" applyAlignment="1">
      <alignment horizontal="right" vertical="top" wrapText="1"/>
    </xf>
    <xf numFmtId="41" fontId="21" fillId="9" borderId="1" xfId="0" applyNumberFormat="1" applyFont="1" applyFill="1" applyBorder="1" applyAlignment="1">
      <alignment horizontal="center" vertical="top" wrapText="1"/>
    </xf>
    <xf numFmtId="0" fontId="21" fillId="9" borderId="1" xfId="0" applyNumberFormat="1" applyFont="1" applyFill="1" applyBorder="1" applyAlignment="1">
      <alignment horizontal="center" vertical="top"/>
    </xf>
    <xf numFmtId="0" fontId="17" fillId="9" borderId="1" xfId="0" applyFont="1" applyFill="1" applyBorder="1" applyAlignment="1">
      <alignment vertical="top" wrapText="1"/>
    </xf>
    <xf numFmtId="0" fontId="17" fillId="9" borderId="4" xfId="0" applyFont="1" applyFill="1" applyBorder="1" applyAlignment="1">
      <alignment horizontal="center" vertical="top"/>
    </xf>
    <xf numFmtId="0" fontId="17" fillId="9" borderId="4" xfId="0" quotePrefix="1" applyFont="1" applyFill="1" applyBorder="1" applyAlignment="1">
      <alignment horizontal="center" vertical="top"/>
    </xf>
    <xf numFmtId="0" fontId="17" fillId="9" borderId="1" xfId="0" quotePrefix="1" applyFont="1" applyFill="1" applyBorder="1" applyAlignment="1">
      <alignment horizontal="center" vertical="top"/>
    </xf>
    <xf numFmtId="166" fontId="17" fillId="9" borderId="1" xfId="4" applyNumberFormat="1" applyFont="1" applyFill="1" applyBorder="1" applyAlignment="1">
      <alignment horizontal="center" vertical="top" wrapText="1"/>
    </xf>
    <xf numFmtId="41" fontId="17" fillId="9" borderId="1" xfId="4" applyFont="1" applyFill="1" applyBorder="1" applyAlignment="1">
      <alignment horizontal="center" vertical="top" wrapText="1"/>
    </xf>
    <xf numFmtId="41" fontId="17" fillId="9" borderId="1" xfId="4" applyFont="1" applyFill="1" applyBorder="1" applyAlignment="1">
      <alignment horizontal="right" vertical="top" wrapText="1"/>
    </xf>
    <xf numFmtId="0" fontId="17" fillId="9" borderId="1" xfId="0" applyFont="1" applyFill="1" applyBorder="1" applyAlignment="1">
      <alignment horizontal="center" vertical="top" wrapText="1"/>
    </xf>
    <xf numFmtId="0" fontId="17" fillId="9" borderId="1" xfId="0" applyFont="1" applyFill="1" applyBorder="1" applyAlignment="1">
      <alignment horizontal="right" vertical="top" wrapText="1"/>
    </xf>
    <xf numFmtId="0" fontId="17" fillId="9" borderId="0" xfId="0" applyFont="1" applyFill="1" applyAlignment="1">
      <alignment vertical="top"/>
    </xf>
    <xf numFmtId="170" fontId="21" fillId="9" borderId="4" xfId="2" applyNumberFormat="1" applyFont="1" applyFill="1" applyBorder="1" applyAlignment="1">
      <alignment vertical="top"/>
    </xf>
    <xf numFmtId="41" fontId="21" fillId="9" borderId="1" xfId="0" applyNumberFormat="1" applyFont="1" applyFill="1" applyBorder="1" applyAlignment="1">
      <alignment horizontal="right" vertical="top" wrapText="1"/>
    </xf>
    <xf numFmtId="2" fontId="21" fillId="9" borderId="1" xfId="0" applyNumberFormat="1" applyFont="1" applyFill="1" applyBorder="1" applyAlignment="1">
      <alignment horizontal="right" vertical="top"/>
    </xf>
    <xf numFmtId="0" fontId="17" fillId="9" borderId="2" xfId="0" quotePrefix="1" applyFont="1" applyFill="1" applyBorder="1" applyAlignment="1">
      <alignment horizontal="center" vertical="top"/>
    </xf>
    <xf numFmtId="0" fontId="21" fillId="9" borderId="2" xfId="0" quotePrefix="1" applyFont="1" applyFill="1" applyBorder="1" applyAlignment="1">
      <alignment horizontal="center" vertical="top"/>
    </xf>
    <xf numFmtId="0" fontId="17" fillId="9" borderId="1" xfId="0" applyFont="1" applyFill="1" applyBorder="1" applyAlignment="1">
      <alignment horizontal="left" vertical="top" wrapText="1"/>
    </xf>
    <xf numFmtId="0" fontId="17" fillId="9" borderId="3" xfId="0" quotePrefix="1" applyFont="1" applyFill="1" applyBorder="1" applyAlignment="1">
      <alignment horizontal="center" vertical="top"/>
    </xf>
    <xf numFmtId="0" fontId="21" fillId="9" borderId="3" xfId="0" quotePrefix="1" applyFont="1" applyFill="1" applyBorder="1" applyAlignment="1">
      <alignment horizontal="center" vertical="top"/>
    </xf>
    <xf numFmtId="41" fontId="17" fillId="9" borderId="4" xfId="0" applyNumberFormat="1" applyFont="1" applyFill="1" applyBorder="1" applyAlignment="1">
      <alignment vertical="top"/>
    </xf>
    <xf numFmtId="0" fontId="17" fillId="9" borderId="2" xfId="0" applyFont="1" applyFill="1" applyBorder="1" applyAlignment="1">
      <alignment horizontal="center" vertical="top"/>
    </xf>
    <xf numFmtId="41" fontId="17" fillId="9" borderId="2" xfId="4" applyFont="1" applyFill="1" applyBorder="1" applyAlignment="1">
      <alignment vertical="top"/>
    </xf>
    <xf numFmtId="2" fontId="17" fillId="9" borderId="2" xfId="0" applyNumberFormat="1" applyFont="1" applyFill="1" applyBorder="1" applyAlignment="1">
      <alignment horizontal="right" vertical="top"/>
    </xf>
    <xf numFmtId="0" fontId="17" fillId="9" borderId="4" xfId="0" applyFont="1" applyFill="1" applyBorder="1" applyAlignment="1">
      <alignment horizontal="left" vertical="top" wrapText="1"/>
    </xf>
    <xf numFmtId="167" fontId="21" fillId="9" borderId="1" xfId="4" quotePrefix="1" applyNumberFormat="1" applyFont="1" applyFill="1" applyBorder="1" applyAlignment="1">
      <alignment horizontal="right" vertical="top"/>
    </xf>
    <xf numFmtId="0" fontId="21" fillId="9" borderId="1" xfId="0" applyFont="1" applyFill="1" applyBorder="1" applyAlignment="1">
      <alignment horizontal="right" vertical="top"/>
    </xf>
    <xf numFmtId="41" fontId="21" fillId="9" borderId="3" xfId="4" applyFont="1" applyFill="1" applyBorder="1" applyAlignment="1">
      <alignment vertical="top"/>
    </xf>
    <xf numFmtId="167" fontId="21" fillId="9" borderId="3" xfId="4" quotePrefix="1" applyNumberFormat="1" applyFont="1" applyFill="1" applyBorder="1" applyAlignment="1">
      <alignment vertical="top"/>
    </xf>
    <xf numFmtId="41" fontId="21" fillId="9" borderId="3" xfId="0" applyNumberFormat="1" applyFont="1" applyFill="1" applyBorder="1" applyAlignment="1">
      <alignment horizontal="right" vertical="top"/>
    </xf>
    <xf numFmtId="41" fontId="21" fillId="9" borderId="2" xfId="4" applyFont="1" applyFill="1" applyBorder="1" applyAlignment="1">
      <alignment vertical="top"/>
    </xf>
    <xf numFmtId="0" fontId="21" fillId="9" borderId="1" xfId="0" applyFont="1" applyFill="1" applyBorder="1" applyAlignment="1">
      <alignment horizontal="justify" vertical="top" wrapText="1"/>
    </xf>
    <xf numFmtId="3" fontId="21" fillId="9" borderId="1" xfId="4" applyNumberFormat="1" applyFont="1" applyFill="1" applyBorder="1" applyAlignment="1">
      <alignment horizontal="right" vertical="top"/>
    </xf>
    <xf numFmtId="3" fontId="21" fillId="9" borderId="1" xfId="0" applyNumberFormat="1" applyFont="1" applyFill="1" applyBorder="1" applyAlignment="1">
      <alignment horizontal="right" vertical="top"/>
    </xf>
    <xf numFmtId="0" fontId="21" fillId="9" borderId="1" xfId="0" applyFont="1" applyFill="1" applyBorder="1" applyAlignment="1">
      <alignment horizontal="justify" vertical="top"/>
    </xf>
    <xf numFmtId="49" fontId="17" fillId="9" borderId="2" xfId="0" applyNumberFormat="1" applyFont="1" applyFill="1" applyBorder="1" applyAlignment="1">
      <alignment horizontal="center" vertical="top"/>
    </xf>
    <xf numFmtId="0" fontId="17" fillId="9" borderId="1" xfId="0" applyNumberFormat="1" applyFont="1" applyFill="1" applyBorder="1" applyAlignment="1">
      <alignment vertical="top" wrapText="1"/>
    </xf>
    <xf numFmtId="49" fontId="21" fillId="9" borderId="2" xfId="0" applyNumberFormat="1" applyFont="1" applyFill="1" applyBorder="1" applyAlignment="1">
      <alignment horizontal="center" vertical="top"/>
    </xf>
    <xf numFmtId="49" fontId="21" fillId="9" borderId="4" xfId="0" applyNumberFormat="1" applyFont="1" applyFill="1" applyBorder="1" applyAlignment="1">
      <alignment horizontal="center" vertical="top"/>
    </xf>
    <xf numFmtId="0" fontId="21" fillId="9" borderId="2" xfId="0" applyNumberFormat="1" applyFont="1" applyFill="1" applyBorder="1" applyAlignment="1">
      <alignment vertical="top" wrapText="1"/>
    </xf>
    <xf numFmtId="0" fontId="21" fillId="9" borderId="2" xfId="0" applyFont="1" applyFill="1" applyBorder="1" applyAlignment="1">
      <alignment horizontal="right" vertical="top" wrapText="1"/>
    </xf>
    <xf numFmtId="3" fontId="21" fillId="9" borderId="1" xfId="4" applyNumberFormat="1" applyFont="1" applyFill="1" applyBorder="1" applyAlignment="1">
      <alignment horizontal="right" vertical="top" wrapText="1"/>
    </xf>
    <xf numFmtId="0" fontId="21" fillId="9" borderId="0" xfId="0" applyFont="1" applyFill="1" applyAlignment="1">
      <alignment horizontal="right" vertical="top"/>
    </xf>
    <xf numFmtId="0" fontId="21" fillId="9" borderId="1" xfId="0" applyNumberFormat="1" applyFont="1" applyFill="1" applyBorder="1" applyAlignment="1">
      <alignment horizontal="center" vertical="top" wrapText="1"/>
    </xf>
    <xf numFmtId="1" fontId="21" fillId="9" borderId="1" xfId="0" applyNumberFormat="1" applyFont="1" applyFill="1" applyBorder="1" applyAlignment="1">
      <alignment horizontal="center" vertical="top" wrapText="1"/>
    </xf>
    <xf numFmtId="0" fontId="17" fillId="9" borderId="11" xfId="0" applyFont="1" applyFill="1" applyBorder="1" applyAlignment="1">
      <alignment horizontal="left" vertical="center"/>
    </xf>
    <xf numFmtId="0" fontId="17" fillId="9" borderId="13" xfId="0" applyFont="1" applyFill="1" applyBorder="1" applyAlignment="1">
      <alignment horizontal="left" vertical="center"/>
    </xf>
    <xf numFmtId="0" fontId="21" fillId="9" borderId="13" xfId="0" applyFont="1" applyFill="1" applyBorder="1" applyAlignment="1">
      <alignment horizontal="center" vertical="center"/>
    </xf>
    <xf numFmtId="0" fontId="21" fillId="9" borderId="13" xfId="0" applyFont="1" applyFill="1" applyBorder="1" applyAlignment="1">
      <alignment horizontal="right" vertical="center"/>
    </xf>
    <xf numFmtId="0" fontId="21" fillId="9" borderId="13" xfId="0" applyNumberFormat="1" applyFont="1" applyFill="1" applyBorder="1" applyAlignment="1">
      <alignment horizontal="center" vertical="center"/>
    </xf>
    <xf numFmtId="0" fontId="21" fillId="9" borderId="12" xfId="0" applyFont="1" applyFill="1" applyBorder="1" applyAlignment="1">
      <alignment horizontal="center" vertical="center"/>
    </xf>
    <xf numFmtId="0" fontId="21" fillId="9" borderId="0" xfId="0" applyFont="1" applyFill="1" applyAlignment="1">
      <alignment vertical="center"/>
    </xf>
    <xf numFmtId="167" fontId="21" fillId="9" borderId="4" xfId="4" applyNumberFormat="1" applyFont="1" applyFill="1" applyBorder="1" applyAlignment="1">
      <alignment horizontal="right" vertical="top"/>
    </xf>
    <xf numFmtId="168" fontId="21" fillId="9" borderId="4" xfId="0" quotePrefix="1" applyNumberFormat="1" applyFont="1" applyFill="1" applyBorder="1" applyAlignment="1">
      <alignment horizontal="center" vertical="top"/>
    </xf>
    <xf numFmtId="0" fontId="21" fillId="9" borderId="4" xfId="0" applyFont="1" applyFill="1" applyBorder="1" applyAlignment="1">
      <alignment horizontal="right" vertical="top"/>
    </xf>
    <xf numFmtId="166" fontId="22" fillId="9" borderId="1" xfId="0" applyNumberFormat="1" applyFont="1" applyFill="1" applyBorder="1" applyAlignment="1">
      <alignment horizontal="right" vertical="top" wrapText="1"/>
    </xf>
    <xf numFmtId="0" fontId="21" fillId="9" borderId="4" xfId="0" quotePrefix="1" applyFont="1" applyFill="1" applyBorder="1" applyAlignment="1">
      <alignment horizontal="center" vertical="top" wrapText="1"/>
    </xf>
    <xf numFmtId="0" fontId="17" fillId="0" borderId="1" xfId="0" applyFont="1" applyFill="1" applyBorder="1" applyAlignment="1">
      <alignment horizontal="center" vertical="top"/>
    </xf>
    <xf numFmtId="49" fontId="17" fillId="0" borderId="2" xfId="0" quotePrefix="1" applyNumberFormat="1" applyFont="1" applyFill="1" applyBorder="1" applyAlignment="1">
      <alignment horizontal="center" vertical="top"/>
    </xf>
    <xf numFmtId="0" fontId="17" fillId="0" borderId="2" xfId="0" applyFont="1" applyFill="1" applyBorder="1" applyAlignment="1">
      <alignment horizontal="center" vertical="top"/>
    </xf>
    <xf numFmtId="0" fontId="17" fillId="0" borderId="1" xfId="0" applyFont="1" applyFill="1" applyBorder="1" applyAlignment="1">
      <alignment vertical="top" wrapText="1"/>
    </xf>
    <xf numFmtId="166" fontId="17" fillId="0" borderId="1" xfId="4" applyNumberFormat="1" applyFont="1" applyFill="1" applyBorder="1" applyAlignment="1">
      <alignment horizontal="center" vertical="top"/>
    </xf>
    <xf numFmtId="41" fontId="17" fillId="0" borderId="1" xfId="4" applyNumberFormat="1" applyFont="1" applyFill="1" applyBorder="1" applyAlignment="1">
      <alignment horizontal="right" vertical="top"/>
    </xf>
    <xf numFmtId="0" fontId="17" fillId="0" borderId="1" xfId="4" applyNumberFormat="1" applyFont="1" applyFill="1" applyBorder="1" applyAlignment="1">
      <alignment horizontal="center" vertical="top"/>
    </xf>
    <xf numFmtId="41" fontId="17" fillId="0" borderId="1" xfId="4" applyFont="1" applyFill="1" applyBorder="1" applyAlignment="1">
      <alignment horizontal="right" vertical="top"/>
    </xf>
    <xf numFmtId="2" fontId="17" fillId="0" borderId="1" xfId="0" applyNumberFormat="1" applyFont="1" applyFill="1" applyBorder="1" applyAlignment="1">
      <alignment horizontal="center" vertical="top"/>
    </xf>
    <xf numFmtId="41" fontId="17" fillId="0" borderId="1" xfId="0" applyNumberFormat="1" applyFont="1" applyFill="1" applyBorder="1" applyAlignment="1">
      <alignment horizontal="right" vertical="top"/>
    </xf>
    <xf numFmtId="0" fontId="17" fillId="0" borderId="1" xfId="0" applyNumberFormat="1" applyFont="1" applyFill="1" applyBorder="1" applyAlignment="1">
      <alignment horizontal="center" vertical="top"/>
    </xf>
    <xf numFmtId="2" fontId="17" fillId="0" borderId="1" xfId="0" applyNumberFormat="1" applyFont="1" applyFill="1" applyBorder="1" applyAlignment="1">
      <alignment horizontal="right" vertical="top"/>
    </xf>
    <xf numFmtId="0" fontId="17" fillId="0" borderId="0" xfId="0" applyFont="1" applyFill="1" applyAlignment="1">
      <alignment vertical="top"/>
    </xf>
    <xf numFmtId="49" fontId="17" fillId="0" borderId="3" xfId="0" quotePrefix="1" applyNumberFormat="1" applyFont="1" applyFill="1" applyBorder="1" applyAlignment="1">
      <alignment horizontal="center" vertical="top"/>
    </xf>
    <xf numFmtId="0" fontId="17" fillId="0" borderId="3" xfId="0" applyFont="1" applyFill="1" applyBorder="1" applyAlignment="1">
      <alignment horizontal="center" vertical="top"/>
    </xf>
    <xf numFmtId="166" fontId="17" fillId="0" borderId="1" xfId="4" applyNumberFormat="1" applyFont="1" applyFill="1" applyBorder="1" applyAlignment="1">
      <alignment horizontal="right" vertical="top"/>
    </xf>
    <xf numFmtId="41" fontId="17" fillId="0" borderId="2" xfId="0" applyNumberFormat="1" applyFont="1" applyFill="1" applyBorder="1" applyAlignment="1">
      <alignment horizontal="right" vertical="top"/>
    </xf>
    <xf numFmtId="41" fontId="17" fillId="0" borderId="2" xfId="4" applyFont="1" applyFill="1" applyBorder="1" applyAlignment="1">
      <alignment horizontal="right" vertical="top"/>
    </xf>
    <xf numFmtId="2" fontId="17" fillId="0" borderId="2" xfId="0" applyNumberFormat="1" applyFont="1" applyFill="1" applyBorder="1" applyAlignment="1">
      <alignment horizontal="right" vertical="top"/>
    </xf>
    <xf numFmtId="0" fontId="17" fillId="0" borderId="2" xfId="0" applyFont="1" applyFill="1" applyBorder="1" applyAlignment="1">
      <alignment vertical="top" wrapText="1"/>
    </xf>
    <xf numFmtId="2" fontId="17" fillId="0" borderId="1" xfId="4" applyNumberFormat="1" applyFont="1" applyFill="1" applyBorder="1" applyAlignment="1">
      <alignment horizontal="center" vertical="top"/>
    </xf>
    <xf numFmtId="168" fontId="17" fillId="0" borderId="1" xfId="4" applyNumberFormat="1" applyFont="1" applyFill="1" applyBorder="1" applyAlignment="1">
      <alignment horizontal="center" vertical="top"/>
    </xf>
    <xf numFmtId="49" fontId="17" fillId="0" borderId="4" xfId="0" quotePrefix="1" applyNumberFormat="1" applyFont="1" applyFill="1" applyBorder="1" applyAlignment="1">
      <alignment horizontal="center" vertical="top"/>
    </xf>
    <xf numFmtId="0" fontId="17" fillId="0" borderId="4" xfId="0" applyFont="1" applyFill="1" applyBorder="1" applyAlignment="1">
      <alignment horizontal="center" vertical="top"/>
    </xf>
    <xf numFmtId="0" fontId="17" fillId="0" borderId="4" xfId="0" applyFont="1" applyFill="1" applyBorder="1" applyAlignment="1">
      <alignment vertical="top" wrapText="1"/>
    </xf>
    <xf numFmtId="0" fontId="8" fillId="8" borderId="1" xfId="0" applyFont="1" applyFill="1" applyBorder="1" applyAlignment="1">
      <alignment horizontal="center" vertical="center"/>
    </xf>
    <xf numFmtId="0" fontId="17" fillId="0" borderId="4" xfId="0" quotePrefix="1" applyFont="1" applyFill="1" applyBorder="1" applyAlignment="1">
      <alignment horizontal="center" vertical="top"/>
    </xf>
    <xf numFmtId="0" fontId="17" fillId="0" borderId="1" xfId="0" quotePrefix="1" applyFont="1" applyFill="1" applyBorder="1" applyAlignment="1">
      <alignment horizontal="center" vertical="top"/>
    </xf>
    <xf numFmtId="41" fontId="17" fillId="0" borderId="1" xfId="4" applyFont="1" applyFill="1" applyBorder="1" applyAlignment="1">
      <alignment horizontal="center" vertical="top" wrapText="1"/>
    </xf>
    <xf numFmtId="41" fontId="17" fillId="0" borderId="1" xfId="4" applyFont="1" applyFill="1" applyBorder="1" applyAlignment="1">
      <alignment horizontal="right" vertical="top" wrapText="1"/>
    </xf>
    <xf numFmtId="0" fontId="17" fillId="0" borderId="1" xfId="0" applyFont="1" applyFill="1" applyBorder="1" applyAlignment="1">
      <alignment horizontal="center" vertical="top" wrapText="1"/>
    </xf>
    <xf numFmtId="0" fontId="17" fillId="0" borderId="1" xfId="0" applyFont="1" applyFill="1" applyBorder="1" applyAlignment="1">
      <alignment horizontal="right" vertical="top" wrapText="1"/>
    </xf>
    <xf numFmtId="41" fontId="17" fillId="0" borderId="1" xfId="0" applyNumberFormat="1" applyFont="1" applyFill="1" applyBorder="1" applyAlignment="1">
      <alignment vertical="top"/>
    </xf>
    <xf numFmtId="41" fontId="17" fillId="0" borderId="1" xfId="4" applyFont="1" applyFill="1" applyBorder="1" applyAlignment="1">
      <alignment vertical="top"/>
    </xf>
    <xf numFmtId="0" fontId="21" fillId="0" borderId="2" xfId="0" applyFont="1" applyFill="1" applyBorder="1" applyAlignment="1">
      <alignment vertical="top" wrapText="1"/>
    </xf>
    <xf numFmtId="0" fontId="17" fillId="9" borderId="3" xfId="0" applyFont="1" applyFill="1" applyBorder="1" applyAlignment="1">
      <alignment horizontal="center" vertical="top"/>
    </xf>
    <xf numFmtId="0" fontId="17" fillId="9" borderId="2" xfId="0" applyFont="1" applyFill="1" applyBorder="1" applyAlignment="1">
      <alignment vertical="top" wrapText="1"/>
    </xf>
    <xf numFmtId="0" fontId="17" fillId="9" borderId="2" xfId="0" applyNumberFormat="1" applyFont="1" applyFill="1" applyBorder="1" applyAlignment="1">
      <alignment vertical="top" wrapText="1"/>
    </xf>
    <xf numFmtId="0" fontId="17" fillId="9" borderId="4" xfId="0" applyFont="1" applyFill="1" applyBorder="1" applyAlignment="1">
      <alignment vertical="top" wrapText="1"/>
    </xf>
    <xf numFmtId="49" fontId="17" fillId="9" borderId="4" xfId="0" applyNumberFormat="1" applyFont="1" applyFill="1" applyBorder="1" applyAlignment="1">
      <alignment horizontal="center" vertical="top"/>
    </xf>
    <xf numFmtId="0" fontId="17" fillId="9" borderId="4" xfId="0" applyNumberFormat="1" applyFont="1" applyFill="1" applyBorder="1" applyAlignment="1">
      <alignment vertical="top" wrapText="1"/>
    </xf>
    <xf numFmtId="0" fontId="8" fillId="0" borderId="3" xfId="0" applyFont="1" applyBorder="1" applyAlignment="1">
      <alignment horizontal="center" vertical="top"/>
    </xf>
    <xf numFmtId="0" fontId="7" fillId="0" borderId="1" xfId="0" applyFont="1" applyFill="1" applyBorder="1" applyAlignment="1">
      <alignment vertical="top" wrapText="1"/>
    </xf>
    <xf numFmtId="0" fontId="8" fillId="0" borderId="1" xfId="0" applyFont="1" applyFill="1" applyBorder="1" applyAlignment="1">
      <alignment vertical="top" wrapText="1"/>
    </xf>
    <xf numFmtId="0" fontId="8" fillId="0" borderId="1" xfId="0" applyFont="1" applyFill="1" applyBorder="1" applyAlignment="1">
      <alignment vertical="top"/>
    </xf>
    <xf numFmtId="41" fontId="8" fillId="0" borderId="1" xfId="1" applyFont="1" applyFill="1" applyBorder="1" applyAlignment="1">
      <alignment vertical="top"/>
    </xf>
    <xf numFmtId="41" fontId="8" fillId="0" borderId="1" xfId="0" applyNumberFormat="1" applyFont="1" applyFill="1" applyBorder="1" applyAlignment="1">
      <alignment vertical="top"/>
    </xf>
    <xf numFmtId="1" fontId="8" fillId="0" borderId="1" xfId="0" applyNumberFormat="1" applyFont="1" applyFill="1" applyBorder="1" applyAlignment="1">
      <alignment vertical="top"/>
    </xf>
    <xf numFmtId="2" fontId="8" fillId="0" borderId="1" xfId="0" applyNumberFormat="1" applyFont="1" applyFill="1" applyBorder="1" applyAlignment="1">
      <alignment vertical="top"/>
    </xf>
    <xf numFmtId="0" fontId="8" fillId="0" borderId="1" xfId="0" applyFont="1" applyFill="1" applyBorder="1" applyAlignment="1">
      <alignment horizontal="center" vertical="top" wrapText="1"/>
    </xf>
    <xf numFmtId="0" fontId="8" fillId="0" borderId="31" xfId="0" applyFont="1" applyFill="1" applyBorder="1" applyAlignment="1">
      <alignment horizontal="center" vertical="top"/>
    </xf>
    <xf numFmtId="0" fontId="8" fillId="0" borderId="31" xfId="0" applyFont="1" applyFill="1" applyBorder="1" applyAlignment="1">
      <alignment horizontal="left" vertical="top" wrapText="1"/>
    </xf>
    <xf numFmtId="0" fontId="8" fillId="0" borderId="31" xfId="0" quotePrefix="1" applyFont="1" applyFill="1" applyBorder="1" applyAlignment="1">
      <alignment vertical="top" wrapText="1"/>
    </xf>
    <xf numFmtId="0" fontId="8" fillId="0" borderId="31" xfId="0" quotePrefix="1" applyFont="1" applyFill="1" applyBorder="1" applyAlignment="1">
      <alignment horizontal="center" vertical="top"/>
    </xf>
    <xf numFmtId="0" fontId="8" fillId="0" borderId="31" xfId="0" applyFont="1" applyFill="1" applyBorder="1" applyAlignment="1">
      <alignment vertical="top" wrapText="1"/>
    </xf>
    <xf numFmtId="0" fontId="8" fillId="0" borderId="31" xfId="0" applyFont="1" applyFill="1" applyBorder="1" applyAlignment="1">
      <alignment vertical="top"/>
    </xf>
    <xf numFmtId="41" fontId="8" fillId="0" borderId="31" xfId="1" applyFont="1" applyFill="1" applyBorder="1" applyAlignment="1">
      <alignment vertical="top"/>
    </xf>
    <xf numFmtId="41" fontId="8" fillId="0" borderId="31" xfId="0" applyNumberFormat="1" applyFont="1" applyFill="1" applyBorder="1" applyAlignment="1">
      <alignment vertical="top"/>
    </xf>
    <xf numFmtId="41" fontId="8" fillId="0" borderId="20" xfId="1" applyFont="1" applyFill="1" applyBorder="1" applyAlignment="1">
      <alignment vertical="top"/>
    </xf>
    <xf numFmtId="1" fontId="8" fillId="0" borderId="31" xfId="0" applyNumberFormat="1" applyFont="1" applyFill="1" applyBorder="1" applyAlignment="1">
      <alignment vertical="top"/>
    </xf>
    <xf numFmtId="2" fontId="8" fillId="0" borderId="20" xfId="0" applyNumberFormat="1" applyFont="1" applyFill="1" applyBorder="1" applyAlignment="1">
      <alignment vertical="top"/>
    </xf>
    <xf numFmtId="0" fontId="8" fillId="0" borderId="21" xfId="0" applyFont="1" applyFill="1" applyBorder="1" applyAlignment="1">
      <alignment horizontal="center" vertical="top"/>
    </xf>
    <xf numFmtId="0" fontId="8" fillId="0" borderId="21" xfId="0" quotePrefix="1" applyFont="1" applyFill="1" applyBorder="1" applyAlignment="1">
      <alignment vertical="top" wrapText="1"/>
    </xf>
    <xf numFmtId="0" fontId="8" fillId="0" borderId="20" xfId="0" quotePrefix="1" applyFont="1" applyFill="1" applyBorder="1" applyAlignment="1">
      <alignment horizontal="center" vertical="top"/>
    </xf>
    <xf numFmtId="0" fontId="8" fillId="0" borderId="21" xfId="0" applyFont="1" applyFill="1" applyBorder="1" applyAlignment="1">
      <alignment vertical="top" wrapText="1"/>
    </xf>
    <xf numFmtId="0" fontId="8" fillId="0" borderId="21" xfId="0" applyFont="1" applyFill="1" applyBorder="1" applyAlignment="1">
      <alignment vertical="top"/>
    </xf>
    <xf numFmtId="41" fontId="8" fillId="0" borderId="21" xfId="1" applyFont="1" applyFill="1" applyBorder="1" applyAlignment="1">
      <alignment vertical="top"/>
    </xf>
    <xf numFmtId="41" fontId="8" fillId="0" borderId="21" xfId="0" applyNumberFormat="1" applyFont="1" applyFill="1" applyBorder="1" applyAlignment="1">
      <alignment vertical="top"/>
    </xf>
    <xf numFmtId="2" fontId="8" fillId="0" borderId="21" xfId="0" applyNumberFormat="1" applyFont="1" applyFill="1" applyBorder="1" applyAlignment="1">
      <alignment vertical="top"/>
    </xf>
    <xf numFmtId="0" fontId="8" fillId="0" borderId="21" xfId="0" quotePrefix="1" applyFont="1" applyFill="1" applyBorder="1" applyAlignment="1">
      <alignment horizontal="center" vertical="top"/>
    </xf>
    <xf numFmtId="0" fontId="8" fillId="0" borderId="36" xfId="0" applyFont="1" applyFill="1" applyBorder="1" applyAlignment="1">
      <alignment horizontal="center" vertical="top"/>
    </xf>
    <xf numFmtId="0" fontId="8" fillId="0" borderId="36" xfId="0" applyFont="1" applyFill="1" applyBorder="1" applyAlignment="1">
      <alignment horizontal="left" vertical="top" wrapText="1"/>
    </xf>
    <xf numFmtId="0" fontId="8" fillId="0" borderId="36" xfId="0" quotePrefix="1" applyFont="1" applyFill="1" applyBorder="1" applyAlignment="1">
      <alignment vertical="top" wrapText="1"/>
    </xf>
    <xf numFmtId="0" fontId="8" fillId="0" borderId="36" xfId="0" applyFont="1" applyFill="1" applyBorder="1" applyAlignment="1">
      <alignment vertical="top"/>
    </xf>
    <xf numFmtId="41" fontId="8" fillId="0" borderId="36" xfId="1" applyFont="1" applyFill="1" applyBorder="1" applyAlignment="1">
      <alignment vertical="top"/>
    </xf>
    <xf numFmtId="41" fontId="8" fillId="0" borderId="36" xfId="0" applyNumberFormat="1" applyFont="1" applyFill="1" applyBorder="1" applyAlignment="1">
      <alignment vertical="top"/>
    </xf>
    <xf numFmtId="41" fontId="8" fillId="0" borderId="27" xfId="1" applyFont="1" applyFill="1" applyBorder="1" applyAlignment="1">
      <alignment vertical="top"/>
    </xf>
    <xf numFmtId="1" fontId="8" fillId="0" borderId="3" xfId="0" applyNumberFormat="1" applyFont="1" applyFill="1" applyBorder="1" applyAlignment="1">
      <alignment vertical="top"/>
    </xf>
    <xf numFmtId="2" fontId="8" fillId="0" borderId="36" xfId="0" applyNumberFormat="1" applyFont="1" applyFill="1" applyBorder="1" applyAlignment="1">
      <alignment vertical="top"/>
    </xf>
    <xf numFmtId="0" fontId="8" fillId="0" borderId="11" xfId="0" applyFont="1" applyFill="1" applyBorder="1" applyAlignment="1">
      <alignment horizontal="left" vertical="top" wrapText="1"/>
    </xf>
    <xf numFmtId="0" fontId="8" fillId="0" borderId="1" xfId="0" quotePrefix="1" applyFont="1" applyFill="1" applyBorder="1" applyAlignment="1">
      <alignment vertical="top" wrapText="1"/>
    </xf>
    <xf numFmtId="0" fontId="8" fillId="0" borderId="12" xfId="0" applyFont="1" applyFill="1" applyBorder="1" applyAlignment="1">
      <alignment vertical="top"/>
    </xf>
    <xf numFmtId="0" fontId="8" fillId="0" borderId="37" xfId="0" applyFont="1" applyFill="1" applyBorder="1" applyAlignment="1">
      <alignment horizontal="left" vertical="top" wrapText="1"/>
    </xf>
    <xf numFmtId="0" fontId="8" fillId="0" borderId="2" xfId="0" quotePrefix="1" applyFont="1" applyFill="1" applyBorder="1" applyAlignment="1">
      <alignment vertical="top" wrapText="1"/>
    </xf>
    <xf numFmtId="0" fontId="8" fillId="0" borderId="38" xfId="0" applyFont="1" applyFill="1" applyBorder="1" applyAlignment="1">
      <alignment vertical="top"/>
    </xf>
    <xf numFmtId="0" fontId="8" fillId="0" borderId="20" xfId="0" applyFont="1" applyFill="1" applyBorder="1" applyAlignment="1">
      <alignment vertical="top"/>
    </xf>
    <xf numFmtId="0" fontId="8" fillId="0" borderId="22" xfId="0" applyFont="1" applyFill="1" applyBorder="1" applyAlignment="1">
      <alignment horizontal="left" vertical="top" wrapText="1"/>
    </xf>
    <xf numFmtId="0" fontId="8" fillId="0" borderId="3" xfId="0" quotePrefix="1" applyFont="1" applyFill="1" applyBorder="1" applyAlignment="1">
      <alignment vertical="top" wrapText="1"/>
    </xf>
    <xf numFmtId="0" fontId="8" fillId="0" borderId="23" xfId="0" applyFont="1" applyFill="1" applyBorder="1" applyAlignment="1">
      <alignment vertical="top"/>
    </xf>
    <xf numFmtId="0" fontId="8" fillId="0" borderId="4" xfId="0" quotePrefix="1" applyFont="1" applyFill="1" applyBorder="1" applyAlignment="1">
      <alignment vertical="top" wrapText="1"/>
    </xf>
    <xf numFmtId="0" fontId="8" fillId="0" borderId="27" xfId="0" applyFont="1" applyFill="1" applyBorder="1" applyAlignment="1">
      <alignment vertical="top"/>
    </xf>
    <xf numFmtId="2" fontId="8" fillId="0" borderId="27" xfId="0" applyNumberFormat="1" applyFont="1" applyFill="1" applyBorder="1" applyAlignment="1">
      <alignment vertical="top"/>
    </xf>
    <xf numFmtId="0" fontId="8" fillId="0" borderId="2" xfId="0" applyFont="1" applyFill="1" applyBorder="1" applyAlignment="1">
      <alignment vertical="top" wrapText="1"/>
    </xf>
    <xf numFmtId="41" fontId="8" fillId="0" borderId="2" xfId="1" applyFont="1" applyFill="1" applyBorder="1" applyAlignment="1">
      <alignment vertical="top"/>
    </xf>
    <xf numFmtId="3" fontId="8" fillId="0" borderId="2" xfId="0" quotePrefix="1" applyNumberFormat="1" applyFont="1" applyFill="1" applyBorder="1" applyAlignment="1">
      <alignment vertical="top"/>
    </xf>
    <xf numFmtId="41" fontId="8" fillId="0" borderId="2" xfId="0" applyNumberFormat="1" applyFont="1" applyFill="1" applyBorder="1" applyAlignment="1">
      <alignment vertical="top"/>
    </xf>
    <xf numFmtId="0" fontId="8" fillId="0" borderId="2" xfId="0" quotePrefix="1" applyFont="1" applyFill="1" applyBorder="1" applyAlignment="1">
      <alignment vertical="top"/>
    </xf>
    <xf numFmtId="41" fontId="8" fillId="0" borderId="2" xfId="1" applyNumberFormat="1" applyFont="1" applyFill="1" applyBorder="1" applyAlignment="1">
      <alignment vertical="top"/>
    </xf>
    <xf numFmtId="0" fontId="8" fillId="0" borderId="2" xfId="0" applyFont="1" applyFill="1" applyBorder="1" applyAlignment="1">
      <alignment vertical="top"/>
    </xf>
    <xf numFmtId="1" fontId="8" fillId="0" borderId="2" xfId="0" applyNumberFormat="1" applyFont="1" applyFill="1" applyBorder="1" applyAlignment="1">
      <alignment vertical="top"/>
    </xf>
    <xf numFmtId="2" fontId="8" fillId="0" borderId="2" xfId="0" applyNumberFormat="1" applyFont="1" applyFill="1" applyBorder="1" applyAlignment="1">
      <alignment vertical="top"/>
    </xf>
    <xf numFmtId="171" fontId="8" fillId="0" borderId="4" xfId="0" quotePrefix="1" applyNumberFormat="1" applyFont="1" applyFill="1" applyBorder="1" applyAlignment="1">
      <alignment vertical="top"/>
    </xf>
    <xf numFmtId="0" fontId="8" fillId="0" borderId="4" xfId="0" quotePrefix="1" applyFont="1" applyFill="1" applyBorder="1" applyAlignment="1">
      <alignment vertical="top"/>
    </xf>
    <xf numFmtId="165" fontId="8" fillId="0" borderId="4" xfId="1" applyNumberFormat="1" applyFont="1" applyFill="1" applyBorder="1" applyAlignment="1">
      <alignment vertical="top"/>
    </xf>
    <xf numFmtId="1" fontId="8" fillId="0" borderId="4" xfId="0" applyNumberFormat="1" applyFont="1" applyFill="1" applyBorder="1" applyAlignment="1">
      <alignment vertical="top"/>
    </xf>
    <xf numFmtId="0" fontId="8" fillId="0" borderId="31" xfId="0" applyFont="1" applyFill="1" applyBorder="1" applyAlignment="1">
      <alignment vertical="center" wrapText="1"/>
    </xf>
    <xf numFmtId="0" fontId="8" fillId="0" borderId="37" xfId="0" quotePrefix="1" applyFont="1" applyFill="1" applyBorder="1" applyAlignment="1">
      <alignment horizontal="center" vertical="top"/>
    </xf>
    <xf numFmtId="0" fontId="8" fillId="0" borderId="39" xfId="0" quotePrefix="1" applyFont="1" applyFill="1" applyBorder="1" applyAlignment="1">
      <alignment vertical="top" wrapText="1"/>
    </xf>
    <xf numFmtId="0" fontId="8" fillId="0" borderId="38" xfId="0" applyFont="1" applyFill="1" applyBorder="1" applyAlignment="1">
      <alignment horizontal="left" vertical="top" wrapText="1"/>
    </xf>
    <xf numFmtId="3" fontId="8" fillId="0" borderId="31" xfId="0" quotePrefix="1" applyNumberFormat="1" applyFont="1" applyFill="1" applyBorder="1" applyAlignment="1">
      <alignment vertical="top"/>
    </xf>
    <xf numFmtId="0" fontId="8" fillId="0" borderId="31" xfId="0" quotePrefix="1" applyFont="1" applyFill="1" applyBorder="1" applyAlignment="1">
      <alignment vertical="top"/>
    </xf>
    <xf numFmtId="41" fontId="8" fillId="0" borderId="31" xfId="1" applyNumberFormat="1" applyFont="1" applyFill="1" applyBorder="1" applyAlignment="1">
      <alignment vertical="top"/>
    </xf>
    <xf numFmtId="2" fontId="8" fillId="0" borderId="31" xfId="0" applyNumberFormat="1" applyFont="1" applyFill="1" applyBorder="1" applyAlignment="1">
      <alignment vertical="top"/>
    </xf>
    <xf numFmtId="0" fontId="8" fillId="0" borderId="21" xfId="0" applyFont="1" applyFill="1" applyBorder="1" applyAlignment="1">
      <alignment vertical="center" wrapText="1"/>
    </xf>
    <xf numFmtId="0" fontId="8" fillId="0" borderId="22" xfId="0" quotePrefix="1" applyFont="1" applyFill="1" applyBorder="1" applyAlignment="1">
      <alignment horizontal="center" vertical="top"/>
    </xf>
    <xf numFmtId="0" fontId="8" fillId="0" borderId="25" xfId="0" quotePrefix="1" applyFont="1" applyFill="1" applyBorder="1" applyAlignment="1">
      <alignment vertical="top" wrapText="1"/>
    </xf>
    <xf numFmtId="0" fontId="8" fillId="0" borderId="26" xfId="0" applyFont="1" applyFill="1" applyBorder="1" applyAlignment="1">
      <alignment horizontal="left" vertical="top" wrapText="1"/>
    </xf>
    <xf numFmtId="3" fontId="8" fillId="0" borderId="21" xfId="0" quotePrefix="1" applyNumberFormat="1" applyFont="1" applyFill="1" applyBorder="1" applyAlignment="1">
      <alignment vertical="top"/>
    </xf>
    <xf numFmtId="0" fontId="8" fillId="0" borderId="21" xfId="0" quotePrefix="1" applyFont="1" applyFill="1" applyBorder="1" applyAlignment="1">
      <alignment vertical="top"/>
    </xf>
    <xf numFmtId="41" fontId="8" fillId="0" borderId="21" xfId="1" applyNumberFormat="1" applyFont="1" applyFill="1" applyBorder="1" applyAlignment="1">
      <alignment vertical="top"/>
    </xf>
    <xf numFmtId="0" fontId="8" fillId="0" borderId="24" xfId="0" applyFont="1" applyFill="1" applyBorder="1" applyAlignment="1">
      <alignment horizontal="left" vertical="top" wrapText="1"/>
    </xf>
    <xf numFmtId="0" fontId="8" fillId="0" borderId="36" xfId="0" applyFont="1" applyFill="1" applyBorder="1" applyAlignment="1">
      <alignment vertical="center" wrapText="1"/>
    </xf>
    <xf numFmtId="0" fontId="8" fillId="0" borderId="40" xfId="0" applyFont="1" applyFill="1" applyBorder="1" applyAlignment="1">
      <alignment horizontal="left" vertical="top" wrapText="1"/>
    </xf>
    <xf numFmtId="0" fontId="8" fillId="0" borderId="41" xfId="0" applyFont="1" applyFill="1" applyBorder="1" applyAlignment="1">
      <alignment horizontal="left" vertical="top" wrapText="1"/>
    </xf>
    <xf numFmtId="0" fontId="8" fillId="0" borderId="36" xfId="0" applyFont="1" applyFill="1" applyBorder="1" applyAlignment="1">
      <alignment vertical="top" wrapText="1"/>
    </xf>
    <xf numFmtId="3" fontId="8" fillId="0" borderId="36" xfId="0" quotePrefix="1" applyNumberFormat="1" applyFont="1" applyFill="1" applyBorder="1" applyAlignment="1">
      <alignment vertical="top"/>
    </xf>
    <xf numFmtId="0" fontId="8" fillId="0" borderId="36" xfId="0" quotePrefix="1" applyFont="1" applyFill="1" applyBorder="1" applyAlignment="1">
      <alignment vertical="top"/>
    </xf>
    <xf numFmtId="165" fontId="8" fillId="0" borderId="36" xfId="1" applyNumberFormat="1" applyFont="1" applyFill="1" applyBorder="1" applyAlignment="1">
      <alignment vertical="top"/>
    </xf>
    <xf numFmtId="0" fontId="8" fillId="0" borderId="36" xfId="0" quotePrefix="1" applyFont="1" applyFill="1" applyBorder="1" applyAlignment="1">
      <alignment horizontal="center" vertical="top"/>
    </xf>
    <xf numFmtId="0" fontId="8" fillId="0" borderId="42" xfId="0" quotePrefix="1" applyFont="1" applyFill="1" applyBorder="1" applyAlignment="1">
      <alignment horizontal="center" vertical="top"/>
    </xf>
    <xf numFmtId="0" fontId="8" fillId="0" borderId="43" xfId="0" quotePrefix="1" applyFont="1" applyFill="1" applyBorder="1" applyAlignment="1">
      <alignment vertical="top" wrapText="1"/>
    </xf>
    <xf numFmtId="41" fontId="8" fillId="0" borderId="36" xfId="1" applyNumberFormat="1" applyFont="1" applyFill="1" applyBorder="1" applyAlignment="1">
      <alignment vertical="top"/>
    </xf>
    <xf numFmtId="0" fontId="8" fillId="0" borderId="21" xfId="0" applyFont="1" applyFill="1" applyBorder="1" applyAlignment="1">
      <alignment wrapText="1"/>
    </xf>
    <xf numFmtId="41" fontId="8" fillId="0" borderId="21" xfId="1" applyFont="1" applyFill="1" applyBorder="1" applyAlignment="1">
      <alignment vertical="top" wrapText="1"/>
    </xf>
    <xf numFmtId="0" fontId="8" fillId="0" borderId="0" xfId="0" applyFont="1" applyFill="1" applyAlignment="1">
      <alignment vertical="top" wrapText="1"/>
    </xf>
    <xf numFmtId="0" fontId="8" fillId="0" borderId="27" xfId="0" applyFont="1" applyFill="1" applyBorder="1" applyAlignment="1">
      <alignment vertical="top" wrapText="1"/>
    </xf>
    <xf numFmtId="0" fontId="8" fillId="0" borderId="27" xfId="0" quotePrefix="1" applyFont="1" applyFill="1" applyBorder="1" applyAlignment="1">
      <alignment horizontal="center" vertical="top"/>
    </xf>
    <xf numFmtId="0" fontId="8" fillId="0" borderId="28" xfId="0" quotePrefix="1" applyFont="1" applyFill="1" applyBorder="1" applyAlignment="1">
      <alignment horizontal="center" vertical="top"/>
    </xf>
    <xf numFmtId="0" fontId="8" fillId="0" borderId="29" xfId="0" quotePrefix="1" applyFont="1" applyFill="1" applyBorder="1" applyAlignment="1">
      <alignment vertical="top" wrapText="1"/>
    </xf>
    <xf numFmtId="0" fontId="8" fillId="0" borderId="44" xfId="0" applyFont="1" applyFill="1" applyBorder="1" applyAlignment="1">
      <alignment horizontal="left" vertical="top" wrapText="1"/>
    </xf>
    <xf numFmtId="0" fontId="8" fillId="0" borderId="45" xfId="0" applyFont="1" applyFill="1" applyBorder="1" applyAlignment="1">
      <alignment horizontal="left" vertical="top" wrapText="1"/>
    </xf>
    <xf numFmtId="41" fontId="8" fillId="0" borderId="27" xfId="1" applyFont="1" applyFill="1" applyBorder="1" applyAlignment="1">
      <alignment vertical="top" wrapText="1"/>
    </xf>
    <xf numFmtId="0" fontId="8" fillId="0" borderId="20" xfId="0" quotePrefix="1" applyFont="1" applyFill="1" applyBorder="1" applyAlignment="1">
      <alignment vertical="top" wrapText="1"/>
    </xf>
    <xf numFmtId="0" fontId="8" fillId="0" borderId="20" xfId="0" applyFont="1" applyFill="1" applyBorder="1" applyAlignment="1">
      <alignment vertical="top" wrapText="1"/>
    </xf>
    <xf numFmtId="41" fontId="8" fillId="0" borderId="20" xfId="1" applyFont="1" applyFill="1" applyBorder="1" applyAlignment="1">
      <alignment vertical="top" wrapText="1"/>
    </xf>
    <xf numFmtId="1" fontId="8" fillId="0" borderId="20" xfId="0" applyNumberFormat="1" applyFont="1" applyFill="1" applyBorder="1" applyAlignment="1">
      <alignment vertical="top"/>
    </xf>
    <xf numFmtId="1" fontId="8" fillId="0" borderId="21" xfId="0" applyNumberFormat="1" applyFont="1" applyFill="1" applyBorder="1" applyAlignment="1">
      <alignment vertical="top"/>
    </xf>
    <xf numFmtId="0" fontId="8" fillId="0" borderId="27" xfId="0" quotePrefix="1" applyFont="1" applyFill="1" applyBorder="1" applyAlignment="1">
      <alignment vertical="top" wrapText="1"/>
    </xf>
    <xf numFmtId="1" fontId="8" fillId="0" borderId="27" xfId="0" applyNumberFormat="1" applyFont="1" applyFill="1" applyBorder="1" applyAlignment="1">
      <alignment vertical="top"/>
    </xf>
    <xf numFmtId="0" fontId="8" fillId="0" borderId="27" xfId="0" applyFont="1" applyFill="1" applyBorder="1" applyAlignment="1">
      <alignment horizontal="center" vertical="top" wrapText="1"/>
    </xf>
    <xf numFmtId="41" fontId="8" fillId="0" borderId="31" xfId="1" applyFont="1" applyFill="1" applyBorder="1" applyAlignment="1">
      <alignment vertical="top" wrapText="1"/>
    </xf>
    <xf numFmtId="0" fontId="8" fillId="0" borderId="21" xfId="0" applyFont="1" applyFill="1" applyBorder="1" applyAlignment="1">
      <alignment horizontal="right" vertical="top" wrapText="1"/>
    </xf>
    <xf numFmtId="2" fontId="7" fillId="0" borderId="1" xfId="0" applyNumberFormat="1" applyFont="1" applyFill="1" applyBorder="1" applyAlignment="1">
      <alignment vertical="top"/>
    </xf>
    <xf numFmtId="0" fontId="8" fillId="0" borderId="0" xfId="0" applyFont="1" applyFill="1"/>
    <xf numFmtId="0" fontId="7" fillId="0" borderId="1" xfId="0" applyFont="1" applyFill="1" applyBorder="1" applyAlignment="1">
      <alignment horizontal="center" vertical="top"/>
    </xf>
    <xf numFmtId="41" fontId="9" fillId="0" borderId="1" xfId="0" applyNumberFormat="1" applyFont="1" applyFill="1" applyBorder="1"/>
    <xf numFmtId="0" fontId="8" fillId="0" borderId="1" xfId="0" applyFont="1" applyFill="1" applyBorder="1"/>
    <xf numFmtId="0" fontId="7" fillId="0" borderId="0" xfId="0" applyFont="1" applyFill="1"/>
    <xf numFmtId="0" fontId="7" fillId="0" borderId="3" xfId="0" applyFont="1" applyBorder="1"/>
    <xf numFmtId="0" fontId="8" fillId="9" borderId="46" xfId="0" applyFont="1" applyFill="1" applyBorder="1" applyAlignment="1">
      <alignment vertical="top" wrapText="1"/>
    </xf>
    <xf numFmtId="0" fontId="8" fillId="9" borderId="46" xfId="0" quotePrefix="1" applyFont="1" applyFill="1" applyBorder="1" applyAlignment="1">
      <alignment vertical="top" wrapText="1"/>
    </xf>
    <xf numFmtId="0" fontId="15" fillId="9" borderId="46" xfId="0" applyFont="1" applyFill="1" applyBorder="1" applyAlignment="1">
      <alignment vertical="top" wrapText="1"/>
    </xf>
    <xf numFmtId="0" fontId="8" fillId="9" borderId="46" xfId="0" applyFont="1" applyFill="1" applyBorder="1" applyAlignment="1">
      <alignment horizontal="center" vertical="top" wrapText="1"/>
    </xf>
    <xf numFmtId="41" fontId="8" fillId="9" borderId="46" xfId="1" applyFont="1" applyFill="1" applyBorder="1" applyAlignment="1">
      <alignment vertical="top" wrapText="1"/>
    </xf>
    <xf numFmtId="1" fontId="8" fillId="9" borderId="46" xfId="0" applyNumberFormat="1" applyFont="1" applyFill="1" applyBorder="1" applyAlignment="1">
      <alignment horizontal="center" vertical="top" wrapText="1"/>
    </xf>
    <xf numFmtId="2" fontId="8" fillId="9" borderId="46" xfId="0" applyNumberFormat="1" applyFont="1" applyFill="1" applyBorder="1" applyAlignment="1">
      <alignment horizontal="center" vertical="top" wrapText="1"/>
    </xf>
    <xf numFmtId="166" fontId="8" fillId="9" borderId="46" xfId="0" applyNumberFormat="1" applyFont="1" applyFill="1" applyBorder="1" applyAlignment="1">
      <alignment vertical="top" wrapText="1"/>
    </xf>
    <xf numFmtId="166" fontId="8" fillId="9" borderId="46" xfId="1" applyNumberFormat="1" applyFont="1" applyFill="1" applyBorder="1" applyAlignment="1">
      <alignment vertical="top" wrapText="1"/>
    </xf>
    <xf numFmtId="1" fontId="8" fillId="9" borderId="46" xfId="0" applyNumberFormat="1" applyFont="1" applyFill="1" applyBorder="1" applyAlignment="1">
      <alignment vertical="top" wrapText="1"/>
    </xf>
    <xf numFmtId="41" fontId="8" fillId="9" borderId="46" xfId="0" applyNumberFormat="1" applyFont="1" applyFill="1" applyBorder="1" applyAlignment="1">
      <alignment vertical="top" wrapText="1"/>
    </xf>
    <xf numFmtId="2" fontId="8" fillId="9" borderId="46" xfId="0" applyNumberFormat="1" applyFont="1" applyFill="1" applyBorder="1" applyAlignment="1">
      <alignment vertical="top" wrapText="1"/>
    </xf>
    <xf numFmtId="0" fontId="8" fillId="0" borderId="3" xfId="0" applyFont="1" applyBorder="1"/>
    <xf numFmtId="43" fontId="8" fillId="9" borderId="46" xfId="0" applyNumberFormat="1" applyFont="1" applyFill="1" applyBorder="1" applyAlignment="1">
      <alignment vertical="top" wrapText="1"/>
    </xf>
    <xf numFmtId="0" fontId="8" fillId="9" borderId="47" xfId="0" applyFont="1" applyFill="1" applyBorder="1" applyAlignment="1">
      <alignment vertical="top" wrapText="1"/>
    </xf>
    <xf numFmtId="41" fontId="8" fillId="9" borderId="46" xfId="1" applyFont="1" applyFill="1" applyBorder="1" applyAlignment="1">
      <alignment horizontal="center" vertical="top" wrapText="1"/>
    </xf>
    <xf numFmtId="0" fontId="7" fillId="9" borderId="46" xfId="0" applyFont="1" applyFill="1" applyBorder="1" applyAlignment="1">
      <alignment vertical="top" wrapText="1"/>
    </xf>
    <xf numFmtId="0" fontId="23" fillId="9" borderId="46" xfId="0" applyFont="1" applyFill="1" applyBorder="1" applyAlignment="1">
      <alignment vertical="top" wrapText="1"/>
    </xf>
    <xf numFmtId="0" fontId="8" fillId="9" borderId="3" xfId="0" applyFont="1" applyFill="1" applyBorder="1" applyAlignment="1">
      <alignment vertical="top" wrapText="1"/>
    </xf>
    <xf numFmtId="0" fontId="8" fillId="9" borderId="46" xfId="1" applyNumberFormat="1" applyFont="1" applyFill="1" applyBorder="1" applyAlignment="1">
      <alignment horizontal="center" vertical="top" wrapText="1"/>
    </xf>
    <xf numFmtId="166" fontId="8" fillId="9" borderId="46" xfId="1" applyNumberFormat="1" applyFont="1" applyFill="1" applyBorder="1" applyAlignment="1">
      <alignment horizontal="center" vertical="top" wrapText="1"/>
    </xf>
    <xf numFmtId="41" fontId="8" fillId="9" borderId="46" xfId="1" applyNumberFormat="1" applyFont="1" applyFill="1" applyBorder="1" applyAlignment="1">
      <alignment vertical="top" wrapText="1"/>
    </xf>
    <xf numFmtId="0" fontId="8" fillId="9" borderId="46" xfId="0" applyFont="1" applyFill="1" applyBorder="1" applyAlignment="1">
      <alignment horizontal="right" vertical="top" wrapText="1"/>
    </xf>
    <xf numFmtId="41" fontId="7" fillId="9" borderId="46" xfId="1" applyFont="1" applyFill="1" applyBorder="1" applyAlignment="1">
      <alignment horizontal="center" vertical="top" wrapText="1"/>
    </xf>
    <xf numFmtId="41" fontId="7" fillId="9" borderId="46" xfId="1" applyFont="1" applyFill="1" applyBorder="1" applyAlignment="1">
      <alignment vertical="top" wrapText="1"/>
    </xf>
    <xf numFmtId="0" fontId="8" fillId="9" borderId="46" xfId="0" quotePrefix="1" applyFont="1" applyFill="1" applyBorder="1" applyAlignment="1">
      <alignment horizontal="left" vertical="top" wrapText="1"/>
    </xf>
    <xf numFmtId="0" fontId="8" fillId="9" borderId="47" xfId="0" quotePrefix="1" applyFont="1" applyFill="1" applyBorder="1" applyAlignment="1">
      <alignment vertical="top" wrapText="1"/>
    </xf>
    <xf numFmtId="0" fontId="15" fillId="9" borderId="47" xfId="0" applyFont="1" applyFill="1" applyBorder="1" applyAlignment="1">
      <alignment vertical="top" wrapText="1"/>
    </xf>
    <xf numFmtId="2" fontId="7" fillId="0" borderId="49" xfId="0" applyNumberFormat="1" applyFont="1" applyBorder="1" applyAlignment="1">
      <alignment horizontal="center" vertical="top" wrapText="1"/>
    </xf>
    <xf numFmtId="41" fontId="8" fillId="0" borderId="49" xfId="0" applyNumberFormat="1" applyFont="1" applyBorder="1" applyAlignment="1">
      <alignment vertical="top" wrapText="1"/>
    </xf>
    <xf numFmtId="41" fontId="8" fillId="0" borderId="49" xfId="1" applyFont="1" applyBorder="1" applyAlignment="1">
      <alignment vertical="top" wrapText="1"/>
    </xf>
    <xf numFmtId="41" fontId="7" fillId="0" borderId="49" xfId="1" applyFont="1" applyBorder="1" applyAlignment="1">
      <alignment horizontal="center" vertical="top" wrapText="1"/>
    </xf>
    <xf numFmtId="0" fontId="7" fillId="0" borderId="50" xfId="0" quotePrefix="1" applyFont="1" applyFill="1" applyBorder="1" applyAlignment="1">
      <alignment vertical="top" wrapText="1"/>
    </xf>
    <xf numFmtId="0" fontId="23" fillId="0" borderId="50" xfId="0" applyFont="1" applyFill="1" applyBorder="1" applyAlignment="1">
      <alignment horizontal="left" vertical="top" wrapText="1"/>
    </xf>
    <xf numFmtId="0" fontId="7" fillId="0" borderId="50" xfId="0" applyFont="1" applyFill="1" applyBorder="1" applyAlignment="1">
      <alignment vertical="top" wrapText="1"/>
    </xf>
    <xf numFmtId="0" fontId="23" fillId="0" borderId="50" xfId="0" applyFont="1" applyFill="1" applyBorder="1" applyAlignment="1">
      <alignment vertical="top" wrapText="1"/>
    </xf>
    <xf numFmtId="0" fontId="8" fillId="0" borderId="50" xfId="0" applyFont="1" applyFill="1" applyBorder="1" applyAlignment="1">
      <alignment horizontal="center" vertical="top" wrapText="1"/>
    </xf>
    <xf numFmtId="41" fontId="8" fillId="0" borderId="50" xfId="1" applyFont="1" applyFill="1" applyBorder="1" applyAlignment="1">
      <alignment horizontal="center" vertical="top" wrapText="1"/>
    </xf>
    <xf numFmtId="1" fontId="8" fillId="0" borderId="50" xfId="0" applyNumberFormat="1" applyFont="1" applyFill="1" applyBorder="1" applyAlignment="1">
      <alignment horizontal="center" vertical="top" wrapText="1"/>
    </xf>
    <xf numFmtId="41" fontId="8" fillId="0" borderId="50" xfId="1" applyFont="1" applyFill="1" applyBorder="1" applyAlignment="1">
      <alignment vertical="top" wrapText="1"/>
    </xf>
    <xf numFmtId="166" fontId="8" fillId="0" borderId="50" xfId="1" applyNumberFormat="1" applyFont="1" applyFill="1" applyBorder="1" applyAlignment="1">
      <alignment vertical="top" wrapText="1"/>
    </xf>
    <xf numFmtId="41" fontId="8" fillId="0" borderId="50" xfId="1" applyNumberFormat="1" applyFont="1" applyFill="1" applyBorder="1" applyAlignment="1">
      <alignment horizontal="center" vertical="top" wrapText="1"/>
    </xf>
    <xf numFmtId="41" fontId="8" fillId="0" borderId="50" xfId="1" applyNumberFormat="1" applyFont="1" applyFill="1" applyBorder="1" applyAlignment="1">
      <alignment vertical="top" wrapText="1"/>
    </xf>
    <xf numFmtId="41" fontId="8" fillId="0" borderId="50" xfId="0" applyNumberFormat="1" applyFont="1" applyFill="1" applyBorder="1" applyAlignment="1">
      <alignment vertical="top" wrapText="1"/>
    </xf>
    <xf numFmtId="2" fontId="8" fillId="0" borderId="50" xfId="0" applyNumberFormat="1" applyFont="1" applyFill="1" applyBorder="1" applyAlignment="1">
      <alignment vertical="top" wrapText="1"/>
    </xf>
    <xf numFmtId="0" fontId="7" fillId="0" borderId="3" xfId="0" applyFont="1" applyFill="1" applyBorder="1"/>
    <xf numFmtId="0" fontId="8" fillId="0" borderId="46" xfId="0" applyFont="1" applyFill="1" applyBorder="1" applyAlignment="1">
      <alignment vertical="top" wrapText="1"/>
    </xf>
    <xf numFmtId="0" fontId="23" fillId="0" borderId="46" xfId="0" applyFont="1" applyFill="1" applyBorder="1" applyAlignment="1">
      <alignment horizontal="left" vertical="top" wrapText="1"/>
    </xf>
    <xf numFmtId="0" fontId="7" fillId="0" borderId="46" xfId="0" quotePrefix="1" applyFont="1" applyFill="1" applyBorder="1" applyAlignment="1">
      <alignment vertical="top" wrapText="1"/>
    </xf>
    <xf numFmtId="0" fontId="7" fillId="0" borderId="46" xfId="0" applyFont="1" applyFill="1" applyBorder="1" applyAlignment="1">
      <alignment vertical="top" wrapText="1"/>
    </xf>
    <xf numFmtId="0" fontId="23" fillId="0" borderId="46" xfId="0" applyFont="1" applyFill="1" applyBorder="1" applyAlignment="1">
      <alignment vertical="top" wrapText="1"/>
    </xf>
    <xf numFmtId="0" fontId="7" fillId="0" borderId="46" xfId="0" applyFont="1" applyFill="1" applyBorder="1" applyAlignment="1">
      <alignment horizontal="center" vertical="top" wrapText="1"/>
    </xf>
    <xf numFmtId="41" fontId="7" fillId="0" borderId="46" xfId="1" applyFont="1" applyFill="1" applyBorder="1" applyAlignment="1">
      <alignment vertical="top" wrapText="1"/>
    </xf>
    <xf numFmtId="0" fontId="7" fillId="0" borderId="46" xfId="1" applyNumberFormat="1" applyFont="1" applyFill="1" applyBorder="1" applyAlignment="1">
      <alignment horizontal="center" vertical="top" wrapText="1"/>
    </xf>
    <xf numFmtId="166" fontId="7" fillId="0" borderId="46" xfId="1" applyNumberFormat="1" applyFont="1" applyFill="1" applyBorder="1" applyAlignment="1">
      <alignment vertical="top" wrapText="1"/>
    </xf>
    <xf numFmtId="2" fontId="7" fillId="0" borderId="46" xfId="0" applyNumberFormat="1" applyFont="1" applyFill="1" applyBorder="1" applyAlignment="1">
      <alignment vertical="top" wrapText="1"/>
    </xf>
    <xf numFmtId="41" fontId="7" fillId="0" borderId="46" xfId="0" applyNumberFormat="1" applyFont="1" applyFill="1" applyBorder="1" applyAlignment="1">
      <alignment vertical="top" wrapText="1"/>
    </xf>
    <xf numFmtId="2" fontId="8" fillId="0" borderId="46" xfId="0" applyNumberFormat="1" applyFont="1" applyFill="1" applyBorder="1" applyAlignment="1">
      <alignment vertical="top" wrapText="1"/>
    </xf>
    <xf numFmtId="41" fontId="8" fillId="0" borderId="46" xfId="1" applyFont="1" applyFill="1" applyBorder="1" applyAlignment="1">
      <alignment vertical="top" wrapText="1"/>
    </xf>
    <xf numFmtId="0" fontId="8" fillId="0" borderId="3" xfId="0" applyFont="1" applyFill="1" applyBorder="1"/>
    <xf numFmtId="0" fontId="8" fillId="6" borderId="1" xfId="0" applyFont="1" applyFill="1" applyBorder="1" applyAlignment="1">
      <alignment horizontal="center" vertical="center"/>
    </xf>
    <xf numFmtId="0" fontId="8" fillId="7" borderId="1" xfId="0" applyFont="1" applyFill="1" applyBorder="1" applyAlignment="1">
      <alignment horizontal="center" vertical="center"/>
    </xf>
    <xf numFmtId="2" fontId="16" fillId="9" borderId="1" xfId="0" applyNumberFormat="1" applyFont="1" applyFill="1" applyBorder="1" applyAlignment="1">
      <alignment horizontal="center" vertical="top"/>
    </xf>
    <xf numFmtId="0" fontId="8" fillId="0" borderId="31" xfId="0" applyFont="1" applyFill="1" applyBorder="1" applyAlignment="1">
      <alignment horizontal="center" vertical="top" wrapText="1"/>
    </xf>
    <xf numFmtId="0" fontId="8" fillId="8" borderId="2" xfId="0" applyFont="1" applyFill="1" applyBorder="1" applyAlignment="1">
      <alignment horizontal="center" vertical="center"/>
    </xf>
    <xf numFmtId="0" fontId="8" fillId="0" borderId="49" xfId="0" applyFont="1" applyBorder="1" applyAlignment="1">
      <alignment horizontal="center" vertical="top" wrapText="1"/>
    </xf>
    <xf numFmtId="166" fontId="10" fillId="0" borderId="18" xfId="0" applyNumberFormat="1" applyFont="1" applyBorder="1" applyAlignment="1">
      <alignment horizontal="center" vertical="top" wrapText="1"/>
    </xf>
    <xf numFmtId="0" fontId="8" fillId="8" borderId="30" xfId="0" applyFont="1" applyFill="1" applyBorder="1" applyAlignment="1">
      <alignment horizontal="center" vertical="center"/>
    </xf>
    <xf numFmtId="166" fontId="10" fillId="0" borderId="16" xfId="0" applyNumberFormat="1" applyFont="1" applyBorder="1" applyAlignment="1">
      <alignment horizontal="center" vertical="top" wrapText="1"/>
    </xf>
    <xf numFmtId="0" fontId="8" fillId="8" borderId="32" xfId="0" applyFont="1" applyFill="1" applyBorder="1" applyAlignment="1">
      <alignment horizontal="center" vertical="center"/>
    </xf>
    <xf numFmtId="0" fontId="8" fillId="0" borderId="31" xfId="0" applyFont="1" applyBorder="1" applyAlignment="1">
      <alignment horizontal="center" vertical="top"/>
    </xf>
    <xf numFmtId="0" fontId="8" fillId="0" borderId="21" xfId="0" applyFont="1" applyBorder="1" applyAlignment="1">
      <alignment horizontal="center" vertical="top"/>
    </xf>
    <xf numFmtId="41" fontId="7" fillId="0" borderId="46" xfId="1" applyNumberFormat="1" applyFont="1" applyFill="1" applyBorder="1" applyAlignment="1">
      <alignment horizontal="center" vertical="top" wrapText="1"/>
    </xf>
    <xf numFmtId="1" fontId="7" fillId="0" borderId="46" xfId="0" applyNumberFormat="1" applyFont="1" applyFill="1" applyBorder="1" applyAlignment="1">
      <alignment vertical="top" wrapText="1"/>
    </xf>
    <xf numFmtId="166" fontId="8" fillId="0" borderId="46" xfId="1" applyNumberFormat="1" applyFont="1" applyFill="1" applyBorder="1" applyAlignment="1">
      <alignment vertical="top" wrapText="1"/>
    </xf>
    <xf numFmtId="0" fontId="7" fillId="0" borderId="46" xfId="0" applyFont="1" applyFill="1" applyBorder="1" applyAlignment="1">
      <alignment horizontal="left" vertical="top" wrapText="1"/>
    </xf>
    <xf numFmtId="0" fontId="8" fillId="0" borderId="46" xfId="0" applyFont="1" applyFill="1" applyBorder="1" applyAlignment="1">
      <alignment horizontal="center" vertical="top" wrapText="1"/>
    </xf>
    <xf numFmtId="164" fontId="8" fillId="0" borderId="46" xfId="2" applyNumberFormat="1" applyFont="1" applyFill="1" applyBorder="1" applyAlignment="1">
      <alignment horizontal="center" vertical="top" wrapText="1"/>
    </xf>
    <xf numFmtId="41" fontId="8" fillId="0" borderId="46" xfId="1" applyFont="1" applyFill="1" applyBorder="1" applyAlignment="1">
      <alignment horizontal="center" vertical="top" wrapText="1"/>
    </xf>
    <xf numFmtId="41" fontId="8" fillId="0" borderId="46" xfId="0" applyNumberFormat="1" applyFont="1" applyFill="1" applyBorder="1" applyAlignment="1">
      <alignment vertical="top" wrapText="1"/>
    </xf>
    <xf numFmtId="2" fontId="7" fillId="0" borderId="46" xfId="0" applyNumberFormat="1" applyFont="1" applyFill="1" applyBorder="1" applyAlignment="1">
      <alignment horizontal="center" vertical="top" wrapText="1"/>
    </xf>
    <xf numFmtId="2" fontId="8" fillId="0" borderId="46" xfId="0" applyNumberFormat="1" applyFont="1" applyFill="1" applyBorder="1" applyAlignment="1">
      <alignment horizontal="center" vertical="top" wrapText="1"/>
    </xf>
    <xf numFmtId="166" fontId="8" fillId="0" borderId="46" xfId="1" applyNumberFormat="1" applyFont="1" applyFill="1" applyBorder="1" applyAlignment="1">
      <alignment horizontal="center" vertical="top" wrapText="1"/>
    </xf>
    <xf numFmtId="0" fontId="8" fillId="0" borderId="46" xfId="0" quotePrefix="1" applyFont="1" applyFill="1" applyBorder="1" applyAlignment="1">
      <alignment vertical="top" wrapText="1"/>
    </xf>
    <xf numFmtId="0" fontId="8" fillId="0" borderId="46" xfId="0" quotePrefix="1" applyFont="1" applyFill="1" applyBorder="1" applyAlignment="1">
      <alignment horizontal="left" vertical="top" wrapText="1"/>
    </xf>
    <xf numFmtId="41" fontId="8" fillId="0" borderId="46" xfId="0" applyNumberFormat="1" applyFont="1" applyFill="1" applyBorder="1" applyAlignment="1">
      <alignment horizontal="center" vertical="top" wrapText="1"/>
    </xf>
    <xf numFmtId="0" fontId="8" fillId="0" borderId="46" xfId="0" applyFont="1" applyFill="1" applyBorder="1" applyAlignment="1">
      <alignment horizontal="center" vertical="center" wrapText="1"/>
    </xf>
    <xf numFmtId="0" fontId="8" fillId="0" borderId="46" xfId="1" applyNumberFormat="1" applyFont="1" applyFill="1" applyBorder="1" applyAlignment="1">
      <alignment horizontal="center" vertical="top" wrapText="1"/>
    </xf>
    <xf numFmtId="41" fontId="7" fillId="0" borderId="46" xfId="1" applyFont="1" applyFill="1" applyBorder="1" applyAlignment="1">
      <alignment horizontal="center" vertical="top" wrapText="1"/>
    </xf>
    <xf numFmtId="0" fontId="7" fillId="0" borderId="48" xfId="0" applyFont="1" applyFill="1" applyBorder="1" applyAlignment="1">
      <alignment vertical="top" wrapText="1"/>
    </xf>
    <xf numFmtId="41" fontId="8" fillId="0" borderId="1" xfId="1" applyFont="1" applyFill="1" applyBorder="1" applyAlignment="1">
      <alignment vertical="top" wrapText="1"/>
    </xf>
    <xf numFmtId="9" fontId="8" fillId="0" borderId="1" xfId="0" applyNumberFormat="1" applyFont="1" applyFill="1" applyBorder="1" applyAlignment="1">
      <alignment vertical="top" wrapText="1"/>
    </xf>
    <xf numFmtId="0" fontId="8" fillId="0" borderId="3" xfId="0" applyFont="1" applyFill="1" applyBorder="1" applyAlignment="1">
      <alignment vertical="top"/>
    </xf>
    <xf numFmtId="0" fontId="8" fillId="0" borderId="3" xfId="0" quotePrefix="1" applyFont="1" applyFill="1" applyBorder="1" applyAlignment="1">
      <alignment vertical="top"/>
    </xf>
    <xf numFmtId="0" fontId="7" fillId="0" borderId="2" xfId="0" applyFont="1" applyFill="1" applyBorder="1" applyAlignment="1">
      <alignment vertical="top" wrapText="1"/>
    </xf>
    <xf numFmtId="0" fontId="8" fillId="0" borderId="1" xfId="0" quotePrefix="1" applyFont="1" applyFill="1" applyBorder="1" applyAlignment="1">
      <alignment vertical="top"/>
    </xf>
    <xf numFmtId="164" fontId="8" fillId="0" borderId="1" xfId="2" applyNumberFormat="1" applyFont="1" applyFill="1" applyBorder="1" applyAlignment="1">
      <alignment horizontal="right" vertical="top"/>
    </xf>
    <xf numFmtId="164" fontId="8" fillId="0" borderId="1" xfId="2" applyNumberFormat="1" applyFont="1" applyFill="1" applyBorder="1" applyAlignment="1">
      <alignment vertical="top"/>
    </xf>
    <xf numFmtId="2" fontId="8" fillId="0" borderId="1" xfId="0" applyNumberFormat="1" applyFont="1" applyFill="1" applyBorder="1" applyAlignment="1">
      <alignment horizontal="right" vertical="top"/>
    </xf>
    <xf numFmtId="9" fontId="8" fillId="0" borderId="1" xfId="0" applyNumberFormat="1" applyFont="1" applyFill="1" applyBorder="1" applyAlignment="1">
      <alignment vertical="top"/>
    </xf>
    <xf numFmtId="9" fontId="8" fillId="0" borderId="1" xfId="3" applyFont="1" applyFill="1" applyBorder="1" applyAlignment="1">
      <alignment horizontal="right" vertical="top"/>
    </xf>
    <xf numFmtId="9" fontId="8" fillId="0" borderId="1" xfId="0" applyNumberFormat="1" applyFont="1" applyFill="1" applyBorder="1" applyAlignment="1">
      <alignment horizontal="right" vertical="top"/>
    </xf>
    <xf numFmtId="9" fontId="8" fillId="0" borderId="1" xfId="0" quotePrefix="1" applyNumberFormat="1" applyFont="1" applyFill="1" applyBorder="1" applyAlignment="1">
      <alignment vertical="top"/>
    </xf>
    <xf numFmtId="164" fontId="8" fillId="0" borderId="4" xfId="2" applyNumberFormat="1" applyFont="1" applyFill="1" applyBorder="1" applyAlignment="1">
      <alignment horizontal="right" vertical="top" wrapText="1"/>
    </xf>
    <xf numFmtId="164" fontId="8" fillId="0" borderId="4" xfId="2" quotePrefix="1" applyNumberFormat="1" applyFont="1" applyFill="1" applyBorder="1" applyAlignment="1">
      <alignment vertical="top"/>
    </xf>
    <xf numFmtId="164" fontId="8" fillId="0" borderId="4" xfId="2" applyNumberFormat="1" applyFont="1" applyFill="1" applyBorder="1" applyAlignment="1">
      <alignment horizontal="right" vertical="top"/>
    </xf>
    <xf numFmtId="0" fontId="8" fillId="0" borderId="4" xfId="0" applyFont="1" applyFill="1" applyBorder="1" applyAlignment="1">
      <alignment horizontal="right" vertical="top" wrapText="1"/>
    </xf>
    <xf numFmtId="9" fontId="8" fillId="0" borderId="4" xfId="0" applyNumberFormat="1" applyFont="1" applyFill="1" applyBorder="1" applyAlignment="1">
      <alignment horizontal="left" vertical="top" wrapText="1"/>
    </xf>
    <xf numFmtId="9" fontId="8" fillId="0" borderId="4" xfId="0" quotePrefix="1" applyNumberFormat="1" applyFont="1" applyFill="1" applyBorder="1" applyAlignment="1">
      <alignment vertical="top"/>
    </xf>
    <xf numFmtId="2" fontId="8" fillId="0" borderId="1" xfId="0" applyNumberFormat="1" applyFont="1" applyFill="1" applyBorder="1"/>
    <xf numFmtId="0" fontId="7" fillId="0" borderId="3" xfId="0" applyFont="1" applyFill="1" applyBorder="1" applyAlignment="1">
      <alignment vertical="top"/>
    </xf>
    <xf numFmtId="0" fontId="7" fillId="0" borderId="3" xfId="0" quotePrefix="1" applyFont="1" applyFill="1" applyBorder="1" applyAlignment="1">
      <alignment vertical="top"/>
    </xf>
    <xf numFmtId="9" fontId="7" fillId="0" borderId="3" xfId="0" applyNumberFormat="1" applyFont="1" applyFill="1" applyBorder="1" applyAlignment="1">
      <alignment vertical="top"/>
    </xf>
    <xf numFmtId="0" fontId="7" fillId="0" borderId="3" xfId="0" applyFont="1" applyFill="1" applyBorder="1" applyAlignment="1">
      <alignment horizontal="right" vertical="top"/>
    </xf>
    <xf numFmtId="164" fontId="7" fillId="0" borderId="3" xfId="2" applyNumberFormat="1" applyFont="1" applyFill="1" applyBorder="1" applyAlignment="1">
      <alignment vertical="top"/>
    </xf>
    <xf numFmtId="164" fontId="7" fillId="0" borderId="3" xfId="2" applyNumberFormat="1" applyFont="1" applyFill="1" applyBorder="1" applyAlignment="1">
      <alignment horizontal="right" vertical="top"/>
    </xf>
    <xf numFmtId="0" fontId="7" fillId="0" borderId="1" xfId="0" applyFont="1" applyFill="1" applyBorder="1" applyAlignment="1">
      <alignment vertical="top"/>
    </xf>
    <xf numFmtId="0" fontId="7" fillId="0" borderId="1" xfId="0" quotePrefix="1" applyFont="1" applyFill="1" applyBorder="1" applyAlignment="1">
      <alignment vertical="top"/>
    </xf>
    <xf numFmtId="0" fontId="7" fillId="0" borderId="1" xfId="0" applyFont="1" applyFill="1" applyBorder="1" applyAlignment="1">
      <alignment horizontal="left" vertical="top" wrapText="1"/>
    </xf>
    <xf numFmtId="164" fontId="7" fillId="0" borderId="1" xfId="2" applyNumberFormat="1" applyFont="1" applyFill="1" applyBorder="1" applyAlignment="1">
      <alignment horizontal="right" vertical="top"/>
    </xf>
    <xf numFmtId="164" fontId="7" fillId="0" borderId="1" xfId="2" applyNumberFormat="1" applyFont="1" applyFill="1" applyBorder="1" applyAlignment="1">
      <alignment vertical="top"/>
    </xf>
    <xf numFmtId="0" fontId="7" fillId="0" borderId="1" xfId="0" applyFont="1" applyFill="1" applyBorder="1"/>
    <xf numFmtId="2" fontId="7" fillId="0" borderId="1" xfId="0" applyNumberFormat="1" applyFont="1" applyFill="1" applyBorder="1" applyAlignment="1">
      <alignment horizontal="right" vertical="top"/>
    </xf>
    <xf numFmtId="0" fontId="7" fillId="0" borderId="1" xfId="0" quotePrefix="1" applyFont="1" applyFill="1" applyBorder="1" applyAlignment="1">
      <alignment horizontal="center" vertical="top"/>
    </xf>
    <xf numFmtId="41" fontId="7" fillId="0" borderId="1" xfId="1" applyFont="1" applyFill="1" applyBorder="1" applyAlignment="1">
      <alignment vertical="top"/>
    </xf>
    <xf numFmtId="41" fontId="7" fillId="0" borderId="1" xfId="0" applyNumberFormat="1" applyFont="1" applyFill="1" applyBorder="1" applyAlignment="1">
      <alignment vertical="top"/>
    </xf>
    <xf numFmtId="2" fontId="7" fillId="0" borderId="4" xfId="0" applyNumberFormat="1" applyFont="1" applyFill="1" applyBorder="1" applyAlignment="1">
      <alignment horizontal="right" vertical="top"/>
    </xf>
    <xf numFmtId="0" fontId="7" fillId="0" borderId="4" xfId="0" quotePrefix="1" applyFont="1" applyFill="1" applyBorder="1" applyAlignment="1">
      <alignment horizontal="center" vertical="top"/>
    </xf>
    <xf numFmtId="41" fontId="7" fillId="0" borderId="1" xfId="1" applyFont="1" applyFill="1" applyBorder="1" applyAlignment="1">
      <alignment vertical="top" wrapText="1"/>
    </xf>
    <xf numFmtId="164" fontId="7" fillId="0" borderId="1" xfId="2" applyNumberFormat="1" applyFont="1" applyFill="1" applyBorder="1" applyAlignment="1">
      <alignment vertical="top" wrapText="1"/>
    </xf>
    <xf numFmtId="0" fontId="7" fillId="0" borderId="4" xfId="0" applyFont="1" applyFill="1" applyBorder="1" applyAlignment="1">
      <alignment vertical="top"/>
    </xf>
    <xf numFmtId="164" fontId="7" fillId="0" borderId="4" xfId="2" applyNumberFormat="1" applyFont="1" applyFill="1" applyBorder="1" applyAlignment="1">
      <alignment horizontal="right" vertical="top"/>
    </xf>
    <xf numFmtId="41" fontId="7" fillId="0" borderId="4" xfId="1" applyFont="1" applyFill="1" applyBorder="1" applyAlignment="1">
      <alignment vertical="top"/>
    </xf>
    <xf numFmtId="0" fontId="7" fillId="0" borderId="1" xfId="0" applyNumberFormat="1" applyFont="1" applyFill="1" applyBorder="1" applyAlignment="1">
      <alignment vertical="top"/>
    </xf>
    <xf numFmtId="0" fontId="8" fillId="0" borderId="1" xfId="0" applyFont="1" applyFill="1" applyBorder="1" applyAlignment="1">
      <alignment vertical="center" wrapText="1"/>
    </xf>
    <xf numFmtId="41" fontId="8" fillId="0" borderId="4" xfId="1" quotePrefix="1" applyFont="1" applyFill="1" applyBorder="1" applyAlignment="1">
      <alignment vertical="top"/>
    </xf>
    <xf numFmtId="0" fontId="7" fillId="0" borderId="4" xfId="0" quotePrefix="1" applyFont="1" applyFill="1" applyBorder="1" applyAlignment="1">
      <alignment vertical="top"/>
    </xf>
    <xf numFmtId="41" fontId="7" fillId="0" borderId="4" xfId="1" quotePrefix="1" applyFont="1" applyFill="1" applyBorder="1" applyAlignment="1">
      <alignment vertical="top"/>
    </xf>
    <xf numFmtId="2" fontId="7" fillId="0" borderId="4" xfId="0" applyNumberFormat="1" applyFont="1" applyFill="1" applyBorder="1" applyAlignment="1">
      <alignment vertical="top"/>
    </xf>
    <xf numFmtId="0" fontId="8" fillId="0" borderId="0" xfId="0" applyFont="1" applyFill="1" applyBorder="1" applyAlignment="1">
      <alignment vertical="top"/>
    </xf>
    <xf numFmtId="41" fontId="7" fillId="0" borderId="1" xfId="0" applyNumberFormat="1" applyFont="1" applyFill="1" applyBorder="1" applyAlignment="1">
      <alignment horizontal="right" vertical="top"/>
    </xf>
    <xf numFmtId="41" fontId="7" fillId="0" borderId="1" xfId="1" applyFont="1" applyFill="1" applyBorder="1" applyAlignment="1">
      <alignment horizontal="right" vertical="top"/>
    </xf>
    <xf numFmtId="0" fontId="7" fillId="0" borderId="0" xfId="0" applyFont="1" applyFill="1" applyBorder="1" applyAlignment="1">
      <alignment vertical="top"/>
    </xf>
    <xf numFmtId="0" fontId="8" fillId="0" borderId="1" xfId="0" quotePrefix="1" applyFont="1" applyFill="1" applyBorder="1" applyAlignment="1">
      <alignment horizontal="right" vertical="top"/>
    </xf>
    <xf numFmtId="0" fontId="7" fillId="0" borderId="1" xfId="0" quotePrefix="1" applyFont="1" applyFill="1" applyBorder="1" applyAlignment="1">
      <alignment horizontal="right" vertical="top"/>
    </xf>
    <xf numFmtId="0" fontId="8" fillId="0" borderId="3" xfId="0" quotePrefix="1" applyFont="1" applyFill="1" applyBorder="1" applyAlignment="1">
      <alignment horizontal="right" vertical="top"/>
    </xf>
    <xf numFmtId="0" fontId="8" fillId="0" borderId="3" xfId="0" applyFont="1" applyFill="1" applyBorder="1" applyAlignment="1">
      <alignment vertical="top" wrapText="1"/>
    </xf>
    <xf numFmtId="41" fontId="8" fillId="0" borderId="3" xfId="1" applyFont="1" applyFill="1" applyBorder="1" applyAlignment="1">
      <alignment vertical="top"/>
    </xf>
    <xf numFmtId="41" fontId="8" fillId="0" borderId="3" xfId="1" quotePrefix="1" applyFont="1" applyFill="1" applyBorder="1" applyAlignment="1">
      <alignment vertical="top"/>
    </xf>
    <xf numFmtId="2" fontId="8" fillId="0" borderId="3" xfId="0" applyNumberFormat="1" applyFont="1" applyFill="1" applyBorder="1" applyAlignment="1">
      <alignment vertical="top"/>
    </xf>
    <xf numFmtId="0" fontId="8" fillId="0" borderId="4" xfId="0" quotePrefix="1" applyFont="1" applyFill="1" applyBorder="1" applyAlignment="1">
      <alignment horizontal="right" vertical="top"/>
    </xf>
    <xf numFmtId="0" fontId="7" fillId="0" borderId="4" xfId="0" quotePrefix="1" applyFont="1" applyFill="1" applyBorder="1" applyAlignment="1">
      <alignment horizontal="right" vertical="top"/>
    </xf>
    <xf numFmtId="0" fontId="7" fillId="0" borderId="1" xfId="0" applyFont="1" applyFill="1" applyBorder="1" applyAlignment="1">
      <alignment vertical="center" wrapText="1"/>
    </xf>
    <xf numFmtId="172" fontId="21" fillId="0" borderId="1" xfId="1" applyNumberFormat="1" applyFont="1" applyFill="1" applyBorder="1" applyAlignment="1">
      <alignment horizontal="right" vertical="center"/>
    </xf>
    <xf numFmtId="41" fontId="21" fillId="0" borderId="1" xfId="1" applyFont="1" applyFill="1" applyBorder="1" applyAlignment="1">
      <alignment horizontal="right" vertical="center"/>
    </xf>
    <xf numFmtId="0" fontId="8" fillId="0" borderId="1" xfId="0" applyFont="1" applyFill="1" applyBorder="1" applyAlignment="1">
      <alignment vertical="center"/>
    </xf>
    <xf numFmtId="0" fontId="8" fillId="0" borderId="0" xfId="0" applyFont="1" applyFill="1" applyAlignment="1">
      <alignment vertical="center"/>
    </xf>
    <xf numFmtId="0" fontId="7" fillId="0" borderId="1" xfId="0" applyFont="1" applyFill="1" applyBorder="1" applyAlignment="1">
      <alignment horizontal="left" vertical="center" wrapText="1"/>
    </xf>
    <xf numFmtId="41" fontId="8" fillId="0" borderId="1" xfId="0" applyNumberFormat="1" applyFont="1" applyFill="1" applyBorder="1" applyAlignment="1">
      <alignment vertical="center"/>
    </xf>
    <xf numFmtId="3" fontId="15" fillId="0" borderId="1" xfId="0" applyNumberFormat="1" applyFont="1" applyFill="1" applyBorder="1" applyAlignment="1">
      <alignment vertical="center"/>
    </xf>
    <xf numFmtId="166" fontId="8" fillId="0" borderId="1" xfId="0" applyNumberFormat="1" applyFont="1" applyFill="1" applyBorder="1" applyAlignment="1">
      <alignment vertical="center"/>
    </xf>
    <xf numFmtId="41" fontId="8" fillId="0" borderId="1" xfId="1" quotePrefix="1" applyFont="1" applyFill="1" applyBorder="1" applyAlignment="1">
      <alignment vertical="center"/>
    </xf>
    <xf numFmtId="166" fontId="8" fillId="0" borderId="1" xfId="1" applyNumberFormat="1" applyFont="1" applyFill="1" applyBorder="1" applyAlignment="1">
      <alignment vertical="center"/>
    </xf>
    <xf numFmtId="41" fontId="8" fillId="0" borderId="4" xfId="0" applyNumberFormat="1" applyFont="1" applyFill="1" applyBorder="1" applyAlignment="1">
      <alignment vertical="center"/>
    </xf>
    <xf numFmtId="166" fontId="8" fillId="0" borderId="4" xfId="1" applyNumberFormat="1" applyFont="1" applyFill="1" applyBorder="1" applyAlignment="1">
      <alignment vertical="center"/>
    </xf>
    <xf numFmtId="41" fontId="8" fillId="0" borderId="4" xfId="1" applyFont="1" applyFill="1" applyBorder="1" applyAlignment="1">
      <alignment vertical="center"/>
    </xf>
    <xf numFmtId="0" fontId="7" fillId="0" borderId="5" xfId="0" applyFont="1" applyFill="1" applyBorder="1" applyAlignment="1">
      <alignment vertical="top" wrapText="1"/>
    </xf>
    <xf numFmtId="0" fontId="8" fillId="0" borderId="1" xfId="0" quotePrefix="1" applyFont="1" applyFill="1" applyBorder="1" applyAlignment="1">
      <alignment horizontal="left" vertical="center" wrapText="1"/>
    </xf>
    <xf numFmtId="164" fontId="8" fillId="0" borderId="1" xfId="1" applyNumberFormat="1" applyFont="1" applyFill="1" applyBorder="1" applyAlignment="1">
      <alignment horizontal="right" vertical="center"/>
    </xf>
    <xf numFmtId="41" fontId="8" fillId="0" borderId="1" xfId="1" quotePrefix="1" applyFont="1" applyFill="1" applyBorder="1" applyAlignment="1">
      <alignment vertical="top"/>
    </xf>
    <xf numFmtId="164" fontId="8" fillId="0" borderId="1" xfId="2" quotePrefix="1" applyNumberFormat="1" applyFont="1" applyFill="1" applyBorder="1" applyAlignment="1">
      <alignment vertical="top"/>
    </xf>
    <xf numFmtId="0" fontId="8" fillId="0" borderId="3" xfId="0" applyFont="1" applyFill="1" applyBorder="1" applyAlignment="1">
      <alignment vertical="center" wrapText="1"/>
    </xf>
    <xf numFmtId="43" fontId="8" fillId="0" borderId="1" xfId="1" applyNumberFormat="1" applyFont="1" applyFill="1" applyBorder="1" applyAlignment="1">
      <alignment horizontal="right" vertical="center"/>
    </xf>
    <xf numFmtId="0" fontId="8" fillId="0" borderId="4" xfId="0" applyFont="1" applyFill="1" applyBorder="1" applyAlignment="1">
      <alignment vertical="center" wrapText="1"/>
    </xf>
    <xf numFmtId="0" fontId="7" fillId="0" borderId="7" xfId="0" applyFont="1" applyFill="1" applyBorder="1" applyAlignment="1">
      <alignment vertical="top" wrapText="1"/>
    </xf>
    <xf numFmtId="0" fontId="15" fillId="0" borderId="54" xfId="0" applyFont="1" applyFill="1" applyBorder="1" applyAlignment="1">
      <alignment vertical="center" wrapText="1"/>
    </xf>
    <xf numFmtId="0" fontId="8" fillId="0" borderId="1" xfId="0" applyFont="1" applyFill="1" applyBorder="1" applyAlignment="1">
      <alignment horizontal="left" vertical="center" wrapText="1"/>
    </xf>
    <xf numFmtId="166" fontId="8" fillId="0" borderId="1" xfId="1" applyNumberFormat="1" applyFont="1" applyFill="1" applyBorder="1" applyAlignment="1">
      <alignment vertical="center" wrapText="1"/>
    </xf>
    <xf numFmtId="172" fontId="8" fillId="0" borderId="4" xfId="0" applyNumberFormat="1" applyFont="1" applyFill="1" applyBorder="1" applyAlignment="1">
      <alignment vertical="center"/>
    </xf>
    <xf numFmtId="166" fontId="8" fillId="0" borderId="4" xfId="1" applyNumberFormat="1" applyFont="1" applyFill="1" applyBorder="1" applyAlignment="1">
      <alignment horizontal="right" vertical="center"/>
    </xf>
    <xf numFmtId="0" fontId="15" fillId="0" borderId="54" xfId="0" applyFont="1" applyFill="1" applyBorder="1" applyAlignment="1">
      <alignment vertical="top" wrapText="1"/>
    </xf>
    <xf numFmtId="41" fontId="8" fillId="0" borderId="1" xfId="1" applyFont="1" applyFill="1" applyBorder="1" applyAlignment="1">
      <alignment vertical="center" wrapText="1"/>
    </xf>
    <xf numFmtId="41" fontId="8" fillId="0" borderId="1" xfId="1" applyNumberFormat="1" applyFont="1" applyFill="1" applyBorder="1" applyAlignment="1">
      <alignment vertical="center" wrapText="1"/>
    </xf>
    <xf numFmtId="172" fontId="8" fillId="0" borderId="1" xfId="1" applyNumberFormat="1" applyFont="1" applyFill="1" applyBorder="1" applyAlignment="1">
      <alignment vertical="center" wrapText="1"/>
    </xf>
    <xf numFmtId="173" fontId="8" fillId="0" borderId="1" xfId="1" applyNumberFormat="1" applyFont="1" applyFill="1" applyBorder="1" applyAlignment="1">
      <alignment vertical="center" wrapText="1"/>
    </xf>
    <xf numFmtId="0" fontId="8" fillId="0" borderId="2" xfId="0" applyFont="1" applyFill="1" applyBorder="1" applyAlignment="1">
      <alignment vertical="center" wrapText="1"/>
    </xf>
    <xf numFmtId="0" fontId="8" fillId="0" borderId="7" xfId="0" applyFont="1" applyFill="1" applyBorder="1" applyAlignment="1">
      <alignment vertical="top" wrapText="1"/>
    </xf>
    <xf numFmtId="41" fontId="8" fillId="0" borderId="1" xfId="1" applyFont="1" applyFill="1" applyBorder="1" applyAlignment="1">
      <alignment vertical="center"/>
    </xf>
    <xf numFmtId="0" fontId="23" fillId="0" borderId="54" xfId="0" applyFont="1" applyFill="1" applyBorder="1" applyAlignment="1">
      <alignment vertical="top" wrapText="1"/>
    </xf>
    <xf numFmtId="41" fontId="7" fillId="0" borderId="1" xfId="0" applyNumberFormat="1" applyFont="1" applyFill="1" applyBorder="1" applyAlignment="1">
      <alignment vertical="center"/>
    </xf>
    <xf numFmtId="0" fontId="24" fillId="0" borderId="1" xfId="0" applyFont="1" applyFill="1" applyBorder="1" applyAlignment="1">
      <alignment horizontal="left" vertical="top" wrapText="1"/>
    </xf>
    <xf numFmtId="0" fontId="7" fillId="0" borderId="1" xfId="0" quotePrefix="1" applyFont="1" applyFill="1" applyBorder="1" applyAlignment="1">
      <alignment horizontal="left" vertical="center" wrapText="1"/>
    </xf>
    <xf numFmtId="164" fontId="7" fillId="0" borderId="1" xfId="1" applyNumberFormat="1" applyFont="1" applyFill="1" applyBorder="1" applyAlignment="1">
      <alignment horizontal="right" vertical="center"/>
    </xf>
    <xf numFmtId="43" fontId="7" fillId="0" borderId="1" xfId="1" applyNumberFormat="1" applyFont="1" applyFill="1" applyBorder="1" applyAlignment="1">
      <alignment horizontal="right" vertical="center"/>
    </xf>
    <xf numFmtId="172" fontId="7" fillId="0" borderId="1" xfId="0" applyNumberFormat="1" applyFont="1" applyFill="1" applyBorder="1" applyAlignment="1">
      <alignment horizontal="right" vertical="center"/>
    </xf>
    <xf numFmtId="172" fontId="8" fillId="0" borderId="1" xfId="0" applyNumberFormat="1" applyFont="1" applyFill="1" applyBorder="1" applyAlignment="1">
      <alignment horizontal="right" vertical="center"/>
    </xf>
    <xf numFmtId="172" fontId="8" fillId="0" borderId="1" xfId="1" applyNumberFormat="1" applyFont="1" applyFill="1" applyBorder="1" applyAlignment="1">
      <alignment horizontal="right" vertical="center"/>
    </xf>
    <xf numFmtId="2" fontId="7" fillId="0" borderId="1" xfId="0" applyNumberFormat="1" applyFont="1" applyFill="1" applyBorder="1" applyAlignment="1">
      <alignment horizontal="right" vertical="center"/>
    </xf>
    <xf numFmtId="166" fontId="7" fillId="0" borderId="1" xfId="1" applyNumberFormat="1" applyFont="1" applyFill="1" applyBorder="1" applyAlignment="1">
      <alignment vertical="center" wrapText="1"/>
    </xf>
    <xf numFmtId="166" fontId="8" fillId="0" borderId="1" xfId="1" applyNumberFormat="1" applyFont="1" applyFill="1" applyBorder="1" applyAlignment="1">
      <alignment vertical="top"/>
    </xf>
    <xf numFmtId="0" fontId="8" fillId="0" borderId="54" xfId="0" applyFont="1" applyFill="1" applyBorder="1" applyAlignment="1">
      <alignment vertical="top" wrapText="1"/>
    </xf>
    <xf numFmtId="0" fontId="7" fillId="0" borderId="11" xfId="0" applyFont="1" applyFill="1" applyBorder="1" applyAlignment="1">
      <alignment horizontal="left" vertical="top" wrapText="1"/>
    </xf>
    <xf numFmtId="0" fontId="7" fillId="0" borderId="1" xfId="0" applyFont="1" applyFill="1" applyBorder="1" applyAlignment="1">
      <alignment vertical="center"/>
    </xf>
    <xf numFmtId="41" fontId="7" fillId="0" borderId="1" xfId="1" applyFont="1" applyFill="1" applyBorder="1" applyAlignment="1">
      <alignment vertical="center"/>
    </xf>
    <xf numFmtId="166" fontId="7" fillId="0" borderId="1" xfId="1" applyNumberFormat="1" applyFont="1" applyFill="1" applyBorder="1" applyAlignment="1">
      <alignment vertical="center"/>
    </xf>
    <xf numFmtId="166" fontId="7" fillId="0" borderId="1" xfId="0" applyNumberFormat="1" applyFont="1" applyFill="1" applyBorder="1" applyAlignment="1">
      <alignment vertical="center"/>
    </xf>
    <xf numFmtId="41" fontId="7" fillId="0" borderId="1" xfId="1" quotePrefix="1" applyFont="1" applyFill="1" applyBorder="1" applyAlignment="1">
      <alignment vertical="top"/>
    </xf>
    <xf numFmtId="41" fontId="8" fillId="0" borderId="1" xfId="1" applyNumberFormat="1" applyFont="1" applyFill="1" applyBorder="1" applyAlignment="1">
      <alignment vertical="top" wrapText="1"/>
    </xf>
    <xf numFmtId="166" fontId="8" fillId="0" borderId="1" xfId="1" applyNumberFormat="1" applyFont="1" applyFill="1" applyBorder="1" applyAlignment="1">
      <alignment vertical="top" wrapText="1"/>
    </xf>
    <xf numFmtId="4" fontId="21" fillId="0" borderId="1" xfId="0" applyNumberFormat="1" applyFont="1" applyFill="1" applyBorder="1" applyAlignment="1">
      <alignment vertical="center"/>
    </xf>
    <xf numFmtId="2" fontId="8" fillId="0" borderId="1" xfId="0" applyNumberFormat="1" applyFont="1" applyFill="1" applyBorder="1" applyAlignment="1">
      <alignment vertical="center" wrapText="1"/>
    </xf>
    <xf numFmtId="166" fontId="8" fillId="0" borderId="1" xfId="0" applyNumberFormat="1" applyFont="1" applyFill="1" applyBorder="1" applyAlignment="1">
      <alignment vertical="top"/>
    </xf>
    <xf numFmtId="43" fontId="8" fillId="0" borderId="1" xfId="2" quotePrefix="1" applyNumberFormat="1" applyFont="1" applyFill="1" applyBorder="1" applyAlignment="1">
      <alignment vertical="top"/>
    </xf>
    <xf numFmtId="166" fontId="7" fillId="0" borderId="1" xfId="1" applyNumberFormat="1" applyFont="1" applyFill="1" applyBorder="1" applyAlignment="1">
      <alignment vertical="top"/>
    </xf>
    <xf numFmtId="164" fontId="7" fillId="0" borderId="1" xfId="2" quotePrefix="1" applyNumberFormat="1" applyFont="1" applyFill="1" applyBorder="1" applyAlignment="1">
      <alignment vertical="top"/>
    </xf>
    <xf numFmtId="166" fontId="7" fillId="0" borderId="1" xfId="0" applyNumberFormat="1" applyFont="1" applyFill="1" applyBorder="1" applyAlignment="1">
      <alignment vertical="top"/>
    </xf>
    <xf numFmtId="166" fontId="8" fillId="0" borderId="1" xfId="0" quotePrefix="1" applyNumberFormat="1" applyFont="1" applyFill="1" applyBorder="1" applyAlignment="1">
      <alignment vertical="top"/>
    </xf>
    <xf numFmtId="166" fontId="8" fillId="0" borderId="1" xfId="2" quotePrefix="1" applyNumberFormat="1" applyFont="1" applyFill="1" applyBorder="1" applyAlignment="1">
      <alignment vertical="top"/>
    </xf>
    <xf numFmtId="166" fontId="8" fillId="0" borderId="1" xfId="2" applyNumberFormat="1" applyFont="1" applyFill="1" applyBorder="1" applyAlignment="1">
      <alignment vertical="top"/>
    </xf>
    <xf numFmtId="166" fontId="8" fillId="0" borderId="1" xfId="1" quotePrefix="1" applyNumberFormat="1" applyFont="1" applyFill="1" applyBorder="1" applyAlignment="1">
      <alignment vertical="top"/>
    </xf>
    <xf numFmtId="166" fontId="8" fillId="0" borderId="4" xfId="0" applyNumberFormat="1" applyFont="1" applyFill="1" applyBorder="1" applyAlignment="1">
      <alignment vertical="top"/>
    </xf>
    <xf numFmtId="166" fontId="8" fillId="0" borderId="4" xfId="0" applyNumberFormat="1" applyFont="1" applyFill="1" applyBorder="1" applyAlignment="1">
      <alignment vertical="center"/>
    </xf>
    <xf numFmtId="166" fontId="8" fillId="0" borderId="4" xfId="1" applyNumberFormat="1" applyFont="1" applyFill="1" applyBorder="1" applyAlignment="1">
      <alignment vertical="top"/>
    </xf>
    <xf numFmtId="166" fontId="8" fillId="0" borderId="4" xfId="0" applyNumberFormat="1" applyFont="1" applyFill="1" applyBorder="1" applyAlignment="1">
      <alignment horizontal="right" vertical="top"/>
    </xf>
    <xf numFmtId="0" fontId="8" fillId="0" borderId="9" xfId="0" applyFont="1" applyFill="1" applyBorder="1" applyAlignment="1">
      <alignment horizontal="left" vertical="top" wrapText="1"/>
    </xf>
    <xf numFmtId="0" fontId="7" fillId="0" borderId="9" xfId="0" applyFont="1" applyFill="1" applyBorder="1" applyAlignment="1">
      <alignment horizontal="left" vertical="top" wrapText="1"/>
    </xf>
    <xf numFmtId="0" fontId="15" fillId="0" borderId="2" xfId="0" applyFont="1" applyFill="1" applyBorder="1" applyAlignment="1">
      <alignment vertical="top" wrapText="1"/>
    </xf>
    <xf numFmtId="0" fontId="15" fillId="0" borderId="9" xfId="0" applyFont="1" applyFill="1" applyBorder="1" applyAlignment="1">
      <alignment horizontal="left" vertical="top" wrapText="1"/>
    </xf>
    <xf numFmtId="0" fontId="15" fillId="0" borderId="1" xfId="0" applyFont="1" applyFill="1" applyBorder="1" applyAlignment="1">
      <alignment horizontal="left" vertical="top" wrapText="1"/>
    </xf>
    <xf numFmtId="0" fontId="8" fillId="0" borderId="1" xfId="0" applyFont="1" applyBorder="1" applyAlignment="1">
      <alignment horizontal="center" vertical="top"/>
    </xf>
    <xf numFmtId="0" fontId="8" fillId="0" borderId="1" xfId="0" applyFont="1" applyFill="1" applyBorder="1" applyAlignment="1">
      <alignment horizontal="center" vertical="center"/>
    </xf>
    <xf numFmtId="0" fontId="7" fillId="8" borderId="1" xfId="0" applyFont="1" applyFill="1" applyBorder="1" applyAlignment="1">
      <alignment vertical="center"/>
    </xf>
    <xf numFmtId="0" fontId="21" fillId="0" borderId="4" xfId="0" applyFont="1" applyFill="1" applyBorder="1" applyAlignment="1">
      <alignment vertical="top" wrapText="1"/>
    </xf>
    <xf numFmtId="166" fontId="21" fillId="0" borderId="4" xfId="1" applyNumberFormat="1" applyFont="1" applyFill="1" applyBorder="1" applyAlignment="1">
      <alignment horizontal="right" vertical="top"/>
    </xf>
    <xf numFmtId="174" fontId="8" fillId="0" borderId="4" xfId="0" applyNumberFormat="1" applyFont="1" applyFill="1" applyBorder="1" applyAlignment="1">
      <alignment horizontal="left" vertical="top"/>
    </xf>
    <xf numFmtId="41" fontId="17" fillId="0" borderId="1" xfId="1" applyNumberFormat="1" applyFont="1" applyFill="1" applyBorder="1" applyAlignment="1">
      <alignment horizontal="right" vertical="top"/>
    </xf>
    <xf numFmtId="166" fontId="8" fillId="0" borderId="4" xfId="1" applyNumberFormat="1" applyFont="1" applyFill="1" applyBorder="1" applyAlignment="1">
      <alignment horizontal="right" vertical="top"/>
    </xf>
    <xf numFmtId="2" fontId="8" fillId="0" borderId="1" xfId="0" applyNumberFormat="1" applyFont="1" applyFill="1" applyBorder="1" applyAlignment="1">
      <alignment vertical="top" wrapText="1"/>
    </xf>
    <xf numFmtId="166" fontId="21" fillId="0" borderId="1" xfId="1" applyNumberFormat="1" applyFont="1" applyFill="1" applyBorder="1" applyAlignment="1">
      <alignment horizontal="right" vertical="top" wrapText="1"/>
    </xf>
    <xf numFmtId="166" fontId="8" fillId="0" borderId="1" xfId="1" applyNumberFormat="1" applyFont="1" applyFill="1" applyBorder="1" applyAlignment="1">
      <alignment horizontal="right" vertical="top" wrapText="1"/>
    </xf>
    <xf numFmtId="2" fontId="8" fillId="0" borderId="1" xfId="1" applyNumberFormat="1" applyFont="1" applyFill="1" applyBorder="1" applyAlignment="1">
      <alignment vertical="top" wrapText="1"/>
    </xf>
    <xf numFmtId="0" fontId="21" fillId="0" borderId="1" xfId="0" applyFont="1" applyFill="1" applyBorder="1" applyAlignment="1">
      <alignment vertical="top" wrapText="1"/>
    </xf>
    <xf numFmtId="41" fontId="17" fillId="0" borderId="1" xfId="1" applyNumberFormat="1" applyFont="1" applyFill="1" applyBorder="1" applyAlignment="1">
      <alignment horizontal="right" vertical="top" wrapText="1"/>
    </xf>
    <xf numFmtId="0" fontId="21" fillId="0" borderId="1" xfId="0" applyNumberFormat="1" applyFont="1" applyFill="1" applyBorder="1" applyAlignment="1">
      <alignment horizontal="left" vertical="center" wrapText="1"/>
    </xf>
    <xf numFmtId="43" fontId="8" fillId="0" borderId="0" xfId="0" applyNumberFormat="1" applyFont="1" applyFill="1" applyAlignment="1">
      <alignment vertical="top"/>
    </xf>
    <xf numFmtId="41" fontId="21" fillId="0" borderId="1" xfId="1" applyNumberFormat="1" applyFont="1" applyFill="1" applyBorder="1" applyAlignment="1">
      <alignment horizontal="right" vertical="top" wrapText="1"/>
    </xf>
    <xf numFmtId="166" fontId="9" fillId="0" borderId="1" xfId="0" applyNumberFormat="1" applyFont="1" applyFill="1" applyBorder="1"/>
    <xf numFmtId="166" fontId="17" fillId="0" borderId="1" xfId="1" applyNumberFormat="1" applyFont="1" applyFill="1" applyBorder="1" applyAlignment="1">
      <alignment horizontal="right" vertical="top"/>
    </xf>
    <xf numFmtId="166" fontId="7" fillId="0" borderId="1" xfId="0" applyNumberFormat="1" applyFont="1" applyFill="1" applyBorder="1" applyAlignment="1">
      <alignment horizontal="right" vertical="top"/>
    </xf>
    <xf numFmtId="166" fontId="21" fillId="0" borderId="4" xfId="1" applyNumberFormat="1" applyFont="1" applyFill="1" applyBorder="1" applyAlignment="1">
      <alignment horizontal="right" vertical="top" wrapText="1"/>
    </xf>
    <xf numFmtId="166" fontId="17" fillId="0" borderId="1" xfId="1" applyNumberFormat="1" applyFont="1" applyFill="1" applyBorder="1" applyAlignment="1">
      <alignment horizontal="right" vertical="top" wrapText="1"/>
    </xf>
    <xf numFmtId="166" fontId="8" fillId="0" borderId="1" xfId="0" applyNumberFormat="1" applyFont="1" applyFill="1" applyBorder="1" applyAlignment="1">
      <alignment horizontal="right" vertical="top"/>
    </xf>
    <xf numFmtId="2" fontId="7" fillId="0" borderId="1" xfId="0" applyNumberFormat="1" applyFont="1" applyFill="1" applyBorder="1" applyAlignment="1">
      <alignment vertical="top" wrapText="1"/>
    </xf>
    <xf numFmtId="0" fontId="7" fillId="0" borderId="1" xfId="0" applyFont="1" applyFill="1" applyBorder="1" applyAlignment="1">
      <alignment horizontal="center" vertical="top" wrapText="1"/>
    </xf>
    <xf numFmtId="0" fontId="8" fillId="0" borderId="1" xfId="0" applyFont="1" applyBorder="1" applyAlignment="1">
      <alignment vertical="top" wrapText="1"/>
    </xf>
    <xf numFmtId="41" fontId="25" fillId="0" borderId="2" xfId="0" applyNumberFormat="1" applyFont="1" applyBorder="1" applyAlignment="1">
      <alignment vertical="top" wrapText="1"/>
    </xf>
    <xf numFmtId="41" fontId="25" fillId="0" borderId="1" xfId="0" applyNumberFormat="1" applyFont="1" applyFill="1" applyBorder="1" applyAlignment="1">
      <alignment horizontal="left" vertical="top" wrapText="1"/>
    </xf>
    <xf numFmtId="0" fontId="7" fillId="10" borderId="4" xfId="0" applyFont="1" applyFill="1" applyBorder="1" applyAlignment="1">
      <alignment horizontal="left" vertical="top" wrapText="1"/>
    </xf>
    <xf numFmtId="0" fontId="7" fillId="10" borderId="1" xfId="0" applyFont="1" applyFill="1" applyBorder="1" applyAlignment="1">
      <alignment horizontal="left" vertical="top" wrapText="1"/>
    </xf>
    <xf numFmtId="0" fontId="7" fillId="10" borderId="56" xfId="0" applyFont="1" applyFill="1" applyBorder="1" applyAlignment="1">
      <alignment vertical="top" wrapText="1"/>
    </xf>
    <xf numFmtId="0" fontId="8" fillId="10" borderId="0" xfId="0" applyFont="1" applyFill="1" applyBorder="1" applyAlignment="1">
      <alignment horizontal="left" vertical="top" wrapText="1"/>
    </xf>
    <xf numFmtId="0" fontId="7" fillId="10" borderId="56" xfId="0" quotePrefix="1" applyFont="1" applyFill="1" applyBorder="1" applyAlignment="1">
      <alignment horizontal="center" vertical="top" wrapText="1"/>
    </xf>
    <xf numFmtId="0" fontId="7" fillId="10" borderId="56" xfId="0" applyFont="1" applyFill="1" applyBorder="1" applyAlignment="1">
      <alignment horizontal="center" vertical="top" wrapText="1"/>
    </xf>
    <xf numFmtId="0" fontId="23" fillId="10" borderId="57" xfId="0" applyFont="1" applyFill="1" applyBorder="1" applyAlignment="1">
      <alignment vertical="top" wrapText="1"/>
    </xf>
    <xf numFmtId="0" fontId="23" fillId="10" borderId="58" xfId="0" applyFont="1" applyFill="1" applyBorder="1" applyAlignment="1">
      <alignment vertical="top" wrapText="1"/>
    </xf>
    <xf numFmtId="0" fontId="8" fillId="10" borderId="0" xfId="0" applyFont="1" applyFill="1" applyBorder="1" applyAlignment="1">
      <alignment horizontal="center" vertical="top" wrapText="1"/>
    </xf>
    <xf numFmtId="164" fontId="7" fillId="10" borderId="59" xfId="1" applyNumberFormat="1" applyFont="1" applyFill="1" applyBorder="1" applyAlignment="1">
      <alignment horizontal="right" vertical="top"/>
    </xf>
    <xf numFmtId="41" fontId="7" fillId="10" borderId="56" xfId="1" applyFont="1" applyFill="1" applyBorder="1" applyAlignment="1">
      <alignment vertical="top" wrapText="1"/>
    </xf>
    <xf numFmtId="41" fontId="17" fillId="10" borderId="60" xfId="6" applyNumberFormat="1" applyFont="1" applyFill="1" applyBorder="1" applyAlignment="1">
      <alignment horizontal="right" vertical="top"/>
    </xf>
    <xf numFmtId="41" fontId="17" fillId="10" borderId="47" xfId="6" applyNumberFormat="1" applyFont="1" applyFill="1" applyBorder="1" applyAlignment="1">
      <alignment horizontal="right" vertical="top"/>
    </xf>
    <xf numFmtId="10" fontId="8" fillId="10" borderId="56" xfId="3" applyNumberFormat="1" applyFont="1" applyFill="1" applyBorder="1" applyAlignment="1">
      <alignment vertical="top" wrapText="1"/>
    </xf>
    <xf numFmtId="41" fontId="7" fillId="10" borderId="56" xfId="1" applyNumberFormat="1" applyFont="1" applyFill="1" applyBorder="1" applyAlignment="1">
      <alignment vertical="top" wrapText="1"/>
    </xf>
    <xf numFmtId="41" fontId="7" fillId="10" borderId="56" xfId="0" applyNumberFormat="1" applyFont="1" applyFill="1" applyBorder="1" applyAlignment="1">
      <alignment vertical="top" wrapText="1"/>
    </xf>
    <xf numFmtId="166" fontId="7" fillId="10" borderId="56" xfId="1" applyNumberFormat="1" applyFont="1" applyFill="1" applyBorder="1" applyAlignment="1">
      <alignment vertical="top" wrapText="1"/>
    </xf>
    <xf numFmtId="0" fontId="7" fillId="11" borderId="61" xfId="0" applyFont="1" applyFill="1" applyBorder="1" applyAlignment="1">
      <alignment horizontal="left" vertical="top" wrapText="1"/>
    </xf>
    <xf numFmtId="0" fontId="7" fillId="9" borderId="0" xfId="0" applyFont="1" applyFill="1"/>
    <xf numFmtId="0" fontId="7" fillId="11" borderId="0" xfId="0" applyFont="1" applyFill="1"/>
    <xf numFmtId="0" fontId="8" fillId="9" borderId="62" xfId="0" applyFont="1" applyFill="1" applyBorder="1" applyAlignment="1">
      <alignment vertical="top" wrapText="1"/>
    </xf>
    <xf numFmtId="0" fontId="8" fillId="9" borderId="62" xfId="0" quotePrefix="1" applyFont="1" applyFill="1" applyBorder="1" applyAlignment="1">
      <alignment horizontal="center" vertical="top" wrapText="1"/>
    </xf>
    <xf numFmtId="0" fontId="8" fillId="9" borderId="62" xfId="0" applyFont="1" applyFill="1" applyBorder="1" applyAlignment="1">
      <alignment horizontal="center" vertical="top" wrapText="1"/>
    </xf>
    <xf numFmtId="0" fontId="15" fillId="9" borderId="64" xfId="0" applyFont="1" applyFill="1" applyBorder="1" applyAlignment="1">
      <alignment vertical="top" wrapText="1"/>
    </xf>
    <xf numFmtId="0" fontId="8" fillId="9" borderId="62" xfId="0" applyFont="1" applyFill="1" applyBorder="1" applyAlignment="1">
      <alignment horizontal="left" vertical="top" wrapText="1"/>
    </xf>
    <xf numFmtId="41" fontId="8" fillId="9" borderId="62" xfId="1" applyFont="1" applyFill="1" applyBorder="1" applyAlignment="1">
      <alignment vertical="top" wrapText="1"/>
    </xf>
    <xf numFmtId="41" fontId="8" fillId="9" borderId="62" xfId="1" applyNumberFormat="1" applyFont="1" applyFill="1" applyBorder="1" applyAlignment="1">
      <alignment vertical="top" wrapText="1"/>
    </xf>
    <xf numFmtId="41" fontId="7" fillId="9" borderId="62" xfId="0" applyNumberFormat="1" applyFont="1" applyFill="1" applyBorder="1" applyAlignment="1">
      <alignment vertical="top" wrapText="1"/>
    </xf>
    <xf numFmtId="166" fontId="7" fillId="9" borderId="62" xfId="1" applyNumberFormat="1" applyFont="1" applyFill="1" applyBorder="1" applyAlignment="1">
      <alignment vertical="top" wrapText="1"/>
    </xf>
    <xf numFmtId="0" fontId="8" fillId="9" borderId="65" xfId="0" applyFont="1" applyFill="1" applyBorder="1" applyAlignment="1">
      <alignment vertical="top" wrapText="1"/>
    </xf>
    <xf numFmtId="0" fontId="8" fillId="9" borderId="0" xfId="0" applyFont="1" applyFill="1"/>
    <xf numFmtId="41" fontId="8" fillId="9" borderId="62" xfId="1" quotePrefix="1" applyFont="1" applyFill="1" applyBorder="1" applyAlignment="1">
      <alignment horizontal="center" vertical="top" wrapText="1"/>
    </xf>
    <xf numFmtId="9" fontId="8" fillId="9" borderId="62" xfId="0" applyNumberFormat="1" applyFont="1" applyFill="1" applyBorder="1" applyAlignment="1">
      <alignment vertical="top" wrapText="1"/>
    </xf>
    <xf numFmtId="9" fontId="8" fillId="9" borderId="62" xfId="0" applyNumberFormat="1" applyFont="1" applyFill="1" applyBorder="1" applyAlignment="1">
      <alignment horizontal="center" vertical="top" wrapText="1"/>
    </xf>
    <xf numFmtId="41" fontId="8" fillId="9" borderId="62" xfId="0" applyNumberFormat="1" applyFont="1" applyFill="1" applyBorder="1" applyAlignment="1">
      <alignment vertical="top" wrapText="1"/>
    </xf>
    <xf numFmtId="166" fontId="8" fillId="9" borderId="62" xfId="1" applyNumberFormat="1" applyFont="1" applyFill="1" applyBorder="1" applyAlignment="1">
      <alignment vertical="top" wrapText="1"/>
    </xf>
    <xf numFmtId="41" fontId="8" fillId="9" borderId="62" xfId="0" applyNumberFormat="1" applyFont="1" applyFill="1" applyBorder="1" applyAlignment="1">
      <alignment horizontal="center" vertical="top" wrapText="1"/>
    </xf>
    <xf numFmtId="1" fontId="8" fillId="9" borderId="62" xfId="0" applyNumberFormat="1" applyFont="1" applyFill="1" applyBorder="1" applyAlignment="1">
      <alignment vertical="top" wrapText="1"/>
    </xf>
    <xf numFmtId="41" fontId="8" fillId="9" borderId="62" xfId="1" quotePrefix="1" applyNumberFormat="1" applyFont="1" applyFill="1" applyBorder="1" applyAlignment="1">
      <alignment horizontal="center" vertical="top" wrapText="1"/>
    </xf>
    <xf numFmtId="0" fontId="8" fillId="9" borderId="66" xfId="0" applyFont="1" applyFill="1" applyBorder="1" applyAlignment="1">
      <alignment vertical="top"/>
    </xf>
    <xf numFmtId="41" fontId="8" fillId="9" borderId="67" xfId="1" applyFont="1" applyFill="1" applyBorder="1" applyAlignment="1">
      <alignment vertical="top"/>
    </xf>
    <xf numFmtId="9" fontId="8" fillId="9" borderId="62" xfId="1" applyNumberFormat="1" applyFont="1" applyFill="1" applyBorder="1" applyAlignment="1">
      <alignment vertical="top" wrapText="1"/>
    </xf>
    <xf numFmtId="0" fontId="7" fillId="10" borderId="68" xfId="0" applyFont="1" applyFill="1" applyBorder="1" applyAlignment="1">
      <alignment vertical="top" wrapText="1"/>
    </xf>
    <xf numFmtId="0" fontId="7" fillId="10" borderId="0" xfId="0" applyFont="1" applyFill="1" applyBorder="1" applyAlignment="1">
      <alignment horizontal="left" vertical="top" wrapText="1"/>
    </xf>
    <xf numFmtId="0" fontId="7" fillId="10" borderId="68" xfId="0" quotePrefix="1" applyFont="1" applyFill="1" applyBorder="1" applyAlignment="1">
      <alignment horizontal="center" vertical="top" wrapText="1"/>
    </xf>
    <xf numFmtId="0" fontId="7" fillId="10" borderId="68" xfId="0" applyFont="1" applyFill="1" applyBorder="1" applyAlignment="1">
      <alignment horizontal="center" vertical="top" wrapText="1"/>
    </xf>
    <xf numFmtId="0" fontId="23" fillId="10" borderId="69" xfId="0" applyFont="1" applyFill="1" applyBorder="1" applyAlignment="1">
      <alignment vertical="top" wrapText="1"/>
    </xf>
    <xf numFmtId="0" fontId="23" fillId="10" borderId="70" xfId="0" applyFont="1" applyFill="1" applyBorder="1" applyAlignment="1">
      <alignment vertical="top" wrapText="1"/>
    </xf>
    <xf numFmtId="9" fontId="7" fillId="10" borderId="68" xfId="3" applyFont="1" applyFill="1" applyBorder="1" applyAlignment="1">
      <alignment horizontal="right" vertical="top"/>
    </xf>
    <xf numFmtId="41" fontId="7" fillId="10" borderId="68" xfId="1" applyFont="1" applyFill="1" applyBorder="1" applyAlignment="1">
      <alignment vertical="top" wrapText="1"/>
    </xf>
    <xf numFmtId="9" fontId="7" fillId="10" borderId="68" xfId="0" applyNumberFormat="1" applyFont="1" applyFill="1" applyBorder="1" applyAlignment="1">
      <alignment horizontal="right" vertical="top"/>
    </xf>
    <xf numFmtId="10" fontId="8" fillId="10" borderId="68" xfId="3" applyNumberFormat="1" applyFont="1" applyFill="1" applyBorder="1" applyAlignment="1">
      <alignment vertical="top" wrapText="1"/>
    </xf>
    <xf numFmtId="41" fontId="7" fillId="10" borderId="68" xfId="0" applyNumberFormat="1" applyFont="1" applyFill="1" applyBorder="1" applyAlignment="1">
      <alignment vertical="top" wrapText="1"/>
    </xf>
    <xf numFmtId="166" fontId="8" fillId="10" borderId="68" xfId="1" applyNumberFormat="1" applyFont="1" applyFill="1" applyBorder="1" applyAlignment="1">
      <alignment vertical="top" wrapText="1"/>
    </xf>
    <xf numFmtId="9" fontId="8" fillId="9" borderId="62" xfId="0" applyNumberFormat="1" applyFont="1" applyFill="1" applyBorder="1" applyAlignment="1">
      <alignment horizontal="right" vertical="top" wrapText="1"/>
    </xf>
    <xf numFmtId="41" fontId="8" fillId="9" borderId="62" xfId="0" applyNumberFormat="1" applyFont="1" applyFill="1" applyBorder="1" applyAlignment="1">
      <alignment vertical="top"/>
    </xf>
    <xf numFmtId="0" fontId="8" fillId="9" borderId="62" xfId="0" applyFont="1" applyFill="1" applyBorder="1" applyAlignment="1">
      <alignment vertical="top"/>
    </xf>
    <xf numFmtId="9" fontId="8" fillId="9" borderId="62" xfId="0" applyNumberFormat="1" applyFont="1" applyFill="1" applyBorder="1" applyAlignment="1">
      <alignment vertical="top"/>
    </xf>
    <xf numFmtId="0" fontId="8" fillId="9" borderId="67" xfId="0" applyFont="1" applyFill="1" applyBorder="1" applyAlignment="1">
      <alignment vertical="top"/>
    </xf>
    <xf numFmtId="41" fontId="8" fillId="9" borderId="62" xfId="1" applyFont="1" applyFill="1" applyBorder="1" applyAlignment="1">
      <alignment vertical="top"/>
    </xf>
    <xf numFmtId="0" fontId="8" fillId="9" borderId="54" xfId="0" applyFont="1" applyFill="1" applyBorder="1" applyAlignment="1">
      <alignment vertical="top" wrapText="1"/>
    </xf>
    <xf numFmtId="0" fontId="15" fillId="9" borderId="67" xfId="0" applyFont="1" applyFill="1" applyBorder="1" applyAlignment="1">
      <alignment vertical="top" wrapText="1"/>
    </xf>
    <xf numFmtId="0" fontId="7" fillId="10" borderId="62" xfId="0" applyFont="1" applyFill="1" applyBorder="1" applyAlignment="1">
      <alignment vertical="top" wrapText="1"/>
    </xf>
    <xf numFmtId="0" fontId="7" fillId="10" borderId="62" xfId="0" quotePrefix="1" applyFont="1" applyFill="1" applyBorder="1" applyAlignment="1">
      <alignment horizontal="center" vertical="top" wrapText="1"/>
    </xf>
    <xf numFmtId="0" fontId="7" fillId="10" borderId="62" xfId="0" applyFont="1" applyFill="1" applyBorder="1" applyAlignment="1">
      <alignment horizontal="center" vertical="top" wrapText="1"/>
    </xf>
    <xf numFmtId="0" fontId="23" fillId="10" borderId="63" xfId="0" applyFont="1" applyFill="1" applyBorder="1" applyAlignment="1">
      <alignment vertical="top" wrapText="1"/>
    </xf>
    <xf numFmtId="0" fontId="7" fillId="10" borderId="67" xfId="0" applyFont="1" applyFill="1" applyBorder="1" applyAlignment="1">
      <alignment horizontal="left" vertical="top" wrapText="1"/>
    </xf>
    <xf numFmtId="0" fontId="7" fillId="10" borderId="71" xfId="0" applyFont="1" applyFill="1" applyBorder="1" applyAlignment="1">
      <alignment horizontal="left" vertical="top" wrapText="1"/>
    </xf>
    <xf numFmtId="9" fontId="7" fillId="10" borderId="62" xfId="3" applyFont="1" applyFill="1" applyBorder="1" applyAlignment="1">
      <alignment horizontal="right" vertical="top"/>
    </xf>
    <xf numFmtId="41" fontId="17" fillId="10" borderId="62" xfId="1" applyFont="1" applyFill="1" applyBorder="1" applyAlignment="1">
      <alignment vertical="top" wrapText="1"/>
    </xf>
    <xf numFmtId="9" fontId="17" fillId="10" borderId="62" xfId="0" applyNumberFormat="1" applyFont="1" applyFill="1" applyBorder="1" applyAlignment="1">
      <alignment horizontal="right" vertical="top"/>
    </xf>
    <xf numFmtId="10" fontId="8" fillId="10" borderId="62" xfId="3" applyNumberFormat="1" applyFont="1" applyFill="1" applyBorder="1" applyAlignment="1">
      <alignment vertical="top" wrapText="1"/>
    </xf>
    <xf numFmtId="41" fontId="7" fillId="10" borderId="62" xfId="0" applyNumberFormat="1" applyFont="1" applyFill="1" applyBorder="1" applyAlignment="1">
      <alignment vertical="top" wrapText="1"/>
    </xf>
    <xf numFmtId="166" fontId="8" fillId="10" borderId="62" xfId="1" applyNumberFormat="1" applyFont="1" applyFill="1" applyBorder="1" applyAlignment="1">
      <alignment vertical="top" wrapText="1"/>
    </xf>
    <xf numFmtId="41" fontId="8" fillId="9" borderId="62" xfId="1" applyFont="1" applyFill="1" applyBorder="1" applyAlignment="1">
      <alignment horizontal="right" vertical="top" wrapText="1"/>
    </xf>
    <xf numFmtId="0" fontId="23" fillId="9" borderId="64" xfId="0" applyFont="1" applyFill="1" applyBorder="1" applyAlignment="1">
      <alignment vertical="top" wrapText="1"/>
    </xf>
    <xf numFmtId="41" fontId="8" fillId="9" borderId="62" xfId="1" quotePrefix="1" applyFont="1" applyFill="1" applyBorder="1" applyAlignment="1">
      <alignment vertical="top" wrapText="1"/>
    </xf>
    <xf numFmtId="0" fontId="23" fillId="10" borderId="64" xfId="0" applyFont="1" applyFill="1" applyBorder="1" applyAlignment="1">
      <alignment vertical="top" wrapText="1"/>
    </xf>
    <xf numFmtId="41" fontId="7" fillId="10" borderId="62" xfId="1" applyFont="1" applyFill="1" applyBorder="1" applyAlignment="1">
      <alignment vertical="top" wrapText="1"/>
    </xf>
    <xf numFmtId="10" fontId="7" fillId="10" borderId="62" xfId="3" applyNumberFormat="1" applyFont="1" applyFill="1" applyBorder="1" applyAlignment="1">
      <alignment vertical="top" wrapText="1"/>
    </xf>
    <xf numFmtId="41" fontId="7" fillId="10" borderId="62" xfId="1" applyNumberFormat="1" applyFont="1" applyFill="1" applyBorder="1" applyAlignment="1">
      <alignment vertical="top" wrapText="1"/>
    </xf>
    <xf numFmtId="41" fontId="7" fillId="10" borderId="62" xfId="1" applyFont="1" applyFill="1" applyBorder="1" applyAlignment="1">
      <alignment horizontal="center" vertical="top" wrapText="1"/>
    </xf>
    <xf numFmtId="0" fontId="7" fillId="11" borderId="65" xfId="0" applyFont="1" applyFill="1" applyBorder="1" applyAlignment="1">
      <alignment vertical="top" wrapText="1"/>
    </xf>
    <xf numFmtId="0" fontId="8" fillId="9" borderId="72" xfId="0" applyFont="1" applyFill="1" applyBorder="1" applyAlignment="1">
      <alignment vertical="top"/>
    </xf>
    <xf numFmtId="41" fontId="7" fillId="10" borderId="62" xfId="1" applyFont="1" applyFill="1" applyBorder="1" applyAlignment="1">
      <alignment horizontal="right" vertical="top"/>
    </xf>
    <xf numFmtId="41" fontId="8" fillId="10" borderId="62" xfId="0" applyNumberFormat="1" applyFont="1" applyFill="1" applyBorder="1" applyAlignment="1">
      <alignment vertical="top" wrapText="1"/>
    </xf>
    <xf numFmtId="41" fontId="8" fillId="9" borderId="62" xfId="1" applyNumberFormat="1" applyFont="1" applyFill="1" applyBorder="1" applyAlignment="1">
      <alignment vertical="top"/>
    </xf>
    <xf numFmtId="0" fontId="7" fillId="10" borderId="63" xfId="0" applyFont="1" applyFill="1" applyBorder="1" applyAlignment="1">
      <alignment vertical="top" wrapText="1"/>
    </xf>
    <xf numFmtId="0" fontId="7" fillId="10" borderId="62" xfId="0" applyFont="1" applyFill="1" applyBorder="1" applyAlignment="1">
      <alignment horizontal="left" vertical="top" wrapText="1"/>
    </xf>
    <xf numFmtId="0" fontId="7" fillId="9" borderId="65" xfId="0" applyFont="1" applyFill="1" applyBorder="1" applyAlignment="1">
      <alignment vertical="top" wrapText="1"/>
    </xf>
    <xf numFmtId="0" fontId="7" fillId="9" borderId="62" xfId="0" applyFont="1" applyFill="1" applyBorder="1" applyAlignment="1">
      <alignment vertical="top" wrapText="1"/>
    </xf>
    <xf numFmtId="0" fontId="7" fillId="9" borderId="62" xfId="0" quotePrefix="1" applyFont="1" applyFill="1" applyBorder="1" applyAlignment="1">
      <alignment horizontal="center" vertical="top" wrapText="1"/>
    </xf>
    <xf numFmtId="0" fontId="7" fillId="9" borderId="63" xfId="0" applyFont="1" applyFill="1" applyBorder="1" applyAlignment="1">
      <alignment vertical="top" wrapText="1"/>
    </xf>
    <xf numFmtId="0" fontId="7" fillId="9" borderId="62" xfId="0" applyFont="1" applyFill="1" applyBorder="1" applyAlignment="1">
      <alignment horizontal="left" vertical="top" wrapText="1"/>
    </xf>
    <xf numFmtId="41" fontId="7" fillId="9" borderId="62" xfId="1" applyFont="1" applyFill="1" applyBorder="1" applyAlignment="1">
      <alignment vertical="top" wrapText="1"/>
    </xf>
    <xf numFmtId="41" fontId="7" fillId="9" borderId="62" xfId="1" applyNumberFormat="1" applyFont="1" applyFill="1" applyBorder="1" applyAlignment="1">
      <alignment vertical="top" wrapText="1"/>
    </xf>
    <xf numFmtId="0" fontId="7" fillId="9" borderId="62" xfId="0" applyFont="1" applyFill="1" applyBorder="1" applyAlignment="1">
      <alignment horizontal="center" vertical="top" wrapText="1"/>
    </xf>
    <xf numFmtId="0" fontId="15" fillId="9" borderId="64" xfId="0" applyFont="1" applyFill="1" applyBorder="1" applyAlignment="1">
      <alignment horizontal="left" vertical="top" wrapText="1"/>
    </xf>
    <xf numFmtId="0" fontId="8" fillId="0" borderId="67" xfId="0" applyFont="1" applyBorder="1" applyAlignment="1">
      <alignment horizontal="right" vertical="top"/>
    </xf>
    <xf numFmtId="9" fontId="8" fillId="9" borderId="62" xfId="1" applyNumberFormat="1" applyFont="1" applyFill="1" applyBorder="1" applyAlignment="1">
      <alignment horizontal="center" vertical="top" wrapText="1"/>
    </xf>
    <xf numFmtId="41" fontId="8" fillId="9" borderId="62" xfId="1" applyFont="1" applyFill="1" applyBorder="1" applyAlignment="1">
      <alignment horizontal="left" vertical="top" wrapText="1"/>
    </xf>
    <xf numFmtId="41" fontId="8" fillId="0" borderId="67" xfId="1" applyFont="1" applyBorder="1" applyAlignment="1">
      <alignment horizontal="right" vertical="top"/>
    </xf>
    <xf numFmtId="0" fontId="8" fillId="9" borderId="62" xfId="0" applyFont="1" applyFill="1" applyBorder="1" applyAlignment="1">
      <alignment horizontal="right" vertical="top" wrapText="1"/>
    </xf>
    <xf numFmtId="41" fontId="8" fillId="9" borderId="62" xfId="1" applyFont="1" applyFill="1" applyBorder="1" applyAlignment="1">
      <alignment horizontal="center" vertical="top" wrapText="1"/>
    </xf>
    <xf numFmtId="0" fontId="7" fillId="10" borderId="62" xfId="0" applyFont="1" applyFill="1" applyBorder="1" applyAlignment="1">
      <alignment horizontal="right" vertical="top" wrapText="1"/>
    </xf>
    <xf numFmtId="10" fontId="7" fillId="10" borderId="62" xfId="3" applyNumberFormat="1" applyFont="1" applyFill="1" applyBorder="1" applyAlignment="1">
      <alignment horizontal="right" vertical="top" wrapText="1"/>
    </xf>
    <xf numFmtId="0" fontId="8" fillId="10" borderId="62" xfId="0" applyFont="1" applyFill="1" applyBorder="1" applyAlignment="1">
      <alignment vertical="top" wrapText="1"/>
    </xf>
    <xf numFmtId="41" fontId="8" fillId="10" borderId="62" xfId="1" applyFont="1" applyFill="1" applyBorder="1" applyAlignment="1">
      <alignment vertical="top" wrapText="1"/>
    </xf>
    <xf numFmtId="41" fontId="8" fillId="10" borderId="62" xfId="1" applyFont="1" applyFill="1" applyBorder="1" applyAlignment="1">
      <alignment horizontal="center" vertical="top" wrapText="1"/>
    </xf>
    <xf numFmtId="41" fontId="8" fillId="9" borderId="63" xfId="1" applyFont="1" applyFill="1" applyBorder="1" applyAlignment="1">
      <alignment vertical="top" wrapText="1"/>
    </xf>
    <xf numFmtId="41" fontId="8" fillId="9" borderId="67" xfId="1" applyFont="1" applyFill="1" applyBorder="1" applyAlignment="1">
      <alignment vertical="top" wrapText="1"/>
    </xf>
    <xf numFmtId="0" fontId="8" fillId="0" borderId="62" xfId="0" applyFont="1" applyBorder="1" applyAlignment="1">
      <alignment horizontal="left" vertical="top" wrapText="1"/>
    </xf>
    <xf numFmtId="41" fontId="8" fillId="9" borderId="62" xfId="0" quotePrefix="1" applyNumberFormat="1" applyFont="1" applyFill="1" applyBorder="1" applyAlignment="1">
      <alignment horizontal="center" vertical="top" wrapText="1"/>
    </xf>
    <xf numFmtId="41" fontId="8" fillId="9" borderId="62" xfId="0" quotePrefix="1" applyNumberFormat="1" applyFont="1" applyFill="1" applyBorder="1" applyAlignment="1">
      <alignment vertical="top" wrapText="1"/>
    </xf>
    <xf numFmtId="0" fontId="8" fillId="0" borderId="62" xfId="0" applyFont="1" applyBorder="1" applyAlignment="1">
      <alignment horizontal="right" vertical="top" wrapText="1"/>
    </xf>
    <xf numFmtId="41" fontId="8" fillId="9" borderId="62" xfId="0" applyNumberFormat="1" applyFont="1" applyFill="1" applyBorder="1" applyAlignment="1">
      <alignment horizontal="left" vertical="top" wrapText="1"/>
    </xf>
    <xf numFmtId="0" fontId="8" fillId="9" borderId="62" xfId="0" applyFont="1" applyFill="1" applyBorder="1" applyAlignment="1">
      <alignment horizontal="right" vertical="top"/>
    </xf>
    <xf numFmtId="41" fontId="7" fillId="10" borderId="62" xfId="1" applyFont="1" applyFill="1" applyBorder="1" applyAlignment="1">
      <alignment horizontal="right" vertical="top" wrapText="1"/>
    </xf>
    <xf numFmtId="0" fontId="7" fillId="10" borderId="65" xfId="0" applyFont="1" applyFill="1" applyBorder="1" applyAlignment="1">
      <alignment vertical="top" wrapText="1"/>
    </xf>
    <xf numFmtId="0" fontId="7" fillId="10" borderId="0" xfId="0" applyFont="1" applyFill="1"/>
    <xf numFmtId="0" fontId="7" fillId="10" borderId="12" xfId="0" applyFont="1" applyFill="1" applyBorder="1" applyAlignment="1">
      <alignment horizontal="left" vertical="top" wrapText="1"/>
    </xf>
    <xf numFmtId="41" fontId="7" fillId="10" borderId="67" xfId="0" applyNumberFormat="1" applyFont="1" applyFill="1" applyBorder="1" applyAlignment="1">
      <alignment vertical="top"/>
    </xf>
    <xf numFmtId="0" fontId="8" fillId="9" borderId="62" xfId="0" quotePrefix="1" applyFont="1" applyFill="1" applyBorder="1" applyAlignment="1">
      <alignment horizontal="center" vertical="top"/>
    </xf>
    <xf numFmtId="0" fontId="8" fillId="9" borderId="62" xfId="0" applyFont="1" applyFill="1" applyBorder="1" applyAlignment="1">
      <alignment horizontal="center" vertical="top"/>
    </xf>
    <xf numFmtId="41" fontId="8" fillId="9" borderId="63" xfId="1" applyFont="1" applyFill="1" applyBorder="1" applyAlignment="1">
      <alignment vertical="top"/>
    </xf>
    <xf numFmtId="0" fontId="8" fillId="9" borderId="64" xfId="0" applyFont="1" applyFill="1" applyBorder="1" applyAlignment="1">
      <alignment vertical="top"/>
    </xf>
    <xf numFmtId="41" fontId="8" fillId="9" borderId="67" xfId="1" applyFont="1" applyFill="1" applyBorder="1" applyAlignment="1">
      <alignment horizontal="center" vertical="top"/>
    </xf>
    <xf numFmtId="0" fontId="8" fillId="9" borderId="73" xfId="0" applyFont="1" applyFill="1" applyBorder="1" applyAlignment="1">
      <alignment vertical="top"/>
    </xf>
    <xf numFmtId="0" fontId="8" fillId="9" borderId="73" xfId="0" quotePrefix="1" applyFont="1" applyFill="1" applyBorder="1" applyAlignment="1">
      <alignment horizontal="center" vertical="top"/>
    </xf>
    <xf numFmtId="0" fontId="8" fillId="9" borderId="73" xfId="0" applyFont="1" applyFill="1" applyBorder="1" applyAlignment="1">
      <alignment horizontal="center" vertical="top"/>
    </xf>
    <xf numFmtId="0" fontId="8" fillId="9" borderId="74" xfId="0" applyFont="1" applyFill="1" applyBorder="1" applyAlignment="1">
      <alignment vertical="top"/>
    </xf>
    <xf numFmtId="0" fontId="15" fillId="9" borderId="75" xfId="0" applyFont="1" applyFill="1" applyBorder="1" applyAlignment="1">
      <alignment vertical="top" wrapText="1"/>
    </xf>
    <xf numFmtId="0" fontId="8" fillId="9" borderId="73" xfId="0" applyFont="1" applyFill="1" applyBorder="1" applyAlignment="1">
      <alignment horizontal="left" vertical="top" wrapText="1"/>
    </xf>
    <xf numFmtId="0" fontId="8" fillId="9" borderId="73" xfId="0" applyFont="1" applyFill="1" applyBorder="1" applyAlignment="1">
      <alignment vertical="top" wrapText="1"/>
    </xf>
    <xf numFmtId="41" fontId="8" fillId="9" borderId="73" xfId="1" applyFont="1" applyFill="1" applyBorder="1" applyAlignment="1">
      <alignment vertical="top" wrapText="1"/>
    </xf>
    <xf numFmtId="0" fontId="8" fillId="9" borderId="73" xfId="0" applyFont="1" applyFill="1" applyBorder="1" applyAlignment="1">
      <alignment horizontal="right" vertical="top" wrapText="1"/>
    </xf>
    <xf numFmtId="41" fontId="8" fillId="9" borderId="73" xfId="1" applyFont="1" applyFill="1" applyBorder="1" applyAlignment="1">
      <alignment horizontal="right" vertical="top" wrapText="1"/>
    </xf>
    <xf numFmtId="41" fontId="8" fillId="9" borderId="73" xfId="1" applyNumberFormat="1" applyFont="1" applyFill="1" applyBorder="1" applyAlignment="1">
      <alignment vertical="top" wrapText="1"/>
    </xf>
    <xf numFmtId="0" fontId="8" fillId="9" borderId="73" xfId="0" applyFont="1" applyFill="1" applyBorder="1" applyAlignment="1">
      <alignment horizontal="center" vertical="top" wrapText="1"/>
    </xf>
    <xf numFmtId="41" fontId="8" fillId="9" borderId="73" xfId="0" applyNumberFormat="1" applyFont="1" applyFill="1" applyBorder="1" applyAlignment="1">
      <alignment vertical="top" wrapText="1"/>
    </xf>
    <xf numFmtId="166" fontId="8" fillId="9" borderId="73" xfId="1" applyNumberFormat="1" applyFont="1" applyFill="1" applyBorder="1" applyAlignment="1">
      <alignment vertical="top" wrapText="1"/>
    </xf>
    <xf numFmtId="0" fontId="15" fillId="9" borderId="76" xfId="0" applyFont="1" applyFill="1" applyBorder="1" applyAlignment="1">
      <alignment vertical="top"/>
    </xf>
    <xf numFmtId="0" fontId="15" fillId="9" borderId="77" xfId="0" applyFont="1" applyFill="1" applyBorder="1" applyAlignment="1">
      <alignment vertical="top"/>
    </xf>
    <xf numFmtId="0" fontId="8" fillId="9" borderId="77" xfId="0" applyFont="1" applyFill="1" applyBorder="1" applyAlignment="1">
      <alignment horizontal="center" vertical="top"/>
    </xf>
    <xf numFmtId="0" fontId="8" fillId="9" borderId="77" xfId="0" applyFont="1" applyFill="1" applyBorder="1" applyAlignment="1">
      <alignment vertical="top"/>
    </xf>
    <xf numFmtId="0" fontId="23" fillId="9" borderId="78" xfId="0" applyFont="1" applyFill="1" applyBorder="1" applyAlignment="1">
      <alignment horizontal="left" vertical="top" wrapText="1"/>
    </xf>
    <xf numFmtId="0" fontId="8" fillId="9" borderId="79" xfId="0" applyFont="1" applyFill="1" applyBorder="1" applyAlignment="1">
      <alignment horizontal="left" vertical="top" wrapText="1"/>
    </xf>
    <xf numFmtId="9" fontId="7" fillId="9" borderId="79" xfId="3" applyFont="1" applyFill="1" applyBorder="1" applyAlignment="1">
      <alignment vertical="top" wrapText="1"/>
    </xf>
    <xf numFmtId="41" fontId="7" fillId="9" borderId="79" xfId="1" applyFont="1" applyFill="1" applyBorder="1" applyAlignment="1">
      <alignment vertical="top" wrapText="1"/>
    </xf>
    <xf numFmtId="10" fontId="7" fillId="9" borderId="79" xfId="3" applyNumberFormat="1" applyFont="1" applyFill="1" applyBorder="1" applyAlignment="1">
      <alignment vertical="top" wrapText="1"/>
    </xf>
    <xf numFmtId="10" fontId="7" fillId="9" borderId="79" xfId="3" applyNumberFormat="1" applyFont="1" applyFill="1" applyBorder="1" applyAlignment="1">
      <alignment horizontal="right" vertical="top" wrapText="1"/>
    </xf>
    <xf numFmtId="0" fontId="7" fillId="9" borderId="79" xfId="0" applyFont="1" applyFill="1" applyBorder="1" applyAlignment="1">
      <alignment vertical="top" wrapText="1"/>
    </xf>
    <xf numFmtId="0" fontId="7" fillId="9" borderId="79" xfId="0" applyFont="1" applyFill="1" applyBorder="1" applyAlignment="1">
      <alignment horizontal="center" vertical="top" wrapText="1"/>
    </xf>
    <xf numFmtId="10" fontId="7" fillId="9" borderId="65" xfId="3" applyNumberFormat="1" applyFont="1" applyFill="1" applyBorder="1" applyAlignment="1">
      <alignment vertical="top" wrapText="1"/>
    </xf>
    <xf numFmtId="166" fontId="7" fillId="9" borderId="79" xfId="1" applyNumberFormat="1" applyFont="1" applyFill="1" applyBorder="1" applyAlignment="1">
      <alignment vertical="top" wrapText="1"/>
    </xf>
    <xf numFmtId="0" fontId="15" fillId="9" borderId="80" xfId="0" applyFont="1" applyFill="1" applyBorder="1" applyAlignment="1">
      <alignment vertical="top"/>
    </xf>
    <xf numFmtId="0" fontId="15" fillId="9" borderId="81" xfId="0" applyFont="1" applyFill="1" applyBorder="1" applyAlignment="1">
      <alignment vertical="top"/>
    </xf>
    <xf numFmtId="0" fontId="15" fillId="9" borderId="82" xfId="0" applyFont="1" applyFill="1" applyBorder="1" applyAlignment="1">
      <alignment vertical="top"/>
    </xf>
    <xf numFmtId="41" fontId="8" fillId="9" borderId="83" xfId="1" applyNumberFormat="1" applyFont="1" applyFill="1" applyBorder="1" applyAlignment="1">
      <alignment vertical="top" wrapText="1"/>
    </xf>
    <xf numFmtId="41" fontId="8" fillId="9" borderId="83" xfId="1" applyFont="1" applyFill="1" applyBorder="1" applyAlignment="1">
      <alignment vertical="top" wrapText="1"/>
    </xf>
    <xf numFmtId="0" fontId="8" fillId="9" borderId="83" xfId="0" applyFont="1" applyFill="1" applyBorder="1" applyAlignment="1">
      <alignment horizontal="center" vertical="top" wrapText="1"/>
    </xf>
    <xf numFmtId="0" fontId="8" fillId="9" borderId="0" xfId="0" applyFont="1" applyFill="1" applyAlignment="1">
      <alignment vertical="top"/>
    </xf>
    <xf numFmtId="0" fontId="2" fillId="0" borderId="9" xfId="0" applyFont="1" applyBorder="1" applyAlignment="1">
      <alignment vertical="center" wrapText="1"/>
    </xf>
    <xf numFmtId="0" fontId="27" fillId="0" borderId="1" xfId="0" applyFont="1" applyFill="1" applyBorder="1" applyAlignment="1">
      <alignment horizontal="center" vertical="top"/>
    </xf>
    <xf numFmtId="0" fontId="27" fillId="0" borderId="1" xfId="0" quotePrefix="1" applyFont="1" applyFill="1" applyBorder="1" applyAlignment="1">
      <alignment horizontal="center" vertical="top"/>
    </xf>
    <xf numFmtId="0" fontId="2" fillId="0" borderId="4" xfId="0" applyFont="1" applyBorder="1" applyAlignment="1">
      <alignment horizontal="center" vertical="top"/>
    </xf>
    <xf numFmtId="0" fontId="2" fillId="0" borderId="4" xfId="0" applyFont="1" applyBorder="1" applyAlignment="1">
      <alignment vertical="top" wrapText="1"/>
    </xf>
    <xf numFmtId="0" fontId="2" fillId="0" borderId="4" xfId="0" applyFont="1" applyBorder="1" applyAlignment="1">
      <alignment horizontal="center" vertical="top" wrapText="1"/>
    </xf>
    <xf numFmtId="41" fontId="2" fillId="0" borderId="4" xfId="1" applyFont="1" applyBorder="1" applyAlignment="1">
      <alignment horizontal="center" vertical="top"/>
    </xf>
    <xf numFmtId="172" fontId="2" fillId="0" borderId="4" xfId="2" applyNumberFormat="1" applyFont="1" applyBorder="1" applyAlignment="1">
      <alignment horizontal="center" vertical="top"/>
    </xf>
    <xf numFmtId="0" fontId="2" fillId="0" borderId="1" xfId="0" applyFont="1" applyBorder="1" applyAlignment="1">
      <alignment horizontal="center" vertical="top" wrapText="1"/>
    </xf>
    <xf numFmtId="172" fontId="2" fillId="0" borderId="1" xfId="2" applyNumberFormat="1" applyFont="1" applyBorder="1" applyAlignment="1">
      <alignment horizontal="center" vertical="top" wrapText="1"/>
    </xf>
    <xf numFmtId="0" fontId="2" fillId="0" borderId="1" xfId="0" applyFont="1" applyBorder="1" applyAlignment="1">
      <alignment horizontal="center" vertical="top"/>
    </xf>
    <xf numFmtId="172" fontId="2" fillId="0" borderId="1" xfId="2" applyNumberFormat="1" applyFont="1" applyBorder="1" applyAlignment="1">
      <alignment horizontal="center" vertical="top"/>
    </xf>
    <xf numFmtId="41" fontId="2" fillId="0" borderId="4" xfId="1" applyNumberFormat="1" applyFont="1" applyBorder="1" applyAlignment="1">
      <alignment horizontal="center" vertical="top"/>
    </xf>
    <xf numFmtId="1" fontId="2" fillId="0" borderId="4" xfId="0" applyNumberFormat="1" applyFont="1" applyBorder="1" applyAlignment="1">
      <alignment horizontal="center" vertical="top"/>
    </xf>
    <xf numFmtId="2" fontId="2" fillId="0" borderId="4" xfId="0" applyNumberFormat="1" applyFont="1" applyBorder="1" applyAlignment="1">
      <alignment horizontal="center" vertical="top"/>
    </xf>
    <xf numFmtId="0" fontId="2" fillId="0" borderId="0" xfId="0" applyFont="1" applyAlignment="1">
      <alignment vertical="top"/>
    </xf>
    <xf numFmtId="0" fontId="27" fillId="9" borderId="1" xfId="0" applyFont="1" applyFill="1" applyBorder="1" applyAlignment="1">
      <alignment horizontal="center" vertical="top"/>
    </xf>
    <xf numFmtId="0" fontId="27" fillId="9" borderId="1" xfId="0" quotePrefix="1" applyFont="1" applyFill="1" applyBorder="1" applyAlignment="1">
      <alignment horizontal="center" vertical="top"/>
    </xf>
    <xf numFmtId="169" fontId="2" fillId="0" borderId="4" xfId="2" applyNumberFormat="1" applyFont="1" applyBorder="1" applyAlignment="1">
      <alignment horizontal="center" vertical="top"/>
    </xf>
    <xf numFmtId="0" fontId="2" fillId="0" borderId="4" xfId="0" quotePrefix="1" applyFont="1" applyBorder="1" applyAlignment="1">
      <alignment horizontal="center" vertical="top"/>
    </xf>
    <xf numFmtId="0" fontId="2" fillId="12" borderId="4" xfId="0" applyFont="1" applyFill="1" applyBorder="1" applyAlignment="1">
      <alignment vertical="top"/>
    </xf>
    <xf numFmtId="0" fontId="2" fillId="12" borderId="1" xfId="0" applyFont="1" applyFill="1" applyBorder="1" applyAlignment="1">
      <alignment horizontal="left" vertical="top" wrapText="1"/>
    </xf>
    <xf numFmtId="0" fontId="27" fillId="12" borderId="1" xfId="0" applyFont="1" applyFill="1" applyBorder="1" applyAlignment="1">
      <alignment horizontal="center" vertical="top"/>
    </xf>
    <xf numFmtId="0" fontId="27" fillId="12" borderId="1" xfId="0" quotePrefix="1" applyFont="1" applyFill="1" applyBorder="1" applyAlignment="1">
      <alignment horizontal="center" vertical="top"/>
    </xf>
    <xf numFmtId="0" fontId="2" fillId="12" borderId="4" xfId="0" applyFont="1" applyFill="1" applyBorder="1" applyAlignment="1">
      <alignment horizontal="center" vertical="top"/>
    </xf>
    <xf numFmtId="41" fontId="27" fillId="12" borderId="1" xfId="1" applyFont="1" applyFill="1" applyBorder="1" applyAlignment="1">
      <alignment horizontal="center" vertical="top"/>
    </xf>
    <xf numFmtId="2" fontId="27" fillId="12" borderId="1" xfId="0" applyNumberFormat="1" applyFont="1" applyFill="1" applyBorder="1" applyAlignment="1">
      <alignment horizontal="center" vertical="top"/>
    </xf>
    <xf numFmtId="0" fontId="27" fillId="12" borderId="1" xfId="0" applyFont="1" applyFill="1" applyBorder="1" applyAlignment="1">
      <alignment vertical="top"/>
    </xf>
    <xf numFmtId="0" fontId="2" fillId="0" borderId="1" xfId="0" applyFont="1" applyBorder="1" applyAlignment="1">
      <alignment horizontal="left" vertical="top" wrapText="1"/>
    </xf>
    <xf numFmtId="0" fontId="2" fillId="0" borderId="5" xfId="0" applyFont="1" applyBorder="1" applyAlignment="1">
      <alignment horizontal="center" vertical="top" wrapText="1"/>
    </xf>
    <xf numFmtId="164" fontId="2" fillId="0" borderId="2" xfId="1" applyNumberFormat="1" applyFont="1" applyFill="1" applyBorder="1" applyAlignment="1">
      <alignment horizontal="center" vertical="top"/>
    </xf>
    <xf numFmtId="0" fontId="2" fillId="0" borderId="8" xfId="0" applyFont="1" applyBorder="1" applyAlignment="1">
      <alignment horizontal="center" vertical="top"/>
    </xf>
    <xf numFmtId="0" fontId="2" fillId="0" borderId="11" xfId="0" applyFont="1" applyBorder="1" applyAlignment="1">
      <alignment horizontal="left" vertical="top" wrapText="1"/>
    </xf>
    <xf numFmtId="0" fontId="2" fillId="0" borderId="1" xfId="1" applyNumberFormat="1" applyFont="1" applyFill="1" applyBorder="1" applyAlignment="1" applyProtection="1">
      <alignment horizontal="center" vertical="top"/>
    </xf>
    <xf numFmtId="164" fontId="2" fillId="0" borderId="1" xfId="1" applyNumberFormat="1" applyFont="1" applyFill="1" applyBorder="1" applyAlignment="1">
      <alignment horizontal="center" vertical="top"/>
    </xf>
    <xf numFmtId="0" fontId="2" fillId="0" borderId="7" xfId="0" applyNumberFormat="1" applyFont="1" applyBorder="1" applyAlignment="1">
      <alignment horizontal="center" vertical="top" wrapText="1"/>
    </xf>
    <xf numFmtId="0" fontId="2" fillId="0" borderId="3" xfId="0" applyFont="1" applyBorder="1" applyAlignment="1">
      <alignment horizontal="center" vertical="top" wrapText="1"/>
    </xf>
    <xf numFmtId="0" fontId="2" fillId="0" borderId="11" xfId="0" applyFont="1" applyBorder="1" applyAlignment="1">
      <alignment horizontal="center" vertical="top" wrapText="1"/>
    </xf>
    <xf numFmtId="164" fontId="2" fillId="0" borderId="1" xfId="2" applyNumberFormat="1" applyFont="1" applyBorder="1" applyAlignment="1">
      <alignment horizontal="center" vertical="top" wrapText="1"/>
    </xf>
    <xf numFmtId="0" fontId="2" fillId="0" borderId="7" xfId="0" applyFont="1" applyBorder="1" applyAlignment="1">
      <alignment horizontal="center" vertical="top" wrapText="1"/>
    </xf>
    <xf numFmtId="0" fontId="2" fillId="0" borderId="3" xfId="0" applyNumberFormat="1" applyFont="1" applyBorder="1" applyAlignment="1">
      <alignment horizontal="center" vertical="top" wrapText="1"/>
    </xf>
    <xf numFmtId="0" fontId="2" fillId="12" borderId="1" xfId="0" applyFont="1" applyFill="1" applyBorder="1" applyAlignment="1">
      <alignment vertical="center" wrapText="1"/>
    </xf>
    <xf numFmtId="0" fontId="27" fillId="12" borderId="4" xfId="0" applyFont="1" applyFill="1" applyBorder="1" applyAlignment="1">
      <alignment horizontal="center" vertical="top"/>
    </xf>
    <xf numFmtId="0" fontId="27" fillId="12" borderId="4" xfId="0" quotePrefix="1" applyFont="1" applyFill="1" applyBorder="1" applyAlignment="1">
      <alignment horizontal="center" vertical="top"/>
    </xf>
    <xf numFmtId="0" fontId="27" fillId="9" borderId="4" xfId="0" applyFont="1" applyFill="1" applyBorder="1" applyAlignment="1">
      <alignment horizontal="center" vertical="top"/>
    </xf>
    <xf numFmtId="0" fontId="27" fillId="9" borderId="4" xfId="0" quotePrefix="1" applyFont="1" applyFill="1" applyBorder="1" applyAlignment="1">
      <alignment horizontal="center" vertical="top"/>
    </xf>
    <xf numFmtId="0" fontId="27" fillId="0" borderId="1" xfId="0" applyFont="1" applyBorder="1" applyAlignment="1">
      <alignment vertical="top" wrapText="1"/>
    </xf>
    <xf numFmtId="0" fontId="27" fillId="0" borderId="1" xfId="0" applyFont="1" applyBorder="1" applyAlignment="1">
      <alignment vertical="center" wrapText="1"/>
    </xf>
    <xf numFmtId="0" fontId="2" fillId="9" borderId="4" xfId="0" quotePrefix="1" applyFont="1" applyFill="1" applyBorder="1" applyAlignment="1">
      <alignment horizontal="center" vertical="top"/>
    </xf>
    <xf numFmtId="0" fontId="2" fillId="12" borderId="1" xfId="0" applyFont="1" applyFill="1" applyBorder="1" applyAlignment="1">
      <alignment vertical="top"/>
    </xf>
    <xf numFmtId="41" fontId="27" fillId="12" borderId="1" xfId="0" applyNumberFormat="1" applyFont="1" applyFill="1" applyBorder="1" applyAlignment="1">
      <alignment horizontal="center" vertical="top"/>
    </xf>
    <xf numFmtId="172" fontId="27" fillId="12" borderId="1" xfId="0" applyNumberFormat="1" applyFont="1" applyFill="1" applyBorder="1" applyAlignment="1">
      <alignment horizontal="center" vertical="top"/>
    </xf>
    <xf numFmtId="0" fontId="2" fillId="0" borderId="4" xfId="0" applyFont="1" applyBorder="1" applyAlignment="1">
      <alignment horizontal="left" vertical="top" wrapText="1"/>
    </xf>
    <xf numFmtId="166" fontId="2" fillId="0" borderId="4" xfId="1" applyNumberFormat="1" applyFont="1" applyBorder="1" applyAlignment="1">
      <alignment horizontal="center" vertical="top"/>
    </xf>
    <xf numFmtId="0" fontId="2" fillId="0" borderId="1" xfId="0" applyNumberFormat="1" applyFont="1" applyBorder="1" applyAlignment="1">
      <alignment horizontal="center" vertical="top"/>
    </xf>
    <xf numFmtId="41" fontId="2" fillId="0" borderId="4" xfId="0" applyNumberFormat="1" applyFont="1" applyBorder="1" applyAlignment="1">
      <alignment horizontal="center" vertical="top"/>
    </xf>
    <xf numFmtId="0" fontId="2" fillId="12" borderId="1" xfId="0" applyFont="1" applyFill="1" applyBorder="1" applyAlignment="1">
      <alignment horizontal="center" vertical="top"/>
    </xf>
    <xf numFmtId="0" fontId="2" fillId="0" borderId="1" xfId="0" applyFont="1" applyFill="1" applyBorder="1" applyAlignment="1">
      <alignment horizontal="center" vertical="top" wrapText="1"/>
    </xf>
    <xf numFmtId="9" fontId="2" fillId="0" borderId="1" xfId="0" applyNumberFormat="1" applyFont="1" applyBorder="1" applyAlignment="1">
      <alignment horizontal="center" vertical="top" wrapText="1"/>
    </xf>
    <xf numFmtId="41" fontId="2" fillId="12" borderId="1" xfId="1" applyFont="1" applyFill="1" applyBorder="1" applyAlignment="1">
      <alignment horizontal="center" vertical="top"/>
    </xf>
    <xf numFmtId="2" fontId="2" fillId="12" borderId="1" xfId="0" applyNumberFormat="1" applyFont="1" applyFill="1" applyBorder="1" applyAlignment="1">
      <alignment horizontal="center" vertical="top"/>
    </xf>
    <xf numFmtId="0" fontId="2" fillId="0" borderId="1" xfId="0" applyNumberFormat="1" applyFont="1" applyBorder="1" applyAlignment="1">
      <alignment horizontal="center" vertical="top" wrapText="1"/>
    </xf>
    <xf numFmtId="0" fontId="2" fillId="3" borderId="1" xfId="0" applyFont="1" applyFill="1" applyBorder="1" applyAlignment="1">
      <alignment vertical="top"/>
    </xf>
    <xf numFmtId="41" fontId="6" fillId="13" borderId="1" xfId="0" applyNumberFormat="1" applyFont="1" applyFill="1" applyBorder="1"/>
    <xf numFmtId="0" fontId="2" fillId="13" borderId="1" xfId="0" applyFont="1" applyFill="1" applyBorder="1"/>
    <xf numFmtId="2" fontId="2" fillId="13" borderId="1" xfId="0" applyNumberFormat="1" applyFont="1" applyFill="1" applyBorder="1"/>
    <xf numFmtId="0" fontId="2" fillId="12" borderId="11" xfId="0" applyFont="1" applyFill="1" applyBorder="1" applyAlignment="1">
      <alignment vertical="top"/>
    </xf>
    <xf numFmtId="0" fontId="2" fillId="0" borderId="2" xfId="0" applyFont="1" applyBorder="1" applyAlignment="1">
      <alignment vertical="center" wrapText="1"/>
    </xf>
    <xf numFmtId="0" fontId="2" fillId="0" borderId="1" xfId="0" applyFont="1" applyBorder="1" applyAlignment="1">
      <alignment vertical="center" wrapText="1"/>
    </xf>
    <xf numFmtId="0" fontId="2" fillId="0" borderId="11" xfId="0" applyFont="1" applyBorder="1" applyAlignment="1">
      <alignment vertical="center" wrapText="1"/>
    </xf>
    <xf numFmtId="0" fontId="2" fillId="0" borderId="1" xfId="0" applyFont="1" applyBorder="1" applyAlignment="1">
      <alignment horizontal="center" vertical="center" wrapText="1"/>
    </xf>
    <xf numFmtId="0" fontId="2" fillId="0" borderId="11" xfId="0" applyFont="1" applyBorder="1" applyAlignment="1">
      <alignment vertical="top" wrapText="1"/>
    </xf>
    <xf numFmtId="0" fontId="2" fillId="0" borderId="1" xfId="0" applyFont="1" applyBorder="1" applyAlignment="1">
      <alignment vertical="top" wrapText="1"/>
    </xf>
    <xf numFmtId="0" fontId="2" fillId="0" borderId="9" xfId="0" applyFont="1" applyBorder="1" applyAlignment="1">
      <alignment vertical="top" wrapText="1"/>
    </xf>
    <xf numFmtId="0" fontId="2" fillId="12" borderId="7" xfId="0" applyFont="1" applyFill="1" applyBorder="1" applyAlignment="1">
      <alignment horizontal="center" vertical="center"/>
    </xf>
    <xf numFmtId="0" fontId="29" fillId="0" borderId="0" xfId="0" applyFont="1"/>
    <xf numFmtId="41" fontId="29" fillId="0" borderId="0" xfId="0" applyNumberFormat="1" applyFont="1"/>
    <xf numFmtId="0" fontId="30" fillId="0" borderId="0" xfId="0" applyFont="1"/>
    <xf numFmtId="1" fontId="30" fillId="0" borderId="0" xfId="0" applyNumberFormat="1" applyFont="1"/>
    <xf numFmtId="0" fontId="29" fillId="0" borderId="0" xfId="0" applyFont="1" applyAlignment="1">
      <alignment wrapText="1"/>
    </xf>
    <xf numFmtId="165" fontId="30" fillId="0" borderId="0" xfId="0" applyNumberFormat="1" applyFont="1"/>
    <xf numFmtId="168" fontId="29" fillId="0" borderId="0" xfId="0" applyNumberFormat="1" applyFont="1"/>
    <xf numFmtId="0" fontId="29" fillId="0" borderId="0" xfId="0" applyFont="1" applyBorder="1"/>
    <xf numFmtId="0" fontId="29" fillId="0" borderId="0" xfId="0" applyFont="1" applyAlignment="1">
      <alignment vertical="top" wrapText="1"/>
    </xf>
    <xf numFmtId="0" fontId="29" fillId="0" borderId="0" xfId="0" applyFont="1" applyAlignment="1">
      <alignment vertical="center" wrapText="1"/>
    </xf>
    <xf numFmtId="164" fontId="29" fillId="0" borderId="0" xfId="0" applyNumberFormat="1" applyFont="1"/>
    <xf numFmtId="0" fontId="29" fillId="0" borderId="0" xfId="0" applyFont="1" applyAlignment="1">
      <alignment vertical="center"/>
    </xf>
    <xf numFmtId="2" fontId="29" fillId="0" borderId="0" xfId="0" applyNumberFormat="1" applyFont="1" applyAlignment="1">
      <alignment vertical="center"/>
    </xf>
    <xf numFmtId="0" fontId="8" fillId="0" borderId="2" xfId="0" applyFont="1" applyBorder="1"/>
    <xf numFmtId="0" fontId="23" fillId="0" borderId="50" xfId="0" applyFont="1" applyBorder="1" applyAlignment="1">
      <alignment vertical="top" wrapText="1"/>
    </xf>
    <xf numFmtId="0" fontId="7" fillId="0" borderId="50" xfId="0" quotePrefix="1" applyFont="1" applyBorder="1" applyAlignment="1">
      <alignment vertical="top" wrapText="1"/>
    </xf>
    <xf numFmtId="0" fontId="7" fillId="0" borderId="50" xfId="0" applyFont="1" applyBorder="1" applyAlignment="1">
      <alignment vertical="top" wrapText="1"/>
    </xf>
    <xf numFmtId="41" fontId="7" fillId="0" borderId="50" xfId="1" applyFont="1" applyBorder="1" applyAlignment="1">
      <alignment vertical="top" wrapText="1"/>
    </xf>
    <xf numFmtId="41" fontId="8" fillId="0" borderId="50" xfId="1" applyFont="1" applyBorder="1" applyAlignment="1">
      <alignment vertical="top" wrapText="1"/>
    </xf>
    <xf numFmtId="41" fontId="8" fillId="0" borderId="50" xfId="0" applyNumberFormat="1" applyFont="1" applyBorder="1" applyAlignment="1">
      <alignment vertical="top" wrapText="1"/>
    </xf>
    <xf numFmtId="166" fontId="8" fillId="0" borderId="50" xfId="0" applyNumberFormat="1" applyFont="1" applyBorder="1" applyAlignment="1">
      <alignment vertical="top" wrapText="1"/>
    </xf>
    <xf numFmtId="0" fontId="7" fillId="0" borderId="46" xfId="0" quotePrefix="1" applyFont="1" applyBorder="1" applyAlignment="1">
      <alignment vertical="top" wrapText="1"/>
    </xf>
    <xf numFmtId="0" fontId="23" fillId="0" borderId="46" xfId="0" applyFont="1" applyBorder="1" applyAlignment="1">
      <alignment vertical="top" wrapText="1"/>
    </xf>
    <xf numFmtId="0" fontId="7" fillId="0" borderId="46" xfId="0" applyFont="1" applyBorder="1" applyAlignment="1">
      <alignment vertical="top" wrapText="1"/>
    </xf>
    <xf numFmtId="41" fontId="7" fillId="0" borderId="46" xfId="1" applyFont="1" applyBorder="1" applyAlignment="1">
      <alignment vertical="top" wrapText="1"/>
    </xf>
    <xf numFmtId="41" fontId="8" fillId="0" borderId="46" xfId="1" applyFont="1" applyBorder="1" applyAlignment="1">
      <alignment vertical="top" wrapText="1"/>
    </xf>
    <xf numFmtId="41" fontId="8" fillId="0" borderId="46" xfId="0" applyNumberFormat="1" applyFont="1" applyBorder="1" applyAlignment="1">
      <alignment vertical="top" wrapText="1"/>
    </xf>
    <xf numFmtId="166" fontId="8" fillId="0" borderId="46" xfId="0" applyNumberFormat="1" applyFont="1" applyBorder="1" applyAlignment="1">
      <alignment vertical="top" wrapText="1"/>
    </xf>
    <xf numFmtId="0" fontId="15" fillId="0" borderId="46" xfId="0" applyFont="1" applyBorder="1" applyAlignment="1">
      <alignment vertical="top" wrapText="1"/>
    </xf>
    <xf numFmtId="0" fontId="8" fillId="0" borderId="46" xfId="0" applyFont="1" applyFill="1" applyBorder="1" applyAlignment="1">
      <alignment horizontal="left" vertical="top" wrapText="1"/>
    </xf>
    <xf numFmtId="164" fontId="8" fillId="0" borderId="46" xfId="1" applyNumberFormat="1" applyFont="1" applyFill="1" applyBorder="1" applyAlignment="1">
      <alignment horizontal="right" vertical="top"/>
    </xf>
    <xf numFmtId="164" fontId="8" fillId="0" borderId="46" xfId="0" applyNumberFormat="1" applyFont="1" applyFill="1" applyBorder="1" applyAlignment="1">
      <alignment horizontal="right" vertical="top"/>
    </xf>
    <xf numFmtId="164" fontId="8" fillId="0" borderId="46" xfId="0" applyNumberFormat="1" applyFont="1" applyBorder="1" applyAlignment="1">
      <alignment vertical="top" wrapText="1"/>
    </xf>
    <xf numFmtId="164" fontId="7" fillId="0" borderId="46" xfId="0" applyNumberFormat="1" applyFont="1" applyBorder="1" applyAlignment="1">
      <alignment vertical="top" wrapText="1"/>
    </xf>
    <xf numFmtId="0" fontId="8" fillId="0" borderId="46" xfId="0" applyFont="1" applyBorder="1" applyAlignment="1">
      <alignment vertical="top" wrapText="1"/>
    </xf>
    <xf numFmtId="43" fontId="8" fillId="0" borderId="46" xfId="0" applyNumberFormat="1" applyFont="1" applyBorder="1" applyAlignment="1">
      <alignment vertical="top" wrapText="1"/>
    </xf>
    <xf numFmtId="0" fontId="8" fillId="0" borderId="87" xfId="0" applyFont="1" applyBorder="1" applyAlignment="1">
      <alignment horizontal="center" vertical="top" wrapText="1"/>
    </xf>
    <xf numFmtId="0" fontId="7" fillId="0" borderId="3" xfId="0" applyFont="1" applyBorder="1" applyAlignment="1">
      <alignment horizontal="center" vertical="top"/>
    </xf>
    <xf numFmtId="0" fontId="15" fillId="0" borderId="46" xfId="0" applyFont="1" applyBorder="1" applyAlignment="1">
      <alignment horizontal="left" vertical="top" wrapText="1"/>
    </xf>
    <xf numFmtId="0" fontId="8" fillId="0" borderId="46" xfId="0" applyFont="1" applyFill="1" applyBorder="1" applyAlignment="1">
      <alignment horizontal="right" vertical="top"/>
    </xf>
    <xf numFmtId="0" fontId="7" fillId="0" borderId="48" xfId="0" applyFont="1" applyBorder="1" applyAlignment="1">
      <alignment horizontal="center" vertical="top"/>
    </xf>
    <xf numFmtId="0" fontId="8" fillId="0" borderId="48" xfId="0" applyFont="1" applyBorder="1" applyAlignment="1">
      <alignment horizontal="center" vertical="top"/>
    </xf>
    <xf numFmtId="173" fontId="8" fillId="0" borderId="46" xfId="1" applyNumberFormat="1" applyFont="1" applyFill="1" applyBorder="1" applyAlignment="1">
      <alignment horizontal="right" vertical="top"/>
    </xf>
    <xf numFmtId="164" fontId="8" fillId="0" borderId="46" xfId="0" applyNumberFormat="1" applyFont="1" applyBorder="1" applyAlignment="1">
      <alignment vertical="top"/>
    </xf>
    <xf numFmtId="41" fontId="8" fillId="0" borderId="46" xfId="0" applyNumberFormat="1" applyFont="1" applyFill="1" applyBorder="1" applyAlignment="1">
      <alignment horizontal="right" vertical="top"/>
    </xf>
    <xf numFmtId="173" fontId="8" fillId="0" borderId="46" xfId="0" applyNumberFormat="1" applyFont="1" applyFill="1" applyBorder="1" applyAlignment="1">
      <alignment horizontal="right" vertical="top"/>
    </xf>
    <xf numFmtId="173" fontId="8" fillId="0" borderId="46" xfId="0" applyNumberFormat="1" applyFont="1" applyBorder="1" applyAlignment="1">
      <alignment vertical="top" wrapText="1"/>
    </xf>
    <xf numFmtId="0" fontId="8" fillId="0" borderId="87" xfId="0" applyFont="1" applyBorder="1" applyAlignment="1">
      <alignment horizontal="center" vertical="top"/>
    </xf>
    <xf numFmtId="0" fontId="8" fillId="0" borderId="85" xfId="0" applyFont="1" applyBorder="1" applyAlignment="1">
      <alignment vertical="top" wrapText="1"/>
    </xf>
    <xf numFmtId="0" fontId="15" fillId="0" borderId="85" xfId="0" applyFont="1" applyBorder="1" applyAlignment="1">
      <alignment vertical="top" wrapText="1"/>
    </xf>
    <xf numFmtId="41" fontId="8" fillId="0" borderId="85" xfId="0" applyNumberFormat="1" applyFont="1" applyBorder="1" applyAlignment="1">
      <alignment vertical="top" wrapText="1"/>
    </xf>
    <xf numFmtId="164" fontId="8" fillId="0" borderId="85" xfId="0" applyNumberFormat="1" applyFont="1" applyBorder="1" applyAlignment="1">
      <alignment vertical="top" wrapText="1"/>
    </xf>
    <xf numFmtId="0" fontId="8" fillId="0" borderId="48" xfId="0" applyFont="1" applyBorder="1" applyAlignment="1">
      <alignment horizontal="center" vertical="top" wrapText="1"/>
    </xf>
    <xf numFmtId="0" fontId="8" fillId="0" borderId="3" xfId="0" applyFont="1" applyBorder="1" applyAlignment="1">
      <alignment vertical="top" wrapText="1"/>
    </xf>
    <xf numFmtId="41" fontId="7" fillId="0" borderId="46" xfId="0" applyNumberFormat="1" applyFont="1" applyBorder="1" applyAlignment="1">
      <alignment vertical="top" wrapText="1"/>
    </xf>
    <xf numFmtId="0" fontId="23" fillId="0" borderId="85" xfId="0" applyFont="1" applyBorder="1" applyAlignment="1">
      <alignment vertical="top" wrapText="1"/>
    </xf>
    <xf numFmtId="166" fontId="8" fillId="0" borderId="85" xfId="0" applyNumberFormat="1" applyFont="1" applyBorder="1" applyAlignment="1">
      <alignment vertical="top" wrapText="1"/>
    </xf>
    <xf numFmtId="9" fontId="8" fillId="0" borderId="48" xfId="0" applyNumberFormat="1" applyFont="1" applyBorder="1" applyAlignment="1">
      <alignment horizontal="center" vertical="top" wrapText="1"/>
    </xf>
    <xf numFmtId="0" fontId="8" fillId="0" borderId="47" xfId="0" applyFont="1" applyBorder="1" applyAlignment="1">
      <alignment vertical="top" wrapText="1"/>
    </xf>
    <xf numFmtId="0" fontId="23" fillId="0" borderId="47" xfId="0" applyFont="1" applyBorder="1" applyAlignment="1">
      <alignment vertical="top" wrapText="1"/>
    </xf>
    <xf numFmtId="41" fontId="8" fillId="0" borderId="47" xfId="0" applyNumberFormat="1" applyFont="1" applyBorder="1" applyAlignment="1">
      <alignment vertical="top" wrapText="1"/>
    </xf>
    <xf numFmtId="164" fontId="8" fillId="0" borderId="47" xfId="0" applyNumberFormat="1" applyFont="1" applyBorder="1" applyAlignment="1">
      <alignment vertical="top" wrapText="1"/>
    </xf>
    <xf numFmtId="166" fontId="8" fillId="0" borderId="47" xfId="0" applyNumberFormat="1" applyFont="1" applyBorder="1" applyAlignment="1">
      <alignment vertical="top" wrapText="1"/>
    </xf>
    <xf numFmtId="164" fontId="7" fillId="0" borderId="47" xfId="0" applyNumberFormat="1" applyFont="1" applyBorder="1" applyAlignment="1">
      <alignment vertical="top" wrapText="1"/>
    </xf>
    <xf numFmtId="0" fontId="15" fillId="0" borderId="47" xfId="0" applyFont="1" applyBorder="1" applyAlignment="1">
      <alignment vertical="top" wrapText="1"/>
    </xf>
    <xf numFmtId="0" fontId="8" fillId="0" borderId="88" xfId="0" applyFont="1" applyBorder="1" applyAlignment="1">
      <alignment vertical="top" wrapText="1"/>
    </xf>
    <xf numFmtId="0" fontId="15" fillId="0" borderId="88" xfId="0" applyFont="1" applyBorder="1" applyAlignment="1">
      <alignment vertical="top" wrapText="1"/>
    </xf>
    <xf numFmtId="41" fontId="8" fillId="0" borderId="88" xfId="0" applyNumberFormat="1" applyFont="1" applyBorder="1" applyAlignment="1">
      <alignment vertical="top" wrapText="1"/>
    </xf>
    <xf numFmtId="164" fontId="8" fillId="0" borderId="88" xfId="0" applyNumberFormat="1" applyFont="1" applyBorder="1" applyAlignment="1">
      <alignment vertical="top" wrapText="1"/>
    </xf>
    <xf numFmtId="164" fontId="7" fillId="0" borderId="88" xfId="0" applyNumberFormat="1" applyFont="1" applyBorder="1" applyAlignment="1">
      <alignment vertical="top" wrapText="1"/>
    </xf>
    <xf numFmtId="0" fontId="15" fillId="0" borderId="3" xfId="0" applyFont="1" applyBorder="1" applyAlignment="1">
      <alignment vertical="top" wrapText="1"/>
    </xf>
    <xf numFmtId="41" fontId="8" fillId="0" borderId="3" xfId="0" applyNumberFormat="1" applyFont="1" applyBorder="1" applyAlignment="1">
      <alignment vertical="top" wrapText="1"/>
    </xf>
    <xf numFmtId="164" fontId="8" fillId="0" borderId="3" xfId="0" applyNumberFormat="1" applyFont="1" applyBorder="1" applyAlignment="1">
      <alignment vertical="top" wrapText="1"/>
    </xf>
    <xf numFmtId="164" fontId="7" fillId="0" borderId="3" xfId="0" applyNumberFormat="1" applyFont="1" applyBorder="1" applyAlignment="1">
      <alignment vertical="top" wrapText="1"/>
    </xf>
    <xf numFmtId="164" fontId="7" fillId="0" borderId="85" xfId="0" applyNumberFormat="1" applyFont="1" applyBorder="1" applyAlignment="1">
      <alignment vertical="top" wrapText="1"/>
    </xf>
    <xf numFmtId="43" fontId="8" fillId="0" borderId="47" xfId="0" applyNumberFormat="1" applyFont="1" applyBorder="1" applyAlignment="1">
      <alignment vertical="top" wrapText="1"/>
    </xf>
    <xf numFmtId="43" fontId="7" fillId="0" borderId="47" xfId="0" applyNumberFormat="1" applyFont="1" applyBorder="1" applyAlignment="1">
      <alignment vertical="top" wrapText="1"/>
    </xf>
    <xf numFmtId="0" fontId="8" fillId="0" borderId="87" xfId="0" applyFont="1" applyBorder="1" applyAlignment="1">
      <alignment horizontal="center" vertical="center"/>
    </xf>
    <xf numFmtId="0" fontId="8" fillId="0" borderId="3" xfId="0" applyFont="1" applyBorder="1" applyAlignment="1">
      <alignment vertical="center"/>
    </xf>
    <xf numFmtId="0" fontId="8" fillId="0" borderId="1" xfId="0" applyFont="1" applyBorder="1" applyAlignment="1">
      <alignment vertical="center"/>
    </xf>
    <xf numFmtId="166" fontId="8" fillId="0" borderId="1" xfId="1" applyNumberFormat="1" applyFont="1" applyBorder="1" applyAlignment="1">
      <alignment vertical="center"/>
    </xf>
    <xf numFmtId="41" fontId="8" fillId="0" borderId="1" xfId="0" applyNumberFormat="1" applyFont="1" applyBorder="1" applyAlignment="1">
      <alignment vertical="center"/>
    </xf>
    <xf numFmtId="164" fontId="8" fillId="0" borderId="1" xfId="0" applyNumberFormat="1" applyFont="1" applyBorder="1" applyAlignment="1">
      <alignment vertical="center"/>
    </xf>
    <xf numFmtId="2" fontId="8" fillId="0" borderId="1" xfId="0" applyNumberFormat="1" applyFont="1" applyBorder="1" applyAlignment="1">
      <alignment vertical="center"/>
    </xf>
    <xf numFmtId="0" fontId="8" fillId="0" borderId="1" xfId="0" applyFont="1" applyBorder="1" applyAlignment="1">
      <alignment horizontal="center" vertical="center"/>
    </xf>
    <xf numFmtId="0" fontId="8" fillId="0" borderId="4" xfId="0" applyFont="1" applyBorder="1" applyAlignment="1">
      <alignment vertical="center"/>
    </xf>
    <xf numFmtId="41" fontId="25" fillId="14" borderId="1" xfId="0" applyNumberFormat="1" applyFont="1" applyFill="1" applyBorder="1" applyAlignment="1">
      <alignment vertical="top" wrapText="1"/>
    </xf>
    <xf numFmtId="41" fontId="7" fillId="0" borderId="1" xfId="0" applyNumberFormat="1" applyFont="1" applyBorder="1" applyAlignment="1">
      <alignment horizontal="left" vertical="top" wrapText="1"/>
    </xf>
    <xf numFmtId="41" fontId="7" fillId="0" borderId="2" xfId="0" applyNumberFormat="1" applyFont="1" applyBorder="1" applyAlignment="1">
      <alignment vertical="top" wrapText="1"/>
    </xf>
    <xf numFmtId="0" fontId="7" fillId="0" borderId="1" xfId="0" quotePrefix="1" applyNumberFormat="1" applyFont="1" applyBorder="1" applyAlignment="1">
      <alignment horizontal="left" vertical="top" wrapText="1"/>
    </xf>
    <xf numFmtId="0" fontId="7" fillId="0" borderId="1" xfId="0" applyNumberFormat="1" applyFont="1" applyBorder="1" applyAlignment="1">
      <alignment horizontal="left" vertical="top" wrapText="1"/>
    </xf>
    <xf numFmtId="41" fontId="7" fillId="0" borderId="1" xfId="0" applyNumberFormat="1" applyFont="1" applyFill="1" applyBorder="1" applyAlignment="1">
      <alignment horizontal="left" vertical="top" wrapText="1"/>
    </xf>
    <xf numFmtId="41" fontId="7" fillId="0" borderId="1" xfId="1" applyNumberFormat="1" applyFont="1" applyBorder="1" applyAlignment="1">
      <alignment horizontal="left" vertical="top" wrapText="1"/>
    </xf>
    <xf numFmtId="166" fontId="7" fillId="0" borderId="1" xfId="0" applyNumberFormat="1" applyFont="1" applyBorder="1" applyAlignment="1">
      <alignment horizontal="left" vertical="top" wrapText="1"/>
    </xf>
    <xf numFmtId="0" fontId="0" fillId="0" borderId="0" xfId="0" applyFont="1"/>
    <xf numFmtId="0" fontId="8" fillId="0" borderId="1" xfId="1" quotePrefix="1" applyNumberFormat="1" applyFont="1" applyBorder="1" applyAlignment="1">
      <alignment horizontal="left" vertical="top" wrapText="1"/>
    </xf>
    <xf numFmtId="0" fontId="8" fillId="0" borderId="1" xfId="1" applyNumberFormat="1" applyFont="1" applyBorder="1" applyAlignment="1">
      <alignment horizontal="left" vertical="top" wrapText="1"/>
    </xf>
    <xf numFmtId="41" fontId="8" fillId="0" borderId="1" xfId="0" applyNumberFormat="1" applyFont="1" applyBorder="1" applyAlignment="1">
      <alignment horizontal="left" vertical="top" wrapText="1"/>
    </xf>
    <xf numFmtId="166" fontId="8" fillId="0" borderId="1" xfId="0" applyNumberFormat="1" applyFont="1" applyBorder="1" applyAlignment="1">
      <alignment horizontal="left" vertical="top" wrapText="1"/>
    </xf>
    <xf numFmtId="41" fontId="8" fillId="0" borderId="1" xfId="0" applyNumberFormat="1" applyFont="1" applyFill="1" applyBorder="1" applyAlignment="1">
      <alignment horizontal="left" vertical="top" wrapText="1"/>
    </xf>
    <xf numFmtId="0" fontId="7" fillId="0" borderId="1" xfId="1" quotePrefix="1" applyNumberFormat="1" applyFont="1" applyBorder="1" applyAlignment="1">
      <alignment horizontal="left" vertical="top" wrapText="1"/>
    </xf>
    <xf numFmtId="0" fontId="7" fillId="0" borderId="1" xfId="1" applyNumberFormat="1" applyFont="1" applyBorder="1" applyAlignment="1">
      <alignment horizontal="left" vertical="top" wrapText="1"/>
    </xf>
    <xf numFmtId="41" fontId="7" fillId="0" borderId="1" xfId="1" applyNumberFormat="1" applyFont="1" applyFill="1" applyBorder="1" applyAlignment="1">
      <alignment horizontal="left" vertical="top" wrapText="1"/>
    </xf>
    <xf numFmtId="41" fontId="7" fillId="0" borderId="1" xfId="1" applyNumberFormat="1" applyFont="1" applyFill="1" applyBorder="1" applyAlignment="1">
      <alignment horizontal="left" vertical="top"/>
    </xf>
    <xf numFmtId="41" fontId="8" fillId="0" borderId="1" xfId="3" applyNumberFormat="1" applyFont="1" applyBorder="1" applyAlignment="1">
      <alignment horizontal="left" vertical="top" wrapText="1"/>
    </xf>
    <xf numFmtId="41" fontId="21" fillId="0" borderId="1" xfId="0" applyNumberFormat="1" applyFont="1" applyBorder="1" applyAlignment="1">
      <alignment horizontal="left" vertical="top" wrapText="1"/>
    </xf>
    <xf numFmtId="41" fontId="7" fillId="0" borderId="1" xfId="3" applyNumberFormat="1" applyFont="1" applyFill="1" applyBorder="1" applyAlignment="1">
      <alignment horizontal="left" vertical="top"/>
    </xf>
    <xf numFmtId="0" fontId="8" fillId="0" borderId="1" xfId="0" applyNumberFormat="1" applyFont="1" applyBorder="1" applyAlignment="1">
      <alignment horizontal="left" vertical="top" wrapText="1"/>
    </xf>
    <xf numFmtId="41" fontId="8" fillId="0" borderId="1" xfId="3" applyNumberFormat="1" applyFont="1" applyFill="1" applyBorder="1" applyAlignment="1">
      <alignment horizontal="left" vertical="top"/>
    </xf>
    <xf numFmtId="0" fontId="32" fillId="0" borderId="0" xfId="0" applyFont="1"/>
    <xf numFmtId="41" fontId="8" fillId="0" borderId="1" xfId="1" applyNumberFormat="1" applyFont="1" applyFill="1" applyBorder="1" applyAlignment="1">
      <alignment horizontal="left" vertical="top" wrapText="1"/>
    </xf>
    <xf numFmtId="41" fontId="7" fillId="0" borderId="1" xfId="0" applyNumberFormat="1" applyFont="1" applyFill="1" applyBorder="1" applyAlignment="1">
      <alignment horizontal="left" vertical="top" textRotation="255" wrapText="1"/>
    </xf>
    <xf numFmtId="168" fontId="7" fillId="0" borderId="1" xfId="0" applyNumberFormat="1" applyFont="1" applyBorder="1" applyAlignment="1">
      <alignment vertical="top"/>
    </xf>
    <xf numFmtId="2" fontId="7" fillId="0" borderId="1" xfId="0" applyNumberFormat="1" applyFont="1" applyBorder="1" applyAlignment="1">
      <alignment vertical="top"/>
    </xf>
    <xf numFmtId="0" fontId="8" fillId="3" borderId="1" xfId="0" applyFont="1" applyFill="1" applyBorder="1" applyAlignment="1">
      <alignment vertical="top"/>
    </xf>
    <xf numFmtId="0" fontId="2" fillId="4" borderId="1" xfId="0" applyFont="1" applyFill="1" applyBorder="1"/>
    <xf numFmtId="0" fontId="8" fillId="9" borderId="1" xfId="0" applyFont="1" applyFill="1" applyBorder="1" applyAlignment="1">
      <alignment horizontal="center" vertical="top"/>
    </xf>
    <xf numFmtId="0" fontId="7" fillId="0" borderId="1" xfId="0" applyFont="1" applyBorder="1" applyAlignment="1">
      <alignment horizontal="center" vertical="top"/>
    </xf>
    <xf numFmtId="41" fontId="9" fillId="4" borderId="1" xfId="0" applyNumberFormat="1" applyFont="1" applyFill="1" applyBorder="1"/>
    <xf numFmtId="0" fontId="8" fillId="4" borderId="1" xfId="0" applyFont="1" applyFill="1" applyBorder="1"/>
    <xf numFmtId="41" fontId="7" fillId="0" borderId="1" xfId="0" applyNumberFormat="1" applyFont="1" applyBorder="1" applyAlignment="1">
      <alignment vertical="top" wrapText="1"/>
    </xf>
    <xf numFmtId="0" fontId="7" fillId="0" borderId="89" xfId="0" quotePrefix="1" applyFont="1" applyFill="1" applyBorder="1" applyAlignment="1">
      <alignment vertical="top" wrapText="1"/>
    </xf>
    <xf numFmtId="0" fontId="23" fillId="0" borderId="89" xfId="0" applyFont="1" applyFill="1" applyBorder="1" applyAlignment="1">
      <alignment horizontal="left" vertical="top" wrapText="1"/>
    </xf>
    <xf numFmtId="0" fontId="7" fillId="0" borderId="89" xfId="0" applyFont="1" applyFill="1" applyBorder="1" applyAlignment="1">
      <alignment vertical="top" wrapText="1"/>
    </xf>
    <xf numFmtId="0" fontId="23" fillId="0" borderId="90" xfId="0" applyFont="1" applyFill="1" applyBorder="1" applyAlignment="1">
      <alignment vertical="top" wrapText="1"/>
    </xf>
    <xf numFmtId="0" fontId="7" fillId="0" borderId="89" xfId="3" applyNumberFormat="1" applyFont="1" applyFill="1" applyBorder="1" applyAlignment="1">
      <alignment horizontal="right" vertical="center"/>
    </xf>
    <xf numFmtId="164" fontId="7" fillId="0" borderId="89" xfId="1" applyNumberFormat="1" applyFont="1" applyFill="1" applyBorder="1" applyAlignment="1">
      <alignment horizontal="center" vertical="center"/>
    </xf>
    <xf numFmtId="0" fontId="7" fillId="0" borderId="89" xfId="0" applyNumberFormat="1" applyFont="1" applyFill="1" applyBorder="1" applyAlignment="1">
      <alignment vertical="center" wrapText="1"/>
    </xf>
    <xf numFmtId="3" fontId="7" fillId="0" borderId="89" xfId="1" applyNumberFormat="1" applyFont="1" applyFill="1" applyBorder="1" applyAlignment="1">
      <alignment vertical="center" wrapText="1"/>
    </xf>
    <xf numFmtId="0" fontId="7" fillId="0" borderId="89" xfId="0" applyNumberFormat="1" applyFont="1" applyFill="1" applyBorder="1" applyAlignment="1">
      <alignment horizontal="center" vertical="center"/>
    </xf>
    <xf numFmtId="3" fontId="7" fillId="0" borderId="89" xfId="1" applyNumberFormat="1" applyFont="1" applyFill="1" applyBorder="1" applyAlignment="1">
      <alignment horizontal="center" vertical="center"/>
    </xf>
    <xf numFmtId="3" fontId="7" fillId="0" borderId="89" xfId="0" applyNumberFormat="1" applyFont="1" applyFill="1" applyBorder="1" applyAlignment="1">
      <alignment vertical="top" wrapText="1"/>
    </xf>
    <xf numFmtId="0" fontId="7" fillId="0" borderId="89" xfId="3" applyNumberFormat="1" applyFont="1" applyFill="1" applyBorder="1" applyAlignment="1">
      <alignment horizontal="center" vertical="center" wrapText="1"/>
    </xf>
    <xf numFmtId="164" fontId="7" fillId="0" borderId="89" xfId="0" applyNumberFormat="1" applyFont="1" applyFill="1" applyBorder="1" applyAlignment="1">
      <alignment vertical="center" wrapText="1"/>
    </xf>
    <xf numFmtId="0" fontId="33" fillId="0" borderId="0" xfId="0" applyFont="1" applyFill="1" applyBorder="1" applyAlignment="1">
      <alignment vertical="top"/>
    </xf>
    <xf numFmtId="0" fontId="33" fillId="0" borderId="0" xfId="0" applyFont="1" applyFill="1" applyAlignment="1">
      <alignment vertical="top"/>
    </xf>
    <xf numFmtId="0" fontId="8" fillId="0" borderId="89" xfId="0" applyFont="1" applyFill="1" applyBorder="1" applyAlignment="1">
      <alignment vertical="top" wrapText="1"/>
    </xf>
    <xf numFmtId="0" fontId="23" fillId="0" borderId="89" xfId="0" applyFont="1" applyFill="1" applyBorder="1" applyAlignment="1">
      <alignment vertical="top" wrapText="1"/>
    </xf>
    <xf numFmtId="0" fontId="8" fillId="0" borderId="89" xfId="0" quotePrefix="1" applyFont="1" applyFill="1" applyBorder="1" applyAlignment="1">
      <alignment vertical="top" wrapText="1"/>
    </xf>
    <xf numFmtId="0" fontId="31" fillId="0" borderId="0" xfId="0" applyFont="1" applyFill="1" applyBorder="1" applyAlignment="1">
      <alignment vertical="top"/>
    </xf>
    <xf numFmtId="0" fontId="31" fillId="0" borderId="0" xfId="0" applyFont="1" applyFill="1" applyAlignment="1">
      <alignment vertical="top"/>
    </xf>
    <xf numFmtId="0" fontId="8" fillId="0" borderId="89" xfId="0" applyFont="1" applyFill="1" applyBorder="1" applyAlignment="1">
      <alignment vertical="center" wrapText="1"/>
    </xf>
    <xf numFmtId="0" fontId="8" fillId="0" borderId="89" xfId="0" quotePrefix="1" applyFont="1" applyFill="1" applyBorder="1" applyAlignment="1">
      <alignment vertical="center" wrapText="1"/>
    </xf>
    <xf numFmtId="0" fontId="15" fillId="0" borderId="89" xfId="0" applyFont="1" applyFill="1" applyBorder="1" applyAlignment="1">
      <alignment vertical="top" wrapText="1"/>
    </xf>
    <xf numFmtId="0" fontId="34" fillId="0" borderId="91" xfId="0" applyFont="1" applyFill="1" applyBorder="1" applyAlignment="1">
      <alignment vertical="center" wrapText="1"/>
    </xf>
    <xf numFmtId="0" fontId="34" fillId="0" borderId="92" xfId="0" applyFont="1" applyFill="1" applyBorder="1" applyAlignment="1">
      <alignment vertical="center" wrapText="1"/>
    </xf>
    <xf numFmtId="0" fontId="21" fillId="0" borderId="89" xfId="0" applyFont="1" applyFill="1" applyBorder="1" applyAlignment="1">
      <alignment vertical="top" wrapText="1"/>
    </xf>
    <xf numFmtId="3" fontId="8" fillId="0" borderId="89" xfId="2" applyNumberFormat="1" applyFont="1" applyFill="1" applyBorder="1" applyAlignment="1">
      <alignment vertical="center" wrapText="1"/>
    </xf>
    <xf numFmtId="46" fontId="8" fillId="0" borderId="89" xfId="0" applyNumberFormat="1" applyFont="1" applyFill="1" applyBorder="1" applyAlignment="1">
      <alignment vertical="center" wrapText="1"/>
    </xf>
    <xf numFmtId="3" fontId="8" fillId="0" borderId="89" xfId="0" applyNumberFormat="1" applyFont="1" applyFill="1" applyBorder="1" applyAlignment="1">
      <alignment vertical="center" wrapText="1"/>
    </xf>
    <xf numFmtId="10" fontId="8" fillId="0" borderId="89" xfId="0" applyNumberFormat="1" applyFont="1" applyFill="1" applyBorder="1" applyAlignment="1">
      <alignment vertical="center" wrapText="1"/>
    </xf>
    <xf numFmtId="3" fontId="8" fillId="0" borderId="89" xfId="1" applyNumberFormat="1" applyFont="1" applyFill="1" applyBorder="1" applyAlignment="1">
      <alignment vertical="center" wrapText="1"/>
    </xf>
    <xf numFmtId="3" fontId="7" fillId="0" borderId="89" xfId="4" applyNumberFormat="1" applyFont="1" applyFill="1" applyBorder="1" applyAlignment="1">
      <alignment horizontal="center" vertical="center" wrapText="1"/>
    </xf>
    <xf numFmtId="3" fontId="7" fillId="9" borderId="89" xfId="1" applyNumberFormat="1" applyFont="1" applyFill="1" applyBorder="1" applyAlignment="1">
      <alignment vertical="center" wrapText="1"/>
    </xf>
    <xf numFmtId="0" fontId="33" fillId="0" borderId="0" xfId="0" applyFont="1" applyFill="1" applyBorder="1"/>
    <xf numFmtId="0" fontId="31" fillId="0" borderId="0" xfId="0" applyFont="1" applyFill="1" applyBorder="1"/>
    <xf numFmtId="0" fontId="31" fillId="0" borderId="0" xfId="0" applyFont="1" applyFill="1"/>
    <xf numFmtId="0" fontId="33" fillId="0" borderId="0" xfId="0" applyFont="1" applyFill="1"/>
    <xf numFmtId="0" fontId="8" fillId="0" borderId="89" xfId="0" applyNumberFormat="1" applyFont="1" applyFill="1" applyBorder="1" applyAlignment="1">
      <alignment vertical="center" wrapText="1"/>
    </xf>
    <xf numFmtId="3" fontId="8" fillId="9" borderId="89" xfId="1" applyNumberFormat="1" applyFont="1" applyFill="1" applyBorder="1" applyAlignment="1">
      <alignment vertical="center" wrapText="1"/>
    </xf>
    <xf numFmtId="0" fontId="8" fillId="0" borderId="89" xfId="1" applyNumberFormat="1" applyFont="1" applyFill="1" applyBorder="1" applyAlignment="1">
      <alignment vertical="center" wrapText="1"/>
    </xf>
    <xf numFmtId="0" fontId="8" fillId="0" borderId="89" xfId="0" applyNumberFormat="1" applyFont="1" applyFill="1" applyBorder="1" applyAlignment="1">
      <alignment horizontal="center" wrapText="1"/>
    </xf>
    <xf numFmtId="3" fontId="8" fillId="0" borderId="89" xfId="1" applyNumberFormat="1" applyFont="1" applyFill="1" applyBorder="1" applyAlignment="1">
      <alignment horizontal="center" wrapText="1"/>
    </xf>
    <xf numFmtId="0" fontId="17" fillId="0" borderId="89" xfId="0" applyFont="1" applyFill="1" applyBorder="1" applyAlignment="1">
      <alignment horizontal="left" vertical="top" wrapText="1"/>
    </xf>
    <xf numFmtId="3" fontId="7" fillId="9" borderId="89" xfId="1" applyNumberFormat="1" applyFont="1" applyFill="1" applyBorder="1" applyAlignment="1">
      <alignment horizontal="center" vertical="center" wrapText="1"/>
    </xf>
    <xf numFmtId="1" fontId="7" fillId="0" borderId="89" xfId="0" applyNumberFormat="1" applyFont="1" applyFill="1" applyBorder="1" applyAlignment="1">
      <alignment horizontal="center" vertical="center" wrapText="1"/>
    </xf>
    <xf numFmtId="9" fontId="8" fillId="0" borderId="89" xfId="0" applyNumberFormat="1" applyFont="1" applyFill="1" applyBorder="1" applyAlignment="1">
      <alignment vertical="center" wrapText="1"/>
    </xf>
    <xf numFmtId="0" fontId="17" fillId="0" borderId="89" xfId="0" applyFont="1" applyFill="1" applyBorder="1" applyAlignment="1">
      <alignment horizontal="left" vertical="center" wrapText="1"/>
    </xf>
    <xf numFmtId="0" fontId="17" fillId="0" borderId="89" xfId="0" applyNumberFormat="1" applyFont="1" applyFill="1" applyBorder="1" applyAlignment="1">
      <alignment horizontal="center" vertical="center" wrapText="1"/>
    </xf>
    <xf numFmtId="166" fontId="17" fillId="0" borderId="89" xfId="1" applyNumberFormat="1" applyFont="1" applyFill="1" applyBorder="1" applyAlignment="1">
      <alignment vertical="center"/>
    </xf>
    <xf numFmtId="41" fontId="17" fillId="0" borderId="89" xfId="0" applyNumberFormat="1" applyFont="1" applyFill="1" applyBorder="1" applyAlignment="1">
      <alignment horizontal="center" vertical="center"/>
    </xf>
    <xf numFmtId="169" fontId="17" fillId="0" borderId="89" xfId="0" applyNumberFormat="1" applyFont="1" applyFill="1" applyBorder="1" applyAlignment="1">
      <alignment horizontal="center" vertical="center"/>
    </xf>
    <xf numFmtId="166" fontId="17" fillId="9" borderId="89" xfId="2" applyNumberFormat="1" applyFont="1" applyFill="1" applyBorder="1" applyAlignment="1">
      <alignment horizontal="center" vertical="center"/>
    </xf>
    <xf numFmtId="9" fontId="7" fillId="0" borderId="89" xfId="3" applyNumberFormat="1" applyFont="1" applyFill="1" applyBorder="1" applyAlignment="1">
      <alignment horizontal="center" vertical="center" wrapText="1"/>
    </xf>
    <xf numFmtId="0" fontId="15" fillId="0" borderId="89" xfId="0" applyFont="1" applyFill="1" applyBorder="1" applyAlignment="1">
      <alignment horizontal="left" vertical="top" wrapText="1" indent="4"/>
    </xf>
    <xf numFmtId="9" fontId="7" fillId="0" borderId="89" xfId="0" applyNumberFormat="1" applyFont="1" applyFill="1" applyBorder="1" applyAlignment="1">
      <alignment vertical="center" wrapText="1"/>
    </xf>
    <xf numFmtId="0" fontId="17" fillId="0" borderId="89" xfId="0" applyFont="1" applyFill="1" applyBorder="1" applyAlignment="1">
      <alignment horizontal="center" vertical="center"/>
    </xf>
    <xf numFmtId="43" fontId="7" fillId="0" borderId="89" xfId="1" applyNumberFormat="1" applyFont="1" applyFill="1" applyBorder="1" applyAlignment="1">
      <alignment horizontal="center" vertical="center"/>
    </xf>
    <xf numFmtId="41" fontId="17" fillId="0" borderId="89" xfId="0" applyNumberFormat="1" applyFont="1" applyFill="1" applyBorder="1" applyAlignment="1">
      <alignment vertical="center"/>
    </xf>
    <xf numFmtId="169" fontId="17" fillId="0" borderId="89" xfId="0" applyNumberFormat="1" applyFont="1" applyFill="1" applyBorder="1" applyAlignment="1">
      <alignment vertical="center"/>
    </xf>
    <xf numFmtId="0" fontId="21" fillId="9" borderId="89" xfId="0" applyNumberFormat="1" applyFont="1" applyFill="1" applyBorder="1" applyAlignment="1">
      <alignment horizontal="right" vertical="center" wrapText="1"/>
    </xf>
    <xf numFmtId="164" fontId="7" fillId="0" borderId="89" xfId="2" applyNumberFormat="1" applyFont="1" applyFill="1" applyBorder="1" applyAlignment="1">
      <alignment horizontal="right" vertical="center" wrapText="1"/>
    </xf>
    <xf numFmtId="164" fontId="7" fillId="0" borderId="89" xfId="3" applyNumberFormat="1" applyFont="1" applyFill="1" applyBorder="1" applyAlignment="1">
      <alignment vertical="center" wrapText="1"/>
    </xf>
    <xf numFmtId="41" fontId="7" fillId="0" borderId="89" xfId="0" applyNumberFormat="1" applyFont="1" applyFill="1" applyBorder="1" applyAlignment="1">
      <alignment vertical="center" wrapText="1"/>
    </xf>
    <xf numFmtId="3" fontId="8" fillId="0" borderId="89" xfId="4" applyNumberFormat="1" applyFont="1" applyFill="1" applyBorder="1" applyAlignment="1">
      <alignment vertical="center" wrapText="1"/>
    </xf>
    <xf numFmtId="0" fontId="15" fillId="0" borderId="89" xfId="0" applyFont="1" applyFill="1" applyBorder="1" applyAlignment="1">
      <alignment vertical="center"/>
    </xf>
    <xf numFmtId="0" fontId="23" fillId="0" borderId="89" xfId="0" applyFont="1" applyFill="1" applyBorder="1" applyAlignment="1">
      <alignment vertical="center" wrapText="1"/>
    </xf>
    <xf numFmtId="43" fontId="7" fillId="0" borderId="89" xfId="1" applyNumberFormat="1" applyFont="1" applyFill="1" applyBorder="1" applyAlignment="1">
      <alignment vertical="center"/>
    </xf>
    <xf numFmtId="166" fontId="17" fillId="9" borderId="89" xfId="2" applyNumberFormat="1" applyFont="1" applyFill="1" applyBorder="1" applyAlignment="1">
      <alignment horizontal="right" vertical="center"/>
    </xf>
    <xf numFmtId="49" fontId="7" fillId="0" borderId="89" xfId="1" applyNumberFormat="1" applyFont="1" applyFill="1" applyBorder="1" applyAlignment="1">
      <alignment vertical="center" wrapText="1"/>
    </xf>
    <xf numFmtId="164" fontId="7" fillId="0" borderId="89" xfId="3" applyNumberFormat="1" applyFont="1" applyFill="1" applyBorder="1" applyAlignment="1">
      <alignment horizontal="center" vertical="center" wrapText="1"/>
    </xf>
    <xf numFmtId="0" fontId="21" fillId="0" borderId="89" xfId="0" applyFont="1" applyFill="1" applyBorder="1" applyAlignment="1">
      <alignment horizontal="left" vertical="top" wrapText="1"/>
    </xf>
    <xf numFmtId="0" fontId="8" fillId="0" borderId="89" xfId="0" applyFont="1" applyFill="1" applyBorder="1" applyAlignment="1">
      <alignment wrapText="1"/>
    </xf>
    <xf numFmtId="0" fontId="7" fillId="0" borderId="89" xfId="1" applyNumberFormat="1" applyFont="1" applyFill="1" applyBorder="1" applyAlignment="1">
      <alignment horizontal="right" vertical="center"/>
    </xf>
    <xf numFmtId="0" fontId="8" fillId="0" borderId="89" xfId="0" applyFont="1" applyFill="1" applyBorder="1"/>
    <xf numFmtId="0" fontId="15" fillId="0" borderId="93" xfId="0" applyFont="1" applyFill="1" applyBorder="1" applyAlignment="1">
      <alignment vertical="top" wrapText="1"/>
    </xf>
    <xf numFmtId="9" fontId="7" fillId="0" borderId="1" xfId="3" applyFont="1" applyFill="1" applyBorder="1" applyAlignment="1">
      <alignment horizontal="right" vertical="top"/>
    </xf>
    <xf numFmtId="43" fontId="7" fillId="0" borderId="1" xfId="1" applyNumberFormat="1" applyFont="1" applyFill="1" applyBorder="1" applyAlignment="1">
      <alignment horizontal="right" vertical="top"/>
    </xf>
    <xf numFmtId="9" fontId="7" fillId="0" borderId="1" xfId="0" applyNumberFormat="1" applyFont="1" applyFill="1" applyBorder="1" applyAlignment="1">
      <alignment horizontal="right" vertical="top"/>
    </xf>
    <xf numFmtId="10" fontId="7" fillId="0" borderId="1" xfId="0" applyNumberFormat="1" applyFont="1" applyFill="1" applyBorder="1" applyAlignment="1">
      <alignment vertical="top" wrapText="1"/>
    </xf>
    <xf numFmtId="41" fontId="7" fillId="0" borderId="1" xfId="0" applyNumberFormat="1" applyFont="1" applyFill="1" applyBorder="1" applyAlignment="1">
      <alignment vertical="top" wrapText="1"/>
    </xf>
    <xf numFmtId="10" fontId="8" fillId="0" borderId="1" xfId="0" applyNumberFormat="1" applyFont="1" applyFill="1" applyBorder="1" applyAlignment="1">
      <alignment vertical="top" wrapText="1"/>
    </xf>
    <xf numFmtId="41" fontId="8" fillId="0" borderId="1" xfId="0" applyNumberFormat="1" applyFont="1" applyFill="1" applyBorder="1" applyAlignment="1">
      <alignment vertical="top" wrapText="1"/>
    </xf>
    <xf numFmtId="9" fontId="8" fillId="0" borderId="1" xfId="1" applyNumberFormat="1" applyFont="1" applyFill="1" applyBorder="1" applyAlignment="1">
      <alignment vertical="top" wrapText="1"/>
    </xf>
    <xf numFmtId="0" fontId="7" fillId="0" borderId="1" xfId="0" applyFont="1" applyFill="1" applyBorder="1" applyAlignment="1">
      <alignment horizontal="center" vertical="center" wrapText="1"/>
    </xf>
    <xf numFmtId="0" fontId="8" fillId="0" borderId="1" xfId="0" quotePrefix="1" applyFont="1" applyFill="1" applyBorder="1" applyAlignment="1">
      <alignment horizontal="right" vertical="top" wrapText="1"/>
    </xf>
    <xf numFmtId="0" fontId="15" fillId="0" borderId="1" xfId="0" applyFont="1" applyFill="1" applyBorder="1" applyAlignment="1">
      <alignment vertical="top" wrapText="1"/>
    </xf>
    <xf numFmtId="9" fontId="8" fillId="0" borderId="1" xfId="0" applyNumberFormat="1" applyFont="1" applyFill="1" applyBorder="1" applyAlignment="1">
      <alignment horizontal="right" vertical="top" wrapText="1"/>
    </xf>
    <xf numFmtId="164" fontId="8" fillId="0" borderId="1" xfId="2" applyNumberFormat="1" applyFont="1" applyFill="1" applyBorder="1" applyAlignment="1">
      <alignment vertical="top" wrapText="1"/>
    </xf>
    <xf numFmtId="41" fontId="21" fillId="0" borderId="1" xfId="0" applyNumberFormat="1" applyFont="1" applyFill="1" applyBorder="1" applyAlignment="1">
      <alignment vertical="top" wrapText="1"/>
    </xf>
    <xf numFmtId="10" fontId="8" fillId="0" borderId="1" xfId="1" applyNumberFormat="1" applyFont="1" applyFill="1" applyBorder="1" applyAlignment="1">
      <alignment vertical="top" wrapText="1"/>
    </xf>
    <xf numFmtId="41" fontId="35" fillId="0" borderId="1" xfId="0" applyNumberFormat="1" applyFont="1" applyFill="1" applyBorder="1" applyAlignment="1">
      <alignment vertical="top" wrapText="1"/>
    </xf>
    <xf numFmtId="10" fontId="8" fillId="0" borderId="1" xfId="0" applyNumberFormat="1" applyFont="1" applyFill="1" applyBorder="1" applyAlignment="1">
      <alignment horizontal="right" vertical="center" wrapText="1"/>
    </xf>
    <xf numFmtId="43" fontId="8" fillId="0" borderId="1" xfId="2" applyFont="1" applyFill="1" applyBorder="1" applyAlignment="1">
      <alignment vertical="top" wrapText="1"/>
    </xf>
    <xf numFmtId="9" fontId="7" fillId="0" borderId="1" xfId="3" applyNumberFormat="1" applyFont="1" applyFill="1" applyBorder="1" applyAlignment="1">
      <alignment horizontal="right" vertical="center"/>
    </xf>
    <xf numFmtId="9" fontId="7" fillId="0" borderId="1" xfId="0" applyNumberFormat="1" applyFont="1" applyFill="1" applyBorder="1" applyAlignment="1">
      <alignment horizontal="right" vertical="center"/>
    </xf>
    <xf numFmtId="164" fontId="7" fillId="0" borderId="1" xfId="2" applyNumberFormat="1" applyFont="1" applyFill="1" applyBorder="1" applyAlignment="1">
      <alignment vertical="center" wrapText="1"/>
    </xf>
    <xf numFmtId="41" fontId="7" fillId="0" borderId="1" xfId="0" applyNumberFormat="1" applyFont="1" applyFill="1" applyBorder="1" applyAlignment="1">
      <alignment vertical="center" wrapText="1"/>
    </xf>
    <xf numFmtId="10" fontId="7" fillId="0" borderId="1" xfId="0" applyNumberFormat="1" applyFont="1" applyFill="1" applyBorder="1" applyAlignment="1">
      <alignment vertical="center" wrapText="1"/>
    </xf>
    <xf numFmtId="41" fontId="7" fillId="0" borderId="1" xfId="1" applyFont="1" applyFill="1" applyBorder="1" applyAlignment="1">
      <alignment vertical="center" wrapText="1"/>
    </xf>
    <xf numFmtId="10" fontId="8" fillId="0" borderId="1" xfId="0" applyNumberFormat="1" applyFont="1" applyFill="1" applyBorder="1" applyAlignment="1">
      <alignment vertical="center" wrapText="1"/>
    </xf>
    <xf numFmtId="41" fontId="8" fillId="0" borderId="1" xfId="0" applyNumberFormat="1" applyFont="1" applyFill="1" applyBorder="1" applyAlignment="1">
      <alignment vertical="center" wrapText="1"/>
    </xf>
    <xf numFmtId="9" fontId="8" fillId="0" borderId="1" xfId="1" applyNumberFormat="1" applyFont="1" applyFill="1" applyBorder="1" applyAlignment="1">
      <alignment vertical="center" wrapText="1"/>
    </xf>
    <xf numFmtId="1" fontId="8" fillId="0" borderId="1" xfId="0" applyNumberFormat="1" applyFont="1" applyFill="1" applyBorder="1" applyAlignment="1">
      <alignment horizontal="right" vertical="top" wrapText="1"/>
    </xf>
    <xf numFmtId="0" fontId="8" fillId="0" borderId="1" xfId="0" quotePrefix="1" applyFont="1" applyFill="1" applyBorder="1" applyAlignment="1">
      <alignment horizontal="center" vertical="top" wrapText="1"/>
    </xf>
    <xf numFmtId="9" fontId="8" fillId="0" borderId="1" xfId="0" applyNumberFormat="1" applyFont="1" applyFill="1" applyBorder="1" applyAlignment="1">
      <alignment vertical="center" wrapText="1"/>
    </xf>
    <xf numFmtId="0" fontId="8" fillId="0" borderId="1" xfId="0" applyNumberFormat="1" applyFont="1" applyFill="1" applyBorder="1" applyAlignment="1">
      <alignment horizontal="right" vertical="center" wrapText="1"/>
    </xf>
    <xf numFmtId="164" fontId="8" fillId="0" borderId="1" xfId="2" applyNumberFormat="1" applyFont="1" applyFill="1" applyBorder="1" applyAlignment="1">
      <alignment vertical="center" wrapText="1"/>
    </xf>
    <xf numFmtId="0" fontId="21" fillId="0" borderId="1" xfId="1" applyNumberFormat="1" applyFont="1" applyFill="1" applyBorder="1" applyAlignment="1">
      <alignment vertical="center" wrapText="1"/>
    </xf>
    <xf numFmtId="10" fontId="8" fillId="0" borderId="1" xfId="1" applyNumberFormat="1" applyFont="1" applyFill="1" applyBorder="1" applyAlignment="1">
      <alignment vertical="center" wrapText="1"/>
    </xf>
    <xf numFmtId="0" fontId="21" fillId="0" borderId="1" xfId="1" applyNumberFormat="1" applyFont="1" applyFill="1" applyBorder="1" applyAlignment="1">
      <alignment vertical="center"/>
    </xf>
    <xf numFmtId="9" fontId="8" fillId="0" borderId="1" xfId="0" applyNumberFormat="1" applyFont="1" applyFill="1" applyBorder="1" applyAlignment="1">
      <alignment horizontal="right" vertical="center" wrapText="1"/>
    </xf>
    <xf numFmtId="175" fontId="8" fillId="0" borderId="1" xfId="2" applyNumberFormat="1" applyFont="1" applyFill="1" applyBorder="1" applyAlignment="1">
      <alignment vertical="center" wrapText="1"/>
    </xf>
    <xf numFmtId="164" fontId="7" fillId="0" borderId="1" xfId="0" applyNumberFormat="1" applyFont="1" applyFill="1" applyBorder="1" applyAlignment="1">
      <alignment vertical="top" wrapText="1"/>
    </xf>
    <xf numFmtId="43" fontId="7" fillId="0" borderId="1" xfId="0" applyNumberFormat="1" applyFont="1" applyFill="1" applyBorder="1" applyAlignment="1">
      <alignment horizontal="right" vertical="center" wrapText="1"/>
    </xf>
    <xf numFmtId="9" fontId="7" fillId="0" borderId="1" xfId="0" applyNumberFormat="1" applyFont="1" applyFill="1" applyBorder="1" applyAlignment="1">
      <alignment vertical="top" wrapText="1"/>
    </xf>
    <xf numFmtId="43" fontId="7" fillId="0" borderId="1" xfId="2" applyFont="1" applyFill="1" applyBorder="1" applyAlignment="1">
      <alignment vertical="top" wrapText="1"/>
    </xf>
    <xf numFmtId="43" fontId="8" fillId="0" borderId="1" xfId="0" applyNumberFormat="1" applyFont="1" applyFill="1" applyBorder="1" applyAlignment="1">
      <alignment vertical="top" wrapText="1"/>
    </xf>
    <xf numFmtId="41" fontId="8" fillId="0" borderId="1" xfId="1" applyFont="1" applyFill="1" applyBorder="1" applyAlignment="1">
      <alignment horizontal="right" vertical="top" wrapText="1"/>
    </xf>
    <xf numFmtId="164" fontId="7" fillId="0" borderId="1" xfId="0" applyNumberFormat="1" applyFont="1" applyFill="1" applyBorder="1" applyAlignment="1">
      <alignment horizontal="right" vertical="center" wrapText="1"/>
    </xf>
    <xf numFmtId="0" fontId="21" fillId="0" borderId="1" xfId="1" applyNumberFormat="1" applyFont="1" applyFill="1" applyBorder="1" applyAlignment="1">
      <alignment horizontal="left" vertical="center"/>
    </xf>
    <xf numFmtId="9" fontId="7" fillId="0" borderId="1" xfId="0" applyNumberFormat="1" applyFont="1" applyFill="1" applyBorder="1" applyAlignment="1">
      <alignment vertical="center" wrapText="1"/>
    </xf>
    <xf numFmtId="0" fontId="7" fillId="0" borderId="1" xfId="0" quotePrefix="1" applyFont="1" applyFill="1" applyBorder="1" applyAlignment="1">
      <alignment vertical="top" wrapText="1"/>
    </xf>
    <xf numFmtId="0" fontId="23" fillId="0" borderId="1" xfId="0" applyFont="1" applyFill="1" applyBorder="1" applyAlignment="1">
      <alignment vertical="top" wrapText="1"/>
    </xf>
    <xf numFmtId="9" fontId="7" fillId="0" borderId="1" xfId="1" applyNumberFormat="1" applyFont="1" applyFill="1" applyBorder="1" applyAlignment="1">
      <alignment horizontal="right" vertical="center"/>
    </xf>
    <xf numFmtId="10" fontId="7" fillId="0" borderId="1" xfId="0" applyNumberFormat="1" applyFont="1" applyFill="1" applyBorder="1" applyAlignment="1">
      <alignment horizontal="center" vertical="center" wrapText="1"/>
    </xf>
    <xf numFmtId="9" fontId="7" fillId="0" borderId="1" xfId="0" applyNumberFormat="1" applyFont="1" applyFill="1" applyBorder="1" applyAlignment="1">
      <alignment horizontal="right" vertical="center" wrapText="1"/>
    </xf>
    <xf numFmtId="10" fontId="7" fillId="0" borderId="1" xfId="0" applyNumberFormat="1" applyFont="1" applyFill="1" applyBorder="1" applyAlignment="1">
      <alignment horizontal="right" vertical="center" wrapText="1"/>
    </xf>
    <xf numFmtId="164" fontId="7" fillId="0" borderId="1" xfId="2" applyNumberFormat="1" applyFont="1" applyFill="1" applyBorder="1" applyAlignment="1">
      <alignment horizontal="center" vertical="center" wrapText="1"/>
    </xf>
    <xf numFmtId="0" fontId="15" fillId="0" borderId="1" xfId="0" applyFont="1" applyFill="1" applyBorder="1" applyAlignment="1">
      <alignment horizontal="left" vertical="top" wrapText="1" indent="7"/>
    </xf>
    <xf numFmtId="0" fontId="21" fillId="0" borderId="1" xfId="5" applyFont="1" applyFill="1" applyBorder="1" applyAlignment="1">
      <alignment horizontal="left" vertical="center" wrapText="1"/>
    </xf>
    <xf numFmtId="0" fontId="17" fillId="0" borderId="1" xfId="5" applyFont="1" applyFill="1" applyBorder="1" applyAlignment="1">
      <alignment horizontal="left" vertical="center" wrapText="1"/>
    </xf>
    <xf numFmtId="164" fontId="8" fillId="0" borderId="1" xfId="2" applyNumberFormat="1" applyFont="1" applyFill="1" applyBorder="1" applyAlignment="1">
      <alignment horizontal="right" vertical="center"/>
    </xf>
    <xf numFmtId="0" fontId="8" fillId="0" borderId="1" xfId="0" quotePrefix="1" applyFont="1" applyFill="1" applyBorder="1" applyAlignment="1">
      <alignment horizontal="left" vertical="top" wrapText="1"/>
    </xf>
    <xf numFmtId="0" fontId="15" fillId="0" borderId="1" xfId="0" applyFont="1" applyFill="1" applyBorder="1" applyAlignment="1">
      <alignment horizontal="left" vertical="top" wrapText="1" indent="4"/>
    </xf>
    <xf numFmtId="0" fontId="8" fillId="0" borderId="1" xfId="5" applyFont="1" applyFill="1" applyBorder="1" applyAlignment="1">
      <alignment horizontal="left" vertical="center" wrapText="1"/>
    </xf>
    <xf numFmtId="9" fontId="17" fillId="0" borderId="1" xfId="6" applyNumberFormat="1" applyFont="1" applyFill="1" applyBorder="1" applyAlignment="1">
      <alignment horizontal="right" vertical="center"/>
    </xf>
    <xf numFmtId="176" fontId="7" fillId="0" borderId="1" xfId="1" applyNumberFormat="1" applyFont="1" applyFill="1" applyBorder="1" applyAlignment="1">
      <alignment vertical="center" wrapText="1"/>
    </xf>
    <xf numFmtId="9" fontId="8" fillId="0" borderId="1" xfId="1" applyNumberFormat="1" applyFont="1" applyFill="1" applyBorder="1" applyAlignment="1">
      <alignment horizontal="right" vertical="center"/>
    </xf>
    <xf numFmtId="10" fontId="8" fillId="0" borderId="1" xfId="0" applyNumberFormat="1" applyFont="1" applyFill="1" applyBorder="1" applyAlignment="1">
      <alignment horizontal="center" vertical="center" wrapText="1"/>
    </xf>
    <xf numFmtId="9" fontId="8" fillId="0" borderId="1" xfId="0" applyNumberFormat="1" applyFont="1" applyFill="1" applyBorder="1" applyAlignment="1">
      <alignment horizontal="center" vertical="center" wrapText="1"/>
    </xf>
    <xf numFmtId="41" fontId="7" fillId="0" borderId="1" xfId="0" applyNumberFormat="1" applyFont="1" applyFill="1" applyBorder="1" applyAlignment="1">
      <alignment horizontal="center" vertical="center" wrapText="1"/>
    </xf>
    <xf numFmtId="0" fontId="7" fillId="0" borderId="1" xfId="0" quotePrefix="1" applyFont="1" applyFill="1" applyBorder="1" applyAlignment="1">
      <alignment horizontal="right" vertical="top" wrapText="1"/>
    </xf>
    <xf numFmtId="41" fontId="8" fillId="0" borderId="1" xfId="1" applyFont="1" applyFill="1" applyBorder="1" applyAlignment="1">
      <alignment horizontal="center" vertical="center" wrapText="1"/>
    </xf>
    <xf numFmtId="0" fontId="8" fillId="0" borderId="1" xfId="0" applyFont="1" applyFill="1" applyBorder="1" applyAlignment="1">
      <alignment horizontal="right" vertical="center" wrapText="1"/>
    </xf>
    <xf numFmtId="0" fontId="8" fillId="0" borderId="1" xfId="0" applyFont="1" applyFill="1" applyBorder="1" applyAlignment="1">
      <alignment horizontal="right" vertical="top" wrapText="1"/>
    </xf>
    <xf numFmtId="10" fontId="8" fillId="0" borderId="1" xfId="2" applyNumberFormat="1" applyFont="1" applyFill="1" applyBorder="1" applyAlignment="1">
      <alignment vertical="top" wrapText="1"/>
    </xf>
    <xf numFmtId="0" fontId="17" fillId="0" borderId="1" xfId="0" applyNumberFormat="1" applyFont="1" applyFill="1" applyBorder="1" applyAlignment="1">
      <alignment vertical="center" wrapText="1"/>
    </xf>
    <xf numFmtId="10" fontId="7" fillId="0" borderId="1" xfId="0" applyNumberFormat="1" applyFont="1" applyFill="1" applyBorder="1" applyAlignment="1">
      <alignment horizontal="right" vertical="top"/>
    </xf>
    <xf numFmtId="0" fontId="21" fillId="0" borderId="1" xfId="0" applyNumberFormat="1" applyFont="1" applyFill="1" applyBorder="1" applyAlignment="1">
      <alignment vertical="center" wrapText="1"/>
    </xf>
    <xf numFmtId="0" fontId="21" fillId="0" borderId="1" xfId="0" applyNumberFormat="1" applyFont="1" applyFill="1" applyBorder="1" applyAlignment="1">
      <alignment vertical="center"/>
    </xf>
    <xf numFmtId="0" fontId="7" fillId="0" borderId="1" xfId="5" applyFont="1" applyFill="1" applyBorder="1" applyAlignment="1">
      <alignment horizontal="left" vertical="center" wrapText="1"/>
    </xf>
    <xf numFmtId="164" fontId="7" fillId="0" borderId="1" xfId="0" applyNumberFormat="1" applyFont="1" applyFill="1" applyBorder="1" applyAlignment="1">
      <alignment vertical="center" wrapText="1"/>
    </xf>
    <xf numFmtId="41" fontId="8" fillId="0" borderId="1" xfId="0" applyNumberFormat="1" applyFont="1" applyFill="1" applyBorder="1" applyAlignment="1">
      <alignment horizontal="center" vertical="center" wrapText="1"/>
    </xf>
    <xf numFmtId="164" fontId="21" fillId="0" borderId="1" xfId="2" applyNumberFormat="1" applyFont="1" applyFill="1" applyBorder="1" applyAlignment="1">
      <alignment horizontal="center" vertical="center"/>
    </xf>
    <xf numFmtId="0" fontId="23" fillId="0" borderId="1" xfId="0" applyFont="1" applyFill="1" applyBorder="1" applyAlignment="1">
      <alignment horizontal="right" vertical="top" wrapText="1"/>
    </xf>
    <xf numFmtId="164" fontId="8" fillId="0" borderId="1" xfId="2" applyNumberFormat="1" applyFont="1" applyFill="1" applyBorder="1" applyAlignment="1">
      <alignment horizontal="center" vertical="center"/>
    </xf>
    <xf numFmtId="9" fontId="8" fillId="0" borderId="1" xfId="1" applyNumberFormat="1" applyFont="1" applyFill="1" applyBorder="1" applyAlignment="1">
      <alignment horizontal="right" vertical="top" wrapText="1"/>
    </xf>
    <xf numFmtId="0" fontId="17" fillId="0" borderId="1" xfId="0" applyNumberFormat="1" applyFont="1" applyFill="1" applyBorder="1" applyAlignment="1">
      <alignment horizontal="left" vertical="center" wrapText="1"/>
    </xf>
    <xf numFmtId="164" fontId="17" fillId="0" borderId="1" xfId="2" applyNumberFormat="1" applyFont="1" applyFill="1" applyBorder="1" applyAlignment="1">
      <alignment horizontal="right" vertical="center" wrapText="1"/>
    </xf>
    <xf numFmtId="9" fontId="8" fillId="0" borderId="1" xfId="2" applyNumberFormat="1" applyFont="1" applyFill="1" applyBorder="1" applyAlignment="1">
      <alignment vertical="top" wrapText="1"/>
    </xf>
    <xf numFmtId="164" fontId="8" fillId="0" borderId="1" xfId="0" applyNumberFormat="1" applyFont="1" applyFill="1" applyBorder="1" applyAlignment="1">
      <alignment vertical="center" wrapText="1"/>
    </xf>
    <xf numFmtId="0" fontId="21" fillId="0" borderId="1" xfId="1" applyNumberFormat="1" applyFont="1" applyFill="1" applyBorder="1" applyAlignment="1">
      <alignment horizontal="left" vertical="center" wrapText="1"/>
    </xf>
    <xf numFmtId="0" fontId="21" fillId="0" borderId="1" xfId="1" applyNumberFormat="1" applyFont="1" applyFill="1" applyBorder="1" applyAlignment="1">
      <alignment vertical="top" wrapText="1"/>
    </xf>
    <xf numFmtId="0" fontId="7" fillId="0" borderId="84" xfId="0" applyFont="1" applyFill="1" applyBorder="1" applyAlignment="1">
      <alignment vertical="top" wrapText="1"/>
    </xf>
    <xf numFmtId="0" fontId="21" fillId="0" borderId="1" xfId="0" applyNumberFormat="1" applyFont="1" applyFill="1" applyBorder="1" applyAlignment="1">
      <alignment vertical="top" wrapText="1"/>
    </xf>
    <xf numFmtId="0" fontId="8" fillId="0" borderId="84" xfId="0" applyFont="1" applyFill="1" applyBorder="1" applyAlignment="1">
      <alignment vertical="top" wrapText="1"/>
    </xf>
    <xf numFmtId="10" fontId="8" fillId="0" borderId="1" xfId="0" applyNumberFormat="1" applyFont="1" applyFill="1" applyBorder="1" applyAlignment="1">
      <alignment wrapText="1"/>
    </xf>
    <xf numFmtId="41" fontId="8" fillId="0" borderId="1" xfId="0" applyNumberFormat="1" applyFont="1" applyFill="1" applyBorder="1" applyAlignment="1">
      <alignment wrapText="1"/>
    </xf>
    <xf numFmtId="177" fontId="8" fillId="0" borderId="1" xfId="0" applyNumberFormat="1" applyFont="1" applyFill="1" applyBorder="1" applyAlignment="1">
      <alignment vertical="top" wrapText="1"/>
    </xf>
    <xf numFmtId="0" fontId="21" fillId="0" borderId="1" xfId="0" applyNumberFormat="1" applyFont="1" applyFill="1" applyBorder="1" applyAlignment="1">
      <alignment horizontal="left" vertical="center"/>
    </xf>
    <xf numFmtId="9" fontId="21" fillId="0" borderId="1" xfId="6" applyNumberFormat="1" applyFont="1" applyFill="1" applyBorder="1" applyAlignment="1">
      <alignment horizontal="right" vertical="center"/>
    </xf>
    <xf numFmtId="0" fontId="8" fillId="0" borderId="0" xfId="0" applyFont="1" applyFill="1" applyBorder="1" applyAlignment="1">
      <alignment vertical="top" wrapText="1"/>
    </xf>
    <xf numFmtId="0" fontId="15" fillId="0" borderId="0" xfId="0" applyFont="1" applyFill="1" applyBorder="1" applyAlignment="1">
      <alignment vertical="top" wrapText="1"/>
    </xf>
    <xf numFmtId="0" fontId="8" fillId="0" borderId="0" xfId="0" applyFont="1" applyFill="1" applyBorder="1" applyAlignment="1">
      <alignment horizontal="right" vertical="top" wrapText="1"/>
    </xf>
    <xf numFmtId="164" fontId="8" fillId="0" borderId="0" xfId="2" applyNumberFormat="1" applyFont="1" applyFill="1" applyBorder="1" applyAlignment="1">
      <alignment vertical="top" wrapText="1"/>
    </xf>
    <xf numFmtId="10" fontId="7" fillId="0" borderId="0" xfId="0" applyNumberFormat="1" applyFont="1" applyFill="1" applyBorder="1" applyAlignment="1">
      <alignment vertical="top" wrapText="1"/>
    </xf>
    <xf numFmtId="10" fontId="8" fillId="0" borderId="0" xfId="0" applyNumberFormat="1" applyFont="1" applyFill="1" applyBorder="1" applyAlignment="1">
      <alignment vertical="top" wrapText="1"/>
    </xf>
    <xf numFmtId="41" fontId="7" fillId="0" borderId="0" xfId="0" applyNumberFormat="1" applyFont="1" applyFill="1" applyBorder="1" applyAlignment="1">
      <alignment vertical="top" wrapText="1"/>
    </xf>
    <xf numFmtId="0" fontId="15" fillId="0" borderId="83" xfId="0" applyFont="1" applyFill="1" applyBorder="1" applyAlignment="1">
      <alignment vertical="top" wrapText="1"/>
    </xf>
    <xf numFmtId="0" fontId="8" fillId="0" borderId="83" xfId="0" applyFont="1" applyFill="1" applyBorder="1" applyAlignment="1">
      <alignment vertical="top" wrapText="1"/>
    </xf>
    <xf numFmtId="0" fontId="15" fillId="0" borderId="81" xfId="0" applyFont="1" applyFill="1" applyBorder="1" applyAlignment="1">
      <alignment vertical="top" wrapText="1"/>
    </xf>
    <xf numFmtId="0" fontId="15" fillId="0" borderId="82" xfId="0" applyFont="1" applyFill="1" applyBorder="1" applyAlignment="1">
      <alignment vertical="top" wrapText="1"/>
    </xf>
    <xf numFmtId="0" fontId="33" fillId="0" borderId="0" xfId="0" applyFont="1"/>
    <xf numFmtId="0" fontId="31" fillId="0" borderId="0" xfId="0" applyFont="1"/>
    <xf numFmtId="0" fontId="7" fillId="0" borderId="65" xfId="0" quotePrefix="1" applyFont="1" applyBorder="1" applyAlignment="1">
      <alignment vertical="top" wrapText="1"/>
    </xf>
    <xf numFmtId="0" fontId="7" fillId="0" borderId="65" xfId="0" applyFont="1" applyBorder="1" applyAlignment="1">
      <alignment vertical="top" wrapText="1"/>
    </xf>
    <xf numFmtId="0" fontId="17" fillId="0" borderId="65" xfId="0" quotePrefix="1" applyFont="1" applyBorder="1" applyAlignment="1">
      <alignment vertical="top" wrapText="1"/>
    </xf>
    <xf numFmtId="0" fontId="17" fillId="0" borderId="65" xfId="0" applyFont="1" applyBorder="1" applyAlignment="1">
      <alignment vertical="top" wrapText="1"/>
    </xf>
    <xf numFmtId="0" fontId="17" fillId="0" borderId="54" xfId="0" applyFont="1" applyBorder="1" applyAlignment="1">
      <alignment vertical="top" wrapText="1"/>
    </xf>
    <xf numFmtId="9" fontId="7" fillId="0" borderId="65" xfId="0" applyNumberFormat="1" applyFont="1" applyBorder="1" applyAlignment="1">
      <alignment vertical="top" wrapText="1"/>
    </xf>
    <xf numFmtId="41" fontId="7" fillId="0" borderId="65" xfId="0" applyNumberFormat="1" applyFont="1" applyBorder="1" applyAlignment="1">
      <alignment vertical="top" wrapText="1"/>
    </xf>
    <xf numFmtId="10" fontId="7" fillId="0" borderId="65" xfId="0" applyNumberFormat="1" applyFont="1" applyBorder="1" applyAlignment="1">
      <alignment horizontal="right" vertical="top" wrapText="1"/>
    </xf>
    <xf numFmtId="166" fontId="8" fillId="0" borderId="65" xfId="1" applyNumberFormat="1" applyFont="1" applyBorder="1" applyAlignment="1">
      <alignment horizontal="right" vertical="top" wrapText="1"/>
    </xf>
    <xf numFmtId="165" fontId="7" fillId="0" borderId="65" xfId="1" applyNumberFormat="1" applyFont="1" applyBorder="1" applyAlignment="1">
      <alignment vertical="top" wrapText="1"/>
    </xf>
    <xf numFmtId="166" fontId="7" fillId="0" borderId="65" xfId="0" applyNumberFormat="1" applyFont="1" applyBorder="1" applyAlignment="1">
      <alignment horizontal="right" vertical="top" wrapText="1"/>
    </xf>
    <xf numFmtId="10" fontId="8" fillId="0" borderId="65" xfId="0" applyNumberFormat="1" applyFont="1" applyBorder="1" applyAlignment="1">
      <alignment vertical="top" wrapText="1"/>
    </xf>
    <xf numFmtId="164" fontId="8" fillId="0" borderId="65" xfId="2" applyNumberFormat="1" applyFont="1" applyBorder="1" applyAlignment="1">
      <alignment vertical="top" wrapText="1"/>
    </xf>
    <xf numFmtId="165" fontId="7" fillId="0" borderId="65" xfId="0" applyNumberFormat="1" applyFont="1" applyBorder="1" applyAlignment="1">
      <alignment horizontal="right" vertical="top" wrapText="1"/>
    </xf>
    <xf numFmtId="10" fontId="8" fillId="0" borderId="65" xfId="3" applyNumberFormat="1" applyFont="1" applyBorder="1" applyAlignment="1">
      <alignment vertical="top" wrapText="1"/>
    </xf>
    <xf numFmtId="0" fontId="8" fillId="0" borderId="65" xfId="0" applyFont="1" applyBorder="1" applyAlignment="1">
      <alignment vertical="top" wrapText="1"/>
    </xf>
    <xf numFmtId="0" fontId="21" fillId="0" borderId="65" xfId="0" quotePrefix="1" applyFont="1" applyBorder="1" applyAlignment="1">
      <alignment vertical="top" wrapText="1"/>
    </xf>
    <xf numFmtId="0" fontId="21" fillId="0" borderId="54" xfId="0" applyNumberFormat="1" applyFont="1" applyBorder="1" applyAlignment="1">
      <alignment vertical="center" wrapText="1"/>
    </xf>
    <xf numFmtId="0" fontId="21" fillId="0" borderId="65" xfId="0" applyNumberFormat="1" applyFont="1" applyBorder="1" applyAlignment="1">
      <alignment vertical="center" wrapText="1"/>
    </xf>
    <xf numFmtId="9" fontId="8" fillId="0" borderId="65" xfId="0" applyNumberFormat="1" applyFont="1" applyBorder="1" applyAlignment="1">
      <alignment vertical="top" wrapText="1"/>
    </xf>
    <xf numFmtId="41" fontId="8" fillId="0" borderId="65" xfId="1" applyFont="1" applyBorder="1" applyAlignment="1">
      <alignment vertical="top" wrapText="1"/>
    </xf>
    <xf numFmtId="0" fontId="8" fillId="0" borderId="65" xfId="0" applyFont="1" applyBorder="1" applyAlignment="1">
      <alignment horizontal="right" vertical="top" wrapText="1"/>
    </xf>
    <xf numFmtId="41" fontId="17" fillId="0" borderId="0" xfId="0" applyNumberFormat="1" applyFont="1" applyAlignment="1">
      <alignment horizontal="center" vertical="top"/>
    </xf>
    <xf numFmtId="41" fontId="7" fillId="0" borderId="65" xfId="1" applyFont="1" applyBorder="1" applyAlignment="1">
      <alignment vertical="top" wrapText="1"/>
    </xf>
    <xf numFmtId="0" fontId="21" fillId="0" borderId="65" xfId="0" applyFont="1" applyBorder="1" applyAlignment="1">
      <alignment vertical="top" wrapText="1"/>
    </xf>
    <xf numFmtId="0" fontId="21" fillId="0" borderId="54" xfId="1" applyNumberFormat="1" applyFont="1" applyBorder="1" applyAlignment="1">
      <alignment vertical="center"/>
    </xf>
    <xf numFmtId="0" fontId="21" fillId="0" borderId="65" xfId="1" applyNumberFormat="1" applyFont="1" applyBorder="1" applyAlignment="1">
      <alignment vertical="center" wrapText="1"/>
    </xf>
    <xf numFmtId="0" fontId="21" fillId="0" borderId="54" xfId="0" applyNumberFormat="1" applyFont="1" applyBorder="1" applyAlignment="1">
      <alignment vertical="center"/>
    </xf>
    <xf numFmtId="10" fontId="8" fillId="0" borderId="65" xfId="0" applyNumberFormat="1" applyFont="1" applyBorder="1" applyAlignment="1">
      <alignment horizontal="right" vertical="top" wrapText="1"/>
    </xf>
    <xf numFmtId="0" fontId="21" fillId="0" borderId="54" xfId="0" applyNumberFormat="1" applyFont="1" applyBorder="1" applyAlignment="1">
      <alignment vertical="top" wrapText="1"/>
    </xf>
    <xf numFmtId="0" fontId="21" fillId="0" borderId="84" xfId="0" applyNumberFormat="1" applyFont="1" applyBorder="1" applyAlignment="1">
      <alignment vertical="center" wrapText="1"/>
    </xf>
    <xf numFmtId="0" fontId="21" fillId="0" borderId="84" xfId="0" applyNumberFormat="1" applyFont="1" applyBorder="1" applyAlignment="1">
      <alignment vertical="center"/>
    </xf>
    <xf numFmtId="0" fontId="21" fillId="0" borderId="84" xfId="1" quotePrefix="1" applyNumberFormat="1" applyFont="1" applyBorder="1" applyAlignment="1">
      <alignment horizontal="center" vertical="center"/>
    </xf>
    <xf numFmtId="0" fontId="21" fillId="0" borderId="65" xfId="0" applyNumberFormat="1" applyFont="1" applyBorder="1" applyAlignment="1">
      <alignment vertical="center"/>
    </xf>
    <xf numFmtId="0" fontId="21" fillId="0" borderId="84" xfId="0" applyFont="1" applyBorder="1" applyAlignment="1">
      <alignment vertical="top" wrapText="1"/>
    </xf>
    <xf numFmtId="10" fontId="7" fillId="0" borderId="65" xfId="0" applyNumberFormat="1" applyFont="1" applyBorder="1" applyAlignment="1">
      <alignment vertical="top" wrapText="1"/>
    </xf>
    <xf numFmtId="0" fontId="21" fillId="0" borderId="84" xfId="0" applyFont="1" applyBorder="1" applyAlignment="1">
      <alignment horizontal="left" vertical="top" wrapText="1" indent="4"/>
    </xf>
    <xf numFmtId="0" fontId="17" fillId="0" borderId="84" xfId="0" applyFont="1" applyBorder="1" applyAlignment="1">
      <alignment vertical="top" wrapText="1"/>
    </xf>
    <xf numFmtId="0" fontId="7" fillId="0" borderId="65" xfId="0" applyFont="1" applyBorder="1" applyAlignment="1">
      <alignment horizontal="right" vertical="top" wrapText="1"/>
    </xf>
    <xf numFmtId="0" fontId="17" fillId="0" borderId="84" xfId="0" applyNumberFormat="1" applyFont="1" applyBorder="1" applyAlignment="1">
      <alignment horizontal="left" vertical="center" wrapText="1"/>
    </xf>
    <xf numFmtId="0" fontId="36" fillId="0" borderId="65" xfId="0" applyFont="1" applyBorder="1" applyAlignment="1">
      <alignment vertical="top" wrapText="1"/>
    </xf>
    <xf numFmtId="0" fontId="21" fillId="0" borderId="94" xfId="0" applyNumberFormat="1" applyFont="1" applyFill="1" applyBorder="1" applyAlignment="1">
      <alignment horizontal="left" vertical="center"/>
    </xf>
    <xf numFmtId="0" fontId="21" fillId="0" borderId="95" xfId="0" applyNumberFormat="1" applyFont="1" applyFill="1" applyBorder="1" applyAlignment="1">
      <alignment horizontal="left" vertical="center"/>
    </xf>
    <xf numFmtId="0" fontId="21" fillId="0" borderId="58" xfId="0" applyFont="1" applyBorder="1" applyAlignment="1">
      <alignment horizontal="left" vertical="top" wrapText="1" indent="4"/>
    </xf>
    <xf numFmtId="0" fontId="37" fillId="0" borderId="65" xfId="0" applyFont="1" applyBorder="1" applyAlignment="1">
      <alignment vertical="top" wrapText="1"/>
    </xf>
    <xf numFmtId="0" fontId="17" fillId="15" borderId="95" xfId="0" applyNumberFormat="1" applyFont="1" applyFill="1" applyBorder="1" applyAlignment="1">
      <alignment horizontal="left" vertical="center" wrapText="1"/>
    </xf>
    <xf numFmtId="0" fontId="36" fillId="0" borderId="56" xfId="0" applyFont="1" applyBorder="1" applyAlignment="1">
      <alignment vertical="top" wrapText="1"/>
    </xf>
    <xf numFmtId="10" fontId="7" fillId="0" borderId="65" xfId="1" applyNumberFormat="1" applyFont="1" applyBorder="1" applyAlignment="1">
      <alignment vertical="top" wrapText="1"/>
    </xf>
    <xf numFmtId="0" fontId="21" fillId="0" borderId="96" xfId="0" applyNumberFormat="1" applyFont="1" applyFill="1" applyBorder="1" applyAlignment="1">
      <alignment horizontal="left" vertical="center"/>
    </xf>
    <xf numFmtId="0" fontId="21" fillId="0" borderId="97" xfId="0" applyNumberFormat="1" applyFont="1" applyFill="1" applyBorder="1" applyAlignment="1">
      <alignment horizontal="left" vertical="center" wrapText="1"/>
    </xf>
    <xf numFmtId="41" fontId="36" fillId="0" borderId="65" xfId="1" applyFont="1" applyBorder="1" applyAlignment="1">
      <alignment vertical="top" wrapText="1"/>
    </xf>
    <xf numFmtId="0" fontId="21" fillId="0" borderId="96" xfId="0" applyNumberFormat="1" applyFont="1" applyFill="1" applyBorder="1" applyAlignment="1">
      <alignment horizontal="left" vertical="center" wrapText="1"/>
    </xf>
    <xf numFmtId="0" fontId="21" fillId="0" borderId="97" xfId="0" applyNumberFormat="1" applyFont="1" applyFill="1" applyBorder="1" applyAlignment="1">
      <alignment horizontal="left" vertical="center"/>
    </xf>
    <xf numFmtId="0" fontId="21" fillId="0" borderId="96" xfId="0" applyFont="1" applyFill="1" applyBorder="1" applyAlignment="1">
      <alignment vertical="center" wrapText="1"/>
    </xf>
    <xf numFmtId="0" fontId="21" fillId="0" borderId="97" xfId="0" applyFont="1" applyFill="1" applyBorder="1" applyAlignment="1">
      <alignment vertical="center" wrapText="1"/>
    </xf>
    <xf numFmtId="0" fontId="21" fillId="0" borderId="97" xfId="0" applyFont="1" applyFill="1" applyBorder="1" applyAlignment="1">
      <alignment vertical="center"/>
    </xf>
    <xf numFmtId="0" fontId="21" fillId="0" borderId="70" xfId="0" applyFont="1" applyBorder="1" applyAlignment="1">
      <alignment vertical="top" wrapText="1"/>
    </xf>
    <xf numFmtId="0" fontId="37" fillId="0" borderId="79" xfId="0" applyFont="1" applyBorder="1" applyAlignment="1">
      <alignment vertical="top" wrapText="1"/>
    </xf>
    <xf numFmtId="0" fontId="21" fillId="0" borderId="98" xfId="0" applyNumberFormat="1" applyFont="1" applyFill="1" applyBorder="1" applyAlignment="1">
      <alignment horizontal="left" vertical="center"/>
    </xf>
    <xf numFmtId="0" fontId="21" fillId="0" borderId="99" xfId="0" applyNumberFormat="1" applyFont="1" applyFill="1" applyBorder="1" applyAlignment="1">
      <alignment horizontal="left" vertical="center" wrapText="1"/>
    </xf>
    <xf numFmtId="41" fontId="21" fillId="0" borderId="97" xfId="1" applyFont="1" applyFill="1" applyBorder="1" applyAlignment="1">
      <alignment horizontal="left" vertical="top" wrapText="1"/>
    </xf>
    <xf numFmtId="0" fontId="21" fillId="0" borderId="100" xfId="0" applyNumberFormat="1" applyFont="1" applyFill="1" applyBorder="1" applyAlignment="1">
      <alignment horizontal="left" vertical="center"/>
    </xf>
    <xf numFmtId="0" fontId="17" fillId="0" borderId="99" xfId="0" applyNumberFormat="1" applyFont="1" applyFill="1" applyBorder="1" applyAlignment="1">
      <alignment horizontal="left" vertical="center" wrapText="1"/>
    </xf>
    <xf numFmtId="41" fontId="17" fillId="0" borderId="97" xfId="1" applyFont="1" applyFill="1" applyBorder="1" applyAlignment="1">
      <alignment horizontal="left" vertical="center"/>
    </xf>
    <xf numFmtId="0" fontId="21" fillId="0" borderId="101" xfId="0" applyNumberFormat="1" applyFont="1" applyFill="1" applyBorder="1" applyAlignment="1">
      <alignment horizontal="left" vertical="center"/>
    </xf>
    <xf numFmtId="0" fontId="17" fillId="0" borderId="65" xfId="0" applyNumberFormat="1" applyFont="1" applyFill="1" applyBorder="1" applyAlignment="1">
      <alignment horizontal="left" vertical="center"/>
    </xf>
    <xf numFmtId="0" fontId="17" fillId="15" borderId="102" xfId="0" applyNumberFormat="1" applyFont="1" applyFill="1" applyBorder="1" applyAlignment="1">
      <alignment horizontal="left" vertical="center" wrapText="1"/>
    </xf>
    <xf numFmtId="0" fontId="17" fillId="0" borderId="79" xfId="0" applyNumberFormat="1" applyFont="1" applyFill="1" applyBorder="1" applyAlignment="1">
      <alignment horizontal="left" vertical="center"/>
    </xf>
    <xf numFmtId="0" fontId="21" fillId="15" borderId="102" xfId="0" applyNumberFormat="1" applyFont="1" applyFill="1" applyBorder="1" applyAlignment="1">
      <alignment horizontal="left" vertical="center" wrapText="1"/>
    </xf>
    <xf numFmtId="0" fontId="21" fillId="0" borderId="79" xfId="0" applyNumberFormat="1" applyFont="1" applyFill="1" applyBorder="1" applyAlignment="1">
      <alignment horizontal="left" vertical="center" wrapText="1"/>
    </xf>
    <xf numFmtId="41" fontId="21" fillId="0" borderId="97" xfId="1" applyFont="1" applyFill="1" applyBorder="1" applyAlignment="1">
      <alignment horizontal="left" vertical="center"/>
    </xf>
    <xf numFmtId="0" fontId="21" fillId="0" borderId="103" xfId="0" applyNumberFormat="1" applyFont="1" applyFill="1" applyBorder="1" applyAlignment="1">
      <alignment horizontal="left" vertical="center"/>
    </xf>
    <xf numFmtId="0" fontId="21" fillId="0" borderId="54" xfId="0" applyFont="1" applyBorder="1" applyAlignment="1">
      <alignment horizontal="left" vertical="top" wrapText="1" indent="4"/>
    </xf>
    <xf numFmtId="0" fontId="37" fillId="0" borderId="104" xfId="0" applyFont="1" applyBorder="1" applyAlignment="1">
      <alignment vertical="top" wrapText="1"/>
    </xf>
    <xf numFmtId="0" fontId="7" fillId="9" borderId="1" xfId="0" quotePrefix="1" applyFont="1" applyFill="1" applyBorder="1" applyAlignment="1">
      <alignment horizontal="center" vertical="top"/>
    </xf>
    <xf numFmtId="0" fontId="7" fillId="9" borderId="1" xfId="0" applyFont="1" applyFill="1" applyBorder="1" applyAlignment="1">
      <alignment vertical="top" wrapText="1"/>
    </xf>
    <xf numFmtId="0" fontId="7" fillId="9" borderId="1" xfId="0" applyFont="1" applyFill="1" applyBorder="1" applyAlignment="1">
      <alignment vertical="top"/>
    </xf>
    <xf numFmtId="41" fontId="7" fillId="9" borderId="1" xfId="1" applyFont="1" applyFill="1" applyBorder="1" applyAlignment="1">
      <alignment vertical="top"/>
    </xf>
    <xf numFmtId="2" fontId="4" fillId="9" borderId="1" xfId="0" applyNumberFormat="1" applyFont="1" applyFill="1" applyBorder="1" applyAlignment="1">
      <alignment vertical="top"/>
    </xf>
    <xf numFmtId="166" fontId="4" fillId="9" borderId="1" xfId="1" applyNumberFormat="1" applyFont="1" applyFill="1" applyBorder="1" applyAlignment="1">
      <alignment vertical="top"/>
    </xf>
    <xf numFmtId="0" fontId="4" fillId="9" borderId="1" xfId="0" applyFont="1" applyFill="1" applyBorder="1" applyAlignment="1">
      <alignment horizontal="center" vertical="top"/>
    </xf>
    <xf numFmtId="0" fontId="8" fillId="9" borderId="1" xfId="0" applyFont="1" applyFill="1" applyBorder="1" applyAlignment="1">
      <alignment horizontal="left" vertical="top" wrapText="1"/>
    </xf>
    <xf numFmtId="0" fontId="8" fillId="9" borderId="1" xfId="0" quotePrefix="1" applyFont="1" applyFill="1" applyBorder="1" applyAlignment="1">
      <alignment horizontal="center" vertical="top"/>
    </xf>
    <xf numFmtId="0" fontId="8" fillId="9" borderId="4" xfId="0" quotePrefix="1" applyFont="1" applyFill="1" applyBorder="1" applyAlignment="1">
      <alignment horizontal="center" vertical="top"/>
    </xf>
    <xf numFmtId="0" fontId="0" fillId="9" borderId="0" xfId="0" applyFill="1" applyAlignment="1">
      <alignment vertical="top"/>
    </xf>
    <xf numFmtId="0" fontId="4" fillId="9" borderId="0" xfId="0" applyFont="1" applyFill="1" applyAlignment="1">
      <alignment vertical="top"/>
    </xf>
    <xf numFmtId="0" fontId="8" fillId="9" borderId="1" xfId="0" applyFont="1" applyFill="1" applyBorder="1" applyAlignment="1">
      <alignment vertical="top" wrapText="1"/>
    </xf>
    <xf numFmtId="41" fontId="21" fillId="9" borderId="1" xfId="1" applyFont="1" applyFill="1" applyBorder="1" applyAlignment="1">
      <alignment vertical="top" wrapText="1"/>
    </xf>
    <xf numFmtId="41" fontId="8" fillId="9" borderId="1" xfId="1" applyFont="1" applyFill="1" applyBorder="1" applyAlignment="1">
      <alignment vertical="top" wrapText="1"/>
    </xf>
    <xf numFmtId="41" fontId="8" fillId="9" borderId="1" xfId="0" applyNumberFormat="1" applyFont="1" applyFill="1" applyBorder="1" applyAlignment="1">
      <alignment vertical="top" wrapText="1"/>
    </xf>
    <xf numFmtId="0" fontId="8" fillId="9" borderId="1" xfId="0" applyFont="1" applyFill="1" applyBorder="1" applyAlignment="1">
      <alignment vertical="top"/>
    </xf>
    <xf numFmtId="0" fontId="8" fillId="9" borderId="1" xfId="0" applyFont="1" applyFill="1" applyBorder="1" applyAlignment="1">
      <alignment wrapText="1"/>
    </xf>
    <xf numFmtId="0" fontId="7" fillId="9" borderId="4" xfId="0" quotePrefix="1" applyFont="1" applyFill="1" applyBorder="1" applyAlignment="1">
      <alignment horizontal="center" vertical="top"/>
    </xf>
    <xf numFmtId="41" fontId="17" fillId="9" borderId="1" xfId="1" applyFont="1" applyFill="1" applyBorder="1" applyAlignment="1">
      <alignment vertical="top" wrapText="1"/>
    </xf>
    <xf numFmtId="41" fontId="7" fillId="9" borderId="1" xfId="1" applyFont="1" applyFill="1" applyBorder="1" applyAlignment="1">
      <alignment vertical="top" wrapText="1"/>
    </xf>
    <xf numFmtId="10" fontId="17" fillId="9" borderId="1" xfId="0" applyNumberFormat="1" applyFont="1" applyFill="1" applyBorder="1" applyAlignment="1">
      <alignment vertical="top" wrapText="1"/>
    </xf>
    <xf numFmtId="41" fontId="7" fillId="9" borderId="1" xfId="0" applyNumberFormat="1" applyFont="1" applyFill="1" applyBorder="1" applyAlignment="1">
      <alignment vertical="top" wrapText="1"/>
    </xf>
    <xf numFmtId="0" fontId="8" fillId="9" borderId="1" xfId="0" applyFont="1" applyFill="1" applyBorder="1" applyAlignment="1">
      <alignment horizontal="right" vertical="top" wrapText="1"/>
    </xf>
    <xf numFmtId="0" fontId="7" fillId="9" borderId="1" xfId="0" applyFont="1" applyFill="1" applyBorder="1" applyAlignment="1">
      <alignment horizontal="right" vertical="top" wrapText="1"/>
    </xf>
    <xf numFmtId="0" fontId="7" fillId="9" borderId="1" xfId="0" applyFont="1" applyFill="1" applyBorder="1" applyAlignment="1">
      <alignment wrapText="1"/>
    </xf>
    <xf numFmtId="41" fontId="8" fillId="9" borderId="1" xfId="0" applyNumberFormat="1" applyFont="1" applyFill="1" applyBorder="1" applyAlignment="1">
      <alignment wrapText="1"/>
    </xf>
    <xf numFmtId="41" fontId="8" fillId="0" borderId="1" xfId="0" applyNumberFormat="1" applyFont="1" applyBorder="1" applyAlignment="1">
      <alignment vertical="top" wrapText="1"/>
    </xf>
    <xf numFmtId="41" fontId="35" fillId="9" borderId="1" xfId="0" applyNumberFormat="1" applyFont="1" applyFill="1" applyBorder="1" applyAlignment="1">
      <alignment vertical="top" wrapText="1"/>
    </xf>
    <xf numFmtId="0" fontId="0" fillId="9" borderId="1" xfId="0" applyFill="1" applyBorder="1" applyAlignment="1">
      <alignment vertical="top"/>
    </xf>
    <xf numFmtId="41" fontId="9" fillId="9" borderId="1" xfId="0" applyNumberFormat="1" applyFont="1" applyFill="1" applyBorder="1"/>
    <xf numFmtId="0" fontId="0" fillId="9" borderId="1" xfId="0" applyFill="1" applyBorder="1"/>
    <xf numFmtId="0" fontId="21" fillId="0" borderId="13" xfId="0" applyFont="1" applyBorder="1"/>
    <xf numFmtId="0" fontId="17" fillId="0" borderId="11" xfId="0" applyFont="1" applyFill="1" applyBorder="1" applyAlignment="1">
      <alignment vertical="top" wrapText="1"/>
    </xf>
    <xf numFmtId="41" fontId="17" fillId="0" borderId="1" xfId="1" applyFont="1" applyFill="1" applyBorder="1" applyAlignment="1">
      <alignment vertical="top"/>
    </xf>
    <xf numFmtId="41" fontId="17" fillId="0" borderId="1" xfId="1" applyFont="1" applyFill="1" applyBorder="1" applyAlignment="1">
      <alignment horizontal="center" vertical="top"/>
    </xf>
    <xf numFmtId="0" fontId="17" fillId="0" borderId="1" xfId="0" applyFont="1" applyFill="1" applyBorder="1" applyAlignment="1">
      <alignment vertical="top"/>
    </xf>
    <xf numFmtId="166" fontId="17" fillId="0" borderId="1" xfId="0" applyNumberFormat="1" applyFont="1" applyFill="1" applyBorder="1" applyAlignment="1">
      <alignment vertical="top"/>
    </xf>
    <xf numFmtId="166" fontId="17" fillId="0" borderId="1" xfId="1" applyNumberFormat="1" applyFont="1" applyFill="1" applyBorder="1" applyAlignment="1">
      <alignment vertical="top"/>
    </xf>
    <xf numFmtId="0" fontId="28" fillId="0" borderId="0" xfId="0" applyFont="1" applyFill="1" applyAlignment="1">
      <alignment vertical="top"/>
    </xf>
    <xf numFmtId="0" fontId="21" fillId="0" borderId="4" xfId="0" applyFont="1" applyBorder="1" applyAlignment="1">
      <alignment vertical="top"/>
    </xf>
    <xf numFmtId="0" fontId="21" fillId="0" borderId="1" xfId="0" applyFont="1" applyBorder="1" applyAlignment="1">
      <alignment vertical="top" wrapText="1"/>
    </xf>
    <xf numFmtId="0" fontId="21" fillId="0" borderId="4" xfId="0" quotePrefix="1" applyFont="1" applyBorder="1" applyAlignment="1">
      <alignment horizontal="center" vertical="top"/>
    </xf>
    <xf numFmtId="0" fontId="21" fillId="0" borderId="1" xfId="0" quotePrefix="1" applyFont="1" applyFill="1" applyBorder="1" applyAlignment="1">
      <alignment horizontal="center" vertical="top"/>
    </xf>
    <xf numFmtId="0" fontId="21" fillId="0" borderId="8" xfId="0" applyFont="1" applyBorder="1" applyAlignment="1">
      <alignment vertical="top" wrapText="1"/>
    </xf>
    <xf numFmtId="3" fontId="21" fillId="0" borderId="4" xfId="0" applyNumberFormat="1" applyFont="1" applyBorder="1" applyAlignment="1">
      <alignment vertical="top"/>
    </xf>
    <xf numFmtId="41" fontId="21" fillId="0" borderId="4" xfId="1" applyFont="1" applyBorder="1" applyAlignment="1">
      <alignment vertical="top"/>
    </xf>
    <xf numFmtId="41" fontId="21" fillId="0" borderId="4" xfId="1" quotePrefix="1" applyFont="1" applyBorder="1" applyAlignment="1">
      <alignment vertical="top"/>
    </xf>
    <xf numFmtId="165" fontId="21" fillId="0" borderId="4" xfId="1" quotePrefix="1" applyNumberFormat="1" applyFont="1" applyBorder="1" applyAlignment="1">
      <alignment vertical="top"/>
    </xf>
    <xf numFmtId="41" fontId="21" fillId="0" borderId="4" xfId="1" applyFont="1" applyBorder="1" applyAlignment="1">
      <alignment horizontal="center" vertical="top"/>
    </xf>
    <xf numFmtId="165" fontId="21" fillId="0" borderId="1" xfId="1" applyNumberFormat="1" applyFont="1" applyFill="1" applyBorder="1" applyAlignment="1">
      <alignment vertical="top"/>
    </xf>
    <xf numFmtId="41" fontId="21" fillId="0" borderId="4" xfId="0" quotePrefix="1" applyNumberFormat="1" applyFont="1" applyBorder="1" applyAlignment="1">
      <alignment vertical="top"/>
    </xf>
    <xf numFmtId="166" fontId="21" fillId="0" borderId="4" xfId="1" applyNumberFormat="1" applyFont="1" applyBorder="1" applyAlignment="1">
      <alignment vertical="top"/>
    </xf>
    <xf numFmtId="2" fontId="21" fillId="0" borderId="4" xfId="0" applyNumberFormat="1" applyFont="1" applyBorder="1" applyAlignment="1">
      <alignment horizontal="right" vertical="top"/>
    </xf>
    <xf numFmtId="2" fontId="21" fillId="0" borderId="4" xfId="0" applyNumberFormat="1" applyFont="1" applyBorder="1" applyAlignment="1">
      <alignment vertical="top"/>
    </xf>
    <xf numFmtId="0" fontId="21" fillId="0" borderId="4" xfId="0" applyFont="1" applyBorder="1" applyAlignment="1">
      <alignment horizontal="center" vertical="top"/>
    </xf>
    <xf numFmtId="0" fontId="27" fillId="0" borderId="0" xfId="0" applyFont="1" applyAlignment="1">
      <alignment vertical="top"/>
    </xf>
    <xf numFmtId="0" fontId="21" fillId="0" borderId="3" xfId="0" quotePrefix="1" applyFont="1" applyBorder="1" applyAlignment="1">
      <alignment horizontal="center" vertical="top"/>
    </xf>
    <xf numFmtId="0" fontId="21" fillId="0" borderId="2" xfId="0" quotePrefix="1" applyFont="1" applyFill="1" applyBorder="1" applyAlignment="1">
      <alignment horizontal="center" vertical="top"/>
    </xf>
    <xf numFmtId="0" fontId="21" fillId="0" borderId="10" xfId="0" applyFont="1" applyBorder="1" applyAlignment="1">
      <alignment vertical="top" wrapText="1"/>
    </xf>
    <xf numFmtId="3" fontId="21" fillId="0" borderId="2" xfId="0" applyNumberFormat="1" applyFont="1" applyBorder="1" applyAlignment="1">
      <alignment vertical="top" wrapText="1"/>
    </xf>
    <xf numFmtId="41" fontId="21" fillId="0" borderId="2" xfId="1" applyFont="1" applyBorder="1" applyAlignment="1">
      <alignment vertical="top" wrapText="1"/>
    </xf>
    <xf numFmtId="165" fontId="21" fillId="0" borderId="2" xfId="1" applyNumberFormat="1" applyFont="1" applyBorder="1" applyAlignment="1">
      <alignment vertical="top" wrapText="1"/>
    </xf>
    <xf numFmtId="41" fontId="21" fillId="0" borderId="2" xfId="1" applyFont="1" applyBorder="1" applyAlignment="1">
      <alignment horizontal="center" vertical="top" wrapText="1"/>
    </xf>
    <xf numFmtId="165" fontId="21" fillId="0" borderId="2" xfId="1" applyNumberFormat="1" applyFont="1" applyFill="1" applyBorder="1" applyAlignment="1">
      <alignment vertical="top"/>
    </xf>
    <xf numFmtId="41" fontId="21" fillId="0" borderId="2" xfId="0" applyNumberFormat="1" applyFont="1" applyBorder="1" applyAlignment="1">
      <alignment vertical="top" wrapText="1"/>
    </xf>
    <xf numFmtId="166" fontId="21" fillId="0" borderId="2" xfId="1" applyNumberFormat="1" applyFont="1" applyBorder="1" applyAlignment="1">
      <alignment vertical="top" wrapText="1"/>
    </xf>
    <xf numFmtId="41" fontId="21" fillId="0" borderId="3" xfId="1" applyFont="1" applyBorder="1" applyAlignment="1">
      <alignment vertical="top"/>
    </xf>
    <xf numFmtId="166" fontId="21" fillId="0" borderId="3" xfId="1" applyNumberFormat="1" applyFont="1" applyBorder="1" applyAlignment="1">
      <alignment vertical="top"/>
    </xf>
    <xf numFmtId="2" fontId="21" fillId="0" borderId="3" xfId="0" applyNumberFormat="1" applyFont="1" applyBorder="1" applyAlignment="1">
      <alignment horizontal="right" vertical="top"/>
    </xf>
    <xf numFmtId="2" fontId="21" fillId="0" borderId="3" xfId="0" applyNumberFormat="1" applyFont="1" applyBorder="1" applyAlignment="1">
      <alignment vertical="top"/>
    </xf>
    <xf numFmtId="0" fontId="21" fillId="0" borderId="2" xfId="0" applyFont="1" applyBorder="1" applyAlignment="1">
      <alignment horizontal="center" vertical="top"/>
    </xf>
    <xf numFmtId="0" fontId="27" fillId="0" borderId="0" xfId="0" applyFont="1" applyAlignment="1">
      <alignment vertical="top" wrapText="1"/>
    </xf>
    <xf numFmtId="0" fontId="21" fillId="0" borderId="4" xfId="0" quotePrefix="1" applyFont="1" applyFill="1" applyBorder="1" applyAlignment="1">
      <alignment horizontal="center" vertical="top"/>
    </xf>
    <xf numFmtId="3" fontId="21" fillId="0" borderId="4" xfId="0" applyNumberFormat="1" applyFont="1" applyBorder="1" applyAlignment="1">
      <alignment vertical="top" wrapText="1"/>
    </xf>
    <xf numFmtId="41" fontId="21" fillId="0" borderId="4" xfId="1" applyFont="1" applyBorder="1" applyAlignment="1">
      <alignment vertical="top" wrapText="1"/>
    </xf>
    <xf numFmtId="41" fontId="21" fillId="0" borderId="4" xfId="1" applyFont="1" applyBorder="1" applyAlignment="1">
      <alignment horizontal="center" vertical="top" wrapText="1"/>
    </xf>
    <xf numFmtId="165" fontId="21" fillId="0" borderId="4" xfId="1" applyNumberFormat="1" applyFont="1" applyFill="1" applyBorder="1" applyAlignment="1">
      <alignment vertical="top"/>
    </xf>
    <xf numFmtId="41" fontId="21" fillId="0" borderId="4" xfId="0" applyNumberFormat="1" applyFont="1" applyBorder="1" applyAlignment="1">
      <alignment vertical="top" wrapText="1"/>
    </xf>
    <xf numFmtId="166" fontId="21" fillId="0" borderId="4" xfId="1" applyNumberFormat="1" applyFont="1" applyBorder="1" applyAlignment="1">
      <alignment vertical="top" wrapText="1"/>
    </xf>
    <xf numFmtId="0" fontId="27" fillId="0" borderId="0" xfId="0" applyFont="1" applyBorder="1" applyAlignment="1">
      <alignment vertical="top" wrapText="1"/>
    </xf>
    <xf numFmtId="0" fontId="21" fillId="0" borderId="1" xfId="0" applyFont="1" applyBorder="1" applyAlignment="1">
      <alignment vertical="top"/>
    </xf>
    <xf numFmtId="0" fontId="21" fillId="0" borderId="12" xfId="0" applyFont="1" applyBorder="1" applyAlignment="1">
      <alignment vertical="top" wrapText="1"/>
    </xf>
    <xf numFmtId="3" fontId="21" fillId="0" borderId="1" xfId="0" applyNumberFormat="1" applyFont="1" applyBorder="1" applyAlignment="1">
      <alignment vertical="top" wrapText="1"/>
    </xf>
    <xf numFmtId="41" fontId="21" fillId="0" borderId="1" xfId="1" applyFont="1" applyBorder="1" applyAlignment="1">
      <alignment vertical="top" wrapText="1"/>
    </xf>
    <xf numFmtId="165" fontId="21" fillId="0" borderId="1" xfId="1" applyNumberFormat="1" applyFont="1" applyBorder="1" applyAlignment="1">
      <alignment vertical="top" wrapText="1"/>
    </xf>
    <xf numFmtId="41" fontId="21" fillId="0" borderId="1" xfId="1" applyFont="1" applyBorder="1" applyAlignment="1">
      <alignment horizontal="center" vertical="top" wrapText="1"/>
    </xf>
    <xf numFmtId="166" fontId="21" fillId="0" borderId="1" xfId="1" applyNumberFormat="1" applyFont="1" applyBorder="1" applyAlignment="1">
      <alignment vertical="top" wrapText="1"/>
    </xf>
    <xf numFmtId="41" fontId="21" fillId="0" borderId="1" xfId="1" applyFont="1" applyBorder="1" applyAlignment="1">
      <alignment vertical="top"/>
    </xf>
    <xf numFmtId="0" fontId="21" fillId="0" borderId="1" xfId="0" applyFont="1" applyBorder="1" applyAlignment="1">
      <alignment horizontal="center" vertical="top"/>
    </xf>
    <xf numFmtId="166" fontId="21" fillId="0" borderId="1" xfId="1" applyNumberFormat="1" applyFont="1" applyFill="1" applyBorder="1" applyAlignment="1">
      <alignment vertical="top"/>
    </xf>
    <xf numFmtId="0" fontId="21" fillId="0" borderId="2" xfId="0" applyFont="1" applyBorder="1" applyAlignment="1">
      <alignment vertical="top"/>
    </xf>
    <xf numFmtId="41" fontId="21" fillId="0" borderId="2" xfId="1" applyFont="1" applyBorder="1" applyAlignment="1">
      <alignment vertical="top"/>
    </xf>
    <xf numFmtId="165" fontId="21" fillId="0" borderId="4" xfId="1" applyNumberFormat="1" applyFont="1" applyBorder="1" applyAlignment="1">
      <alignment vertical="top" wrapText="1"/>
    </xf>
    <xf numFmtId="0" fontId="27" fillId="0" borderId="0" xfId="0" applyFont="1" applyBorder="1" applyAlignment="1">
      <alignment vertical="top"/>
    </xf>
    <xf numFmtId="41" fontId="21" fillId="0" borderId="1" xfId="0" applyNumberFormat="1" applyFont="1" applyBorder="1" applyAlignment="1">
      <alignment vertical="top" wrapText="1"/>
    </xf>
    <xf numFmtId="0" fontId="21" fillId="0" borderId="2" xfId="0" applyFont="1" applyBorder="1" applyAlignment="1">
      <alignment horizontal="left" vertical="top" wrapText="1"/>
    </xf>
    <xf numFmtId="0" fontId="21" fillId="0" borderId="2" xfId="0" quotePrefix="1" applyFont="1" applyBorder="1" applyAlignment="1">
      <alignment horizontal="center" vertical="top"/>
    </xf>
    <xf numFmtId="0" fontId="17" fillId="0" borderId="12" xfId="0" applyFont="1" applyFill="1" applyBorder="1" applyAlignment="1">
      <alignment vertical="top" wrapText="1"/>
    </xf>
    <xf numFmtId="41" fontId="21" fillId="0" borderId="4" xfId="1" applyFont="1" applyFill="1" applyBorder="1" applyAlignment="1">
      <alignment vertical="top"/>
    </xf>
    <xf numFmtId="166" fontId="21" fillId="0" borderId="4" xfId="1" applyNumberFormat="1" applyFont="1" applyFill="1" applyBorder="1" applyAlignment="1">
      <alignment vertical="top"/>
    </xf>
    <xf numFmtId="41" fontId="21" fillId="0" borderId="3" xfId="1" applyFont="1" applyFill="1" applyBorder="1" applyAlignment="1">
      <alignment vertical="top"/>
    </xf>
    <xf numFmtId="2" fontId="17" fillId="0" borderId="4" xfId="0" applyNumberFormat="1" applyFont="1" applyFill="1" applyBorder="1" applyAlignment="1">
      <alignment horizontal="right" vertical="top"/>
    </xf>
    <xf numFmtId="2" fontId="17" fillId="0" borderId="4" xfId="0" applyNumberFormat="1" applyFont="1" applyFill="1" applyBorder="1" applyAlignment="1">
      <alignment vertical="top"/>
    </xf>
    <xf numFmtId="0" fontId="21" fillId="0" borderId="4" xfId="0" applyFont="1" applyFill="1" applyBorder="1" applyAlignment="1">
      <alignment horizontal="center" vertical="top"/>
    </xf>
    <xf numFmtId="0" fontId="21" fillId="0" borderId="3" xfId="0" applyFont="1" applyFill="1" applyBorder="1" applyAlignment="1">
      <alignment horizontal="center" vertical="top"/>
    </xf>
    <xf numFmtId="0" fontId="21" fillId="0" borderId="8" xfId="0" applyFont="1" applyFill="1" applyBorder="1" applyAlignment="1">
      <alignment vertical="top" wrapText="1"/>
    </xf>
    <xf numFmtId="0" fontId="21" fillId="0" borderId="4" xfId="0" applyFont="1" applyFill="1" applyBorder="1" applyAlignment="1">
      <alignment vertical="top"/>
    </xf>
    <xf numFmtId="41" fontId="21" fillId="0" borderId="4" xfId="1" applyFont="1" applyFill="1" applyBorder="1" applyAlignment="1">
      <alignment horizontal="center" vertical="top"/>
    </xf>
    <xf numFmtId="166" fontId="21" fillId="0" borderId="4" xfId="0" applyNumberFormat="1" applyFont="1" applyFill="1" applyBorder="1" applyAlignment="1">
      <alignment vertical="top"/>
    </xf>
    <xf numFmtId="0" fontId="27" fillId="0" borderId="0" xfId="0" applyFont="1" applyFill="1" applyAlignment="1">
      <alignment vertical="top"/>
    </xf>
    <xf numFmtId="0" fontId="21" fillId="0" borderId="1" xfId="0" applyFont="1" applyFill="1" applyBorder="1" applyAlignment="1">
      <alignment horizontal="center" vertical="top"/>
    </xf>
    <xf numFmtId="0" fontId="21" fillId="0" borderId="12" xfId="0" applyFont="1" applyFill="1" applyBorder="1" applyAlignment="1">
      <alignment vertical="top" wrapText="1"/>
    </xf>
    <xf numFmtId="0" fontId="21" fillId="0" borderId="1" xfId="0" applyFont="1" applyFill="1" applyBorder="1" applyAlignment="1">
      <alignment vertical="top"/>
    </xf>
    <xf numFmtId="41" fontId="21" fillId="0" borderId="1" xfId="1" applyFont="1" applyFill="1" applyBorder="1" applyAlignment="1">
      <alignment vertical="top"/>
    </xf>
    <xf numFmtId="41" fontId="21" fillId="0" borderId="1" xfId="1" applyFont="1" applyFill="1" applyBorder="1" applyAlignment="1">
      <alignment horizontal="center" vertical="top"/>
    </xf>
    <xf numFmtId="166" fontId="21" fillId="0" borderId="1" xfId="0" applyNumberFormat="1" applyFont="1" applyFill="1" applyBorder="1" applyAlignment="1">
      <alignment vertical="top"/>
    </xf>
    <xf numFmtId="41" fontId="17" fillId="0" borderId="4" xfId="1" applyFont="1" applyFill="1" applyBorder="1" applyAlignment="1">
      <alignment vertical="top"/>
    </xf>
    <xf numFmtId="166" fontId="17" fillId="0" borderId="4" xfId="1" applyNumberFormat="1" applyFont="1" applyFill="1" applyBorder="1" applyAlignment="1">
      <alignment vertical="top"/>
    </xf>
    <xf numFmtId="165" fontId="17" fillId="0" borderId="1" xfId="1" applyNumberFormat="1" applyFont="1" applyFill="1" applyBorder="1" applyAlignment="1">
      <alignment vertical="top"/>
    </xf>
    <xf numFmtId="2" fontId="17" fillId="0" borderId="1" xfId="0" applyNumberFormat="1" applyFont="1" applyBorder="1" applyAlignment="1">
      <alignment vertical="top"/>
    </xf>
    <xf numFmtId="0" fontId="21" fillId="3" borderId="1" xfId="0" applyFont="1" applyFill="1" applyBorder="1" applyAlignment="1">
      <alignment horizontal="center" vertical="top"/>
    </xf>
    <xf numFmtId="0" fontId="27" fillId="0" borderId="0" xfId="0" applyFont="1"/>
    <xf numFmtId="0" fontId="17" fillId="0" borderId="1" xfId="0" applyFont="1" applyBorder="1" applyAlignment="1">
      <alignment horizontal="center" vertical="top"/>
    </xf>
    <xf numFmtId="0" fontId="17" fillId="0" borderId="1" xfId="0" applyNumberFormat="1" applyFont="1" applyBorder="1" applyAlignment="1">
      <alignment horizontal="center" vertical="top"/>
    </xf>
    <xf numFmtId="166" fontId="38" fillId="4" borderId="1" xfId="0" applyNumberFormat="1" applyFont="1" applyFill="1" applyBorder="1"/>
    <xf numFmtId="41" fontId="38" fillId="4" borderId="1" xfId="0" applyNumberFormat="1" applyFont="1" applyFill="1" applyBorder="1"/>
    <xf numFmtId="0" fontId="21" fillId="4" borderId="1" xfId="0" applyFont="1" applyFill="1" applyBorder="1"/>
    <xf numFmtId="2" fontId="17" fillId="4" borderId="1" xfId="0" applyNumberFormat="1" applyFont="1" applyFill="1" applyBorder="1"/>
    <xf numFmtId="0" fontId="21" fillId="0" borderId="11" xfId="0" applyFont="1" applyBorder="1"/>
    <xf numFmtId="41" fontId="21" fillId="0" borderId="13" xfId="1" applyFont="1" applyBorder="1" applyAlignment="1">
      <alignment horizontal="center"/>
    </xf>
    <xf numFmtId="0" fontId="21" fillId="0" borderId="12" xfId="0" applyFont="1" applyBorder="1" applyAlignment="1">
      <alignment horizontal="center"/>
    </xf>
    <xf numFmtId="0" fontId="21" fillId="0" borderId="9" xfId="0" applyFont="1" applyBorder="1"/>
    <xf numFmtId="0" fontId="21" fillId="0" borderId="14" xfId="0" applyFont="1" applyBorder="1"/>
    <xf numFmtId="41" fontId="21" fillId="0" borderId="14" xfId="1" applyFont="1" applyBorder="1" applyAlignment="1">
      <alignment horizontal="center"/>
    </xf>
    <xf numFmtId="0" fontId="21" fillId="0" borderId="10" xfId="0" applyFont="1" applyBorder="1" applyAlignment="1">
      <alignment horizontal="center"/>
    </xf>
    <xf numFmtId="0" fontId="21" fillId="0" borderId="7" xfId="0" applyFont="1" applyBorder="1"/>
    <xf numFmtId="0" fontId="21" fillId="0" borderId="15" xfId="0" applyFont="1" applyBorder="1"/>
    <xf numFmtId="41" fontId="21" fillId="0" borderId="15" xfId="1" applyFont="1" applyBorder="1" applyAlignment="1">
      <alignment horizontal="center"/>
    </xf>
    <xf numFmtId="0" fontId="21" fillId="0" borderId="8" xfId="0" applyFont="1" applyBorder="1" applyAlignment="1">
      <alignment horizontal="center"/>
    </xf>
    <xf numFmtId="0" fontId="33" fillId="0" borderId="0" xfId="0" applyFont="1" applyAlignment="1">
      <alignment vertical="top"/>
    </xf>
    <xf numFmtId="0" fontId="31" fillId="9" borderId="0" xfId="0" applyFont="1" applyFill="1"/>
    <xf numFmtId="0" fontId="7" fillId="0" borderId="105" xfId="0" applyFont="1" applyBorder="1" applyAlignment="1">
      <alignment vertical="top" wrapText="1"/>
    </xf>
    <xf numFmtId="164" fontId="15" fillId="0" borderId="4" xfId="0" applyNumberFormat="1" applyFont="1" applyBorder="1" applyAlignment="1">
      <alignment vertical="top"/>
    </xf>
    <xf numFmtId="41" fontId="15" fillId="0" borderId="4" xfId="0" applyNumberFormat="1" applyFont="1" applyBorder="1" applyAlignment="1">
      <alignment vertical="top"/>
    </xf>
    <xf numFmtId="164" fontId="8" fillId="0" borderId="0" xfId="2" applyNumberFormat="1" applyFont="1" applyBorder="1" applyAlignment="1">
      <alignment vertical="top"/>
    </xf>
    <xf numFmtId="164" fontId="8" fillId="0" borderId="107" xfId="2" applyNumberFormat="1" applyFont="1" applyBorder="1" applyAlignment="1">
      <alignment vertical="top" wrapText="1"/>
    </xf>
    <xf numFmtId="9" fontId="7" fillId="9" borderId="110" xfId="3" applyFont="1" applyFill="1" applyBorder="1" applyAlignment="1">
      <alignment horizontal="right" vertical="center"/>
    </xf>
    <xf numFmtId="9" fontId="8" fillId="9" borderId="65" xfId="0" applyNumberFormat="1" applyFont="1" applyFill="1" applyBorder="1" applyAlignment="1">
      <alignment vertical="top" wrapText="1"/>
    </xf>
    <xf numFmtId="41" fontId="15" fillId="0" borderId="6" xfId="0" applyNumberFormat="1" applyFont="1" applyBorder="1" applyAlignment="1">
      <alignment horizontal="center" vertical="top" wrapText="1"/>
    </xf>
    <xf numFmtId="0" fontId="8" fillId="9" borderId="1" xfId="0" quotePrefix="1" applyFont="1" applyFill="1" applyBorder="1" applyAlignment="1">
      <alignment horizontal="left" vertical="top" wrapText="1"/>
    </xf>
    <xf numFmtId="9" fontId="7" fillId="0" borderId="106" xfId="3" applyFont="1" applyFill="1" applyBorder="1" applyAlignment="1">
      <alignment horizontal="right" vertical="top"/>
    </xf>
    <xf numFmtId="164" fontId="7" fillId="0" borderId="106" xfId="1" applyNumberFormat="1" applyFont="1" applyFill="1" applyBorder="1" applyAlignment="1">
      <alignment horizontal="right" vertical="top"/>
    </xf>
    <xf numFmtId="9" fontId="7" fillId="0" borderId="46" xfId="0" applyNumberFormat="1" applyFont="1" applyFill="1" applyBorder="1" applyAlignment="1">
      <alignment horizontal="right" vertical="top"/>
    </xf>
    <xf numFmtId="164" fontId="7" fillId="0" borderId="65" xfId="2" applyNumberFormat="1" applyFont="1" applyBorder="1" applyAlignment="1">
      <alignment vertical="top" wrapText="1"/>
    </xf>
    <xf numFmtId="164" fontId="7" fillId="0" borderId="65" xfId="2" applyNumberFormat="1" applyFont="1" applyBorder="1" applyAlignment="1">
      <alignment horizontal="right" vertical="top" wrapText="1"/>
    </xf>
    <xf numFmtId="178" fontId="7" fillId="0" borderId="65" xfId="0" applyNumberFormat="1" applyFont="1" applyBorder="1" applyAlignment="1">
      <alignment vertical="top" wrapText="1"/>
    </xf>
    <xf numFmtId="164" fontId="7" fillId="0" borderId="65" xfId="0" applyNumberFormat="1" applyFont="1" applyBorder="1" applyAlignment="1">
      <alignment vertical="top" wrapText="1"/>
    </xf>
    <xf numFmtId="2" fontId="7" fillId="0" borderId="65" xfId="0" applyNumberFormat="1" applyFont="1" applyBorder="1" applyAlignment="1">
      <alignment vertical="top" wrapText="1"/>
    </xf>
    <xf numFmtId="178" fontId="7" fillId="0" borderId="65" xfId="3" applyNumberFormat="1" applyFont="1" applyBorder="1" applyAlignment="1">
      <alignment vertical="top" wrapText="1"/>
    </xf>
    <xf numFmtId="0" fontId="7" fillId="0" borderId="61" xfId="0" applyFont="1" applyFill="1" applyBorder="1" applyAlignment="1">
      <alignment horizontal="left" vertical="top" wrapText="1"/>
    </xf>
    <xf numFmtId="0" fontId="8" fillId="0" borderId="65" xfId="0" quotePrefix="1" applyFont="1" applyBorder="1" applyAlignment="1">
      <alignment vertical="top" wrapText="1"/>
    </xf>
    <xf numFmtId="0" fontId="15" fillId="0" borderId="84" xfId="0" applyFont="1" applyBorder="1" applyAlignment="1">
      <alignment vertical="top" wrapText="1"/>
    </xf>
    <xf numFmtId="178" fontId="8" fillId="0" borderId="65" xfId="0" applyNumberFormat="1" applyFont="1" applyBorder="1" applyAlignment="1">
      <alignment vertical="top" wrapText="1"/>
    </xf>
    <xf numFmtId="2" fontId="8" fillId="0" borderId="65" xfId="0" applyNumberFormat="1" applyFont="1" applyBorder="1" applyAlignment="1">
      <alignment vertical="top" wrapText="1"/>
    </xf>
    <xf numFmtId="164" fontId="8" fillId="0" borderId="65" xfId="0" applyNumberFormat="1" applyFont="1" applyBorder="1" applyAlignment="1">
      <alignment vertical="top" wrapText="1"/>
    </xf>
    <xf numFmtId="9" fontId="8" fillId="0" borderId="65" xfId="3" applyFont="1" applyBorder="1" applyAlignment="1">
      <alignment vertical="top" wrapText="1"/>
    </xf>
    <xf numFmtId="178" fontId="8" fillId="0" borderId="65" xfId="3" applyNumberFormat="1" applyFont="1" applyBorder="1" applyAlignment="1">
      <alignment vertical="top" wrapText="1"/>
    </xf>
    <xf numFmtId="0" fontId="8" fillId="9" borderId="1" xfId="0" applyFont="1" applyFill="1" applyBorder="1" applyAlignment="1">
      <alignment horizontal="left" vertical="center" wrapText="1"/>
    </xf>
    <xf numFmtId="178" fontId="8" fillId="0" borderId="65" xfId="2" applyNumberFormat="1" applyFont="1" applyBorder="1" applyAlignment="1">
      <alignment vertical="top" wrapText="1"/>
    </xf>
    <xf numFmtId="9" fontId="8" fillId="0" borderId="65" xfId="2" applyNumberFormat="1" applyFont="1" applyBorder="1" applyAlignment="1">
      <alignment vertical="top" wrapText="1"/>
    </xf>
    <xf numFmtId="0" fontId="23" fillId="0" borderId="105" xfId="0" applyFont="1" applyBorder="1" applyAlignment="1">
      <alignment vertical="top" wrapText="1"/>
    </xf>
    <xf numFmtId="9" fontId="7" fillId="0" borderId="54" xfId="0" applyNumberFormat="1" applyFont="1" applyBorder="1" applyAlignment="1">
      <alignment vertical="top" wrapText="1"/>
    </xf>
    <xf numFmtId="9" fontId="7" fillId="0" borderId="65" xfId="3" applyFont="1" applyBorder="1" applyAlignment="1">
      <alignment vertical="top" wrapText="1"/>
    </xf>
    <xf numFmtId="0" fontId="8" fillId="0" borderId="107" xfId="0" applyFont="1" applyBorder="1" applyAlignment="1">
      <alignment vertical="top" wrapText="1"/>
    </xf>
    <xf numFmtId="9" fontId="8" fillId="0" borderId="54" xfId="0" applyNumberFormat="1" applyFont="1" applyBorder="1" applyAlignment="1">
      <alignment vertical="top" wrapText="1"/>
    </xf>
    <xf numFmtId="0" fontId="8" fillId="0" borderId="54" xfId="0" applyFont="1" applyBorder="1" applyAlignment="1">
      <alignment vertical="top" wrapText="1"/>
    </xf>
    <xf numFmtId="43" fontId="8" fillId="0" borderId="65" xfId="0" applyNumberFormat="1" applyFont="1" applyBorder="1" applyAlignment="1">
      <alignment vertical="top" wrapText="1"/>
    </xf>
    <xf numFmtId="164" fontId="7" fillId="0" borderId="65" xfId="0" applyNumberFormat="1" applyFont="1" applyBorder="1" applyAlignment="1">
      <alignment horizontal="right" vertical="top" wrapText="1"/>
    </xf>
    <xf numFmtId="9" fontId="8" fillId="0" borderId="46" xfId="0" applyNumberFormat="1" applyFont="1" applyFill="1" applyBorder="1" applyAlignment="1">
      <alignment horizontal="right" vertical="top"/>
    </xf>
    <xf numFmtId="164" fontId="8" fillId="0" borderId="65" xfId="2" applyNumberFormat="1" applyFont="1" applyBorder="1" applyAlignment="1">
      <alignment horizontal="right" vertical="top" wrapText="1"/>
    </xf>
    <xf numFmtId="0" fontId="23" fillId="9" borderId="105" xfId="0" applyFont="1" applyFill="1" applyBorder="1" applyAlignment="1">
      <alignment vertical="top" wrapText="1"/>
    </xf>
    <xf numFmtId="0" fontId="21" fillId="0" borderId="108" xfId="0" applyFont="1" applyBorder="1" applyAlignment="1">
      <alignment vertical="top" wrapText="1"/>
    </xf>
    <xf numFmtId="9" fontId="7" fillId="9" borderId="109" xfId="3" applyFont="1" applyFill="1" applyBorder="1" applyAlignment="1">
      <alignment horizontal="right" vertical="center"/>
    </xf>
    <xf numFmtId="164" fontId="7" fillId="9" borderId="109" xfId="1" applyNumberFormat="1" applyFont="1" applyFill="1" applyBorder="1" applyAlignment="1">
      <alignment horizontal="right" vertical="center"/>
    </xf>
    <xf numFmtId="164" fontId="7" fillId="9" borderId="65" xfId="2" applyNumberFormat="1" applyFont="1" applyFill="1" applyBorder="1" applyAlignment="1">
      <alignment horizontal="right" vertical="center" wrapText="1"/>
    </xf>
    <xf numFmtId="9" fontId="7" fillId="9" borderId="46" xfId="0" applyNumberFormat="1" applyFont="1" applyFill="1" applyBorder="1" applyAlignment="1">
      <alignment horizontal="right" vertical="center"/>
    </xf>
    <xf numFmtId="178" fontId="7" fillId="0" borderId="65" xfId="3" applyNumberFormat="1" applyFont="1" applyBorder="1" applyAlignment="1">
      <alignment horizontal="center" vertical="center" wrapText="1"/>
    </xf>
    <xf numFmtId="164" fontId="7" fillId="0" borderId="65" xfId="2" applyNumberFormat="1" applyFont="1" applyBorder="1" applyAlignment="1">
      <alignment horizontal="center" vertical="center" wrapText="1"/>
    </xf>
    <xf numFmtId="0" fontId="7" fillId="0" borderId="65" xfId="0" applyFont="1" applyBorder="1" applyAlignment="1">
      <alignment horizontal="center" vertical="center" wrapText="1"/>
    </xf>
    <xf numFmtId="164" fontId="7" fillId="0" borderId="65" xfId="0" applyNumberFormat="1" applyFont="1" applyBorder="1" applyAlignment="1">
      <alignment horizontal="center" vertical="center" wrapText="1"/>
    </xf>
    <xf numFmtId="178" fontId="7" fillId="0" borderId="65" xfId="0" applyNumberFormat="1" applyFont="1" applyBorder="1" applyAlignment="1">
      <alignment vertical="center" wrapText="1"/>
    </xf>
    <xf numFmtId="9" fontId="7" fillId="0" borderId="65" xfId="3" applyFont="1" applyBorder="1" applyAlignment="1">
      <alignment horizontal="center" vertical="center" wrapText="1"/>
    </xf>
    <xf numFmtId="9" fontId="7" fillId="0" borderId="65" xfId="3" applyFont="1" applyBorder="1" applyAlignment="1">
      <alignment horizontal="right" vertical="center" wrapText="1"/>
    </xf>
    <xf numFmtId="0" fontId="7" fillId="0" borderId="61" xfId="0" applyFont="1" applyFill="1" applyBorder="1" applyAlignment="1">
      <alignment horizontal="center" vertical="center" wrapText="1"/>
    </xf>
    <xf numFmtId="0" fontId="15" fillId="9" borderId="84" xfId="0" applyFont="1" applyFill="1" applyBorder="1" applyAlignment="1">
      <alignment vertical="top" wrapText="1"/>
    </xf>
    <xf numFmtId="164" fontId="8" fillId="9" borderId="65" xfId="2" applyNumberFormat="1" applyFont="1" applyFill="1" applyBorder="1" applyAlignment="1">
      <alignment vertical="top" wrapText="1"/>
    </xf>
    <xf numFmtId="9" fontId="8" fillId="9" borderId="65" xfId="3" applyFont="1" applyFill="1" applyBorder="1" applyAlignment="1">
      <alignment vertical="top" wrapText="1"/>
    </xf>
    <xf numFmtId="178" fontId="8" fillId="0" borderId="65" xfId="0" applyNumberFormat="1" applyFont="1" applyBorder="1" applyAlignment="1">
      <alignment horizontal="center" vertical="top" wrapText="1"/>
    </xf>
    <xf numFmtId="0" fontId="8" fillId="0" borderId="65" xfId="0" applyFont="1" applyBorder="1" applyAlignment="1">
      <alignment horizontal="center" vertical="top" wrapText="1"/>
    </xf>
    <xf numFmtId="9" fontId="8" fillId="0" borderId="65" xfId="3" applyFont="1" applyBorder="1" applyAlignment="1">
      <alignment horizontal="right" vertical="top" wrapText="1"/>
    </xf>
    <xf numFmtId="178" fontId="8" fillId="0" borderId="65" xfId="3" applyNumberFormat="1" applyFont="1" applyBorder="1" applyAlignment="1">
      <alignment horizontal="center" vertical="top" wrapText="1"/>
    </xf>
    <xf numFmtId="164" fontId="8" fillId="0" borderId="65" xfId="2" applyNumberFormat="1" applyFont="1" applyBorder="1" applyAlignment="1">
      <alignment horizontal="center" vertical="top" wrapText="1"/>
    </xf>
    <xf numFmtId="178" fontId="8" fillId="0" borderId="65" xfId="0" applyNumberFormat="1" applyFont="1" applyBorder="1" applyAlignment="1">
      <alignment vertical="center" wrapText="1"/>
    </xf>
    <xf numFmtId="178" fontId="8" fillId="0" borderId="0" xfId="0" applyNumberFormat="1" applyFont="1" applyAlignment="1">
      <alignment horizontal="center" vertical="top"/>
    </xf>
    <xf numFmtId="164" fontId="8" fillId="0" borderId="111" xfId="2" applyNumberFormat="1" applyFont="1" applyBorder="1" applyAlignment="1">
      <alignment horizontal="center" vertical="top"/>
    </xf>
    <xf numFmtId="0" fontId="15" fillId="9" borderId="84" xfId="0" applyFont="1" applyFill="1" applyBorder="1" applyAlignment="1">
      <alignment horizontal="left" vertical="top" wrapText="1" indent="4"/>
    </xf>
    <xf numFmtId="9" fontId="8" fillId="0" borderId="65" xfId="3" applyFont="1" applyBorder="1" applyAlignment="1">
      <alignment horizontal="right" vertical="center" wrapText="1"/>
    </xf>
    <xf numFmtId="0" fontId="23" fillId="9" borderId="105" xfId="0" applyFont="1" applyFill="1" applyBorder="1" applyAlignment="1">
      <alignment horizontal="left" vertical="top" wrapText="1"/>
    </xf>
    <xf numFmtId="9" fontId="7" fillId="9" borderId="65" xfId="3" applyFont="1" applyFill="1" applyBorder="1" applyAlignment="1">
      <alignment horizontal="center" vertical="center" wrapText="1"/>
    </xf>
    <xf numFmtId="164" fontId="7" fillId="9" borderId="65" xfId="2" applyNumberFormat="1" applyFont="1" applyFill="1" applyBorder="1" applyAlignment="1">
      <alignment vertical="center" wrapText="1"/>
    </xf>
    <xf numFmtId="9" fontId="7" fillId="9" borderId="111" xfId="0" applyNumberFormat="1" applyFont="1" applyFill="1" applyBorder="1" applyAlignment="1">
      <alignment horizontal="right" vertical="center"/>
    </xf>
    <xf numFmtId="164" fontId="7" fillId="0" borderId="65" xfId="0" applyNumberFormat="1" applyFont="1" applyBorder="1" applyAlignment="1">
      <alignment vertical="center" wrapText="1"/>
    </xf>
    <xf numFmtId="0" fontId="7" fillId="0" borderId="65" xfId="0" applyFont="1" applyBorder="1" applyAlignment="1">
      <alignment vertical="center" wrapText="1"/>
    </xf>
    <xf numFmtId="164" fontId="7" fillId="0" borderId="65" xfId="2" applyNumberFormat="1" applyFont="1" applyBorder="1" applyAlignment="1">
      <alignment vertical="center" wrapText="1"/>
    </xf>
    <xf numFmtId="178" fontId="7" fillId="0" borderId="65" xfId="3" applyNumberFormat="1" applyFont="1" applyBorder="1" applyAlignment="1">
      <alignment vertical="center" wrapText="1"/>
    </xf>
    <xf numFmtId="9" fontId="8" fillId="9" borderId="111" xfId="0" applyNumberFormat="1" applyFont="1" applyFill="1" applyBorder="1" applyAlignment="1">
      <alignment horizontal="right" vertical="top"/>
    </xf>
    <xf numFmtId="178" fontId="8" fillId="0" borderId="65" xfId="3" applyNumberFormat="1" applyFont="1" applyBorder="1" applyAlignment="1">
      <alignment horizontal="right" vertical="top" wrapText="1"/>
    </xf>
    <xf numFmtId="9" fontId="8" fillId="0" borderId="65" xfId="3" applyFont="1" applyBorder="1" applyAlignment="1">
      <alignment horizontal="center" vertical="top" wrapText="1"/>
    </xf>
    <xf numFmtId="43" fontId="8" fillId="9" borderId="65" xfId="2" applyFont="1" applyFill="1" applyBorder="1" applyAlignment="1">
      <alignment vertical="top" wrapText="1"/>
    </xf>
    <xf numFmtId="178" fontId="8" fillId="9" borderId="65" xfId="3" applyNumberFormat="1" applyFont="1" applyFill="1" applyBorder="1" applyAlignment="1">
      <alignment vertical="top" wrapText="1"/>
    </xf>
    <xf numFmtId="2" fontId="8" fillId="9" borderId="65" xfId="0" applyNumberFormat="1" applyFont="1" applyFill="1" applyBorder="1" applyAlignment="1">
      <alignment vertical="top" wrapText="1"/>
    </xf>
    <xf numFmtId="164" fontId="8" fillId="9" borderId="65" xfId="0" applyNumberFormat="1" applyFont="1" applyFill="1" applyBorder="1" applyAlignment="1">
      <alignment vertical="top" wrapText="1"/>
    </xf>
    <xf numFmtId="0" fontId="21" fillId="0" borderId="108" xfId="0" applyFont="1" applyBorder="1" applyAlignment="1">
      <alignment horizontal="justify" vertical="top" wrapText="1"/>
    </xf>
    <xf numFmtId="9" fontId="7" fillId="9" borderId="65" xfId="3" applyFont="1" applyFill="1" applyBorder="1" applyAlignment="1">
      <alignment horizontal="right" vertical="center"/>
    </xf>
    <xf numFmtId="164" fontId="7" fillId="9" borderId="65" xfId="1" applyNumberFormat="1" applyFont="1" applyFill="1" applyBorder="1" applyAlignment="1">
      <alignment horizontal="right" vertical="center"/>
    </xf>
    <xf numFmtId="9" fontId="7" fillId="9" borderId="65" xfId="0" applyNumberFormat="1" applyFont="1" applyFill="1" applyBorder="1" applyAlignment="1">
      <alignment horizontal="right" vertical="center"/>
    </xf>
    <xf numFmtId="9" fontId="7" fillId="0" borderId="65" xfId="3" applyFont="1" applyBorder="1" applyAlignment="1">
      <alignment vertical="center" wrapText="1"/>
    </xf>
    <xf numFmtId="0" fontId="7" fillId="0" borderId="61" xfId="0" applyFont="1" applyFill="1" applyBorder="1" applyAlignment="1">
      <alignment vertical="center" wrapText="1"/>
    </xf>
    <xf numFmtId="0" fontId="15" fillId="9" borderId="58" xfId="0" applyFont="1" applyFill="1" applyBorder="1" applyAlignment="1">
      <alignment horizontal="left" vertical="top" wrapText="1"/>
    </xf>
    <xf numFmtId="9" fontId="8" fillId="9" borderId="65" xfId="0" applyNumberFormat="1" applyFont="1" applyFill="1" applyBorder="1" applyAlignment="1">
      <alignment horizontal="right" vertical="center"/>
    </xf>
    <xf numFmtId="0" fontId="8" fillId="9" borderId="65" xfId="0" quotePrefix="1" applyFont="1" applyFill="1" applyBorder="1" applyAlignment="1">
      <alignment vertical="top" wrapText="1"/>
    </xf>
    <xf numFmtId="9" fontId="8" fillId="9" borderId="65" xfId="0" applyNumberFormat="1" applyFont="1" applyFill="1" applyBorder="1" applyAlignment="1">
      <alignment horizontal="right" vertical="top"/>
    </xf>
    <xf numFmtId="41" fontId="23" fillId="0" borderId="6" xfId="0" applyNumberFormat="1" applyFont="1" applyBorder="1" applyAlignment="1">
      <alignment horizontal="center" vertical="center" wrapText="1"/>
    </xf>
    <xf numFmtId="0" fontId="7" fillId="9" borderId="65" xfId="0" applyFont="1" applyFill="1" applyBorder="1" applyAlignment="1">
      <alignment horizontal="right" vertical="center" wrapText="1"/>
    </xf>
    <xf numFmtId="178" fontId="7" fillId="0" borderId="65" xfId="0" applyNumberFormat="1" applyFont="1" applyBorder="1" applyAlignment="1">
      <alignment horizontal="right" vertical="center" wrapText="1"/>
    </xf>
    <xf numFmtId="164" fontId="7" fillId="0" borderId="65" xfId="0" applyNumberFormat="1" applyFont="1" applyBorder="1" applyAlignment="1">
      <alignment horizontal="right" vertical="center" wrapText="1"/>
    </xf>
    <xf numFmtId="0" fontId="7" fillId="0" borderId="65" xfId="0" applyFont="1" applyBorder="1" applyAlignment="1">
      <alignment horizontal="right" vertical="center" wrapText="1"/>
    </xf>
    <xf numFmtId="164" fontId="7" fillId="0" borderId="65" xfId="2" applyNumberFormat="1" applyFont="1" applyBorder="1" applyAlignment="1">
      <alignment horizontal="right" vertical="center" wrapText="1"/>
    </xf>
    <xf numFmtId="0" fontId="7" fillId="0" borderId="61" xfId="0" applyFont="1" applyFill="1" applyBorder="1" applyAlignment="1">
      <alignment horizontal="left" vertical="center" wrapText="1"/>
    </xf>
    <xf numFmtId="178" fontId="8" fillId="9" borderId="65" xfId="0" applyNumberFormat="1" applyFont="1" applyFill="1" applyBorder="1" applyAlignment="1">
      <alignment vertical="top" wrapText="1"/>
    </xf>
    <xf numFmtId="0" fontId="8" fillId="9" borderId="56" xfId="0" applyFont="1" applyFill="1" applyBorder="1" applyAlignment="1">
      <alignment vertical="top" wrapText="1"/>
    </xf>
    <xf numFmtId="9" fontId="8" fillId="0" borderId="65" xfId="3" applyFont="1" applyBorder="1" applyAlignment="1">
      <alignment horizontal="center" vertical="center" wrapText="1"/>
    </xf>
    <xf numFmtId="0" fontId="21" fillId="0" borderId="112" xfId="0" applyFont="1" applyBorder="1" applyAlignment="1">
      <alignment vertical="top" wrapText="1"/>
    </xf>
    <xf numFmtId="9" fontId="7" fillId="9" borderId="65" xfId="3" applyFont="1" applyFill="1" applyBorder="1" applyAlignment="1">
      <alignment horizontal="right" vertical="center" wrapText="1"/>
    </xf>
    <xf numFmtId="9" fontId="7" fillId="9" borderId="111" xfId="3" applyFont="1" applyFill="1" applyBorder="1" applyAlignment="1">
      <alignment horizontal="right" vertical="center"/>
    </xf>
    <xf numFmtId="0" fontId="8" fillId="9" borderId="79" xfId="0" applyFont="1" applyFill="1" applyBorder="1" applyAlignment="1">
      <alignment vertical="top" wrapText="1"/>
    </xf>
    <xf numFmtId="9" fontId="8" fillId="9" borderId="111" xfId="3" applyFont="1" applyFill="1" applyBorder="1" applyAlignment="1">
      <alignment horizontal="right" vertical="top"/>
    </xf>
    <xf numFmtId="9" fontId="8" fillId="0" borderId="0" xfId="3" applyFont="1"/>
    <xf numFmtId="0" fontId="23" fillId="0" borderId="65" xfId="0" applyFont="1" applyBorder="1" applyAlignment="1">
      <alignment vertical="top" wrapText="1"/>
    </xf>
    <xf numFmtId="2" fontId="7" fillId="0" borderId="65" xfId="0" applyNumberFormat="1" applyFont="1" applyBorder="1" applyAlignment="1">
      <alignment vertical="center" wrapText="1"/>
    </xf>
    <xf numFmtId="178" fontId="8" fillId="0" borderId="65" xfId="3" applyNumberFormat="1" applyFont="1" applyBorder="1" applyAlignment="1">
      <alignment horizontal="center" vertical="center" wrapText="1"/>
    </xf>
    <xf numFmtId="0" fontId="8" fillId="0" borderId="65" xfId="0" quotePrefix="1" applyFont="1" applyBorder="1" applyAlignment="1">
      <alignment horizontal="right" vertical="top" wrapText="1"/>
    </xf>
    <xf numFmtId="0" fontId="15" fillId="9" borderId="65" xfId="0" applyFont="1" applyFill="1" applyBorder="1" applyAlignment="1">
      <alignment horizontal="left" vertical="top" wrapText="1"/>
    </xf>
    <xf numFmtId="9" fontId="7" fillId="9" borderId="65" xfId="3" applyFont="1" applyFill="1" applyBorder="1" applyAlignment="1">
      <alignment vertical="center" wrapText="1"/>
    </xf>
    <xf numFmtId="9" fontId="7" fillId="0" borderId="65" xfId="3" applyFont="1" applyBorder="1" applyAlignment="1">
      <alignment horizontal="center" vertical="top" wrapText="1"/>
    </xf>
    <xf numFmtId="178" fontId="7" fillId="0" borderId="65" xfId="3" applyNumberFormat="1" applyFont="1" applyBorder="1" applyAlignment="1">
      <alignment horizontal="center" vertical="top" wrapText="1"/>
    </xf>
    <xf numFmtId="9" fontId="7" fillId="9" borderId="65" xfId="1" applyNumberFormat="1" applyFont="1" applyFill="1" applyBorder="1" applyAlignment="1">
      <alignment horizontal="right" vertical="center"/>
    </xf>
    <xf numFmtId="0" fontId="21" fillId="0" borderId="68" xfId="0" applyFont="1" applyBorder="1" applyAlignment="1">
      <alignment vertical="top" wrapText="1"/>
    </xf>
    <xf numFmtId="9" fontId="7" fillId="9" borderId="65" xfId="3" applyFont="1" applyFill="1" applyBorder="1" applyAlignment="1">
      <alignment horizontal="right" vertical="top"/>
    </xf>
    <xf numFmtId="164" fontId="7" fillId="9" borderId="65" xfId="1" applyNumberFormat="1" applyFont="1" applyFill="1" applyBorder="1" applyAlignment="1">
      <alignment horizontal="right" vertical="top"/>
    </xf>
    <xf numFmtId="9" fontId="7" fillId="9" borderId="65" xfId="3" applyFont="1" applyFill="1" applyBorder="1" applyAlignment="1">
      <alignment vertical="top" wrapText="1"/>
    </xf>
    <xf numFmtId="164" fontId="7" fillId="9" borderId="65" xfId="2" applyNumberFormat="1" applyFont="1" applyFill="1" applyBorder="1" applyAlignment="1">
      <alignment vertical="top" wrapText="1"/>
    </xf>
    <xf numFmtId="178" fontId="7" fillId="9" borderId="65" xfId="0" applyNumberFormat="1" applyFont="1" applyFill="1" applyBorder="1" applyAlignment="1">
      <alignment horizontal="right" vertical="top"/>
    </xf>
    <xf numFmtId="164" fontId="7" fillId="9" borderId="65" xfId="2" applyNumberFormat="1" applyFont="1" applyFill="1" applyBorder="1" applyAlignment="1">
      <alignment horizontal="right" vertical="top" wrapText="1"/>
    </xf>
    <xf numFmtId="178" fontId="8" fillId="9" borderId="65" xfId="0" applyNumberFormat="1" applyFont="1" applyFill="1" applyBorder="1" applyAlignment="1">
      <alignment horizontal="right" vertical="top"/>
    </xf>
    <xf numFmtId="9" fontId="8" fillId="9" borderId="65" xfId="3" applyNumberFormat="1" applyFont="1" applyFill="1" applyBorder="1" applyAlignment="1">
      <alignment vertical="top" wrapText="1"/>
    </xf>
    <xf numFmtId="0" fontId="7" fillId="9" borderId="105" xfId="0" applyFont="1" applyFill="1" applyBorder="1" applyAlignment="1">
      <alignment vertical="top" wrapText="1"/>
    </xf>
    <xf numFmtId="43" fontId="7" fillId="9" borderId="65" xfId="1" applyNumberFormat="1" applyFont="1" applyFill="1" applyBorder="1" applyAlignment="1">
      <alignment horizontal="right" vertical="top"/>
    </xf>
    <xf numFmtId="164" fontId="7" fillId="9" borderId="65" xfId="0" applyNumberFormat="1" applyFont="1" applyFill="1" applyBorder="1" applyAlignment="1">
      <alignment vertical="top" wrapText="1"/>
    </xf>
    <xf numFmtId="10" fontId="7" fillId="9" borderId="65" xfId="0" applyNumberFormat="1" applyFont="1" applyFill="1" applyBorder="1" applyAlignment="1">
      <alignment horizontal="right" vertical="top"/>
    </xf>
    <xf numFmtId="164" fontId="7" fillId="9" borderId="65" xfId="0" applyNumberFormat="1" applyFont="1" applyFill="1" applyBorder="1" applyAlignment="1">
      <alignment horizontal="right" vertical="top" wrapText="1"/>
    </xf>
    <xf numFmtId="0" fontId="21" fillId="0" borderId="113" xfId="0" applyFont="1" applyBorder="1" applyAlignment="1">
      <alignment vertical="top" wrapText="1"/>
    </xf>
    <xf numFmtId="9" fontId="7" fillId="9" borderId="65" xfId="3" applyNumberFormat="1" applyFont="1" applyFill="1" applyBorder="1" applyAlignment="1">
      <alignment horizontal="right" vertical="center"/>
    </xf>
    <xf numFmtId="164" fontId="7" fillId="9" borderId="65" xfId="0" applyNumberFormat="1" applyFont="1" applyFill="1" applyBorder="1" applyAlignment="1">
      <alignment horizontal="right" vertical="center" wrapText="1"/>
    </xf>
    <xf numFmtId="178" fontId="7" fillId="0" borderId="65" xfId="2" applyNumberFormat="1" applyFont="1" applyBorder="1" applyAlignment="1">
      <alignment horizontal="right" vertical="center" wrapText="1"/>
    </xf>
    <xf numFmtId="0" fontId="8" fillId="9" borderId="65" xfId="0" applyNumberFormat="1" applyFont="1" applyFill="1" applyBorder="1" applyAlignment="1">
      <alignment vertical="top" wrapText="1"/>
    </xf>
    <xf numFmtId="178" fontId="7" fillId="9" borderId="65" xfId="3" applyNumberFormat="1" applyFont="1" applyFill="1" applyBorder="1" applyAlignment="1">
      <alignment horizontal="right" vertical="top"/>
    </xf>
    <xf numFmtId="9" fontId="7" fillId="9" borderId="65" xfId="0" applyNumberFormat="1" applyFont="1" applyFill="1" applyBorder="1" applyAlignment="1">
      <alignment horizontal="right" vertical="top"/>
    </xf>
    <xf numFmtId="0" fontId="15" fillId="9" borderId="84" xfId="0" applyFont="1" applyFill="1" applyBorder="1" applyAlignment="1">
      <alignment horizontal="left" vertical="top" wrapText="1" indent="1"/>
    </xf>
    <xf numFmtId="9" fontId="7" fillId="9" borderId="65" xfId="0" applyNumberFormat="1" applyFont="1" applyFill="1" applyBorder="1" applyAlignment="1">
      <alignment vertical="top" wrapText="1"/>
    </xf>
    <xf numFmtId="178" fontId="7" fillId="9" borderId="65" xfId="3" applyNumberFormat="1" applyFont="1" applyFill="1" applyBorder="1" applyAlignment="1">
      <alignment vertical="top" wrapText="1"/>
    </xf>
    <xf numFmtId="0" fontId="8" fillId="0" borderId="81" xfId="0" applyFont="1" applyBorder="1"/>
    <xf numFmtId="0" fontId="8" fillId="0" borderId="77" xfId="0" applyFont="1" applyBorder="1"/>
    <xf numFmtId="0" fontId="8" fillId="0" borderId="83" xfId="0" applyFont="1" applyBorder="1"/>
    <xf numFmtId="0" fontId="8" fillId="0" borderId="82" xfId="0" applyFont="1" applyBorder="1"/>
    <xf numFmtId="0" fontId="0" fillId="16" borderId="3" xfId="0" applyFill="1" applyBorder="1"/>
    <xf numFmtId="43" fontId="0" fillId="16" borderId="3" xfId="0" applyNumberFormat="1" applyFill="1" applyBorder="1"/>
    <xf numFmtId="0" fontId="0" fillId="16" borderId="3" xfId="0" applyFill="1" applyBorder="1" applyAlignment="1">
      <alignment vertical="top"/>
    </xf>
    <xf numFmtId="0" fontId="0" fillId="0" borderId="1" xfId="0" applyBorder="1"/>
    <xf numFmtId="43" fontId="0" fillId="0" borderId="1" xfId="0" applyNumberFormat="1" applyBorder="1" applyAlignment="1">
      <alignment vertical="top"/>
    </xf>
    <xf numFmtId="0" fontId="0" fillId="16" borderId="1" xfId="0" applyFill="1" applyBorder="1"/>
    <xf numFmtId="43" fontId="0" fillId="16" borderId="1" xfId="0" applyNumberFormat="1" applyFill="1" applyBorder="1"/>
    <xf numFmtId="0" fontId="0" fillId="2" borderId="4" xfId="0" applyFill="1" applyBorder="1" applyAlignment="1">
      <alignment vertical="top"/>
    </xf>
    <xf numFmtId="2" fontId="0" fillId="2" borderId="4" xfId="0" applyNumberFormat="1" applyFill="1" applyBorder="1" applyAlignment="1">
      <alignment vertical="top"/>
    </xf>
    <xf numFmtId="2" fontId="0" fillId="9" borderId="4" xfId="0" applyNumberFormat="1" applyFill="1" applyBorder="1" applyAlignment="1">
      <alignment vertical="top"/>
    </xf>
    <xf numFmtId="43" fontId="0" fillId="0" borderId="1" xfId="0" applyNumberFormat="1" applyBorder="1" applyAlignment="1">
      <alignment vertical="top" wrapText="1"/>
    </xf>
    <xf numFmtId="0" fontId="0" fillId="17" borderId="1" xfId="0" applyFill="1" applyBorder="1" applyAlignment="1">
      <alignment vertical="top"/>
    </xf>
    <xf numFmtId="2" fontId="0" fillId="17" borderId="1" xfId="0" applyNumberFormat="1" applyFill="1" applyBorder="1" applyAlignment="1">
      <alignment vertical="top" wrapText="1"/>
    </xf>
    <xf numFmtId="2" fontId="0" fillId="9" borderId="1" xfId="0" applyNumberFormat="1" applyFill="1" applyBorder="1" applyAlignment="1">
      <alignment vertical="top" wrapText="1"/>
    </xf>
    <xf numFmtId="43" fontId="0" fillId="0" borderId="2" xfId="0" applyNumberFormat="1" applyBorder="1" applyAlignment="1">
      <alignment vertical="top" wrapText="1"/>
    </xf>
    <xf numFmtId="2" fontId="0" fillId="0" borderId="2" xfId="0" applyNumberFormat="1" applyBorder="1" applyAlignment="1">
      <alignment vertical="top" wrapText="1"/>
    </xf>
    <xf numFmtId="0" fontId="0" fillId="2" borderId="2" xfId="0" applyFill="1" applyBorder="1" applyAlignment="1">
      <alignment vertical="top"/>
    </xf>
    <xf numFmtId="2" fontId="0" fillId="17" borderId="2" xfId="0" applyNumberFormat="1" applyFill="1" applyBorder="1" applyAlignment="1">
      <alignment vertical="top" wrapText="1"/>
    </xf>
    <xf numFmtId="2" fontId="0" fillId="0" borderId="4" xfId="0" applyNumberFormat="1" applyBorder="1" applyAlignment="1">
      <alignment vertical="top" wrapText="1"/>
    </xf>
    <xf numFmtId="0" fontId="8" fillId="16" borderId="3" xfId="0" applyFont="1" applyFill="1" applyBorder="1" applyAlignment="1">
      <alignment horizontal="center" vertical="center"/>
    </xf>
    <xf numFmtId="0" fontId="8" fillId="16" borderId="3" xfId="0" applyFont="1" applyFill="1" applyBorder="1"/>
    <xf numFmtId="0" fontId="21" fillId="16" borderId="4" xfId="0" applyFont="1" applyFill="1" applyBorder="1" applyAlignment="1">
      <alignment horizontal="center" vertical="top"/>
    </xf>
    <xf numFmtId="0" fontId="21" fillId="16" borderId="4" xfId="0" quotePrefix="1" applyFont="1" applyFill="1" applyBorder="1" applyAlignment="1">
      <alignment horizontal="center" vertical="top"/>
    </xf>
    <xf numFmtId="0" fontId="21" fillId="16" borderId="1" xfId="0" quotePrefix="1" applyFont="1" applyFill="1" applyBorder="1" applyAlignment="1">
      <alignment horizontal="center" vertical="top"/>
    </xf>
    <xf numFmtId="0" fontId="8" fillId="16" borderId="4" xfId="0" applyFont="1" applyFill="1" applyBorder="1" applyAlignment="1">
      <alignment horizontal="center" vertical="top"/>
    </xf>
    <xf numFmtId="41" fontId="8" fillId="16" borderId="3" xfId="0" applyNumberFormat="1" applyFont="1" applyFill="1" applyBorder="1"/>
    <xf numFmtId="43" fontId="8" fillId="16" borderId="3" xfId="0" applyNumberFormat="1" applyFont="1" applyFill="1" applyBorder="1"/>
    <xf numFmtId="0" fontId="8" fillId="9" borderId="1" xfId="0" applyFont="1" applyFill="1" applyBorder="1" applyAlignment="1">
      <alignment horizontal="center" vertical="center"/>
    </xf>
    <xf numFmtId="0" fontId="8" fillId="9" borderId="2" xfId="0" applyFont="1" applyFill="1" applyBorder="1" applyAlignment="1">
      <alignment vertical="center" wrapText="1"/>
    </xf>
    <xf numFmtId="0" fontId="8" fillId="9" borderId="4" xfId="0" applyFont="1" applyFill="1" applyBorder="1" applyAlignment="1">
      <alignment horizontal="center" vertical="top"/>
    </xf>
    <xf numFmtId="41" fontId="8" fillId="0" borderId="1" xfId="1" applyFont="1" applyBorder="1" applyAlignment="1">
      <alignment vertical="top"/>
    </xf>
    <xf numFmtId="41" fontId="8" fillId="0" borderId="1" xfId="0" applyNumberFormat="1" applyFont="1" applyBorder="1" applyAlignment="1">
      <alignment vertical="top"/>
    </xf>
    <xf numFmtId="43" fontId="8" fillId="0" borderId="1" xfId="0" applyNumberFormat="1" applyFont="1" applyBorder="1" applyAlignment="1">
      <alignment vertical="top"/>
    </xf>
    <xf numFmtId="0" fontId="8" fillId="0" borderId="1" xfId="0" applyFont="1" applyBorder="1"/>
    <xf numFmtId="0" fontId="8" fillId="9" borderId="1" xfId="0" applyFont="1" applyFill="1" applyBorder="1" applyAlignment="1">
      <alignment vertical="center" wrapText="1"/>
    </xf>
    <xf numFmtId="41" fontId="8" fillId="0" borderId="1" xfId="1" applyFont="1" applyBorder="1" applyAlignment="1">
      <alignment horizontal="center" vertical="top"/>
    </xf>
    <xf numFmtId="0" fontId="8" fillId="0" borderId="1" xfId="0" quotePrefix="1" applyFont="1" applyBorder="1" applyAlignment="1">
      <alignment vertical="top"/>
    </xf>
    <xf numFmtId="0" fontId="8" fillId="9" borderId="3" xfId="0" applyFont="1" applyFill="1" applyBorder="1" applyAlignment="1">
      <alignment vertical="center" wrapText="1"/>
    </xf>
    <xf numFmtId="0" fontId="21" fillId="0" borderId="1" xfId="0" applyFont="1" applyBorder="1" applyAlignment="1">
      <alignment vertical="center" wrapText="1"/>
    </xf>
    <xf numFmtId="3" fontId="8" fillId="0" borderId="1" xfId="0" applyNumberFormat="1" applyFont="1" applyBorder="1" applyAlignment="1">
      <alignment vertical="top"/>
    </xf>
    <xf numFmtId="0" fontId="8" fillId="9" borderId="4" xfId="0" applyFont="1" applyFill="1" applyBorder="1" applyAlignment="1">
      <alignment vertical="center" wrapText="1"/>
    </xf>
    <xf numFmtId="0" fontId="8" fillId="16" borderId="1" xfId="0" applyFont="1" applyFill="1" applyBorder="1"/>
    <xf numFmtId="41" fontId="8" fillId="16" borderId="1" xfId="0" applyNumberFormat="1" applyFont="1" applyFill="1" applyBorder="1"/>
    <xf numFmtId="43" fontId="8" fillId="16" borderId="1" xfId="0" applyNumberFormat="1" applyFont="1" applyFill="1" applyBorder="1"/>
    <xf numFmtId="0" fontId="8" fillId="0" borderId="1" xfId="0" applyFont="1" applyBorder="1" applyAlignment="1">
      <alignment horizontal="left" vertical="top" wrapText="1"/>
    </xf>
    <xf numFmtId="0" fontId="8" fillId="2" borderId="4" xfId="0" applyFont="1" applyFill="1" applyBorder="1" applyAlignment="1">
      <alignment horizontal="center" vertical="top"/>
    </xf>
    <xf numFmtId="0" fontId="8" fillId="2" borderId="7" xfId="0" applyFont="1" applyFill="1" applyBorder="1" applyAlignment="1">
      <alignment horizontal="center" vertical="top" wrapText="1"/>
    </xf>
    <xf numFmtId="0" fontId="7" fillId="2" borderId="114" xfId="0" quotePrefix="1" applyFont="1" applyFill="1" applyBorder="1" applyAlignment="1">
      <alignment vertical="top" wrapText="1"/>
    </xf>
    <xf numFmtId="0" fontId="7" fillId="2" borderId="114" xfId="0" applyFont="1" applyFill="1" applyBorder="1" applyAlignment="1">
      <alignment vertical="top" wrapText="1"/>
    </xf>
    <xf numFmtId="0" fontId="8" fillId="2" borderId="6" xfId="0" applyFont="1" applyFill="1" applyBorder="1" applyAlignment="1">
      <alignment horizontal="center" vertical="top"/>
    </xf>
    <xf numFmtId="0" fontId="8" fillId="2" borderId="4" xfId="0" applyFont="1" applyFill="1" applyBorder="1" applyAlignment="1">
      <alignment vertical="top" wrapText="1"/>
    </xf>
    <xf numFmtId="0" fontId="8" fillId="2" borderId="4" xfId="0" applyFont="1" applyFill="1" applyBorder="1" applyAlignment="1">
      <alignment vertical="top"/>
    </xf>
    <xf numFmtId="41" fontId="8" fillId="2" borderId="4" xfId="1" applyFont="1" applyFill="1" applyBorder="1" applyAlignment="1">
      <alignment vertical="top"/>
    </xf>
    <xf numFmtId="41" fontId="8" fillId="2" borderId="4" xfId="0" applyNumberFormat="1" applyFont="1" applyFill="1" applyBorder="1" applyAlignment="1">
      <alignment vertical="top"/>
    </xf>
    <xf numFmtId="0" fontId="8" fillId="0" borderId="4" xfId="0" applyFont="1" applyBorder="1" applyAlignment="1">
      <alignment vertical="top"/>
    </xf>
    <xf numFmtId="0" fontId="8" fillId="0" borderId="1" xfId="0" applyFont="1" applyBorder="1" applyAlignment="1">
      <alignment vertical="center" wrapText="1"/>
    </xf>
    <xf numFmtId="0" fontId="8" fillId="0" borderId="1" xfId="0" quotePrefix="1" applyFont="1" applyBorder="1" applyAlignment="1">
      <alignment horizontal="center" vertical="top"/>
    </xf>
    <xf numFmtId="0" fontId="8" fillId="0" borderId="4" xfId="0" applyFont="1" applyBorder="1" applyAlignment="1">
      <alignment vertical="top" wrapText="1"/>
    </xf>
    <xf numFmtId="0" fontId="8" fillId="0" borderId="3" xfId="0" applyFont="1" applyBorder="1" applyAlignment="1">
      <alignment vertical="center" wrapText="1"/>
    </xf>
    <xf numFmtId="0" fontId="15" fillId="0" borderId="1" xfId="0" applyFont="1" applyBorder="1" applyAlignment="1">
      <alignment horizontal="center" vertical="top" wrapText="1"/>
    </xf>
    <xf numFmtId="41" fontId="15" fillId="0" borderId="11" xfId="1" applyFont="1" applyBorder="1" applyAlignment="1">
      <alignment vertical="top"/>
    </xf>
    <xf numFmtId="43" fontId="8" fillId="0" borderId="115" xfId="0" applyNumberFormat="1" applyFont="1" applyBorder="1" applyAlignment="1">
      <alignment vertical="top" wrapText="1"/>
    </xf>
    <xf numFmtId="41" fontId="8" fillId="0" borderId="115" xfId="0" applyNumberFormat="1" applyFont="1" applyBorder="1" applyAlignment="1">
      <alignment vertical="top" wrapText="1"/>
    </xf>
    <xf numFmtId="0" fontId="8" fillId="0" borderId="8" xfId="0" applyFont="1" applyBorder="1" applyAlignment="1">
      <alignment vertical="top"/>
    </xf>
    <xf numFmtId="41" fontId="8" fillId="0" borderId="4" xfId="0" applyNumberFormat="1" applyFont="1" applyBorder="1" applyAlignment="1">
      <alignment vertical="top"/>
    </xf>
    <xf numFmtId="43" fontId="8" fillId="0" borderId="4" xfId="0" quotePrefix="1" applyNumberFormat="1" applyFont="1" applyBorder="1" applyAlignment="1">
      <alignment vertical="top"/>
    </xf>
    <xf numFmtId="41" fontId="8" fillId="0" borderId="4" xfId="1" applyFont="1" applyBorder="1" applyAlignment="1">
      <alignment vertical="top"/>
    </xf>
    <xf numFmtId="0" fontId="8" fillId="0" borderId="1" xfId="0" applyFont="1" applyBorder="1" applyAlignment="1">
      <alignment wrapText="1"/>
    </xf>
    <xf numFmtId="0" fontId="8" fillId="0" borderId="4" xfId="0" quotePrefix="1" applyFont="1" applyBorder="1" applyAlignment="1">
      <alignment horizontal="center" vertical="top"/>
    </xf>
    <xf numFmtId="0" fontId="15" fillId="0" borderId="6" xfId="0" applyFont="1" applyFill="1" applyBorder="1" applyAlignment="1">
      <alignment vertical="top" wrapText="1"/>
    </xf>
    <xf numFmtId="0" fontId="15" fillId="0" borderId="1" xfId="0" applyNumberFormat="1" applyFont="1" applyBorder="1" applyAlignment="1">
      <alignment horizontal="center" vertical="top" wrapText="1"/>
    </xf>
    <xf numFmtId="0" fontId="8" fillId="0" borderId="12" xfId="0" applyFont="1" applyBorder="1" applyAlignment="1">
      <alignment vertical="top" wrapText="1"/>
    </xf>
    <xf numFmtId="41" fontId="8" fillId="0" borderId="1" xfId="1" applyFont="1" applyBorder="1" applyAlignment="1">
      <alignment vertical="top" wrapText="1"/>
    </xf>
    <xf numFmtId="43" fontId="8" fillId="9" borderId="1" xfId="0" applyNumberFormat="1" applyFont="1" applyFill="1" applyBorder="1" applyAlignment="1">
      <alignment vertical="top" wrapText="1"/>
    </xf>
    <xf numFmtId="43" fontId="8" fillId="0" borderId="1" xfId="0" applyNumberFormat="1" applyFont="1" applyBorder="1" applyAlignment="1">
      <alignment vertical="top" wrapText="1"/>
    </xf>
    <xf numFmtId="0" fontId="15" fillId="0" borderId="3" xfId="0" applyFont="1" applyFill="1" applyBorder="1" applyAlignment="1">
      <alignment horizontal="left" vertical="top" wrapText="1"/>
    </xf>
    <xf numFmtId="0" fontId="8" fillId="0" borderId="115" xfId="0" applyFont="1" applyBorder="1" applyAlignment="1">
      <alignment vertical="top" wrapText="1"/>
    </xf>
    <xf numFmtId="3" fontId="8" fillId="0" borderId="115" xfId="0" applyNumberFormat="1" applyFont="1" applyBorder="1" applyAlignment="1">
      <alignment vertical="top" wrapText="1"/>
    </xf>
    <xf numFmtId="0" fontId="8" fillId="0" borderId="1" xfId="0" applyNumberFormat="1" applyFont="1" applyBorder="1" applyAlignment="1">
      <alignment vertical="top" wrapText="1"/>
    </xf>
    <xf numFmtId="0" fontId="15" fillId="0" borderId="3" xfId="0" applyNumberFormat="1" applyFont="1" applyBorder="1" applyAlignment="1">
      <alignment horizontal="center" vertical="top" wrapText="1"/>
    </xf>
    <xf numFmtId="41" fontId="15" fillId="0" borderId="5" xfId="1" applyFont="1" applyBorder="1" applyAlignment="1">
      <alignment vertical="top"/>
    </xf>
    <xf numFmtId="41" fontId="8" fillId="0" borderId="115" xfId="1" applyFont="1" applyBorder="1" applyAlignment="1">
      <alignment vertical="top" wrapText="1"/>
    </xf>
    <xf numFmtId="41" fontId="15" fillId="0" borderId="1" xfId="1" applyFont="1" applyBorder="1" applyAlignment="1">
      <alignment vertical="top"/>
    </xf>
    <xf numFmtId="0" fontId="8" fillId="17" borderId="1" xfId="0" applyFont="1" applyFill="1" applyBorder="1" applyAlignment="1">
      <alignment vertical="top"/>
    </xf>
    <xf numFmtId="0" fontId="8" fillId="17" borderId="11" xfId="0" applyFont="1" applyFill="1" applyBorder="1" applyAlignment="1">
      <alignment vertical="top" wrapText="1"/>
    </xf>
    <xf numFmtId="0" fontId="7" fillId="17" borderId="116" xfId="0" quotePrefix="1" applyFont="1" applyFill="1" applyBorder="1" applyAlignment="1">
      <alignment vertical="top" wrapText="1"/>
    </xf>
    <xf numFmtId="0" fontId="7" fillId="17" borderId="116" xfId="0" applyFont="1" applyFill="1" applyBorder="1" applyAlignment="1">
      <alignment vertical="top" wrapText="1"/>
    </xf>
    <xf numFmtId="0" fontId="7" fillId="17" borderId="115" xfId="0" applyFont="1" applyFill="1" applyBorder="1" applyAlignment="1">
      <alignment horizontal="left" vertical="center" wrapText="1"/>
    </xf>
    <xf numFmtId="0" fontId="8" fillId="17" borderId="12" xfId="0" applyFont="1" applyFill="1" applyBorder="1" applyAlignment="1">
      <alignment vertical="top" wrapText="1"/>
    </xf>
    <xf numFmtId="41" fontId="8" fillId="17" borderId="1" xfId="1" applyFont="1" applyFill="1" applyBorder="1" applyAlignment="1">
      <alignment vertical="top" wrapText="1"/>
    </xf>
    <xf numFmtId="0" fontId="8" fillId="17" borderId="1" xfId="0" applyFont="1" applyFill="1" applyBorder="1" applyAlignment="1">
      <alignment vertical="top" wrapText="1"/>
    </xf>
    <xf numFmtId="0" fontId="8" fillId="0" borderId="11" xfId="0" applyFont="1" applyBorder="1" applyAlignment="1">
      <alignment vertical="top" wrapText="1"/>
    </xf>
    <xf numFmtId="0" fontId="8" fillId="0" borderId="117" xfId="0" quotePrefix="1" applyFont="1" applyBorder="1" applyAlignment="1">
      <alignment vertical="top" wrapText="1"/>
    </xf>
    <xf numFmtId="0" fontId="8" fillId="9" borderId="117" xfId="0" quotePrefix="1" applyFont="1" applyFill="1" applyBorder="1" applyAlignment="1">
      <alignment vertical="top" wrapText="1"/>
    </xf>
    <xf numFmtId="0" fontId="8" fillId="9" borderId="118" xfId="0" applyFont="1" applyFill="1" applyBorder="1" applyAlignment="1">
      <alignment vertical="top" wrapText="1"/>
    </xf>
    <xf numFmtId="0" fontId="15" fillId="9" borderId="2" xfId="0" applyFont="1" applyFill="1" applyBorder="1" applyAlignment="1">
      <alignment horizontal="left" vertical="top" wrapText="1"/>
    </xf>
    <xf numFmtId="0" fontId="15" fillId="9" borderId="3" xfId="0" applyFont="1" applyFill="1" applyBorder="1" applyAlignment="1">
      <alignment horizontal="left" vertical="top" wrapText="1"/>
    </xf>
    <xf numFmtId="0" fontId="15" fillId="9" borderId="3" xfId="0" applyFont="1" applyFill="1" applyBorder="1" applyAlignment="1">
      <alignment horizontal="center" vertical="top" wrapText="1"/>
    </xf>
    <xf numFmtId="41" fontId="15" fillId="9" borderId="5" xfId="1" applyFont="1" applyFill="1" applyBorder="1" applyAlignment="1">
      <alignment vertical="top"/>
    </xf>
    <xf numFmtId="0" fontId="8" fillId="9" borderId="115" xfId="0" applyFont="1" applyFill="1" applyBorder="1" applyAlignment="1">
      <alignment vertical="top" wrapText="1"/>
    </xf>
    <xf numFmtId="3" fontId="8" fillId="9" borderId="115" xfId="0" applyNumberFormat="1" applyFont="1" applyFill="1" applyBorder="1" applyAlignment="1">
      <alignment vertical="top" wrapText="1"/>
    </xf>
    <xf numFmtId="0" fontId="8" fillId="9" borderId="12" xfId="0" applyFont="1" applyFill="1" applyBorder="1" applyAlignment="1">
      <alignment vertical="top" wrapText="1"/>
    </xf>
    <xf numFmtId="0" fontId="8" fillId="9" borderId="119" xfId="0" quotePrefix="1" applyFont="1" applyFill="1" applyBorder="1" applyAlignment="1">
      <alignment vertical="top" wrapText="1"/>
    </xf>
    <xf numFmtId="0" fontId="15" fillId="9" borderId="1" xfId="0" applyFont="1" applyFill="1" applyBorder="1" applyAlignment="1">
      <alignment horizontal="left" vertical="top" wrapText="1"/>
    </xf>
    <xf numFmtId="0" fontId="15" fillId="9" borderId="1" xfId="0" applyFont="1" applyFill="1" applyBorder="1" applyAlignment="1">
      <alignment horizontal="center" vertical="top" wrapText="1"/>
    </xf>
    <xf numFmtId="41" fontId="15" fillId="9" borderId="11" xfId="1" applyFont="1" applyFill="1" applyBorder="1" applyAlignment="1">
      <alignment vertical="top"/>
    </xf>
    <xf numFmtId="0" fontId="8" fillId="9" borderId="12" xfId="0" applyNumberFormat="1" applyFont="1" applyFill="1" applyBorder="1" applyAlignment="1">
      <alignment vertical="top" wrapText="1"/>
    </xf>
    <xf numFmtId="0" fontId="8" fillId="0" borderId="119" xfId="0" quotePrefix="1" applyFont="1" applyBorder="1" applyAlignment="1">
      <alignment vertical="top" wrapText="1"/>
    </xf>
    <xf numFmtId="0" fontId="15" fillId="9" borderId="7" xfId="0" applyFont="1" applyFill="1" applyBorder="1" applyAlignment="1">
      <alignment vertical="top" wrapText="1"/>
    </xf>
    <xf numFmtId="0" fontId="15" fillId="9" borderId="4" xfId="0" applyFont="1" applyFill="1" applyBorder="1" applyAlignment="1">
      <alignment horizontal="center" vertical="top" wrapText="1"/>
    </xf>
    <xf numFmtId="41" fontId="15" fillId="9" borderId="7" xfId="1" applyFont="1" applyFill="1" applyBorder="1" applyAlignment="1">
      <alignment vertical="top"/>
    </xf>
    <xf numFmtId="0" fontId="8" fillId="9" borderId="120" xfId="0" applyFont="1" applyFill="1" applyBorder="1" applyAlignment="1">
      <alignment vertical="top" wrapText="1"/>
    </xf>
    <xf numFmtId="3" fontId="8" fillId="9" borderId="120" xfId="0" applyNumberFormat="1" applyFont="1" applyFill="1" applyBorder="1" applyAlignment="1">
      <alignment vertical="top" wrapText="1"/>
    </xf>
    <xf numFmtId="0" fontId="8" fillId="9" borderId="121" xfId="0" quotePrefix="1" applyFont="1" applyFill="1" applyBorder="1" applyAlignment="1">
      <alignment vertical="top" wrapText="1"/>
    </xf>
    <xf numFmtId="0" fontId="8" fillId="9" borderId="122" xfId="0" applyFont="1" applyFill="1" applyBorder="1" applyAlignment="1">
      <alignment vertical="top" wrapText="1"/>
    </xf>
    <xf numFmtId="0" fontId="15" fillId="9" borderId="6" xfId="0" applyFont="1" applyFill="1" applyBorder="1" applyAlignment="1">
      <alignment horizontal="left" vertical="top" wrapText="1"/>
    </xf>
    <xf numFmtId="0" fontId="8" fillId="9" borderId="117" xfId="0" applyFont="1" applyFill="1" applyBorder="1" applyAlignment="1">
      <alignment horizontal="center" vertical="top" wrapText="1"/>
    </xf>
    <xf numFmtId="41" fontId="21" fillId="9" borderId="117" xfId="0" applyNumberFormat="1" applyFont="1" applyFill="1" applyBorder="1" applyAlignment="1">
      <alignment horizontal="right" vertical="top"/>
    </xf>
    <xf numFmtId="0" fontId="8" fillId="9" borderId="12" xfId="0" applyFont="1" applyFill="1" applyBorder="1" applyAlignment="1">
      <alignment horizontal="center" vertical="top" wrapText="1"/>
    </xf>
    <xf numFmtId="0" fontId="8" fillId="0" borderId="9" xfId="0" applyFont="1" applyBorder="1" applyAlignment="1">
      <alignment vertical="top" wrapText="1"/>
    </xf>
    <xf numFmtId="0" fontId="8" fillId="0" borderId="120" xfId="0" quotePrefix="1" applyFont="1" applyBorder="1" applyAlignment="1">
      <alignment vertical="top" wrapText="1"/>
    </xf>
    <xf numFmtId="0" fontId="8" fillId="0" borderId="123" xfId="0" quotePrefix="1" applyFont="1" applyBorder="1" applyAlignment="1">
      <alignment vertical="top" wrapText="1"/>
    </xf>
    <xf numFmtId="0" fontId="8" fillId="9" borderId="1" xfId="0" quotePrefix="1" applyFont="1" applyFill="1" applyBorder="1" applyAlignment="1">
      <alignment vertical="top" wrapText="1"/>
    </xf>
    <xf numFmtId="0" fontId="8" fillId="17" borderId="114" xfId="0" quotePrefix="1" applyFont="1" applyFill="1" applyBorder="1" applyAlignment="1">
      <alignment vertical="top" wrapText="1"/>
    </xf>
    <xf numFmtId="0" fontId="8" fillId="17" borderId="1" xfId="0" quotePrefix="1" applyFont="1" applyFill="1" applyBorder="1" applyAlignment="1">
      <alignment vertical="top" wrapText="1"/>
    </xf>
    <xf numFmtId="0" fontId="23" fillId="17" borderId="1" xfId="0" applyFont="1" applyFill="1" applyBorder="1" applyAlignment="1">
      <alignment horizontal="left" vertical="top" wrapText="1"/>
    </xf>
    <xf numFmtId="0" fontId="8" fillId="0" borderId="1" xfId="0" quotePrefix="1" applyFont="1" applyBorder="1" applyAlignment="1">
      <alignment vertical="top" wrapText="1"/>
    </xf>
    <xf numFmtId="0" fontId="15" fillId="0" borderId="6" xfId="0" applyFont="1" applyBorder="1" applyAlignment="1">
      <alignment vertical="top" wrapText="1"/>
    </xf>
    <xf numFmtId="0" fontId="15" fillId="0" borderId="3" xfId="0" applyFont="1" applyBorder="1" applyAlignment="1">
      <alignment horizontal="center" vertical="top" wrapText="1"/>
    </xf>
    <xf numFmtId="0" fontId="21" fillId="0" borderId="11" xfId="0" applyFont="1" applyBorder="1" applyAlignment="1">
      <alignment vertical="top" wrapText="1"/>
    </xf>
    <xf numFmtId="0" fontId="8" fillId="0" borderId="117" xfId="0" applyFont="1" applyBorder="1" applyAlignment="1">
      <alignment vertical="top" wrapText="1"/>
    </xf>
    <xf numFmtId="41" fontId="8" fillId="0" borderId="11" xfId="1" applyFont="1" applyBorder="1" applyAlignment="1">
      <alignment vertical="top" wrapText="1"/>
    </xf>
    <xf numFmtId="39" fontId="8" fillId="0" borderId="115" xfId="0" applyNumberFormat="1" applyFont="1" applyBorder="1" applyAlignment="1">
      <alignment vertical="top" wrapText="1"/>
    </xf>
    <xf numFmtId="0" fontId="17" fillId="17" borderId="11" xfId="0" applyFont="1" applyFill="1" applyBorder="1" applyAlignment="1">
      <alignment vertical="top" wrapText="1"/>
    </xf>
    <xf numFmtId="0" fontId="15" fillId="0" borderId="6" xfId="0" applyFont="1" applyBorder="1" applyAlignment="1">
      <alignment horizontal="left" vertical="top" wrapText="1"/>
    </xf>
    <xf numFmtId="0" fontId="15" fillId="0" borderId="3" xfId="0" applyFont="1" applyBorder="1" applyAlignment="1">
      <alignment horizontal="center" vertical="center" wrapText="1"/>
    </xf>
    <xf numFmtId="41" fontId="15" fillId="0" borderId="5" xfId="1" applyFont="1" applyBorder="1" applyAlignment="1">
      <alignment vertical="top" wrapText="1"/>
    </xf>
    <xf numFmtId="0" fontId="8" fillId="0" borderId="12" xfId="0" applyNumberFormat="1" applyFont="1" applyBorder="1" applyAlignment="1">
      <alignment vertical="top" wrapText="1"/>
    </xf>
    <xf numFmtId="0" fontId="15" fillId="0" borderId="1" xfId="0" applyFont="1" applyBorder="1" applyAlignment="1">
      <alignment horizontal="left" vertical="top" wrapText="1"/>
    </xf>
    <xf numFmtId="0" fontId="15" fillId="0" borderId="1" xfId="0" applyFont="1" applyBorder="1" applyAlignment="1">
      <alignment vertical="top" wrapText="1"/>
    </xf>
    <xf numFmtId="0" fontId="15" fillId="0" borderId="1" xfId="0" applyFont="1" applyBorder="1" applyAlignment="1">
      <alignment horizontal="center" vertical="center" wrapText="1"/>
    </xf>
    <xf numFmtId="41" fontId="15" fillId="0" borderId="1" xfId="1" applyFont="1" applyBorder="1" applyAlignment="1">
      <alignment vertical="top" wrapText="1"/>
    </xf>
    <xf numFmtId="3" fontId="8" fillId="0" borderId="1" xfId="0" applyNumberFormat="1" applyFont="1" applyBorder="1" applyAlignment="1">
      <alignment vertical="top" wrapText="1"/>
    </xf>
    <xf numFmtId="0" fontId="8" fillId="0" borderId="2" xfId="0" applyFont="1" applyBorder="1" applyAlignment="1">
      <alignment vertical="top"/>
    </xf>
    <xf numFmtId="0" fontId="7" fillId="0" borderId="0" xfId="0" applyFont="1" applyAlignment="1">
      <alignment wrapText="1"/>
    </xf>
    <xf numFmtId="0" fontId="8" fillId="9" borderId="2" xfId="0" quotePrefix="1" applyFont="1" applyFill="1" applyBorder="1" applyAlignment="1">
      <alignment vertical="top" wrapText="1"/>
    </xf>
    <xf numFmtId="0" fontId="15" fillId="0" borderId="4" xfId="0" applyFont="1" applyBorder="1" applyAlignment="1">
      <alignment vertical="top" wrapText="1"/>
    </xf>
    <xf numFmtId="41" fontId="15" fillId="0" borderId="4" xfId="1" applyFont="1" applyBorder="1" applyAlignment="1">
      <alignment vertical="top" wrapText="1"/>
    </xf>
    <xf numFmtId="0" fontId="7" fillId="0" borderId="1" xfId="0" applyFont="1" applyBorder="1" applyAlignment="1">
      <alignment wrapText="1"/>
    </xf>
    <xf numFmtId="0" fontId="8" fillId="0" borderId="2" xfId="0" applyFont="1" applyBorder="1" applyAlignment="1">
      <alignment vertical="top" wrapText="1"/>
    </xf>
    <xf numFmtId="0" fontId="15" fillId="0" borderId="2" xfId="0" applyFont="1" applyBorder="1" applyAlignment="1">
      <alignment horizontal="left" vertical="top" wrapText="1"/>
    </xf>
    <xf numFmtId="0" fontId="15" fillId="0" borderId="2" xfId="0" applyFont="1" applyBorder="1" applyAlignment="1">
      <alignment vertical="top" wrapText="1"/>
    </xf>
    <xf numFmtId="41" fontId="15" fillId="0" borderId="9" xfId="1" applyFont="1" applyBorder="1" applyAlignment="1">
      <alignment vertical="top" wrapText="1"/>
    </xf>
    <xf numFmtId="3" fontId="8" fillId="0" borderId="2" xfId="0" applyNumberFormat="1" applyFont="1" applyBorder="1" applyAlignment="1">
      <alignment vertical="top" wrapText="1"/>
    </xf>
    <xf numFmtId="0" fontId="8" fillId="0" borderId="10" xfId="0" applyNumberFormat="1" applyFont="1" applyBorder="1" applyAlignment="1">
      <alignment vertical="top" wrapText="1"/>
    </xf>
    <xf numFmtId="41" fontId="8" fillId="0" borderId="2" xfId="1" applyFont="1" applyBorder="1" applyAlignment="1">
      <alignment vertical="top" wrapText="1"/>
    </xf>
    <xf numFmtId="43" fontId="8" fillId="0" borderId="2" xfId="0" applyNumberFormat="1" applyFont="1" applyBorder="1" applyAlignment="1">
      <alignment vertical="top" wrapText="1"/>
    </xf>
    <xf numFmtId="0" fontId="7" fillId="17" borderId="1" xfId="0" quotePrefix="1" applyFont="1" applyFill="1" applyBorder="1" applyAlignment="1">
      <alignment vertical="top" wrapText="1"/>
    </xf>
    <xf numFmtId="0" fontId="7" fillId="17" borderId="1" xfId="0" applyFont="1" applyFill="1" applyBorder="1" applyAlignment="1">
      <alignment vertical="top" wrapText="1"/>
    </xf>
    <xf numFmtId="0" fontId="23" fillId="17" borderId="11" xfId="0" applyFont="1" applyFill="1" applyBorder="1" applyAlignment="1">
      <alignment horizontal="left" vertical="top" wrapText="1"/>
    </xf>
    <xf numFmtId="0" fontId="23" fillId="17" borderId="1" xfId="0" applyFont="1" applyFill="1" applyBorder="1" applyAlignment="1">
      <alignment vertical="top" wrapText="1"/>
    </xf>
    <xf numFmtId="41" fontId="15" fillId="0" borderId="5" xfId="1" applyFont="1" applyBorder="1" applyAlignment="1">
      <alignment horizontal="right" vertical="top" wrapText="1"/>
    </xf>
    <xf numFmtId="0" fontId="15" fillId="0" borderId="11" xfId="0" applyFont="1" applyBorder="1" applyAlignment="1">
      <alignment horizontal="left" vertical="top" wrapText="1"/>
    </xf>
    <xf numFmtId="41" fontId="8" fillId="0" borderId="11" xfId="1" quotePrefix="1" applyFont="1" applyBorder="1" applyAlignment="1">
      <alignment vertical="top" wrapText="1"/>
    </xf>
    <xf numFmtId="0" fontId="8" fillId="9" borderId="2" xfId="0" applyFont="1" applyFill="1" applyBorder="1" applyAlignment="1">
      <alignment vertical="top"/>
    </xf>
    <xf numFmtId="0" fontId="8" fillId="9" borderId="0" xfId="0" applyFont="1" applyFill="1" applyAlignment="1">
      <alignment vertical="top" wrapText="1"/>
    </xf>
    <xf numFmtId="0" fontId="7" fillId="0" borderId="2" xfId="0" quotePrefix="1" applyFont="1" applyBorder="1" applyAlignment="1">
      <alignment vertical="top" wrapText="1"/>
    </xf>
    <xf numFmtId="0" fontId="7" fillId="9" borderId="2" xfId="0" quotePrefix="1" applyFont="1" applyFill="1" applyBorder="1" applyAlignment="1">
      <alignment vertical="top" wrapText="1"/>
    </xf>
    <xf numFmtId="0" fontId="8" fillId="17" borderId="2" xfId="0" quotePrefix="1" applyFont="1" applyFill="1" applyBorder="1" applyAlignment="1">
      <alignment vertical="top" wrapText="1"/>
    </xf>
    <xf numFmtId="0" fontId="7" fillId="17" borderId="2" xfId="0" applyFont="1" applyFill="1" applyBorder="1" applyAlignment="1">
      <alignment vertical="top" wrapText="1"/>
    </xf>
    <xf numFmtId="0" fontId="7" fillId="17" borderId="2" xfId="0" applyFont="1" applyFill="1" applyBorder="1" applyAlignment="1">
      <alignment horizontal="left" vertical="center" wrapText="1"/>
    </xf>
    <xf numFmtId="0" fontId="8" fillId="17" borderId="10" xfId="0" applyFont="1" applyFill="1" applyBorder="1" applyAlignment="1">
      <alignment vertical="top" wrapText="1"/>
    </xf>
    <xf numFmtId="41" fontId="8" fillId="17" borderId="2" xfId="1" applyFont="1" applyFill="1" applyBorder="1" applyAlignment="1">
      <alignment vertical="top" wrapText="1"/>
    </xf>
    <xf numFmtId="0" fontId="8" fillId="17" borderId="2" xfId="0" applyFont="1" applyFill="1" applyBorder="1" applyAlignment="1">
      <alignment vertical="top" wrapText="1"/>
    </xf>
    <xf numFmtId="0" fontId="15" fillId="0" borderId="4" xfId="0" applyFont="1" applyBorder="1" applyAlignment="1">
      <alignment horizontal="left" vertical="top" wrapText="1"/>
    </xf>
    <xf numFmtId="0" fontId="15" fillId="0" borderId="4" xfId="0" applyFont="1" applyBorder="1" applyAlignment="1">
      <alignment horizontal="center" vertical="center" wrapText="1"/>
    </xf>
    <xf numFmtId="41" fontId="15" fillId="0" borderId="7" xfId="1" applyFont="1" applyBorder="1" applyAlignment="1">
      <alignment horizontal="right" vertical="top" wrapText="1"/>
    </xf>
    <xf numFmtId="41" fontId="8" fillId="0" borderId="124" xfId="0" applyNumberFormat="1" applyFont="1" applyBorder="1" applyAlignment="1">
      <alignment vertical="top" wrapText="1"/>
    </xf>
    <xf numFmtId="0" fontId="8" fillId="0" borderId="8" xfId="0" applyFont="1" applyBorder="1" applyAlignment="1">
      <alignment vertical="top" wrapText="1"/>
    </xf>
    <xf numFmtId="41" fontId="8" fillId="0" borderId="4" xfId="1" applyFont="1" applyBorder="1" applyAlignment="1">
      <alignment vertical="top" wrapText="1"/>
    </xf>
    <xf numFmtId="43" fontId="8" fillId="0" borderId="4" xfId="0" applyNumberFormat="1" applyFont="1" applyBorder="1" applyAlignment="1">
      <alignment vertical="top" wrapText="1"/>
    </xf>
    <xf numFmtId="0" fontId="8" fillId="0" borderId="2" xfId="0" quotePrefix="1" applyFont="1" applyBorder="1" applyAlignment="1">
      <alignment vertical="top" wrapText="1"/>
    </xf>
    <xf numFmtId="0" fontId="8" fillId="0" borderId="116" xfId="0" applyFont="1" applyBorder="1" applyAlignment="1">
      <alignment vertical="top" wrapText="1"/>
    </xf>
    <xf numFmtId="41" fontId="21" fillId="9" borderId="122" xfId="0" applyNumberFormat="1" applyFont="1" applyFill="1" applyBorder="1" applyAlignment="1">
      <alignment vertical="top"/>
    </xf>
    <xf numFmtId="41" fontId="15" fillId="0" borderId="11" xfId="1" applyFont="1" applyBorder="1" applyAlignment="1">
      <alignment horizontal="right" vertical="top" wrapText="1"/>
    </xf>
    <xf numFmtId="0" fontId="8" fillId="0" borderId="120" xfId="0" applyFont="1" applyBorder="1" applyAlignment="1">
      <alignment vertical="top" wrapText="1"/>
    </xf>
    <xf numFmtId="3" fontId="8" fillId="0" borderId="120" xfId="0" applyNumberFormat="1" applyFont="1" applyBorder="1" applyAlignment="1">
      <alignment vertical="top" wrapText="1"/>
    </xf>
    <xf numFmtId="0" fontId="15" fillId="0" borderId="8" xfId="0" applyFont="1" applyBorder="1" applyAlignment="1">
      <alignment horizontal="left" vertical="top" wrapText="1"/>
    </xf>
    <xf numFmtId="0" fontId="8" fillId="0" borderId="124" xfId="0" applyFont="1" applyBorder="1" applyAlignment="1">
      <alignment vertical="top" wrapText="1"/>
    </xf>
    <xf numFmtId="3" fontId="8" fillId="0" borderId="124" xfId="0" applyNumberFormat="1" applyFont="1" applyBorder="1" applyAlignment="1">
      <alignment vertical="top" wrapText="1"/>
    </xf>
    <xf numFmtId="0" fontId="7" fillId="17" borderId="1" xfId="0" applyFont="1" applyFill="1" applyBorder="1" applyAlignment="1">
      <alignment horizontal="right"/>
    </xf>
    <xf numFmtId="0" fontId="23" fillId="17" borderId="8" xfId="0" applyFont="1" applyFill="1" applyBorder="1" applyAlignment="1">
      <alignment horizontal="left" vertical="top" wrapText="1"/>
    </xf>
    <xf numFmtId="0" fontId="23" fillId="17" borderId="4" xfId="0" applyFont="1" applyFill="1" applyBorder="1" applyAlignment="1">
      <alignment vertical="top" wrapText="1"/>
    </xf>
    <xf numFmtId="0" fontId="15" fillId="0" borderId="12" xfId="0" applyFont="1" applyBorder="1" applyAlignment="1">
      <alignment vertical="top" wrapText="1"/>
    </xf>
    <xf numFmtId="41" fontId="15" fillId="0" borderId="125" xfId="1" applyFont="1" applyBorder="1" applyAlignment="1">
      <alignment horizontal="right" vertical="top" wrapText="1"/>
    </xf>
    <xf numFmtId="0" fontId="8" fillId="18" borderId="1" xfId="0" applyFont="1" applyFill="1" applyBorder="1"/>
    <xf numFmtId="0" fontId="7" fillId="0" borderId="1" xfId="0" applyFont="1" applyFill="1" applyBorder="1" applyAlignment="1">
      <alignment horizontal="right" vertical="top"/>
    </xf>
    <xf numFmtId="0" fontId="8" fillId="0" borderId="89" xfId="0" applyFont="1" applyFill="1" applyBorder="1" applyAlignment="1">
      <alignment horizontal="center" vertical="top" wrapText="1"/>
    </xf>
    <xf numFmtId="3" fontId="8" fillId="0" borderId="89" xfId="0" applyNumberFormat="1" applyFont="1" applyFill="1" applyBorder="1" applyAlignment="1">
      <alignment horizontal="center" vertical="center" wrapText="1"/>
    </xf>
    <xf numFmtId="0" fontId="8" fillId="0" borderId="89" xfId="0" applyNumberFormat="1" applyFont="1" applyFill="1" applyBorder="1" applyAlignment="1">
      <alignment horizontal="center" vertical="center" wrapText="1"/>
    </xf>
    <xf numFmtId="3" fontId="8" fillId="0" borderId="89" xfId="1" applyNumberFormat="1" applyFont="1" applyFill="1" applyBorder="1" applyAlignment="1">
      <alignment horizontal="center" vertical="center" wrapText="1"/>
    </xf>
    <xf numFmtId="0" fontId="8" fillId="0" borderId="89" xfId="0" applyFont="1" applyFill="1" applyBorder="1" applyAlignment="1">
      <alignment horizontal="center" vertical="center" wrapText="1"/>
    </xf>
    <xf numFmtId="0" fontId="7" fillId="0" borderId="89" xfId="0" applyFont="1" applyFill="1" applyBorder="1" applyAlignment="1">
      <alignment horizontal="center" vertical="top" wrapText="1"/>
    </xf>
    <xf numFmtId="164" fontId="7" fillId="0" borderId="89" xfId="0" applyNumberFormat="1" applyFont="1" applyFill="1" applyBorder="1" applyAlignment="1">
      <alignment horizontal="center" vertical="center" wrapText="1"/>
    </xf>
    <xf numFmtId="0" fontId="7" fillId="0" borderId="89" xfId="0" applyFont="1" applyFill="1" applyBorder="1" applyAlignment="1">
      <alignment horizontal="center" vertical="center" wrapText="1"/>
    </xf>
    <xf numFmtId="3" fontId="7" fillId="0" borderId="89" xfId="0" applyNumberFormat="1" applyFont="1" applyFill="1" applyBorder="1" applyAlignment="1">
      <alignment vertical="center" wrapText="1"/>
    </xf>
    <xf numFmtId="0" fontId="7" fillId="0" borderId="89" xfId="0" applyFont="1" applyFill="1" applyBorder="1" applyAlignment="1">
      <alignment vertical="center" wrapText="1"/>
    </xf>
    <xf numFmtId="3" fontId="7" fillId="0" borderId="89" xfId="0" applyNumberFormat="1" applyFont="1" applyFill="1" applyBorder="1" applyAlignment="1">
      <alignment horizontal="center" vertical="center" wrapText="1"/>
    </xf>
    <xf numFmtId="3" fontId="8" fillId="0" borderId="89" xfId="2" applyNumberFormat="1" applyFont="1" applyFill="1" applyBorder="1" applyAlignment="1">
      <alignment horizontal="center" vertical="center" wrapText="1"/>
    </xf>
    <xf numFmtId="0" fontId="8" fillId="0" borderId="89" xfId="3" applyNumberFormat="1" applyFont="1" applyFill="1" applyBorder="1" applyAlignment="1">
      <alignment horizontal="center" vertical="center" wrapText="1"/>
    </xf>
    <xf numFmtId="0" fontId="15" fillId="0" borderId="89" xfId="0" applyFont="1" applyFill="1" applyBorder="1" applyAlignment="1">
      <alignment vertical="center" wrapText="1"/>
    </xf>
    <xf numFmtId="3" fontId="8" fillId="0" borderId="89" xfId="4" applyNumberFormat="1" applyFont="1" applyFill="1" applyBorder="1" applyAlignment="1">
      <alignment horizontal="center" vertical="center" wrapText="1"/>
    </xf>
    <xf numFmtId="0" fontId="15" fillId="0" borderId="89" xfId="0" applyFont="1" applyFill="1" applyBorder="1" applyAlignment="1">
      <alignment horizontal="left" vertical="center" wrapText="1"/>
    </xf>
    <xf numFmtId="3" fontId="8" fillId="9" borderId="89" xfId="1" applyNumberFormat="1" applyFont="1" applyFill="1" applyBorder="1" applyAlignment="1">
      <alignment horizontal="center" vertical="center" wrapText="1"/>
    </xf>
    <xf numFmtId="0" fontId="8" fillId="0" borderId="89" xfId="0" applyFont="1" applyFill="1" applyBorder="1" applyAlignment="1">
      <alignment horizontal="left" vertical="top" wrapText="1"/>
    </xf>
    <xf numFmtId="0" fontId="15" fillId="0" borderId="89" xfId="0" applyFont="1" applyFill="1" applyBorder="1" applyAlignment="1">
      <alignment horizontal="left" vertical="top" wrapText="1"/>
    </xf>
    <xf numFmtId="3" fontId="7" fillId="0" borderId="89" xfId="1" applyNumberFormat="1" applyFont="1" applyFill="1" applyBorder="1" applyAlignment="1">
      <alignment horizontal="center" vertical="center" wrapText="1"/>
    </xf>
    <xf numFmtId="0" fontId="7" fillId="0" borderId="89" xfId="0" applyNumberFormat="1" applyFont="1" applyFill="1" applyBorder="1" applyAlignment="1">
      <alignment horizontal="center" vertical="center" wrapText="1"/>
    </xf>
    <xf numFmtId="0" fontId="21" fillId="0" borderId="89" xfId="0" applyFont="1" applyFill="1" applyBorder="1" applyAlignment="1">
      <alignment horizontal="left" vertical="center" wrapText="1"/>
    </xf>
    <xf numFmtId="0" fontId="8" fillId="0" borderId="89" xfId="1" applyNumberFormat="1" applyFont="1" applyFill="1" applyBorder="1" applyAlignment="1">
      <alignment horizontal="center" vertical="center" wrapText="1"/>
    </xf>
    <xf numFmtId="0" fontId="21" fillId="0" borderId="89" xfId="0" applyFont="1" applyFill="1" applyBorder="1" applyAlignment="1">
      <alignment vertical="center" wrapText="1"/>
    </xf>
    <xf numFmtId="0" fontId="8" fillId="0" borderId="89" xfId="0" applyFont="1" applyFill="1" applyBorder="1" applyAlignment="1">
      <alignment horizontal="left" vertical="center" wrapText="1"/>
    </xf>
    <xf numFmtId="9" fontId="8" fillId="0" borderId="89" xfId="0" applyNumberFormat="1" applyFont="1" applyFill="1" applyBorder="1" applyAlignment="1">
      <alignment horizontal="center" vertical="center" wrapText="1"/>
    </xf>
    <xf numFmtId="9" fontId="8" fillId="0" borderId="89" xfId="3" applyFont="1" applyFill="1" applyBorder="1" applyAlignment="1">
      <alignment horizontal="center" vertical="center" wrapText="1"/>
    </xf>
    <xf numFmtId="0" fontId="7" fillId="0" borderId="1" xfId="0" applyFont="1" applyBorder="1" applyAlignment="1">
      <alignment horizontal="right" vertical="top"/>
    </xf>
    <xf numFmtId="0" fontId="8" fillId="0" borderId="1" xfId="0" applyFont="1" applyBorder="1" applyAlignment="1">
      <alignment horizontal="right" vertical="top"/>
    </xf>
    <xf numFmtId="0" fontId="7" fillId="4" borderId="1" xfId="0" applyFont="1" applyFill="1" applyBorder="1" applyAlignment="1">
      <alignment horizontal="right"/>
    </xf>
    <xf numFmtId="41" fontId="8" fillId="0" borderId="1" xfId="1" applyNumberFormat="1" applyFont="1" applyBorder="1" applyAlignment="1">
      <alignment horizontal="left" vertical="top" wrapText="1"/>
    </xf>
    <xf numFmtId="0" fontId="8" fillId="0" borderId="4" xfId="0" applyFont="1" applyFill="1" applyBorder="1" applyAlignment="1">
      <alignment horizontal="left" vertical="top" wrapText="1"/>
    </xf>
    <xf numFmtId="0" fontId="7" fillId="0" borderId="11" xfId="0" applyFont="1" applyBorder="1" applyAlignment="1">
      <alignment horizontal="left" vertical="center"/>
    </xf>
    <xf numFmtId="0" fontId="7" fillId="0" borderId="13" xfId="0" applyFont="1" applyBorder="1" applyAlignment="1">
      <alignment horizontal="left" vertical="center"/>
    </xf>
    <xf numFmtId="0" fontId="7" fillId="0" borderId="12" xfId="0" applyFont="1" applyBorder="1" applyAlignment="1">
      <alignment horizontal="left" vertical="center"/>
    </xf>
    <xf numFmtId="0" fontId="8" fillId="0" borderId="1" xfId="0" applyFont="1" applyFill="1" applyBorder="1" applyAlignment="1">
      <alignment horizontal="center"/>
    </xf>
    <xf numFmtId="0" fontId="8" fillId="0" borderId="1" xfId="0" applyFont="1" applyFill="1" applyBorder="1" applyAlignment="1">
      <alignment horizontal="right" vertical="top"/>
    </xf>
    <xf numFmtId="0" fontId="23" fillId="0" borderId="9" xfId="0" applyFont="1" applyFill="1" applyBorder="1" applyAlignment="1">
      <alignment horizontal="left" vertical="top" wrapText="1"/>
    </xf>
    <xf numFmtId="0" fontId="7" fillId="0" borderId="3" xfId="0" applyFont="1" applyFill="1" applyBorder="1" applyAlignment="1">
      <alignment horizontal="left" vertical="top" wrapText="1"/>
    </xf>
    <xf numFmtId="0" fontId="8" fillId="0" borderId="4" xfId="0" applyFont="1" applyFill="1" applyBorder="1" applyAlignment="1">
      <alignment horizontal="center" vertical="top" wrapText="1"/>
    </xf>
    <xf numFmtId="0" fontId="8" fillId="0" borderId="49" xfId="0" applyFont="1" applyBorder="1" applyAlignment="1">
      <alignment vertical="top" wrapText="1"/>
    </xf>
    <xf numFmtId="0" fontId="8" fillId="0" borderId="2" xfId="0" applyFont="1" applyFill="1" applyBorder="1" applyAlignment="1">
      <alignment horizontal="center" vertical="top"/>
    </xf>
    <xf numFmtId="0" fontId="8" fillId="0" borderId="4" xfId="0" applyFont="1" applyFill="1" applyBorder="1" applyAlignment="1">
      <alignment horizontal="center" vertical="top"/>
    </xf>
    <xf numFmtId="0" fontId="8" fillId="0" borderId="2" xfId="0" quotePrefix="1" applyFont="1" applyFill="1" applyBorder="1" applyAlignment="1">
      <alignment horizontal="center" vertical="top"/>
    </xf>
    <xf numFmtId="0" fontId="8" fillId="0" borderId="4" xfId="0" quotePrefix="1" applyFont="1" applyFill="1" applyBorder="1" applyAlignment="1">
      <alignment horizontal="center" vertical="top"/>
    </xf>
    <xf numFmtId="0" fontId="8" fillId="0" borderId="4" xfId="0" applyFont="1" applyFill="1" applyBorder="1" applyAlignment="1">
      <alignment horizontal="center" vertical="center" wrapText="1"/>
    </xf>
    <xf numFmtId="0" fontId="8" fillId="0" borderId="3" xfId="0" applyFont="1" applyFill="1" applyBorder="1" applyAlignment="1">
      <alignment horizontal="center" vertical="top"/>
    </xf>
    <xf numFmtId="0" fontId="8" fillId="0" borderId="3" xfId="0" quotePrefix="1" applyFont="1" applyFill="1" applyBorder="1" applyAlignment="1">
      <alignment horizontal="center" vertical="top"/>
    </xf>
    <xf numFmtId="0" fontId="8" fillId="0" borderId="1" xfId="0" applyFont="1" applyFill="1" applyBorder="1" applyAlignment="1">
      <alignment horizontal="center" vertical="top"/>
    </xf>
    <xf numFmtId="0" fontId="8" fillId="0" borderId="1" xfId="0" quotePrefix="1" applyFont="1" applyFill="1" applyBorder="1" applyAlignment="1">
      <alignment horizontal="center" vertical="top"/>
    </xf>
    <xf numFmtId="0" fontId="8" fillId="0" borderId="1" xfId="0" applyFont="1" applyFill="1" applyBorder="1" applyAlignment="1">
      <alignment horizontal="left" vertical="top" wrapText="1"/>
    </xf>
    <xf numFmtId="0" fontId="7" fillId="0" borderId="4" xfId="0" applyFont="1" applyFill="1" applyBorder="1" applyAlignment="1">
      <alignment horizontal="center" vertical="top"/>
    </xf>
    <xf numFmtId="2" fontId="8" fillId="0" borderId="3" xfId="0" applyNumberFormat="1" applyFont="1" applyFill="1" applyBorder="1" applyAlignment="1">
      <alignment horizontal="right" vertical="top"/>
    </xf>
    <xf numFmtId="2" fontId="8" fillId="0" borderId="4" xfId="0" applyNumberFormat="1" applyFont="1" applyFill="1" applyBorder="1" applyAlignment="1">
      <alignment horizontal="right" vertical="top"/>
    </xf>
    <xf numFmtId="0" fontId="8" fillId="0" borderId="21" xfId="0" applyFont="1" applyFill="1" applyBorder="1" applyAlignment="1">
      <alignment horizontal="left" vertical="top" wrapText="1"/>
    </xf>
    <xf numFmtId="0" fontId="8" fillId="0" borderId="20" xfId="0" applyFont="1" applyFill="1" applyBorder="1" applyAlignment="1">
      <alignment horizontal="center" vertical="top" wrapText="1"/>
    </xf>
    <xf numFmtId="0" fontId="8" fillId="0" borderId="21" xfId="0" applyFont="1" applyFill="1" applyBorder="1" applyAlignment="1">
      <alignment horizontal="center" vertical="top" wrapText="1"/>
    </xf>
    <xf numFmtId="0" fontId="8" fillId="0" borderId="27" xfId="0" applyFont="1" applyFill="1" applyBorder="1" applyAlignment="1">
      <alignment horizontal="left" vertical="top" wrapText="1"/>
    </xf>
    <xf numFmtId="0" fontId="8" fillId="9" borderId="63" xfId="0" applyFont="1" applyFill="1" applyBorder="1" applyAlignment="1">
      <alignment vertical="top" wrapText="1"/>
    </xf>
    <xf numFmtId="0" fontId="8" fillId="9" borderId="83" xfId="0" applyFont="1" applyFill="1" applyBorder="1" applyAlignment="1">
      <alignment vertical="top" wrapText="1"/>
    </xf>
    <xf numFmtId="0" fontId="7" fillId="9" borderId="1" xfId="0" applyFont="1" applyFill="1" applyBorder="1" applyAlignment="1">
      <alignment horizontal="right"/>
    </xf>
    <xf numFmtId="0" fontId="21" fillId="0" borderId="2" xfId="0" applyFont="1" applyBorder="1" applyAlignment="1">
      <alignment vertical="top" wrapText="1"/>
    </xf>
    <xf numFmtId="0" fontId="21" fillId="0" borderId="4" xfId="0" applyFont="1" applyBorder="1" applyAlignment="1">
      <alignment vertical="top" wrapText="1"/>
    </xf>
    <xf numFmtId="0" fontId="21" fillId="4" borderId="1" xfId="0" applyFont="1" applyFill="1" applyBorder="1" applyAlignment="1">
      <alignment horizontal="center"/>
    </xf>
    <xf numFmtId="0" fontId="0" fillId="4" borderId="1" xfId="0" applyFill="1" applyBorder="1" applyAlignment="1">
      <alignment horizontal="center"/>
    </xf>
    <xf numFmtId="0" fontId="17" fillId="2" borderId="4" xfId="1" applyNumberFormat="1" applyFont="1" applyFill="1" applyBorder="1" applyAlignment="1">
      <alignment horizontal="left" vertical="top" wrapText="1"/>
    </xf>
    <xf numFmtId="0" fontId="7" fillId="4" borderId="1" xfId="0" applyFont="1" applyFill="1" applyBorder="1" applyAlignment="1">
      <alignment horizontal="center" vertical="top"/>
    </xf>
    <xf numFmtId="0" fontId="17" fillId="4" borderId="1" xfId="0" applyFont="1" applyFill="1" applyBorder="1" applyAlignment="1">
      <alignment vertical="top" wrapText="1"/>
    </xf>
    <xf numFmtId="0" fontId="7" fillId="4" borderId="1" xfId="0" quotePrefix="1" applyFont="1" applyFill="1" applyBorder="1" applyAlignment="1">
      <alignment horizontal="left" vertical="top" wrapText="1"/>
    </xf>
    <xf numFmtId="0" fontId="7" fillId="4" borderId="1" xfId="0" quotePrefix="1" applyFont="1" applyFill="1" applyBorder="1" applyAlignment="1">
      <alignment vertical="top" wrapText="1"/>
    </xf>
    <xf numFmtId="0" fontId="7" fillId="4" borderId="1" xfId="0" applyFont="1" applyFill="1" applyBorder="1" applyAlignment="1">
      <alignment vertical="top" wrapText="1"/>
    </xf>
    <xf numFmtId="49" fontId="17" fillId="4" borderId="1" xfId="0" applyNumberFormat="1" applyFont="1" applyFill="1" applyBorder="1" applyAlignment="1">
      <alignment vertical="top" wrapText="1"/>
    </xf>
    <xf numFmtId="0" fontId="7" fillId="4" borderId="1" xfId="0" applyNumberFormat="1" applyFont="1" applyFill="1" applyBorder="1" applyAlignment="1">
      <alignment horizontal="right" vertical="top"/>
    </xf>
    <xf numFmtId="164" fontId="7" fillId="4" borderId="1" xfId="0" applyNumberFormat="1" applyFont="1" applyFill="1" applyBorder="1" applyAlignment="1">
      <alignment vertical="top"/>
    </xf>
    <xf numFmtId="1" fontId="7" fillId="4" borderId="1" xfId="0" applyNumberFormat="1" applyFont="1" applyFill="1" applyBorder="1" applyAlignment="1">
      <alignment horizontal="right" vertical="top"/>
    </xf>
    <xf numFmtId="179" fontId="7" fillId="4" borderId="1" xfId="0" applyNumberFormat="1" applyFont="1" applyFill="1" applyBorder="1" applyAlignment="1">
      <alignment vertical="top"/>
    </xf>
    <xf numFmtId="0" fontId="7" fillId="4" borderId="1" xfId="0" applyNumberFormat="1" applyFont="1" applyFill="1" applyBorder="1" applyAlignment="1">
      <alignment vertical="top"/>
    </xf>
    <xf numFmtId="167" fontId="7" fillId="4" borderId="1" xfId="0" applyNumberFormat="1" applyFont="1" applyFill="1" applyBorder="1" applyAlignment="1">
      <alignment vertical="top"/>
    </xf>
    <xf numFmtId="2" fontId="7" fillId="4" borderId="1" xfId="0" applyNumberFormat="1" applyFont="1" applyFill="1" applyBorder="1" applyAlignment="1">
      <alignment vertical="top"/>
    </xf>
    <xf numFmtId="0" fontId="7" fillId="0" borderId="1" xfId="0" quotePrefix="1" applyFont="1" applyFill="1" applyBorder="1" applyAlignment="1">
      <alignment horizontal="left" vertical="top" wrapText="1"/>
    </xf>
    <xf numFmtId="0" fontId="21" fillId="0" borderId="1" xfId="0" applyFont="1" applyFill="1" applyBorder="1" applyAlignment="1">
      <alignment horizontal="left" vertical="top" wrapText="1"/>
    </xf>
    <xf numFmtId="164" fontId="21" fillId="0" borderId="1" xfId="2" applyNumberFormat="1" applyFont="1" applyBorder="1" applyAlignment="1">
      <alignment horizontal="center" vertical="top"/>
    </xf>
    <xf numFmtId="164" fontId="21" fillId="0" borderId="1" xfId="2" applyNumberFormat="1" applyFont="1" applyBorder="1" applyAlignment="1">
      <alignment vertical="top"/>
    </xf>
    <xf numFmtId="0" fontId="8" fillId="0" borderId="1" xfId="0" applyNumberFormat="1" applyFont="1" applyBorder="1" applyAlignment="1">
      <alignment vertical="top"/>
    </xf>
    <xf numFmtId="167" fontId="8" fillId="0" borderId="1" xfId="1" applyNumberFormat="1" applyFont="1" applyBorder="1" applyAlignment="1">
      <alignment vertical="top"/>
    </xf>
    <xf numFmtId="179" fontId="8" fillId="0" borderId="1" xfId="1" applyNumberFormat="1" applyFont="1" applyFill="1" applyBorder="1" applyAlignment="1">
      <alignment vertical="top"/>
    </xf>
    <xf numFmtId="167" fontId="8" fillId="0" borderId="1" xfId="0" applyNumberFormat="1" applyFont="1" applyBorder="1" applyAlignment="1">
      <alignment vertical="top"/>
    </xf>
    <xf numFmtId="1" fontId="8" fillId="0" borderId="1" xfId="0" applyNumberFormat="1" applyFont="1" applyBorder="1" applyAlignment="1">
      <alignment vertical="top"/>
    </xf>
    <xf numFmtId="167" fontId="8" fillId="0" borderId="1" xfId="0" applyNumberFormat="1" applyFont="1" applyFill="1" applyBorder="1" applyAlignment="1">
      <alignment vertical="top"/>
    </xf>
    <xf numFmtId="164" fontId="8" fillId="0" borderId="1" xfId="0" applyNumberFormat="1" applyFont="1" applyBorder="1" applyAlignment="1">
      <alignment vertical="top"/>
    </xf>
    <xf numFmtId="2" fontId="8" fillId="0" borderId="1" xfId="0" applyNumberFormat="1" applyFont="1" applyBorder="1" applyAlignment="1">
      <alignment vertical="top"/>
    </xf>
    <xf numFmtId="3" fontId="21" fillId="0" borderId="1" xfId="0" applyNumberFormat="1" applyFont="1" applyBorder="1" applyAlignment="1">
      <alignment vertical="top"/>
    </xf>
    <xf numFmtId="0" fontId="21" fillId="0" borderId="36" xfId="0" applyFont="1" applyFill="1" applyBorder="1" applyAlignment="1">
      <alignment vertical="top" wrapText="1"/>
    </xf>
    <xf numFmtId="164" fontId="21" fillId="0" borderId="1" xfId="2" quotePrefix="1" applyNumberFormat="1" applyFont="1" applyBorder="1" applyAlignment="1">
      <alignment vertical="top" wrapText="1"/>
    </xf>
    <xf numFmtId="0" fontId="21" fillId="0" borderId="2" xfId="0" applyFont="1" applyFill="1" applyBorder="1" applyAlignment="1">
      <alignment horizontal="left" vertical="top" wrapText="1"/>
    </xf>
    <xf numFmtId="0" fontId="21" fillId="0" borderId="3" xfId="0" applyFont="1" applyFill="1" applyBorder="1" applyAlignment="1">
      <alignment vertical="top" wrapText="1"/>
    </xf>
    <xf numFmtId="164" fontId="21" fillId="0" borderId="1" xfId="2" applyNumberFormat="1" applyFont="1" applyBorder="1" applyAlignment="1">
      <alignment vertical="top" wrapText="1"/>
    </xf>
    <xf numFmtId="3" fontId="7" fillId="4" borderId="1" xfId="0" applyNumberFormat="1" applyFont="1" applyFill="1" applyBorder="1" applyAlignment="1">
      <alignment vertical="top"/>
    </xf>
    <xf numFmtId="0" fontId="7" fillId="4" borderId="1" xfId="0" applyNumberFormat="1" applyFont="1" applyFill="1" applyBorder="1" applyAlignment="1">
      <alignment horizontal="center" vertical="top"/>
    </xf>
    <xf numFmtId="167" fontId="7" fillId="4" borderId="1" xfId="1" applyNumberFormat="1" applyFont="1" applyFill="1" applyBorder="1" applyAlignment="1">
      <alignment vertical="top"/>
    </xf>
    <xf numFmtId="1" fontId="7" fillId="4" borderId="1" xfId="0" applyNumberFormat="1" applyFont="1" applyFill="1" applyBorder="1" applyAlignment="1">
      <alignment vertical="top"/>
    </xf>
    <xf numFmtId="0" fontId="7" fillId="4" borderId="1" xfId="0" applyFont="1" applyFill="1" applyBorder="1" applyAlignment="1">
      <alignment vertical="top"/>
    </xf>
    <xf numFmtId="49" fontId="21" fillId="0" borderId="1" xfId="0" applyNumberFormat="1" applyFont="1" applyFill="1" applyBorder="1" applyAlignment="1">
      <alignment vertical="top" wrapText="1"/>
    </xf>
    <xf numFmtId="179" fontId="8" fillId="0" borderId="1" xfId="0" applyNumberFormat="1" applyFont="1" applyBorder="1" applyAlignment="1">
      <alignment vertical="top"/>
    </xf>
    <xf numFmtId="164" fontId="21" fillId="0" borderId="1" xfId="2" quotePrefix="1" applyNumberFormat="1" applyFont="1" applyBorder="1" applyAlignment="1">
      <alignment horizontal="left" vertical="top" wrapText="1"/>
    </xf>
    <xf numFmtId="164" fontId="21" fillId="0" borderId="1" xfId="2" quotePrefix="1" applyNumberFormat="1" applyFont="1" applyBorder="1" applyAlignment="1">
      <alignment vertical="top"/>
    </xf>
    <xf numFmtId="180" fontId="8" fillId="0" borderId="1" xfId="0" applyNumberFormat="1" applyFont="1" applyBorder="1" applyAlignment="1">
      <alignment vertical="top"/>
    </xf>
    <xf numFmtId="164" fontId="7" fillId="0" borderId="1" xfId="0" applyNumberFormat="1" applyFont="1" applyBorder="1" applyAlignment="1">
      <alignment vertical="center"/>
    </xf>
    <xf numFmtId="0" fontId="17" fillId="4" borderId="12" xfId="0" applyFont="1" applyFill="1" applyBorder="1" applyAlignment="1">
      <alignment vertical="top" wrapText="1"/>
    </xf>
    <xf numFmtId="169" fontId="7" fillId="4" borderId="1" xfId="0" applyNumberFormat="1" applyFont="1" applyFill="1" applyBorder="1" applyAlignment="1">
      <alignment vertical="top"/>
    </xf>
    <xf numFmtId="0" fontId="7" fillId="4" borderId="1" xfId="0" applyNumberFormat="1" applyFont="1" applyFill="1" applyBorder="1" applyAlignment="1">
      <alignment horizontal="right" vertical="top" wrapText="1"/>
    </xf>
    <xf numFmtId="164" fontId="8" fillId="4" borderId="1" xfId="0" applyNumberFormat="1" applyFont="1" applyFill="1" applyBorder="1" applyAlignment="1">
      <alignment vertical="top"/>
    </xf>
    <xf numFmtId="2" fontId="8" fillId="4" borderId="1" xfId="0" applyNumberFormat="1" applyFont="1" applyFill="1" applyBorder="1" applyAlignment="1">
      <alignment vertical="top"/>
    </xf>
    <xf numFmtId="167" fontId="21" fillId="0" borderId="1" xfId="1" applyNumberFormat="1" applyFont="1" applyBorder="1" applyAlignment="1">
      <alignment vertical="top"/>
    </xf>
    <xf numFmtId="0" fontId="21" fillId="0" borderId="1" xfId="2" applyNumberFormat="1" applyFont="1" applyBorder="1" applyAlignment="1">
      <alignment horizontal="right" vertical="top" wrapText="1"/>
    </xf>
    <xf numFmtId="179" fontId="8" fillId="0" borderId="1" xfId="1" applyNumberFormat="1" applyFont="1" applyBorder="1" applyAlignment="1">
      <alignment vertical="top"/>
    </xf>
    <xf numFmtId="0" fontId="21" fillId="0" borderId="1" xfId="2" applyNumberFormat="1" applyFont="1" applyBorder="1" applyAlignment="1">
      <alignment horizontal="right" vertical="top"/>
    </xf>
    <xf numFmtId="0" fontId="7" fillId="4" borderId="1" xfId="0" applyFont="1" applyFill="1" applyBorder="1" applyAlignment="1">
      <alignment horizontal="left" vertical="top" wrapText="1"/>
    </xf>
    <xf numFmtId="0" fontId="39" fillId="4" borderId="1" xfId="0" applyFont="1" applyFill="1" applyBorder="1" applyAlignment="1">
      <alignment horizontal="right" vertical="top"/>
    </xf>
    <xf numFmtId="3" fontId="17" fillId="4" borderId="1" xfId="0" applyNumberFormat="1" applyFont="1" applyFill="1" applyBorder="1" applyAlignment="1">
      <alignment vertical="top"/>
    </xf>
    <xf numFmtId="167" fontId="17" fillId="4" borderId="1" xfId="1" applyNumberFormat="1" applyFont="1" applyFill="1" applyBorder="1" applyAlignment="1">
      <alignment vertical="top"/>
    </xf>
    <xf numFmtId="0" fontId="7" fillId="4" borderId="1" xfId="0" applyFont="1" applyFill="1" applyBorder="1" applyAlignment="1">
      <alignment horizontal="right" vertical="top" wrapText="1"/>
    </xf>
    <xf numFmtId="0" fontId="21" fillId="0" borderId="38" xfId="0" applyFont="1" applyFill="1" applyBorder="1" applyAlignment="1">
      <alignment horizontal="left" vertical="top" wrapText="1"/>
    </xf>
    <xf numFmtId="0" fontId="39" fillId="4" borderId="1" xfId="0" applyFont="1" applyFill="1" applyBorder="1" applyAlignment="1">
      <alignment horizontal="right" vertical="top" wrapText="1"/>
    </xf>
    <xf numFmtId="0" fontId="24" fillId="4" borderId="1" xfId="0" applyFont="1" applyFill="1" applyBorder="1" applyAlignment="1">
      <alignment horizontal="right" vertical="top" wrapText="1"/>
    </xf>
    <xf numFmtId="0" fontId="39" fillId="4" borderId="1" xfId="0" applyNumberFormat="1" applyFont="1" applyFill="1" applyBorder="1" applyAlignment="1">
      <alignment horizontal="right" vertical="top"/>
    </xf>
    <xf numFmtId="167" fontId="8" fillId="4" borderId="1" xfId="0" applyNumberFormat="1" applyFont="1" applyFill="1" applyBorder="1" applyAlignment="1">
      <alignment vertical="top"/>
    </xf>
    <xf numFmtId="0" fontId="8" fillId="0" borderId="1" xfId="1" applyNumberFormat="1" applyFont="1" applyBorder="1" applyAlignment="1">
      <alignment vertical="top"/>
    </xf>
    <xf numFmtId="164" fontId="17" fillId="4" borderId="1" xfId="2" applyNumberFormat="1" applyFont="1" applyFill="1" applyBorder="1" applyAlignment="1">
      <alignment vertical="top"/>
    </xf>
    <xf numFmtId="179" fontId="7" fillId="4" borderId="1" xfId="1" applyNumberFormat="1" applyFont="1" applyFill="1" applyBorder="1" applyAlignment="1">
      <alignment vertical="top"/>
    </xf>
    <xf numFmtId="164" fontId="17" fillId="4" borderId="1" xfId="2" quotePrefix="1" applyNumberFormat="1" applyFont="1" applyFill="1" applyBorder="1" applyAlignment="1">
      <alignment vertical="top"/>
    </xf>
    <xf numFmtId="0" fontId="8" fillId="4" borderId="2" xfId="0" applyFont="1" applyFill="1" applyBorder="1" applyAlignment="1">
      <alignment horizontal="left" vertical="top" wrapText="1"/>
    </xf>
    <xf numFmtId="0" fontId="24" fillId="4" borderId="1" xfId="0" applyFont="1" applyFill="1" applyBorder="1" applyAlignment="1">
      <alignment horizontal="center" vertical="top" wrapText="1"/>
    </xf>
    <xf numFmtId="0" fontId="8" fillId="4" borderId="1" xfId="0" applyNumberFormat="1" applyFont="1" applyFill="1" applyBorder="1" applyAlignment="1">
      <alignment vertical="top"/>
    </xf>
    <xf numFmtId="0" fontId="21" fillId="0" borderId="12" xfId="0" applyFont="1" applyFill="1" applyBorder="1" applyAlignment="1">
      <alignment horizontal="left" vertical="top" wrapText="1"/>
    </xf>
    <xf numFmtId="0" fontId="21" fillId="0" borderId="1" xfId="2" quotePrefix="1" applyNumberFormat="1" applyFont="1" applyBorder="1" applyAlignment="1">
      <alignment horizontal="center" vertical="top"/>
    </xf>
    <xf numFmtId="0" fontId="8" fillId="0" borderId="1" xfId="0" applyNumberFormat="1" applyFont="1" applyFill="1" applyBorder="1" applyAlignment="1">
      <alignment horizontal="right" vertical="top" wrapText="1"/>
    </xf>
    <xf numFmtId="167" fontId="35" fillId="0" borderId="1" xfId="1" applyNumberFormat="1" applyFont="1" applyBorder="1" applyAlignment="1">
      <alignment vertical="top"/>
    </xf>
    <xf numFmtId="0" fontId="21" fillId="0" borderId="1" xfId="3" applyNumberFormat="1" applyFont="1" applyFill="1" applyBorder="1" applyAlignment="1">
      <alignment horizontal="right" vertical="top"/>
    </xf>
    <xf numFmtId="0" fontId="8" fillId="0" borderId="1" xfId="0" applyNumberFormat="1" applyFont="1" applyFill="1" applyBorder="1" applyAlignment="1">
      <alignment horizontal="center" vertical="top" wrapText="1"/>
    </xf>
    <xf numFmtId="164" fontId="21" fillId="0" borderId="1" xfId="2" applyNumberFormat="1" applyFont="1" applyBorder="1" applyAlignment="1">
      <alignment horizontal="right" vertical="top" wrapText="1"/>
    </xf>
    <xf numFmtId="0" fontId="39" fillId="4" borderId="1" xfId="0" applyFont="1" applyFill="1" applyBorder="1" applyAlignment="1">
      <alignment vertical="top" wrapText="1"/>
    </xf>
    <xf numFmtId="0" fontId="7" fillId="4" borderId="1" xfId="1" applyNumberFormat="1" applyFont="1" applyFill="1" applyBorder="1" applyAlignment="1">
      <alignment vertical="top"/>
    </xf>
    <xf numFmtId="0" fontId="21" fillId="0" borderId="31" xfId="3" applyNumberFormat="1" applyFont="1" applyFill="1" applyBorder="1" applyAlignment="1">
      <alignment horizontal="center" vertical="top" wrapText="1"/>
    </xf>
    <xf numFmtId="179" fontId="8" fillId="4" borderId="1" xfId="0" applyNumberFormat="1" applyFont="1" applyFill="1" applyBorder="1" applyAlignment="1">
      <alignment vertical="top"/>
    </xf>
    <xf numFmtId="179" fontId="7" fillId="0" borderId="14" xfId="0" applyNumberFormat="1" applyFont="1" applyBorder="1" applyAlignment="1">
      <alignment vertical="center"/>
    </xf>
    <xf numFmtId="167" fontId="8" fillId="0" borderId="14" xfId="1" applyNumberFormat="1" applyFont="1" applyBorder="1" applyAlignment="1">
      <alignment vertical="top"/>
    </xf>
    <xf numFmtId="164" fontId="21" fillId="0" borderId="1" xfId="2" applyNumberFormat="1" applyFont="1" applyFill="1" applyBorder="1" applyAlignment="1">
      <alignment horizontal="left" vertical="top" wrapText="1"/>
    </xf>
    <xf numFmtId="164" fontId="21" fillId="0" borderId="12" xfId="2" applyNumberFormat="1" applyFont="1" applyFill="1" applyBorder="1" applyAlignment="1">
      <alignment horizontal="left" vertical="top" wrapText="1"/>
    </xf>
    <xf numFmtId="0" fontId="21" fillId="0" borderId="6" xfId="0" applyFont="1" applyFill="1" applyBorder="1" applyAlignment="1">
      <alignment vertical="top" wrapText="1"/>
    </xf>
    <xf numFmtId="0" fontId="8" fillId="0" borderId="1" xfId="0" applyNumberFormat="1" applyFont="1" applyBorder="1" applyAlignment="1">
      <alignment horizontal="center" vertical="top"/>
    </xf>
    <xf numFmtId="1" fontId="8" fillId="0" borderId="1" xfId="1" applyNumberFormat="1" applyFont="1" applyBorder="1" applyAlignment="1">
      <alignment vertical="top"/>
    </xf>
    <xf numFmtId="3" fontId="8" fillId="4" borderId="1" xfId="0" applyNumberFormat="1" applyFont="1" applyFill="1" applyBorder="1" applyAlignment="1">
      <alignment vertical="top"/>
    </xf>
    <xf numFmtId="0" fontId="8" fillId="4" borderId="1" xfId="0" applyFont="1" applyFill="1" applyBorder="1" applyAlignment="1">
      <alignment horizontal="center" vertical="top"/>
    </xf>
    <xf numFmtId="0" fontId="21" fillId="0" borderId="1" xfId="2" quotePrefix="1" applyNumberFormat="1" applyFont="1" applyBorder="1" applyAlignment="1">
      <alignment horizontal="right" vertical="top"/>
    </xf>
    <xf numFmtId="3" fontId="8" fillId="0" borderId="11" xfId="0" applyNumberFormat="1" applyFont="1" applyBorder="1" applyAlignment="1">
      <alignment vertical="top"/>
    </xf>
    <xf numFmtId="0" fontId="8" fillId="0" borderId="116" xfId="0" applyNumberFormat="1" applyFont="1" applyFill="1" applyBorder="1" applyAlignment="1">
      <alignment horizontal="right" vertical="top" wrapText="1"/>
    </xf>
    <xf numFmtId="41" fontId="8" fillId="0" borderId="116" xfId="0" applyNumberFormat="1" applyFont="1" applyFill="1" applyBorder="1" applyAlignment="1">
      <alignment vertical="top" wrapText="1"/>
    </xf>
    <xf numFmtId="164" fontId="21" fillId="0" borderId="12" xfId="2" applyNumberFormat="1" applyFont="1" applyBorder="1" applyAlignment="1">
      <alignment vertical="top" wrapText="1"/>
    </xf>
    <xf numFmtId="0" fontId="8" fillId="0" borderId="89" xfId="0" applyNumberFormat="1" applyFont="1" applyFill="1" applyBorder="1" applyAlignment="1">
      <alignment horizontal="right" vertical="top" wrapText="1"/>
    </xf>
    <xf numFmtId="41" fontId="8" fillId="0" borderId="89" xfId="0" applyNumberFormat="1" applyFont="1" applyFill="1" applyBorder="1" applyAlignment="1">
      <alignment vertical="top" wrapText="1"/>
    </xf>
    <xf numFmtId="0" fontId="8" fillId="0" borderId="124" xfId="0" applyNumberFormat="1" applyFont="1" applyFill="1" applyBorder="1" applyAlignment="1">
      <alignment horizontal="right" vertical="top" wrapText="1"/>
    </xf>
    <xf numFmtId="41" fontId="8" fillId="0" borderId="124" xfId="0" applyNumberFormat="1" applyFont="1" applyFill="1" applyBorder="1" applyAlignment="1">
      <alignment vertical="top" wrapText="1"/>
    </xf>
    <xf numFmtId="0" fontId="21" fillId="4" borderId="1" xfId="0" applyFont="1" applyFill="1" applyBorder="1" applyAlignment="1">
      <alignment vertical="top" wrapText="1"/>
    </xf>
    <xf numFmtId="1" fontId="7" fillId="4" borderId="1" xfId="0" applyNumberFormat="1" applyFont="1" applyFill="1" applyBorder="1" applyAlignment="1">
      <alignment horizontal="center" vertical="top"/>
    </xf>
    <xf numFmtId="164" fontId="21" fillId="9" borderId="1" xfId="2" applyNumberFormat="1" applyFont="1" applyFill="1" applyBorder="1" applyAlignment="1">
      <alignment horizontal="left" vertical="top" wrapText="1"/>
    </xf>
    <xf numFmtId="3" fontId="21" fillId="9" borderId="1" xfId="0" applyNumberFormat="1" applyFont="1" applyFill="1" applyBorder="1" applyAlignment="1">
      <alignment horizontal="right" vertical="top" wrapText="1"/>
    </xf>
    <xf numFmtId="0" fontId="21" fillId="0" borderId="1" xfId="3" applyNumberFormat="1" applyFont="1" applyFill="1" applyBorder="1" applyAlignment="1">
      <alignment horizontal="center" vertical="top"/>
    </xf>
    <xf numFmtId="9" fontId="21" fillId="0" borderId="31" xfId="3" applyNumberFormat="1" applyFont="1" applyFill="1" applyBorder="1" applyAlignment="1">
      <alignment horizontal="center" vertical="top"/>
    </xf>
    <xf numFmtId="0" fontId="8" fillId="4" borderId="1" xfId="0" applyFont="1" applyFill="1" applyBorder="1" applyAlignment="1">
      <alignment vertical="top"/>
    </xf>
    <xf numFmtId="0" fontId="7" fillId="0" borderId="1" xfId="0" applyFont="1" applyBorder="1" applyAlignment="1">
      <alignment horizontal="right" vertical="center"/>
    </xf>
    <xf numFmtId="164" fontId="7" fillId="0" borderId="1" xfId="0" applyNumberFormat="1" applyFont="1" applyBorder="1" applyAlignment="1">
      <alignment horizontal="center" vertical="center"/>
    </xf>
    <xf numFmtId="2" fontId="7" fillId="0" borderId="1" xfId="0" applyNumberFormat="1" applyFont="1" applyBorder="1" applyAlignment="1">
      <alignment horizontal="right" vertical="center"/>
    </xf>
    <xf numFmtId="164" fontId="7" fillId="0" borderId="1" xfId="0" applyNumberFormat="1" applyFont="1" applyBorder="1" applyAlignment="1">
      <alignment horizontal="right" vertical="top"/>
    </xf>
    <xf numFmtId="2" fontId="7" fillId="0" borderId="1" xfId="0" applyNumberFormat="1" applyFont="1" applyBorder="1" applyAlignment="1">
      <alignment horizontal="right" vertical="top"/>
    </xf>
    <xf numFmtId="164" fontId="7" fillId="0" borderId="1" xfId="0" applyNumberFormat="1" applyFont="1" applyBorder="1" applyAlignment="1">
      <alignment horizontal="right" vertical="center"/>
    </xf>
    <xf numFmtId="2" fontId="7" fillId="0" borderId="1" xfId="0" applyNumberFormat="1" applyFont="1" applyBorder="1" applyAlignment="1">
      <alignment vertical="center"/>
    </xf>
    <xf numFmtId="0" fontId="7" fillId="0" borderId="14" xfId="0" applyFont="1" applyBorder="1" applyAlignment="1">
      <alignment horizontal="right" vertical="center"/>
    </xf>
    <xf numFmtId="0" fontId="8" fillId="0" borderId="14" xfId="0" applyFont="1" applyBorder="1"/>
    <xf numFmtId="164" fontId="8" fillId="0" borderId="14" xfId="0" applyNumberFormat="1" applyFont="1" applyBorder="1" applyAlignment="1">
      <alignment vertical="top"/>
    </xf>
    <xf numFmtId="0" fontId="8" fillId="0" borderId="14" xfId="0" applyFont="1" applyBorder="1" applyAlignment="1">
      <alignment vertical="top"/>
    </xf>
    <xf numFmtId="179" fontId="8" fillId="0" borderId="14" xfId="0" applyNumberFormat="1" applyFont="1" applyBorder="1" applyAlignment="1">
      <alignment vertical="top"/>
    </xf>
    <xf numFmtId="167" fontId="8" fillId="0" borderId="14" xfId="0" applyNumberFormat="1" applyFont="1" applyBorder="1" applyAlignment="1">
      <alignment vertical="top"/>
    </xf>
    <xf numFmtId="2" fontId="8" fillId="0" borderId="14" xfId="0" applyNumberFormat="1" applyFont="1" applyBorder="1" applyAlignment="1">
      <alignment vertical="top"/>
    </xf>
    <xf numFmtId="167" fontId="8" fillId="0" borderId="14" xfId="0" applyNumberFormat="1" applyFont="1" applyFill="1" applyBorder="1" applyAlignment="1">
      <alignment vertical="top"/>
    </xf>
    <xf numFmtId="175" fontId="8" fillId="0" borderId="1" xfId="0" applyNumberFormat="1" applyFont="1" applyBorder="1" applyAlignment="1">
      <alignment vertical="top"/>
    </xf>
    <xf numFmtId="175" fontId="8" fillId="4" borderId="1" xfId="0" applyNumberFormat="1" applyFont="1" applyFill="1" applyBorder="1" applyAlignment="1">
      <alignment vertical="top"/>
    </xf>
    <xf numFmtId="181" fontId="7" fillId="0" borderId="1" xfId="0" applyNumberFormat="1" applyFont="1" applyBorder="1" applyAlignment="1">
      <alignment horizontal="right" vertical="center"/>
    </xf>
    <xf numFmtId="0" fontId="7" fillId="0" borderId="1" xfId="0" applyFont="1" applyBorder="1" applyAlignment="1">
      <alignment vertical="center"/>
    </xf>
    <xf numFmtId="181" fontId="7" fillId="0" borderId="1" xfId="0" applyNumberFormat="1" applyFont="1" applyBorder="1" applyAlignment="1">
      <alignment vertical="center"/>
    </xf>
    <xf numFmtId="175" fontId="7" fillId="0" borderId="1" xfId="0" applyNumberFormat="1" applyFont="1" applyBorder="1" applyAlignment="1">
      <alignment vertical="center"/>
    </xf>
    <xf numFmtId="167" fontId="8" fillId="0" borderId="1" xfId="1" applyNumberFormat="1" applyFont="1" applyFill="1" applyBorder="1" applyAlignment="1">
      <alignment vertical="top"/>
    </xf>
    <xf numFmtId="168" fontId="8" fillId="0" borderId="1" xfId="0" applyNumberFormat="1" applyFont="1" applyBorder="1" applyAlignment="1">
      <alignment vertical="top"/>
    </xf>
    <xf numFmtId="0" fontId="7" fillId="0" borderId="1" xfId="0" applyFont="1" applyBorder="1" applyAlignment="1">
      <alignment vertical="top"/>
    </xf>
    <xf numFmtId="172" fontId="7" fillId="0" borderId="1" xfId="0" applyNumberFormat="1" applyFont="1" applyBorder="1"/>
    <xf numFmtId="0" fontId="7" fillId="0" borderId="1" xfId="0" applyFont="1" applyBorder="1" applyAlignment="1">
      <alignment horizontal="right"/>
    </xf>
    <xf numFmtId="0" fontId="8" fillId="9" borderId="56" xfId="0" quotePrefix="1" applyFont="1" applyFill="1" applyBorder="1" applyAlignment="1">
      <alignment vertical="top" wrapText="1"/>
    </xf>
    <xf numFmtId="0" fontId="15" fillId="9" borderId="58" xfId="0" applyFont="1" applyFill="1" applyBorder="1" applyAlignment="1">
      <alignment vertical="top" wrapText="1"/>
    </xf>
    <xf numFmtId="9" fontId="8" fillId="9" borderId="56" xfId="0" applyNumberFormat="1" applyFont="1" applyFill="1" applyBorder="1" applyAlignment="1">
      <alignment vertical="top" wrapText="1"/>
    </xf>
    <xf numFmtId="164" fontId="8" fillId="9" borderId="56" xfId="2" applyNumberFormat="1" applyFont="1" applyFill="1" applyBorder="1" applyAlignment="1">
      <alignment vertical="top" wrapText="1"/>
    </xf>
    <xf numFmtId="9" fontId="8" fillId="9" borderId="56" xfId="3" applyFont="1" applyFill="1" applyBorder="1" applyAlignment="1">
      <alignment vertical="top" wrapText="1"/>
    </xf>
    <xf numFmtId="178" fontId="8" fillId="9" borderId="56" xfId="3" applyNumberFormat="1" applyFont="1" applyFill="1" applyBorder="1" applyAlignment="1">
      <alignment vertical="top" wrapText="1"/>
    </xf>
    <xf numFmtId="164" fontId="8" fillId="9" borderId="56" xfId="0" applyNumberFormat="1" applyFont="1" applyFill="1" applyBorder="1" applyAlignment="1">
      <alignment vertical="top" wrapText="1"/>
    </xf>
    <xf numFmtId="9" fontId="8" fillId="0" borderId="56" xfId="3" applyFont="1" applyBorder="1" applyAlignment="1">
      <alignment vertical="top" wrapText="1"/>
    </xf>
    <xf numFmtId="9" fontId="8" fillId="0" borderId="56" xfId="3" applyFont="1" applyBorder="1" applyAlignment="1">
      <alignment horizontal="center" vertical="top" wrapText="1"/>
    </xf>
    <xf numFmtId="178" fontId="8" fillId="0" borderId="56" xfId="3" applyNumberFormat="1" applyFont="1" applyBorder="1" applyAlignment="1">
      <alignment horizontal="center" vertical="top" wrapText="1"/>
    </xf>
    <xf numFmtId="0" fontId="8" fillId="0" borderId="127" xfId="0" applyFont="1" applyBorder="1"/>
    <xf numFmtId="0" fontId="8" fillId="0" borderId="76" xfId="0" applyFont="1" applyBorder="1"/>
    <xf numFmtId="0" fontId="8" fillId="0" borderId="126" xfId="0" applyFont="1" applyBorder="1"/>
    <xf numFmtId="178" fontId="7" fillId="0" borderId="83" xfId="0" applyNumberFormat="1" applyFont="1" applyBorder="1"/>
    <xf numFmtId="164" fontId="7" fillId="0" borderId="83" xfId="0" applyNumberFormat="1" applyFont="1" applyBorder="1"/>
    <xf numFmtId="178" fontId="8" fillId="0" borderId="83" xfId="0" applyNumberFormat="1" applyFont="1" applyBorder="1"/>
    <xf numFmtId="0" fontId="31" fillId="0" borderId="81" xfId="0" applyFont="1" applyBorder="1"/>
    <xf numFmtId="0" fontId="8" fillId="0" borderId="0" xfId="0" applyFont="1" applyBorder="1"/>
    <xf numFmtId="0" fontId="8" fillId="0" borderId="49" xfId="0" applyFont="1" applyBorder="1" applyAlignment="1">
      <alignment vertical="top"/>
    </xf>
    <xf numFmtId="0" fontId="7" fillId="0" borderId="1" xfId="0" quotePrefix="1" applyFont="1" applyFill="1" applyBorder="1" applyAlignment="1">
      <alignment horizontal="center" vertical="top" wrapText="1"/>
    </xf>
    <xf numFmtId="0" fontId="7" fillId="8" borderId="128" xfId="0" applyFont="1" applyFill="1" applyBorder="1" applyAlignment="1">
      <alignment horizontal="center" vertical="center"/>
    </xf>
    <xf numFmtId="0" fontId="7" fillId="19" borderId="1" xfId="0" applyFont="1" applyFill="1" applyBorder="1" applyAlignment="1">
      <alignment vertical="top"/>
    </xf>
    <xf numFmtId="0" fontId="7" fillId="19" borderId="1" xfId="0" applyFont="1" applyFill="1" applyBorder="1" applyAlignment="1">
      <alignment vertical="top" wrapText="1"/>
    </xf>
    <xf numFmtId="0" fontId="7" fillId="19" borderId="1" xfId="0" quotePrefix="1" applyFont="1" applyFill="1" applyBorder="1" applyAlignment="1">
      <alignment horizontal="center" vertical="top"/>
    </xf>
    <xf numFmtId="0" fontId="7" fillId="19" borderId="4" xfId="0" quotePrefix="1" applyFont="1" applyFill="1" applyBorder="1" applyAlignment="1">
      <alignment horizontal="center" vertical="top"/>
    </xf>
    <xf numFmtId="0" fontId="17" fillId="19" borderId="1" xfId="0" applyFont="1" applyFill="1" applyBorder="1" applyAlignment="1">
      <alignment vertical="top" wrapText="1"/>
    </xf>
    <xf numFmtId="41" fontId="7" fillId="19" borderId="1" xfId="1" applyFont="1" applyFill="1" applyBorder="1" applyAlignment="1">
      <alignment vertical="top" wrapText="1"/>
    </xf>
    <xf numFmtId="41" fontId="17" fillId="19" borderId="1" xfId="1" applyFont="1" applyFill="1" applyBorder="1" applyAlignment="1">
      <alignment vertical="top" wrapText="1"/>
    </xf>
    <xf numFmtId="0" fontId="8" fillId="19" borderId="1" xfId="0" applyFont="1" applyFill="1" applyBorder="1" applyAlignment="1">
      <alignment vertical="top"/>
    </xf>
    <xf numFmtId="0" fontId="8" fillId="19" borderId="1" xfId="0" applyFont="1" applyFill="1" applyBorder="1" applyAlignment="1">
      <alignment vertical="top" wrapText="1"/>
    </xf>
    <xf numFmtId="41" fontId="7" fillId="19" borderId="1" xfId="1" applyFont="1" applyFill="1" applyBorder="1" applyAlignment="1">
      <alignment vertical="top"/>
    </xf>
    <xf numFmtId="2" fontId="4" fillId="19" borderId="1" xfId="0" applyNumberFormat="1" applyFont="1" applyFill="1" applyBorder="1" applyAlignment="1">
      <alignment vertical="top"/>
    </xf>
    <xf numFmtId="166" fontId="4" fillId="19" borderId="1" xfId="1" applyNumberFormat="1" applyFont="1" applyFill="1" applyBorder="1" applyAlignment="1">
      <alignment vertical="top"/>
    </xf>
    <xf numFmtId="0" fontId="4" fillId="19" borderId="1" xfId="0" applyFont="1" applyFill="1" applyBorder="1" applyAlignment="1">
      <alignment horizontal="center" vertical="top"/>
    </xf>
    <xf numFmtId="0" fontId="4" fillId="19" borderId="0" xfId="0" applyFont="1" applyFill="1" applyAlignment="1">
      <alignment vertical="top"/>
    </xf>
    <xf numFmtId="0" fontId="8" fillId="19" borderId="1" xfId="0" quotePrefix="1" applyFont="1" applyFill="1" applyBorder="1" applyAlignment="1">
      <alignment horizontal="center" vertical="top"/>
    </xf>
    <xf numFmtId="0" fontId="8" fillId="19" borderId="4" xfId="0" quotePrefix="1" applyFont="1" applyFill="1" applyBorder="1" applyAlignment="1">
      <alignment horizontal="center" vertical="top"/>
    </xf>
    <xf numFmtId="0" fontId="7" fillId="20" borderId="1" xfId="0" applyFont="1" applyFill="1" applyBorder="1" applyAlignment="1">
      <alignment vertical="top"/>
    </xf>
    <xf numFmtId="0" fontId="7" fillId="20" borderId="1" xfId="0" applyFont="1" applyFill="1" applyBorder="1" applyAlignment="1">
      <alignment vertical="top" wrapText="1"/>
    </xf>
    <xf numFmtId="0" fontId="7" fillId="20" borderId="1" xfId="0" quotePrefix="1" applyFont="1" applyFill="1" applyBorder="1" applyAlignment="1">
      <alignment horizontal="center" vertical="top"/>
    </xf>
    <xf numFmtId="0" fontId="7" fillId="20" borderId="4" xfId="0" quotePrefix="1" applyFont="1" applyFill="1" applyBorder="1" applyAlignment="1">
      <alignment horizontal="center" vertical="top"/>
    </xf>
    <xf numFmtId="0" fontId="17" fillId="20" borderId="1" xfId="0" applyFont="1" applyFill="1" applyBorder="1" applyAlignment="1">
      <alignment vertical="top" wrapText="1"/>
    </xf>
    <xf numFmtId="41" fontId="7" fillId="20" borderId="1" xfId="1" applyFont="1" applyFill="1" applyBorder="1" applyAlignment="1">
      <alignment vertical="top" wrapText="1"/>
    </xf>
    <xf numFmtId="41" fontId="17" fillId="20" borderId="1" xfId="1" applyFont="1" applyFill="1" applyBorder="1" applyAlignment="1">
      <alignment vertical="top" wrapText="1"/>
    </xf>
    <xf numFmtId="0" fontId="8" fillId="20" borderId="1" xfId="0" applyFont="1" applyFill="1" applyBorder="1" applyAlignment="1">
      <alignment vertical="top"/>
    </xf>
    <xf numFmtId="0" fontId="8" fillId="20" borderId="1" xfId="0" applyFont="1" applyFill="1" applyBorder="1" applyAlignment="1">
      <alignment vertical="top" wrapText="1"/>
    </xf>
    <xf numFmtId="41" fontId="7" fillId="20" borderId="1" xfId="1" applyFont="1" applyFill="1" applyBorder="1" applyAlignment="1">
      <alignment vertical="top"/>
    </xf>
    <xf numFmtId="2" fontId="4" fillId="20" borderId="1" xfId="0" applyNumberFormat="1" applyFont="1" applyFill="1" applyBorder="1" applyAlignment="1">
      <alignment vertical="top"/>
    </xf>
    <xf numFmtId="166" fontId="4" fillId="20" borderId="1" xfId="1" applyNumberFormat="1" applyFont="1" applyFill="1" applyBorder="1" applyAlignment="1">
      <alignment vertical="top"/>
    </xf>
    <xf numFmtId="0" fontId="4" fillId="20" borderId="1" xfId="0" applyFont="1" applyFill="1" applyBorder="1" applyAlignment="1">
      <alignment horizontal="center" vertical="top"/>
    </xf>
    <xf numFmtId="0" fontId="4" fillId="20" borderId="0" xfId="0" applyFont="1" applyFill="1" applyAlignment="1">
      <alignment vertical="top"/>
    </xf>
    <xf numFmtId="0" fontId="7" fillId="20" borderId="1" xfId="0" applyFont="1" applyFill="1" applyBorder="1" applyAlignment="1">
      <alignment horizontal="right" vertical="top" wrapText="1"/>
    </xf>
    <xf numFmtId="0" fontId="8" fillId="10" borderId="1" xfId="0" applyFont="1" applyFill="1" applyBorder="1" applyAlignment="1">
      <alignment vertical="top" wrapText="1"/>
    </xf>
    <xf numFmtId="41" fontId="7" fillId="10" borderId="1" xfId="1" applyFont="1" applyFill="1" applyBorder="1" applyAlignment="1">
      <alignment vertical="top"/>
    </xf>
    <xf numFmtId="2" fontId="4" fillId="10" borderId="1" xfId="0" applyNumberFormat="1" applyFont="1" applyFill="1" applyBorder="1" applyAlignment="1">
      <alignment vertical="top"/>
    </xf>
    <xf numFmtId="166" fontId="4" fillId="10" borderId="1" xfId="1" applyNumberFormat="1" applyFont="1" applyFill="1" applyBorder="1" applyAlignment="1">
      <alignment vertical="top"/>
    </xf>
    <xf numFmtId="0" fontId="4" fillId="10" borderId="1" xfId="0" applyFont="1" applyFill="1" applyBorder="1" applyAlignment="1">
      <alignment horizontal="center" vertical="top"/>
    </xf>
    <xf numFmtId="0" fontId="4" fillId="10" borderId="0" xfId="0" applyFont="1" applyFill="1" applyAlignment="1">
      <alignment vertical="top"/>
    </xf>
    <xf numFmtId="41" fontId="17" fillId="0" borderId="1" xfId="1" applyFont="1" applyFill="1" applyBorder="1" applyAlignment="1">
      <alignment vertical="top" wrapText="1"/>
    </xf>
    <xf numFmtId="2" fontId="4" fillId="0" borderId="1" xfId="0" applyNumberFormat="1" applyFont="1" applyFill="1" applyBorder="1" applyAlignment="1">
      <alignment vertical="top"/>
    </xf>
    <xf numFmtId="166" fontId="4" fillId="0" borderId="1" xfId="1" applyNumberFormat="1" applyFont="1" applyFill="1" applyBorder="1" applyAlignment="1">
      <alignment vertical="top"/>
    </xf>
    <xf numFmtId="0" fontId="4" fillId="0" borderId="1" xfId="0" applyFont="1" applyFill="1" applyBorder="1" applyAlignment="1">
      <alignment horizontal="center" vertical="top"/>
    </xf>
    <xf numFmtId="0" fontId="8" fillId="0" borderId="1" xfId="0" applyFont="1" applyFill="1" applyBorder="1" applyAlignment="1">
      <alignment wrapText="1"/>
    </xf>
    <xf numFmtId="41" fontId="21" fillId="0" borderId="1" xfId="1" applyFont="1" applyFill="1" applyBorder="1" applyAlignment="1">
      <alignment vertical="top" wrapText="1"/>
    </xf>
    <xf numFmtId="0" fontId="0" fillId="0" borderId="1" xfId="0" applyFill="1" applyBorder="1" applyAlignment="1">
      <alignment vertical="top"/>
    </xf>
    <xf numFmtId="0" fontId="0" fillId="0" borderId="0" xfId="0" applyFill="1" applyAlignment="1">
      <alignment vertical="top"/>
    </xf>
    <xf numFmtId="0" fontId="7" fillId="0" borderId="1" xfId="0" applyFont="1" applyFill="1" applyBorder="1" applyAlignment="1">
      <alignment horizontal="right" vertical="top" wrapText="1"/>
    </xf>
    <xf numFmtId="164" fontId="21" fillId="0" borderId="1" xfId="2" applyNumberFormat="1" applyFont="1" applyFill="1" applyBorder="1" applyAlignment="1">
      <alignment vertical="top"/>
    </xf>
    <xf numFmtId="3" fontId="7" fillId="0" borderId="1" xfId="0" applyNumberFormat="1" applyFont="1" applyFill="1" applyBorder="1" applyAlignment="1">
      <alignment vertical="top"/>
    </xf>
    <xf numFmtId="167" fontId="7" fillId="0" borderId="1" xfId="1" applyNumberFormat="1" applyFont="1" applyFill="1" applyBorder="1" applyAlignment="1">
      <alignment vertical="top"/>
    </xf>
    <xf numFmtId="0" fontId="24" fillId="0" borderId="1" xfId="0" applyFont="1" applyFill="1" applyBorder="1" applyAlignment="1">
      <alignment horizontal="right" vertical="top"/>
    </xf>
    <xf numFmtId="179" fontId="7" fillId="0" borderId="1" xfId="0" applyNumberFormat="1" applyFont="1" applyFill="1" applyBorder="1" applyAlignment="1">
      <alignment vertical="top"/>
    </xf>
    <xf numFmtId="179" fontId="8" fillId="0" borderId="1" xfId="0" applyNumberFormat="1" applyFont="1" applyFill="1" applyBorder="1" applyAlignment="1">
      <alignment vertical="top"/>
    </xf>
    <xf numFmtId="167" fontId="7" fillId="0" borderId="1" xfId="0" applyNumberFormat="1" applyFont="1" applyFill="1" applyBorder="1" applyAlignment="1">
      <alignment vertical="top"/>
    </xf>
    <xf numFmtId="164" fontId="8" fillId="0" borderId="1" xfId="0" applyNumberFormat="1" applyFont="1" applyFill="1" applyBorder="1" applyAlignment="1">
      <alignment vertical="top"/>
    </xf>
    <xf numFmtId="0" fontId="39" fillId="0" borderId="1" xfId="0" applyNumberFormat="1" applyFont="1" applyFill="1" applyBorder="1" applyAlignment="1">
      <alignment horizontal="right" vertical="top"/>
    </xf>
    <xf numFmtId="3" fontId="17" fillId="0" borderId="1" xfId="0" applyNumberFormat="1" applyFont="1" applyFill="1" applyBorder="1" applyAlignment="1">
      <alignment vertical="top"/>
    </xf>
    <xf numFmtId="0" fontId="8" fillId="0" borderId="1" xfId="0" applyNumberFormat="1" applyFont="1" applyFill="1" applyBorder="1" applyAlignment="1">
      <alignment vertical="top"/>
    </xf>
    <xf numFmtId="49" fontId="17" fillId="0" borderId="1" xfId="0" applyNumberFormat="1" applyFont="1" applyFill="1" applyBorder="1" applyAlignment="1">
      <alignment vertical="top" wrapText="1"/>
    </xf>
    <xf numFmtId="0" fontId="7" fillId="0" borderId="1" xfId="0" applyNumberFormat="1" applyFont="1" applyFill="1" applyBorder="1" applyAlignment="1">
      <alignment horizontal="right" vertical="top"/>
    </xf>
    <xf numFmtId="164" fontId="7" fillId="0" borderId="1" xfId="0" applyNumberFormat="1" applyFont="1" applyFill="1" applyBorder="1" applyAlignment="1">
      <alignment vertical="top"/>
    </xf>
    <xf numFmtId="164" fontId="17" fillId="0" borderId="1" xfId="2" applyNumberFormat="1" applyFont="1" applyFill="1" applyBorder="1" applyAlignment="1">
      <alignment vertical="top" wrapText="1"/>
    </xf>
    <xf numFmtId="0" fontId="17" fillId="0" borderId="1" xfId="0" applyFont="1" applyFill="1" applyBorder="1" applyAlignment="1">
      <alignment horizontal="left" vertical="top" wrapText="1"/>
    </xf>
    <xf numFmtId="169" fontId="7" fillId="0" borderId="1" xfId="0" applyNumberFormat="1" applyFont="1" applyFill="1" applyBorder="1" applyAlignment="1">
      <alignment vertical="top"/>
    </xf>
    <xf numFmtId="175" fontId="8" fillId="0" borderId="1" xfId="0" applyNumberFormat="1" applyFont="1" applyFill="1" applyBorder="1" applyAlignment="1">
      <alignment vertical="top"/>
    </xf>
    <xf numFmtId="0" fontId="7" fillId="0" borderId="2" xfId="0" applyNumberFormat="1" applyFont="1" applyFill="1" applyBorder="1" applyAlignment="1">
      <alignment horizontal="right" vertical="top" wrapText="1"/>
    </xf>
    <xf numFmtId="1" fontId="7" fillId="0" borderId="1" xfId="0" applyNumberFormat="1" applyFont="1" applyFill="1" applyBorder="1" applyAlignment="1">
      <alignment vertical="top"/>
    </xf>
    <xf numFmtId="0" fontId="39" fillId="0" borderId="1" xfId="0" applyFont="1" applyFill="1" applyBorder="1" applyAlignment="1">
      <alignment horizontal="right" vertical="top"/>
    </xf>
    <xf numFmtId="175" fontId="7" fillId="0" borderId="1" xfId="0" applyNumberFormat="1" applyFont="1" applyFill="1" applyBorder="1" applyAlignment="1">
      <alignment vertical="top"/>
    </xf>
    <xf numFmtId="168" fontId="7" fillId="0" borderId="1" xfId="0" applyNumberFormat="1" applyFont="1" applyFill="1" applyBorder="1" applyAlignment="1">
      <alignment vertical="top"/>
    </xf>
    <xf numFmtId="0" fontId="7" fillId="0" borderId="1" xfId="0" applyNumberFormat="1" applyFont="1" applyFill="1" applyBorder="1" applyAlignment="1">
      <alignment horizontal="right" vertical="top" wrapText="1"/>
    </xf>
    <xf numFmtId="0" fontId="7" fillId="0" borderId="1" xfId="0" applyNumberFormat="1" applyFont="1" applyFill="1" applyBorder="1" applyAlignment="1">
      <alignment horizontal="center" vertical="top"/>
    </xf>
    <xf numFmtId="3" fontId="21" fillId="0" borderId="1" xfId="0" applyNumberFormat="1" applyFont="1" applyFill="1" applyBorder="1" applyAlignment="1">
      <alignment vertical="top"/>
    </xf>
    <xf numFmtId="0" fontId="7" fillId="0" borderId="1" xfId="0" applyFont="1" applyFill="1" applyBorder="1" applyAlignment="1">
      <alignment horizontal="right" vertical="center"/>
    </xf>
    <xf numFmtId="181" fontId="7" fillId="0" borderId="1" xfId="0" applyNumberFormat="1" applyFont="1" applyFill="1" applyBorder="1" applyAlignment="1">
      <alignment horizontal="right" vertical="center"/>
    </xf>
    <xf numFmtId="0" fontId="8" fillId="0" borderId="1" xfId="0" applyNumberFormat="1" applyFont="1" applyFill="1" applyBorder="1" applyAlignment="1">
      <alignment horizontal="center" vertical="top"/>
    </xf>
    <xf numFmtId="164" fontId="21" fillId="0" borderId="1" xfId="2" applyNumberFormat="1" applyFont="1" applyFill="1" applyBorder="1" applyAlignment="1">
      <alignment vertical="top" wrapText="1"/>
    </xf>
    <xf numFmtId="0" fontId="8" fillId="0" borderId="1" xfId="1" applyNumberFormat="1" applyFont="1" applyFill="1" applyBorder="1" applyAlignment="1">
      <alignment horizontal="center" vertical="top"/>
    </xf>
    <xf numFmtId="175" fontId="7" fillId="0" borderId="1" xfId="0" applyNumberFormat="1" applyFont="1" applyFill="1" applyBorder="1" applyAlignment="1">
      <alignment horizontal="right" vertical="center"/>
    </xf>
    <xf numFmtId="3" fontId="7" fillId="0" borderId="1" xfId="0" applyNumberFormat="1" applyFont="1" applyFill="1" applyBorder="1" applyAlignment="1">
      <alignment horizontal="center" vertical="top"/>
    </xf>
    <xf numFmtId="168" fontId="8" fillId="0" borderId="1" xfId="0" applyNumberFormat="1" applyFont="1" applyFill="1" applyBorder="1" applyAlignment="1">
      <alignment vertical="top"/>
    </xf>
    <xf numFmtId="0" fontId="17" fillId="0" borderId="12" xfId="0" applyFont="1" applyFill="1" applyBorder="1" applyAlignment="1">
      <alignment vertical="center" wrapText="1"/>
    </xf>
    <xf numFmtId="0" fontId="35" fillId="0" borderId="0" xfId="0" applyFont="1" applyFill="1" applyAlignment="1">
      <alignment vertical="top"/>
    </xf>
    <xf numFmtId="3" fontId="8" fillId="0" borderId="1" xfId="0" applyNumberFormat="1" applyFont="1" applyFill="1" applyBorder="1" applyAlignment="1">
      <alignment vertical="top"/>
    </xf>
    <xf numFmtId="167" fontId="21" fillId="0" borderId="1" xfId="1" applyNumberFormat="1" applyFont="1" applyFill="1" applyBorder="1" applyAlignment="1">
      <alignment vertical="top"/>
    </xf>
    <xf numFmtId="0" fontId="21" fillId="0" borderId="1" xfId="3" quotePrefix="1" applyNumberFormat="1" applyFont="1" applyFill="1" applyBorder="1" applyAlignment="1">
      <alignment horizontal="center" vertical="top"/>
    </xf>
    <xf numFmtId="0" fontId="17" fillId="0" borderId="1" xfId="3" quotePrefix="1" applyNumberFormat="1" applyFont="1" applyFill="1" applyBorder="1" applyAlignment="1">
      <alignment horizontal="right" vertical="top"/>
    </xf>
    <xf numFmtId="164" fontId="21" fillId="0" borderId="1" xfId="2" applyNumberFormat="1" applyFont="1" applyFill="1" applyBorder="1" applyAlignment="1">
      <alignment horizontal="center" vertical="top"/>
    </xf>
    <xf numFmtId="0" fontId="24" fillId="0" borderId="1" xfId="0" applyNumberFormat="1" applyFont="1" applyFill="1" applyBorder="1" applyAlignment="1">
      <alignment horizontal="right" vertical="top"/>
    </xf>
    <xf numFmtId="167" fontId="7" fillId="0" borderId="1" xfId="1" applyNumberFormat="1" applyFont="1" applyFill="1" applyBorder="1" applyAlignment="1">
      <alignment horizontal="right" vertical="top"/>
    </xf>
    <xf numFmtId="1" fontId="8" fillId="0" borderId="1" xfId="0" applyNumberFormat="1" applyFont="1" applyFill="1" applyBorder="1" applyAlignment="1">
      <alignment horizontal="center" vertical="top"/>
    </xf>
    <xf numFmtId="182" fontId="8" fillId="0" borderId="1" xfId="0" applyNumberFormat="1" applyFont="1" applyFill="1" applyBorder="1" applyAlignment="1">
      <alignment horizontal="right" vertical="top"/>
    </xf>
    <xf numFmtId="0" fontId="8" fillId="0" borderId="1" xfId="0" applyNumberFormat="1" applyFont="1" applyFill="1" applyBorder="1" applyAlignment="1">
      <alignment horizontal="right" vertical="top"/>
    </xf>
    <xf numFmtId="0" fontId="8" fillId="0" borderId="1" xfId="1" applyNumberFormat="1" applyFont="1" applyFill="1" applyBorder="1" applyAlignment="1">
      <alignment vertical="top"/>
    </xf>
    <xf numFmtId="0" fontId="8" fillId="0" borderId="1" xfId="0" quotePrefix="1" applyNumberFormat="1" applyFont="1" applyFill="1" applyBorder="1" applyAlignment="1">
      <alignment horizontal="right" vertical="top"/>
    </xf>
    <xf numFmtId="0" fontId="8" fillId="0" borderId="1" xfId="0" quotePrefix="1" applyNumberFormat="1" applyFont="1" applyFill="1" applyBorder="1" applyAlignment="1">
      <alignment horizontal="center" vertical="top"/>
    </xf>
    <xf numFmtId="0" fontId="39" fillId="0" borderId="1" xfId="0" applyNumberFormat="1" applyFont="1" applyFill="1" applyBorder="1" applyAlignment="1">
      <alignment horizontal="center" vertical="top"/>
    </xf>
    <xf numFmtId="164" fontId="7" fillId="0" borderId="1" xfId="0" applyNumberFormat="1" applyFont="1" applyFill="1" applyBorder="1" applyAlignment="1">
      <alignment horizontal="right" vertical="center"/>
    </xf>
    <xf numFmtId="164" fontId="17" fillId="0" borderId="1" xfId="2" quotePrefix="1" applyNumberFormat="1" applyFont="1" applyFill="1" applyBorder="1" applyAlignment="1">
      <alignment vertical="top"/>
    </xf>
    <xf numFmtId="164" fontId="7" fillId="0" borderId="1" xfId="0" applyNumberFormat="1" applyFont="1" applyFill="1" applyBorder="1" applyAlignment="1">
      <alignment vertical="center"/>
    </xf>
    <xf numFmtId="0" fontId="7" fillId="0" borderId="4" xfId="0" quotePrefix="1" applyFont="1" applyFill="1" applyBorder="1" applyAlignment="1">
      <alignment vertical="top" wrapText="1"/>
    </xf>
    <xf numFmtId="0" fontId="17" fillId="0" borderId="8" xfId="0" applyFont="1" applyFill="1" applyBorder="1" applyAlignment="1">
      <alignment vertical="top" wrapText="1"/>
    </xf>
    <xf numFmtId="164" fontId="17" fillId="0" borderId="4" xfId="2" quotePrefix="1" applyNumberFormat="1" applyFont="1" applyFill="1" applyBorder="1" applyAlignment="1">
      <alignment vertical="top"/>
    </xf>
    <xf numFmtId="3" fontId="7" fillId="0" borderId="4" xfId="0" applyNumberFormat="1" applyFont="1" applyFill="1" applyBorder="1" applyAlignment="1">
      <alignment vertical="top"/>
    </xf>
    <xf numFmtId="0" fontId="7" fillId="0" borderId="4" xfId="0" applyNumberFormat="1" applyFont="1" applyFill="1" applyBorder="1" applyAlignment="1">
      <alignment vertical="top"/>
    </xf>
    <xf numFmtId="169" fontId="7" fillId="0" borderId="4" xfId="0" applyNumberFormat="1" applyFont="1" applyFill="1" applyBorder="1" applyAlignment="1">
      <alignment vertical="top"/>
    </xf>
    <xf numFmtId="164" fontId="17" fillId="0" borderId="4" xfId="2" quotePrefix="1" applyNumberFormat="1" applyFont="1" applyFill="1" applyBorder="1" applyAlignment="1">
      <alignment horizontal="center" vertical="top"/>
    </xf>
    <xf numFmtId="167" fontId="7" fillId="0" borderId="4" xfId="0" applyNumberFormat="1" applyFont="1" applyFill="1" applyBorder="1" applyAlignment="1">
      <alignment vertical="top"/>
    </xf>
    <xf numFmtId="0" fontId="8" fillId="0" borderId="4" xfId="0" applyNumberFormat="1" applyFont="1" applyFill="1" applyBorder="1" applyAlignment="1">
      <alignment vertical="top"/>
    </xf>
    <xf numFmtId="167" fontId="8" fillId="0" borderId="4" xfId="0" applyNumberFormat="1" applyFont="1" applyFill="1" applyBorder="1" applyAlignment="1">
      <alignment vertical="top"/>
    </xf>
    <xf numFmtId="0" fontId="21" fillId="0" borderId="1" xfId="2" quotePrefix="1" applyNumberFormat="1" applyFont="1" applyFill="1" applyBorder="1" applyAlignment="1">
      <alignment vertical="top"/>
    </xf>
    <xf numFmtId="0" fontId="21" fillId="0" borderId="1" xfId="2" quotePrefix="1" applyNumberFormat="1" applyFont="1" applyFill="1" applyBorder="1" applyAlignment="1">
      <alignment horizontal="center" vertical="top"/>
    </xf>
    <xf numFmtId="1" fontId="21" fillId="0" borderId="1" xfId="2" applyNumberFormat="1" applyFont="1" applyFill="1" applyBorder="1" applyAlignment="1">
      <alignment vertical="top" wrapText="1"/>
    </xf>
    <xf numFmtId="1" fontId="21" fillId="0" borderId="1" xfId="2" applyNumberFormat="1" applyFont="1" applyFill="1" applyBorder="1" applyAlignment="1">
      <alignment horizontal="center" vertical="top" wrapText="1"/>
    </xf>
    <xf numFmtId="41" fontId="8" fillId="9" borderId="1" xfId="1" applyFont="1" applyFill="1" applyBorder="1" applyAlignment="1">
      <alignment horizontal="center" vertical="center" wrapText="1"/>
    </xf>
    <xf numFmtId="0" fontId="17" fillId="9" borderId="1" xfId="0" applyFont="1" applyFill="1" applyBorder="1" applyAlignment="1">
      <alignment horizontal="left" vertical="center" wrapText="1"/>
    </xf>
    <xf numFmtId="0" fontId="7" fillId="0" borderId="7" xfId="0" applyFont="1" applyBorder="1" applyAlignment="1">
      <alignment horizontal="left" vertical="center"/>
    </xf>
    <xf numFmtId="0" fontId="7" fillId="0" borderId="15" xfId="0" applyFont="1" applyBorder="1" applyAlignment="1">
      <alignment horizontal="left" vertical="center"/>
    </xf>
    <xf numFmtId="0" fontId="7" fillId="0" borderId="8" xfId="0" applyFont="1" applyBorder="1" applyAlignment="1">
      <alignment horizontal="left" vertical="center"/>
    </xf>
    <xf numFmtId="0" fontId="7" fillId="9" borderId="1" xfId="0" quotePrefix="1" applyFont="1" applyFill="1" applyBorder="1" applyAlignment="1">
      <alignment vertical="top" wrapText="1"/>
    </xf>
    <xf numFmtId="0" fontId="23" fillId="9" borderId="1" xfId="0" applyFont="1" applyFill="1" applyBorder="1" applyAlignment="1">
      <alignment vertical="top" wrapText="1"/>
    </xf>
    <xf numFmtId="9" fontId="7" fillId="9" borderId="1" xfId="3" applyFont="1" applyFill="1" applyBorder="1" applyAlignment="1">
      <alignment horizontal="center" vertical="center"/>
    </xf>
    <xf numFmtId="41" fontId="7" fillId="9" borderId="1" xfId="1" applyFont="1" applyFill="1" applyBorder="1" applyAlignment="1">
      <alignment vertical="center"/>
    </xf>
    <xf numFmtId="0" fontId="7" fillId="9" borderId="1" xfId="0" applyNumberFormat="1" applyFont="1" applyFill="1" applyBorder="1" applyAlignment="1">
      <alignment horizontal="center" vertical="center" wrapText="1"/>
    </xf>
    <xf numFmtId="164" fontId="7" fillId="9" borderId="1" xfId="2" applyNumberFormat="1" applyFont="1" applyFill="1" applyBorder="1" applyAlignment="1">
      <alignment vertical="center" wrapText="1"/>
    </xf>
    <xf numFmtId="0" fontId="7" fillId="9" borderId="1" xfId="0" applyNumberFormat="1" applyFont="1" applyFill="1" applyBorder="1" applyAlignment="1">
      <alignment horizontal="center" vertical="center"/>
    </xf>
    <xf numFmtId="41" fontId="7" fillId="9" borderId="1" xfId="1" applyFont="1" applyFill="1" applyBorder="1" applyAlignment="1">
      <alignment horizontal="center" vertical="center"/>
    </xf>
    <xf numFmtId="41" fontId="7" fillId="9" borderId="1" xfId="1" applyFont="1" applyFill="1" applyBorder="1" applyAlignment="1">
      <alignment horizontal="center" vertical="center" wrapText="1"/>
    </xf>
    <xf numFmtId="41" fontId="7" fillId="9" borderId="1" xfId="0" applyNumberFormat="1" applyFont="1" applyFill="1" applyBorder="1" applyAlignment="1">
      <alignment horizontal="center" vertical="center" wrapText="1"/>
    </xf>
    <xf numFmtId="0" fontId="7" fillId="9" borderId="1" xfId="0" applyFont="1" applyFill="1" applyBorder="1" applyAlignment="1">
      <alignment horizontal="center" vertical="center" wrapText="1"/>
    </xf>
    <xf numFmtId="9" fontId="7" fillId="9" borderId="1" xfId="0" applyNumberFormat="1" applyFont="1" applyFill="1" applyBorder="1" applyAlignment="1">
      <alignment horizontal="center" vertical="top" wrapText="1"/>
    </xf>
    <xf numFmtId="0" fontId="7" fillId="9" borderId="1" xfId="0" applyFont="1" applyFill="1" applyBorder="1" applyAlignment="1">
      <alignment horizontal="center" vertical="top" wrapText="1"/>
    </xf>
    <xf numFmtId="0" fontId="8" fillId="9" borderId="1" xfId="0" applyFont="1" applyFill="1" applyBorder="1" applyAlignment="1">
      <alignment horizontal="center" vertical="center" wrapText="1"/>
    </xf>
    <xf numFmtId="0" fontId="8" fillId="9" borderId="1" xfId="0" applyNumberFormat="1" applyFont="1" applyFill="1" applyBorder="1" applyAlignment="1">
      <alignment horizontal="center" vertical="center" wrapText="1"/>
    </xf>
    <xf numFmtId="9" fontId="8" fillId="9" borderId="1" xfId="0" applyNumberFormat="1" applyFont="1" applyFill="1" applyBorder="1" applyAlignment="1">
      <alignment horizontal="center" vertical="top" wrapText="1"/>
    </xf>
    <xf numFmtId="0" fontId="8" fillId="9" borderId="1" xfId="0" applyFont="1" applyFill="1" applyBorder="1" applyAlignment="1">
      <alignment horizontal="center" vertical="top" wrapText="1"/>
    </xf>
    <xf numFmtId="3" fontId="8" fillId="9" borderId="1" xfId="0" applyNumberFormat="1" applyFont="1" applyFill="1" applyBorder="1" applyAlignment="1">
      <alignment horizontal="center" vertical="center" wrapText="1"/>
    </xf>
    <xf numFmtId="41" fontId="8" fillId="9" borderId="1" xfId="0" applyNumberFormat="1" applyFont="1" applyFill="1" applyBorder="1" applyAlignment="1">
      <alignment horizontal="center" vertical="center" wrapText="1"/>
    </xf>
    <xf numFmtId="10" fontId="8" fillId="9" borderId="1" xfId="3" applyNumberFormat="1" applyFont="1" applyFill="1" applyBorder="1" applyAlignment="1">
      <alignment horizontal="center" vertical="center" wrapText="1"/>
    </xf>
    <xf numFmtId="0" fontId="15" fillId="9" borderId="1" xfId="0" applyFont="1" applyFill="1" applyBorder="1" applyAlignment="1">
      <alignment vertical="top" wrapText="1"/>
    </xf>
    <xf numFmtId="0" fontId="23" fillId="9" borderId="1" xfId="0" applyFont="1" applyFill="1" applyBorder="1" applyAlignment="1">
      <alignment horizontal="left" vertical="top" wrapText="1"/>
    </xf>
    <xf numFmtId="43" fontId="7" fillId="9" borderId="1" xfId="1" applyNumberFormat="1" applyFont="1" applyFill="1" applyBorder="1" applyAlignment="1">
      <alignment horizontal="center" vertical="center"/>
    </xf>
    <xf numFmtId="0" fontId="21" fillId="9" borderId="1" xfId="0" applyNumberFormat="1" applyFont="1" applyFill="1" applyBorder="1" applyAlignment="1">
      <alignment horizontal="center" vertical="center" wrapText="1"/>
    </xf>
    <xf numFmtId="9" fontId="8" fillId="9" borderId="1" xfId="0" applyNumberFormat="1" applyFont="1" applyFill="1" applyBorder="1" applyAlignment="1">
      <alignment horizontal="center" vertical="center" wrapText="1"/>
    </xf>
    <xf numFmtId="0" fontId="8" fillId="9" borderId="1" xfId="0" applyNumberFormat="1" applyFont="1" applyFill="1" applyBorder="1" applyAlignment="1">
      <alignment horizontal="center" vertical="top" wrapText="1"/>
    </xf>
    <xf numFmtId="43" fontId="8" fillId="0" borderId="1" xfId="1" applyNumberFormat="1" applyFont="1" applyFill="1" applyBorder="1" applyAlignment="1">
      <alignment horizontal="center" vertical="center"/>
    </xf>
    <xf numFmtId="41" fontId="8" fillId="0" borderId="1" xfId="1" applyFont="1" applyFill="1" applyBorder="1" applyAlignment="1">
      <alignment horizontal="center" vertical="center"/>
    </xf>
    <xf numFmtId="0" fontId="8"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21" fillId="0" borderId="1" xfId="0" applyNumberFormat="1" applyFont="1" applyFill="1" applyBorder="1" applyAlignment="1">
      <alignment horizontal="center" vertical="center" wrapText="1"/>
    </xf>
    <xf numFmtId="9" fontId="8" fillId="0" borderId="1" xfId="0" applyNumberFormat="1" applyFont="1" applyFill="1" applyBorder="1" applyAlignment="1">
      <alignment horizontal="center" vertical="top" wrapText="1"/>
    </xf>
    <xf numFmtId="9" fontId="7" fillId="9" borderId="1" xfId="0" applyNumberFormat="1" applyFont="1" applyFill="1" applyBorder="1" applyAlignment="1">
      <alignment horizontal="center" vertical="center" wrapText="1"/>
    </xf>
    <xf numFmtId="166" fontId="7" fillId="9" borderId="1" xfId="1" quotePrefix="1" applyNumberFormat="1" applyFont="1" applyFill="1" applyBorder="1" applyAlignment="1">
      <alignment horizontal="center" vertical="center" wrapText="1"/>
    </xf>
    <xf numFmtId="9" fontId="7" fillId="9" borderId="1" xfId="0" quotePrefix="1" applyNumberFormat="1" applyFont="1" applyFill="1" applyBorder="1" applyAlignment="1">
      <alignment horizontal="center" vertical="center" wrapText="1"/>
    </xf>
    <xf numFmtId="166" fontId="7" fillId="9" borderId="1" xfId="1" applyNumberFormat="1" applyFont="1" applyFill="1" applyBorder="1" applyAlignment="1">
      <alignment horizontal="center" vertical="center" wrapText="1"/>
    </xf>
    <xf numFmtId="0" fontId="7" fillId="9" borderId="1" xfId="0" applyNumberFormat="1" applyFont="1" applyFill="1" applyBorder="1" applyAlignment="1">
      <alignment horizontal="center" vertical="top" wrapText="1"/>
    </xf>
    <xf numFmtId="0" fontId="21" fillId="0" borderId="1" xfId="0" applyFont="1" applyFill="1" applyBorder="1" applyAlignment="1">
      <alignment horizontal="left" vertical="top" wrapText="1" indent="1"/>
    </xf>
    <xf numFmtId="41" fontId="7" fillId="0" borderId="1" xfId="1" quotePrefix="1" applyFont="1" applyFill="1" applyBorder="1" applyAlignment="1">
      <alignment vertical="center" wrapText="1"/>
    </xf>
    <xf numFmtId="41" fontId="7" fillId="0" borderId="1" xfId="1" quotePrefix="1" applyFont="1" applyFill="1" applyBorder="1" applyAlignment="1">
      <alignment vertical="top" wrapText="1"/>
    </xf>
    <xf numFmtId="41" fontId="7" fillId="0" borderId="1" xfId="1" applyFont="1" applyFill="1" applyBorder="1" applyAlignment="1">
      <alignment horizontal="center" vertical="center" wrapText="1"/>
    </xf>
    <xf numFmtId="9" fontId="7" fillId="0" borderId="1" xfId="0" applyNumberFormat="1" applyFont="1" applyFill="1" applyBorder="1" applyAlignment="1">
      <alignment horizontal="center" vertical="top" wrapText="1"/>
    </xf>
    <xf numFmtId="0" fontId="8" fillId="9" borderId="1" xfId="0" applyFont="1" applyFill="1" applyBorder="1"/>
    <xf numFmtId="0" fontId="7" fillId="9" borderId="1" xfId="0" applyFont="1" applyFill="1" applyBorder="1" applyAlignment="1">
      <alignment horizontal="left" vertical="top" wrapText="1"/>
    </xf>
    <xf numFmtId="164" fontId="7" fillId="9" borderId="1" xfId="1" quotePrefix="1" applyNumberFormat="1" applyFont="1" applyFill="1" applyBorder="1" applyAlignment="1">
      <alignment vertical="center"/>
    </xf>
    <xf numFmtId="41" fontId="7" fillId="9" borderId="1" xfId="1" quotePrefix="1" applyFont="1" applyFill="1" applyBorder="1" applyAlignment="1">
      <alignment horizontal="center" vertical="center"/>
    </xf>
    <xf numFmtId="0" fontId="7" fillId="9" borderId="1" xfId="5" applyNumberFormat="1" applyFont="1" applyFill="1" applyBorder="1" applyAlignment="1">
      <alignment horizontal="center" vertical="center" wrapText="1"/>
    </xf>
    <xf numFmtId="164" fontId="8" fillId="9" borderId="1" xfId="2" applyNumberFormat="1" applyFont="1" applyFill="1" applyBorder="1" applyAlignment="1">
      <alignment horizontal="center" vertical="center" wrapText="1"/>
    </xf>
    <xf numFmtId="0" fontId="8" fillId="9" borderId="1" xfId="5" applyNumberFormat="1" applyFont="1" applyFill="1" applyBorder="1" applyAlignment="1">
      <alignment horizontal="center" vertical="center" wrapText="1"/>
    </xf>
    <xf numFmtId="9" fontId="7" fillId="9" borderId="1" xfId="1" quotePrefix="1" applyNumberFormat="1" applyFont="1" applyFill="1" applyBorder="1" applyAlignment="1">
      <alignment horizontal="center" vertical="center"/>
    </xf>
    <xf numFmtId="0" fontId="8" fillId="9" borderId="1" xfId="3" applyNumberFormat="1" applyFont="1" applyFill="1" applyBorder="1" applyAlignment="1">
      <alignment horizontal="center" vertical="center"/>
    </xf>
    <xf numFmtId="41" fontId="8" fillId="9" borderId="1" xfId="1" applyFont="1" applyFill="1" applyBorder="1" applyAlignment="1">
      <alignment horizontal="center" vertical="center"/>
    </xf>
    <xf numFmtId="164" fontId="8" fillId="9" borderId="1" xfId="1" applyNumberFormat="1" applyFont="1" applyFill="1" applyBorder="1" applyAlignment="1">
      <alignment horizontal="center" vertical="center"/>
    </xf>
    <xf numFmtId="0" fontId="8" fillId="9" borderId="1" xfId="2" applyNumberFormat="1" applyFont="1" applyFill="1" applyBorder="1" applyAlignment="1">
      <alignment horizontal="center" vertical="center" wrapText="1"/>
    </xf>
    <xf numFmtId="0" fontId="8" fillId="9" borderId="1" xfId="3" quotePrefix="1" applyNumberFormat="1" applyFont="1" applyFill="1" applyBorder="1" applyAlignment="1">
      <alignment horizontal="center" vertical="center" wrapText="1"/>
    </xf>
    <xf numFmtId="41" fontId="8" fillId="9" borderId="1" xfId="1" quotePrefix="1" applyFont="1" applyFill="1" applyBorder="1" applyAlignment="1">
      <alignment horizontal="center" vertical="center" wrapText="1"/>
    </xf>
    <xf numFmtId="0" fontId="8" fillId="9" borderId="1" xfId="3" applyNumberFormat="1" applyFont="1" applyFill="1" applyBorder="1" applyAlignment="1">
      <alignment horizontal="center" vertical="center" wrapText="1"/>
    </xf>
    <xf numFmtId="164" fontId="8" fillId="9" borderId="1" xfId="1" applyNumberFormat="1" applyFont="1" applyFill="1" applyBorder="1" applyAlignment="1">
      <alignment horizontal="right" vertical="top"/>
    </xf>
    <xf numFmtId="0" fontId="8" fillId="9" borderId="1" xfId="5" quotePrefix="1" applyNumberFormat="1" applyFont="1" applyFill="1" applyBorder="1" applyAlignment="1">
      <alignment horizontal="center" vertical="center" wrapText="1"/>
    </xf>
    <xf numFmtId="41" fontId="7" fillId="9" borderId="1" xfId="1" quotePrefix="1" applyFont="1" applyFill="1" applyBorder="1" applyAlignment="1">
      <alignment horizontal="center" vertical="center" wrapText="1"/>
    </xf>
    <xf numFmtId="0" fontId="8" fillId="9" borderId="1" xfId="0" applyNumberFormat="1" applyFont="1" applyFill="1" applyBorder="1" applyAlignment="1">
      <alignment horizontal="center" vertical="center"/>
    </xf>
    <xf numFmtId="9" fontId="7" fillId="9" borderId="1" xfId="1" applyNumberFormat="1" applyFont="1" applyFill="1" applyBorder="1" applyAlignment="1">
      <alignment horizontal="center" vertical="center"/>
    </xf>
    <xf numFmtId="166" fontId="7" fillId="9" borderId="1" xfId="1" applyNumberFormat="1" applyFont="1" applyFill="1" applyBorder="1" applyAlignment="1">
      <alignment horizontal="center" vertical="center"/>
    </xf>
    <xf numFmtId="0" fontId="15" fillId="9" borderId="1" xfId="0" applyFont="1" applyFill="1" applyBorder="1" applyAlignment="1">
      <alignment horizontal="left" vertical="top" wrapText="1" indent="1"/>
    </xf>
    <xf numFmtId="0" fontId="8" fillId="9" borderId="1" xfId="1" applyNumberFormat="1" applyFont="1" applyFill="1" applyBorder="1" applyAlignment="1">
      <alignment horizontal="center" vertical="center"/>
    </xf>
    <xf numFmtId="0" fontId="15" fillId="9" borderId="1" xfId="0" applyFont="1" applyFill="1" applyBorder="1" applyAlignment="1">
      <alignment horizontal="center" vertical="center" wrapText="1"/>
    </xf>
    <xf numFmtId="41" fontId="15" fillId="9" borderId="1" xfId="1" applyFont="1" applyFill="1" applyBorder="1" applyAlignment="1">
      <alignment horizontal="center" vertical="center" wrapText="1"/>
    </xf>
    <xf numFmtId="0" fontId="15" fillId="9" borderId="1" xfId="0" applyNumberFormat="1" applyFont="1" applyFill="1" applyBorder="1" applyAlignment="1">
      <alignment horizontal="center" vertical="center" wrapText="1"/>
    </xf>
    <xf numFmtId="3" fontId="23" fillId="9" borderId="1" xfId="0" applyNumberFormat="1" applyFont="1" applyFill="1" applyBorder="1" applyAlignment="1">
      <alignment horizontal="center" vertical="center" wrapText="1"/>
    </xf>
    <xf numFmtId="41" fontId="23" fillId="9" borderId="1" xfId="0" applyNumberFormat="1" applyFont="1" applyFill="1" applyBorder="1" applyAlignment="1">
      <alignment horizontal="center" vertical="center" wrapText="1"/>
    </xf>
    <xf numFmtId="43" fontId="8" fillId="9" borderId="1" xfId="2" applyFont="1" applyFill="1" applyBorder="1" applyAlignment="1">
      <alignment horizontal="center" vertical="center" wrapText="1"/>
    </xf>
    <xf numFmtId="0" fontId="23" fillId="9" borderId="2" xfId="0" applyFont="1" applyFill="1" applyBorder="1" applyAlignment="1">
      <alignment vertical="top" wrapText="1"/>
    </xf>
    <xf numFmtId="0" fontId="21" fillId="0" borderId="0" xfId="0" applyFont="1" applyAlignment="1">
      <alignment vertical="top"/>
    </xf>
    <xf numFmtId="0" fontId="21" fillId="0" borderId="0" xfId="0" applyFont="1" applyBorder="1" applyAlignment="1">
      <alignment vertical="top" wrapText="1"/>
    </xf>
    <xf numFmtId="0" fontId="21" fillId="0" borderId="0" xfId="0" applyFont="1" applyBorder="1" applyAlignment="1">
      <alignment vertical="top"/>
    </xf>
    <xf numFmtId="0" fontId="21" fillId="0" borderId="0" xfId="0" applyFont="1" applyFill="1" applyAlignment="1">
      <alignment vertical="top"/>
    </xf>
    <xf numFmtId="0" fontId="21" fillId="9" borderId="1" xfId="0" applyFont="1" applyFill="1" applyBorder="1" applyAlignment="1">
      <alignment vertical="top"/>
    </xf>
    <xf numFmtId="164" fontId="17" fillId="0" borderId="1" xfId="2" applyNumberFormat="1" applyFont="1" applyFill="1" applyBorder="1" applyAlignment="1">
      <alignment horizontal="right" vertical="top" wrapText="1"/>
    </xf>
    <xf numFmtId="0" fontId="21" fillId="0" borderId="1" xfId="1" applyNumberFormat="1" applyFont="1" applyFill="1" applyBorder="1" applyAlignment="1">
      <alignment horizontal="left" vertical="top" wrapText="1"/>
    </xf>
    <xf numFmtId="0" fontId="41" fillId="0" borderId="0" xfId="0" applyFont="1" applyBorder="1" applyAlignment="1">
      <alignment vertical="top"/>
    </xf>
    <xf numFmtId="0" fontId="41" fillId="0" borderId="0" xfId="0" applyFont="1" applyAlignment="1">
      <alignment vertical="top"/>
    </xf>
    <xf numFmtId="0" fontId="23" fillId="0" borderId="1" xfId="0" applyFont="1" applyFill="1" applyBorder="1" applyAlignment="1">
      <alignment horizontal="left" vertical="top" wrapText="1"/>
    </xf>
    <xf numFmtId="0" fontId="15" fillId="0" borderId="1" xfId="0" applyFont="1" applyBorder="1" applyAlignment="1">
      <alignment horizontal="right" vertical="top" wrapText="1"/>
    </xf>
    <xf numFmtId="0" fontId="7" fillId="0" borderId="1" xfId="0" applyFont="1" applyBorder="1" applyAlignment="1">
      <alignment vertical="top" wrapText="1"/>
    </xf>
    <xf numFmtId="0" fontId="23" fillId="0" borderId="1" xfId="0" applyFont="1" applyBorder="1" applyAlignment="1">
      <alignment vertical="top" wrapText="1"/>
    </xf>
    <xf numFmtId="164" fontId="8" fillId="0" borderId="1" xfId="0" applyNumberFormat="1" applyFont="1" applyBorder="1" applyAlignment="1">
      <alignment vertical="top" wrapText="1"/>
    </xf>
    <xf numFmtId="173" fontId="8" fillId="0" borderId="1" xfId="1" applyNumberFormat="1" applyFont="1" applyFill="1" applyBorder="1" applyAlignment="1">
      <alignment horizontal="right" vertical="top"/>
    </xf>
    <xf numFmtId="41" fontId="8" fillId="0" borderId="1" xfId="0" applyNumberFormat="1" applyFont="1" applyFill="1" applyBorder="1" applyAlignment="1">
      <alignment horizontal="right" vertical="top"/>
    </xf>
    <xf numFmtId="9" fontId="8" fillId="0" borderId="1" xfId="0" applyNumberFormat="1" applyFont="1" applyBorder="1" applyAlignment="1">
      <alignment horizontal="center" vertical="top" wrapText="1"/>
    </xf>
    <xf numFmtId="164" fontId="8" fillId="0" borderId="1" xfId="2" applyNumberFormat="1" applyFont="1" applyBorder="1" applyAlignment="1">
      <alignment vertical="top"/>
    </xf>
    <xf numFmtId="0" fontId="23" fillId="9" borderId="1" xfId="0" applyFont="1" applyFill="1" applyBorder="1" applyAlignment="1">
      <alignment horizontal="right" vertical="top" wrapText="1"/>
    </xf>
    <xf numFmtId="41" fontId="7" fillId="9" borderId="1" xfId="1" applyFont="1" applyFill="1" applyBorder="1" applyAlignment="1">
      <alignment horizontal="right" vertical="top" wrapText="1"/>
    </xf>
    <xf numFmtId="0" fontId="8" fillId="9" borderId="1" xfId="0" quotePrefix="1" applyFont="1" applyFill="1" applyBorder="1" applyAlignment="1">
      <alignment horizontal="right" vertical="top" wrapText="1"/>
    </xf>
    <xf numFmtId="0" fontId="15" fillId="9" borderId="1" xfId="0" applyFont="1" applyFill="1" applyBorder="1" applyAlignment="1">
      <alignment horizontal="right" vertical="top" wrapText="1"/>
    </xf>
    <xf numFmtId="0" fontId="8" fillId="9" borderId="1" xfId="0" applyNumberFormat="1" applyFont="1" applyFill="1" applyBorder="1" applyAlignment="1">
      <alignment horizontal="right" vertical="top" wrapText="1"/>
    </xf>
    <xf numFmtId="41" fontId="8" fillId="9" borderId="1" xfId="1" applyFont="1" applyFill="1" applyBorder="1" applyAlignment="1">
      <alignment horizontal="right" vertical="top" wrapText="1"/>
    </xf>
    <xf numFmtId="3" fontId="8" fillId="9" borderId="1" xfId="0" applyNumberFormat="1" applyFont="1" applyFill="1" applyBorder="1" applyAlignment="1">
      <alignment horizontal="right" vertical="top" wrapText="1"/>
    </xf>
    <xf numFmtId="10" fontId="8" fillId="9" borderId="1" xfId="3" applyNumberFormat="1" applyFont="1" applyFill="1" applyBorder="1" applyAlignment="1">
      <alignment horizontal="right" vertical="top" wrapText="1"/>
    </xf>
    <xf numFmtId="0" fontId="21" fillId="9" borderId="1" xfId="0" applyNumberFormat="1" applyFont="1" applyFill="1" applyBorder="1" applyAlignment="1">
      <alignment horizontal="right" vertical="top" wrapText="1"/>
    </xf>
    <xf numFmtId="9" fontId="8" fillId="9" borderId="1" xfId="0" applyNumberFormat="1" applyFont="1" applyFill="1" applyBorder="1" applyAlignment="1">
      <alignment horizontal="right" vertical="top" wrapText="1"/>
    </xf>
    <xf numFmtId="41" fontId="8" fillId="0" borderId="1" xfId="0" applyNumberFormat="1" applyFont="1" applyFill="1" applyBorder="1" applyAlignment="1">
      <alignment horizontal="right" vertical="top" wrapText="1"/>
    </xf>
    <xf numFmtId="164" fontId="8" fillId="9" borderId="1" xfId="2" applyNumberFormat="1" applyFont="1" applyFill="1" applyBorder="1" applyAlignment="1">
      <alignment horizontal="right" vertical="top" wrapText="1"/>
    </xf>
    <xf numFmtId="0" fontId="8" fillId="9" borderId="1" xfId="5" applyNumberFormat="1" applyFont="1" applyFill="1" applyBorder="1" applyAlignment="1">
      <alignment horizontal="right" vertical="top" wrapText="1"/>
    </xf>
    <xf numFmtId="0" fontId="8" fillId="9" borderId="1" xfId="3" applyNumberFormat="1" applyFont="1" applyFill="1" applyBorder="1" applyAlignment="1">
      <alignment horizontal="right" vertical="top"/>
    </xf>
    <xf numFmtId="41" fontId="8" fillId="9" borderId="1" xfId="1" applyFont="1" applyFill="1" applyBorder="1" applyAlignment="1">
      <alignment horizontal="right" vertical="top"/>
    </xf>
    <xf numFmtId="0" fontId="8" fillId="9" borderId="1" xfId="2" applyNumberFormat="1" applyFont="1" applyFill="1" applyBorder="1" applyAlignment="1">
      <alignment horizontal="right" vertical="top" wrapText="1"/>
    </xf>
    <xf numFmtId="0" fontId="8" fillId="9" borderId="1" xfId="3" quotePrefix="1" applyNumberFormat="1" applyFont="1" applyFill="1" applyBorder="1" applyAlignment="1">
      <alignment horizontal="right" vertical="top" wrapText="1"/>
    </xf>
    <xf numFmtId="41" fontId="8" fillId="9" borderId="1" xfId="1" quotePrefix="1" applyFont="1" applyFill="1" applyBorder="1" applyAlignment="1">
      <alignment horizontal="right" vertical="top" wrapText="1"/>
    </xf>
    <xf numFmtId="0" fontId="8" fillId="9" borderId="1" xfId="3" applyNumberFormat="1" applyFont="1" applyFill="1" applyBorder="1" applyAlignment="1">
      <alignment horizontal="right" vertical="top" wrapText="1"/>
    </xf>
    <xf numFmtId="0" fontId="8" fillId="9" borderId="1" xfId="5" quotePrefix="1" applyNumberFormat="1" applyFont="1" applyFill="1" applyBorder="1" applyAlignment="1">
      <alignment horizontal="right" vertical="top" wrapText="1"/>
    </xf>
    <xf numFmtId="41" fontId="7" fillId="9" borderId="1" xfId="1" quotePrefix="1" applyFont="1" applyFill="1" applyBorder="1" applyAlignment="1">
      <alignment horizontal="right" vertical="top" wrapText="1"/>
    </xf>
    <xf numFmtId="0" fontId="8" fillId="9" borderId="1" xfId="0" applyNumberFormat="1" applyFont="1" applyFill="1" applyBorder="1" applyAlignment="1">
      <alignment horizontal="right" vertical="top"/>
    </xf>
    <xf numFmtId="0" fontId="8" fillId="9" borderId="1" xfId="1" applyNumberFormat="1" applyFont="1" applyFill="1" applyBorder="1" applyAlignment="1">
      <alignment horizontal="right" vertical="top"/>
    </xf>
    <xf numFmtId="164" fontId="8" fillId="0" borderId="1" xfId="2" applyNumberFormat="1" applyFont="1" applyBorder="1" applyAlignment="1">
      <alignment vertical="top" wrapText="1"/>
    </xf>
    <xf numFmtId="2" fontId="8" fillId="0" borderId="1" xfId="0" applyNumberFormat="1" applyFont="1" applyBorder="1" applyAlignment="1">
      <alignment vertical="top" wrapText="1"/>
    </xf>
    <xf numFmtId="164" fontId="8" fillId="0" borderId="1" xfId="2" applyNumberFormat="1" applyFont="1" applyBorder="1" applyAlignment="1">
      <alignment horizontal="right" vertical="top" wrapText="1"/>
    </xf>
    <xf numFmtId="164" fontId="8" fillId="9" borderId="1" xfId="2" applyNumberFormat="1" applyFont="1" applyFill="1" applyBorder="1" applyAlignment="1">
      <alignment vertical="top" wrapText="1"/>
    </xf>
    <xf numFmtId="9" fontId="8" fillId="0" borderId="1" xfId="3" applyFont="1" applyBorder="1" applyAlignment="1">
      <alignment horizontal="right" vertical="top" wrapText="1"/>
    </xf>
    <xf numFmtId="164" fontId="8" fillId="0" borderId="1" xfId="2" applyNumberFormat="1" applyFont="1" applyBorder="1" applyAlignment="1">
      <alignment horizontal="center" vertical="top"/>
    </xf>
    <xf numFmtId="9" fontId="8" fillId="9" borderId="1" xfId="0" applyNumberFormat="1" applyFont="1" applyFill="1" applyBorder="1" applyAlignment="1">
      <alignment horizontal="right" vertical="top"/>
    </xf>
    <xf numFmtId="178" fontId="8" fillId="0" borderId="1" xfId="3" applyNumberFormat="1" applyFont="1" applyBorder="1" applyAlignment="1">
      <alignment horizontal="right" vertical="top" wrapText="1"/>
    </xf>
    <xf numFmtId="2" fontId="8" fillId="9" borderId="1" xfId="0" applyNumberFormat="1" applyFont="1" applyFill="1" applyBorder="1" applyAlignment="1">
      <alignment vertical="top" wrapText="1"/>
    </xf>
    <xf numFmtId="9" fontId="8" fillId="9" borderId="1" xfId="3" applyFont="1" applyFill="1" applyBorder="1" applyAlignment="1">
      <alignment horizontal="right" vertical="top"/>
    </xf>
    <xf numFmtId="0" fontId="8" fillId="0" borderId="1" xfId="0" quotePrefix="1" applyFont="1" applyBorder="1" applyAlignment="1">
      <alignment horizontal="right" vertical="top" wrapText="1"/>
    </xf>
    <xf numFmtId="178" fontId="8" fillId="9" borderId="1" xfId="0" applyNumberFormat="1" applyFont="1" applyFill="1" applyBorder="1" applyAlignment="1">
      <alignment horizontal="right" vertical="top"/>
    </xf>
    <xf numFmtId="0" fontId="7" fillId="9" borderId="1" xfId="0" applyFont="1" applyFill="1" applyBorder="1" applyAlignment="1">
      <alignment horizontal="right" vertical="top" wrapText="1"/>
    </xf>
    <xf numFmtId="167" fontId="21" fillId="9" borderId="1" xfId="4" applyNumberFormat="1" applyFont="1" applyFill="1" applyBorder="1" applyAlignment="1">
      <alignment horizontal="right" vertical="top" wrapText="1"/>
    </xf>
    <xf numFmtId="0" fontId="42" fillId="0" borderId="0" xfId="0" applyFont="1" applyFill="1" applyAlignment="1">
      <alignment vertical="top"/>
    </xf>
    <xf numFmtId="0" fontId="44" fillId="9" borderId="0" xfId="0" applyFont="1" applyFill="1" applyAlignment="1">
      <alignment vertical="top"/>
    </xf>
    <xf numFmtId="0" fontId="44" fillId="0" borderId="0" xfId="0" applyFont="1" applyFill="1" applyAlignment="1">
      <alignment vertical="top"/>
    </xf>
    <xf numFmtId="0" fontId="44" fillId="0" borderId="0" xfId="0" applyFont="1" applyAlignment="1">
      <alignment vertical="top"/>
    </xf>
    <xf numFmtId="2" fontId="44" fillId="0" borderId="1" xfId="0" applyNumberFormat="1" applyFont="1" applyBorder="1" applyAlignment="1">
      <alignment horizontal="right" vertical="top"/>
    </xf>
    <xf numFmtId="41" fontId="47" fillId="14" borderId="1" xfId="0" applyNumberFormat="1" applyFont="1" applyFill="1" applyBorder="1" applyAlignment="1">
      <alignment vertical="top" wrapText="1"/>
    </xf>
    <xf numFmtId="0" fontId="43" fillId="0" borderId="0" xfId="0" applyFont="1" applyAlignment="1">
      <alignment vertical="top"/>
    </xf>
    <xf numFmtId="10" fontId="17" fillId="9" borderId="1" xfId="3" applyNumberFormat="1" applyFont="1" applyFill="1" applyBorder="1" applyAlignment="1">
      <alignment horizontal="right" vertical="top"/>
    </xf>
    <xf numFmtId="0" fontId="8" fillId="0" borderId="1" xfId="0" applyNumberFormat="1" applyFont="1" applyFill="1" applyBorder="1" applyAlignment="1">
      <alignment vertical="top" wrapText="1"/>
    </xf>
    <xf numFmtId="0" fontId="8" fillId="0" borderId="1" xfId="2" applyNumberFormat="1" applyFont="1" applyFill="1" applyBorder="1" applyAlignment="1">
      <alignment vertical="top" wrapText="1"/>
    </xf>
    <xf numFmtId="0" fontId="21" fillId="9" borderId="1" xfId="0" applyNumberFormat="1" applyFont="1" applyFill="1" applyBorder="1" applyAlignment="1">
      <alignment horizontal="right" vertical="top"/>
    </xf>
    <xf numFmtId="168" fontId="21" fillId="9" borderId="1" xfId="0" quotePrefix="1" applyNumberFormat="1" applyFont="1" applyFill="1" applyBorder="1" applyAlignment="1">
      <alignment horizontal="right" vertical="top"/>
    </xf>
    <xf numFmtId="41" fontId="21" fillId="0" borderId="1" xfId="4" applyFont="1" applyBorder="1" applyAlignment="1">
      <alignment horizontal="right" vertical="top" wrapText="1"/>
    </xf>
    <xf numFmtId="0" fontId="21" fillId="9" borderId="1" xfId="0" quotePrefix="1" applyNumberFormat="1" applyFont="1" applyFill="1" applyBorder="1" applyAlignment="1">
      <alignment horizontal="right" vertical="top"/>
    </xf>
    <xf numFmtId="0" fontId="21" fillId="9" borderId="1" xfId="0" quotePrefix="1" applyFont="1" applyFill="1" applyBorder="1" applyAlignment="1">
      <alignment horizontal="right" vertical="top"/>
    </xf>
    <xf numFmtId="1" fontId="21" fillId="9" borderId="1" xfId="0" applyNumberFormat="1" applyFont="1" applyFill="1" applyBorder="1" applyAlignment="1">
      <alignment horizontal="right" vertical="top" wrapText="1"/>
    </xf>
    <xf numFmtId="0" fontId="21" fillId="0" borderId="1" xfId="0" applyFont="1" applyFill="1" applyBorder="1" applyAlignment="1">
      <alignment horizontal="right" vertical="top"/>
    </xf>
    <xf numFmtId="0" fontId="7" fillId="21" borderId="1" xfId="0" applyFont="1" applyFill="1" applyBorder="1" applyAlignment="1">
      <alignment vertical="top" wrapText="1"/>
    </xf>
    <xf numFmtId="9" fontId="7" fillId="21" borderId="1" xfId="3" applyFont="1" applyFill="1" applyBorder="1" applyAlignment="1">
      <alignment horizontal="right" vertical="top"/>
    </xf>
    <xf numFmtId="43" fontId="7" fillId="21" borderId="1" xfId="1" applyNumberFormat="1" applyFont="1" applyFill="1" applyBorder="1" applyAlignment="1">
      <alignment horizontal="right" vertical="top"/>
    </xf>
    <xf numFmtId="9" fontId="7" fillId="21" borderId="1" xfId="0" applyNumberFormat="1" applyFont="1" applyFill="1" applyBorder="1" applyAlignment="1">
      <alignment horizontal="right" vertical="top"/>
    </xf>
    <xf numFmtId="164" fontId="7" fillId="21" borderId="1" xfId="0" applyNumberFormat="1" applyFont="1" applyFill="1" applyBorder="1" applyAlignment="1">
      <alignment vertical="top" wrapText="1"/>
    </xf>
    <xf numFmtId="41" fontId="7" fillId="21" borderId="1" xfId="1" applyFont="1" applyFill="1" applyBorder="1" applyAlignment="1">
      <alignment vertical="top" wrapText="1"/>
    </xf>
    <xf numFmtId="10" fontId="7" fillId="21" borderId="1" xfId="0" applyNumberFormat="1" applyFont="1" applyFill="1" applyBorder="1" applyAlignment="1">
      <alignment vertical="top" wrapText="1"/>
    </xf>
    <xf numFmtId="164" fontId="7" fillId="21" borderId="1" xfId="2" applyNumberFormat="1" applyFont="1" applyFill="1" applyBorder="1" applyAlignment="1">
      <alignment vertical="top" wrapText="1"/>
    </xf>
    <xf numFmtId="10" fontId="8" fillId="21" borderId="1" xfId="0" applyNumberFormat="1" applyFont="1" applyFill="1" applyBorder="1" applyAlignment="1">
      <alignment vertical="top" wrapText="1"/>
    </xf>
    <xf numFmtId="10" fontId="8" fillId="0" borderId="1" xfId="0" applyNumberFormat="1" applyFont="1" applyFill="1" applyBorder="1" applyAlignment="1">
      <alignment horizontal="right" vertical="top" wrapText="1"/>
    </xf>
    <xf numFmtId="0" fontId="8" fillId="21" borderId="1" xfId="0" applyFont="1" applyFill="1" applyBorder="1" applyAlignment="1">
      <alignment vertical="top" wrapText="1"/>
    </xf>
    <xf numFmtId="10" fontId="7" fillId="21" borderId="1" xfId="0" applyNumberFormat="1" applyFont="1" applyFill="1" applyBorder="1" applyAlignment="1">
      <alignment horizontal="right" vertical="top"/>
    </xf>
    <xf numFmtId="41" fontId="7" fillId="21" borderId="1" xfId="0" applyNumberFormat="1" applyFont="1" applyFill="1" applyBorder="1" applyAlignment="1">
      <alignment vertical="top" wrapText="1"/>
    </xf>
    <xf numFmtId="164" fontId="8" fillId="0" borderId="1" xfId="2" applyNumberFormat="1" applyFont="1" applyFill="1" applyBorder="1" applyAlignment="1">
      <alignment horizontal="right" vertical="top" wrapText="1"/>
    </xf>
    <xf numFmtId="0" fontId="8" fillId="0" borderId="1" xfId="0" applyFont="1" applyBorder="1" applyAlignment="1">
      <alignment horizontal="right" vertical="top" wrapText="1"/>
    </xf>
    <xf numFmtId="0" fontId="21" fillId="21" borderId="1" xfId="0" applyFont="1" applyFill="1" applyBorder="1" applyAlignment="1">
      <alignment vertical="top" wrapText="1"/>
    </xf>
    <xf numFmtId="178" fontId="7" fillId="21" borderId="1" xfId="0" applyNumberFormat="1" applyFont="1" applyFill="1" applyBorder="1" applyAlignment="1">
      <alignment horizontal="right" vertical="top"/>
    </xf>
    <xf numFmtId="0" fontId="8" fillId="21" borderId="1" xfId="0" quotePrefix="1" applyFont="1" applyFill="1" applyBorder="1" applyAlignment="1">
      <alignment horizontal="center" vertical="top"/>
    </xf>
    <xf numFmtId="10" fontId="8" fillId="21" borderId="1" xfId="3" applyNumberFormat="1" applyFont="1" applyFill="1" applyBorder="1" applyAlignment="1">
      <alignment horizontal="right" vertical="top"/>
    </xf>
    <xf numFmtId="41" fontId="8" fillId="21" borderId="1" xfId="0" applyNumberFormat="1" applyFont="1" applyFill="1" applyBorder="1" applyAlignment="1">
      <alignment vertical="top"/>
    </xf>
    <xf numFmtId="0" fontId="8" fillId="21" borderId="1" xfId="0" applyFont="1" applyFill="1" applyBorder="1" applyAlignment="1">
      <alignment vertical="top"/>
    </xf>
    <xf numFmtId="9" fontId="7" fillId="21" borderId="1" xfId="3" applyNumberFormat="1" applyFont="1" applyFill="1" applyBorder="1" applyAlignment="1">
      <alignment horizontal="right" vertical="top"/>
    </xf>
    <xf numFmtId="164" fontId="7" fillId="21" borderId="1" xfId="1" applyNumberFormat="1" applyFont="1" applyFill="1" applyBorder="1" applyAlignment="1">
      <alignment horizontal="right" vertical="top"/>
    </xf>
    <xf numFmtId="0" fontId="8" fillId="21" borderId="1" xfId="0" applyFont="1" applyFill="1" applyBorder="1" applyAlignment="1">
      <alignment horizontal="right" vertical="top" wrapText="1"/>
    </xf>
    <xf numFmtId="0" fontId="23" fillId="21" borderId="1" xfId="0" applyFont="1" applyFill="1" applyBorder="1" applyAlignment="1">
      <alignment vertical="top" wrapText="1"/>
    </xf>
    <xf numFmtId="164" fontId="8" fillId="21" borderId="1" xfId="2" applyNumberFormat="1" applyFont="1" applyFill="1" applyBorder="1" applyAlignment="1">
      <alignment vertical="top" wrapText="1"/>
    </xf>
    <xf numFmtId="164" fontId="7" fillId="21" borderId="1" xfId="2" applyNumberFormat="1" applyFont="1" applyFill="1" applyBorder="1" applyAlignment="1">
      <alignment horizontal="right" vertical="top" wrapText="1"/>
    </xf>
    <xf numFmtId="9" fontId="7" fillId="21" borderId="1" xfId="3" applyFont="1" applyFill="1" applyBorder="1" applyAlignment="1">
      <alignment horizontal="right" vertical="top" wrapText="1"/>
    </xf>
    <xf numFmtId="0" fontId="23" fillId="21" borderId="1" xfId="0" applyFont="1" applyFill="1" applyBorder="1" applyAlignment="1">
      <alignment horizontal="left" vertical="top" wrapText="1"/>
    </xf>
    <xf numFmtId="0" fontId="21" fillId="21" borderId="1" xfId="0" applyFont="1" applyFill="1" applyBorder="1" applyAlignment="1">
      <alignment horizontal="justify" vertical="top" wrapText="1"/>
    </xf>
    <xf numFmtId="9" fontId="8" fillId="21" borderId="1" xfId="0" applyNumberFormat="1" applyFont="1" applyFill="1" applyBorder="1" applyAlignment="1">
      <alignment horizontal="right" vertical="top"/>
    </xf>
    <xf numFmtId="178" fontId="7" fillId="21" borderId="1" xfId="0" applyNumberFormat="1" applyFont="1" applyFill="1" applyBorder="1" applyAlignment="1">
      <alignment horizontal="right" vertical="top" wrapText="1"/>
    </xf>
    <xf numFmtId="2" fontId="7" fillId="21" borderId="1" xfId="0" applyNumberFormat="1" applyFont="1" applyFill="1" applyBorder="1" applyAlignment="1">
      <alignment vertical="top" wrapText="1"/>
    </xf>
    <xf numFmtId="0" fontId="15" fillId="21" borderId="1" xfId="0" applyFont="1" applyFill="1" applyBorder="1" applyAlignment="1">
      <alignment horizontal="left" vertical="top" wrapText="1"/>
    </xf>
    <xf numFmtId="9" fontId="7" fillId="21" borderId="1" xfId="1" applyNumberFormat="1" applyFont="1" applyFill="1" applyBorder="1" applyAlignment="1">
      <alignment horizontal="right" vertical="top"/>
    </xf>
    <xf numFmtId="0" fontId="33" fillId="9" borderId="0" xfId="0" applyFont="1" applyFill="1" applyAlignment="1">
      <alignment vertical="top"/>
    </xf>
    <xf numFmtId="0" fontId="31" fillId="9" borderId="0" xfId="0" applyFont="1" applyFill="1" applyAlignment="1">
      <alignment vertical="top"/>
    </xf>
    <xf numFmtId="178" fontId="7" fillId="21" borderId="1" xfId="2" applyNumberFormat="1" applyFont="1" applyFill="1" applyBorder="1" applyAlignment="1">
      <alignment horizontal="right" vertical="top" wrapText="1"/>
    </xf>
    <xf numFmtId="178" fontId="7" fillId="21" borderId="1" xfId="3" applyNumberFormat="1" applyFont="1" applyFill="1" applyBorder="1" applyAlignment="1">
      <alignment horizontal="right" vertical="top"/>
    </xf>
    <xf numFmtId="0" fontId="7" fillId="21" borderId="1" xfId="0" quotePrefix="1" applyFont="1" applyFill="1" applyBorder="1" applyAlignment="1">
      <alignment horizontal="center" vertical="top" wrapText="1"/>
    </xf>
    <xf numFmtId="0" fontId="8" fillId="0" borderId="0" xfId="0" applyFont="1" applyAlignment="1">
      <alignment horizontal="right" vertical="top"/>
    </xf>
    <xf numFmtId="9" fontId="8" fillId="0" borderId="1" xfId="0" applyNumberFormat="1" applyFont="1" applyBorder="1" applyAlignment="1">
      <alignment horizontal="right" vertical="top" wrapText="1"/>
    </xf>
    <xf numFmtId="9" fontId="7" fillId="21" borderId="1" xfId="0" applyNumberFormat="1" applyFont="1" applyFill="1" applyBorder="1" applyAlignment="1">
      <alignment horizontal="right" vertical="top" wrapText="1"/>
    </xf>
    <xf numFmtId="9" fontId="8" fillId="9" borderId="1" xfId="3" applyFont="1" applyFill="1" applyBorder="1" applyAlignment="1">
      <alignment horizontal="right" vertical="top" wrapText="1"/>
    </xf>
    <xf numFmtId="178" fontId="8" fillId="9" borderId="1" xfId="3" applyNumberFormat="1" applyFont="1" applyFill="1" applyBorder="1" applyAlignment="1">
      <alignment horizontal="right" vertical="top" wrapText="1"/>
    </xf>
    <xf numFmtId="0" fontId="8" fillId="21" borderId="1" xfId="0" applyFont="1" applyFill="1" applyBorder="1" applyAlignment="1">
      <alignment horizontal="right" vertical="top"/>
    </xf>
    <xf numFmtId="0" fontId="7" fillId="21" borderId="1" xfId="0" applyNumberFormat="1" applyFont="1" applyFill="1" applyBorder="1" applyAlignment="1">
      <alignment horizontal="right" vertical="top"/>
    </xf>
    <xf numFmtId="0" fontId="21" fillId="0" borderId="1" xfId="0" applyFont="1" applyBorder="1" applyAlignment="1">
      <alignment horizontal="right" vertical="top" wrapText="1"/>
    </xf>
    <xf numFmtId="41" fontId="21" fillId="0" borderId="1" xfId="1" applyFont="1" applyBorder="1" applyAlignment="1">
      <alignment horizontal="right" vertical="top" wrapText="1"/>
    </xf>
    <xf numFmtId="9" fontId="8" fillId="0" borderId="1" xfId="0" quotePrefix="1" applyNumberFormat="1" applyFont="1" applyFill="1" applyBorder="1" applyAlignment="1">
      <alignment horizontal="right" vertical="top"/>
    </xf>
    <xf numFmtId="43" fontId="8" fillId="0" borderId="1" xfId="0" applyNumberFormat="1" applyFont="1" applyBorder="1" applyAlignment="1">
      <alignment horizontal="right" vertical="top"/>
    </xf>
    <xf numFmtId="43" fontId="8" fillId="0" borderId="1" xfId="0" applyNumberFormat="1" applyFont="1" applyBorder="1" applyAlignment="1">
      <alignment horizontal="right" vertical="top" wrapText="1"/>
    </xf>
    <xf numFmtId="41" fontId="8" fillId="0" borderId="1" xfId="0" applyNumberFormat="1" applyFont="1" applyBorder="1" applyAlignment="1">
      <alignment horizontal="right" vertical="top" wrapText="1"/>
    </xf>
    <xf numFmtId="41" fontId="8" fillId="0" borderId="1" xfId="1" applyFont="1" applyBorder="1" applyAlignment="1">
      <alignment horizontal="right" vertical="top" wrapText="1"/>
    </xf>
    <xf numFmtId="164" fontId="8" fillId="0" borderId="1" xfId="0" applyNumberFormat="1" applyFont="1" applyBorder="1" applyAlignment="1">
      <alignment horizontal="right" vertical="top" wrapText="1"/>
    </xf>
    <xf numFmtId="166" fontId="8" fillId="0" borderId="1" xfId="0" applyNumberFormat="1" applyFont="1" applyBorder="1" applyAlignment="1">
      <alignment horizontal="right" vertical="top" wrapText="1"/>
    </xf>
    <xf numFmtId="41" fontId="8" fillId="0" borderId="1" xfId="1" quotePrefix="1" applyFont="1" applyBorder="1" applyAlignment="1">
      <alignment horizontal="right" vertical="top"/>
    </xf>
    <xf numFmtId="41" fontId="8" fillId="0" borderId="1" xfId="1" applyNumberFormat="1" applyFont="1" applyBorder="1" applyAlignment="1">
      <alignment horizontal="right" vertical="top" wrapText="1"/>
    </xf>
    <xf numFmtId="41" fontId="8" fillId="0" borderId="1" xfId="3" applyNumberFormat="1" applyFont="1" applyBorder="1" applyAlignment="1">
      <alignment horizontal="right" vertical="top" wrapText="1"/>
    </xf>
    <xf numFmtId="0" fontId="8" fillId="0" borderId="1" xfId="1" applyNumberFormat="1" applyFont="1" applyBorder="1" applyAlignment="1">
      <alignment horizontal="right" vertical="top"/>
    </xf>
    <xf numFmtId="1" fontId="8" fillId="0" borderId="1" xfId="0" applyNumberFormat="1" applyFont="1" applyFill="1" applyBorder="1" applyAlignment="1">
      <alignment horizontal="right" vertical="top"/>
    </xf>
    <xf numFmtId="9" fontId="8" fillId="21" borderId="1" xfId="0" applyNumberFormat="1" applyFont="1" applyFill="1" applyBorder="1" applyAlignment="1">
      <alignment horizontal="right" vertical="top" wrapText="1"/>
    </xf>
    <xf numFmtId="0" fontId="7" fillId="21" borderId="1" xfId="3" applyNumberFormat="1" applyFont="1" applyFill="1" applyBorder="1" applyAlignment="1">
      <alignment horizontal="right" vertical="top"/>
    </xf>
    <xf numFmtId="0" fontId="15" fillId="0" borderId="1" xfId="0" applyNumberFormat="1" applyFont="1" applyBorder="1" applyAlignment="1">
      <alignment horizontal="right" vertical="top" wrapText="1"/>
    </xf>
    <xf numFmtId="0" fontId="8" fillId="0" borderId="1" xfId="0" applyNumberFormat="1" applyFont="1" applyBorder="1" applyAlignment="1">
      <alignment horizontal="right" vertical="top" wrapText="1"/>
    </xf>
    <xf numFmtId="164" fontId="8" fillId="0" borderId="1" xfId="2" applyNumberFormat="1" applyFont="1" applyBorder="1" applyAlignment="1">
      <alignment horizontal="right" vertical="top"/>
    </xf>
    <xf numFmtId="164" fontId="21" fillId="0" borderId="1" xfId="2" applyNumberFormat="1" applyFont="1" applyFill="1" applyBorder="1" applyAlignment="1">
      <alignment horizontal="right" vertical="top" wrapText="1"/>
    </xf>
    <xf numFmtId="164" fontId="21" fillId="0" borderId="1" xfId="2" applyNumberFormat="1" applyFont="1" applyFill="1" applyBorder="1" applyAlignment="1">
      <alignment horizontal="right" vertical="top"/>
    </xf>
    <xf numFmtId="164" fontId="21" fillId="9" borderId="1" xfId="2" applyNumberFormat="1" applyFont="1" applyFill="1" applyBorder="1" applyAlignment="1">
      <alignment horizontal="right" vertical="top" wrapText="1"/>
    </xf>
    <xf numFmtId="178" fontId="8" fillId="9" borderId="1" xfId="0" applyNumberFormat="1" applyFont="1" applyFill="1" applyBorder="1" applyAlignment="1">
      <alignment horizontal="right" vertical="top" wrapText="1"/>
    </xf>
    <xf numFmtId="9" fontId="8" fillId="9" borderId="1" xfId="3" applyNumberFormat="1" applyFont="1" applyFill="1" applyBorder="1" applyAlignment="1">
      <alignment horizontal="right" vertical="top" wrapText="1"/>
    </xf>
    <xf numFmtId="41" fontId="21" fillId="0" borderId="1" xfId="1" applyFont="1" applyFill="1" applyBorder="1" applyAlignment="1">
      <alignment horizontal="right" vertical="top"/>
    </xf>
    <xf numFmtId="178" fontId="8" fillId="0" borderId="1" xfId="0" applyNumberFormat="1" applyFont="1" applyBorder="1" applyAlignment="1">
      <alignment horizontal="right" vertical="top" wrapText="1"/>
    </xf>
    <xf numFmtId="178" fontId="8" fillId="0" borderId="1" xfId="2" applyNumberFormat="1" applyFont="1" applyBorder="1" applyAlignment="1">
      <alignment horizontal="right" vertical="top" wrapText="1"/>
    </xf>
    <xf numFmtId="9" fontId="8" fillId="0" borderId="1" xfId="2" applyNumberFormat="1" applyFont="1" applyBorder="1" applyAlignment="1">
      <alignment horizontal="right" vertical="top" wrapText="1"/>
    </xf>
    <xf numFmtId="178" fontId="7" fillId="21" borderId="1" xfId="3" applyNumberFormat="1" applyFont="1" applyFill="1" applyBorder="1" applyAlignment="1">
      <alignment horizontal="right" vertical="top" wrapText="1"/>
    </xf>
    <xf numFmtId="178" fontId="8" fillId="0" borderId="1" xfId="0" applyNumberFormat="1" applyFont="1" applyBorder="1" applyAlignment="1">
      <alignment horizontal="right" vertical="top"/>
    </xf>
    <xf numFmtId="0" fontId="7" fillId="21" borderId="1" xfId="0" applyNumberFormat="1" applyFont="1" applyFill="1" applyBorder="1" applyAlignment="1">
      <alignment horizontal="right" vertical="top" wrapText="1"/>
    </xf>
    <xf numFmtId="10" fontId="7" fillId="21" borderId="1" xfId="0" applyNumberFormat="1" applyFont="1" applyFill="1" applyBorder="1" applyAlignment="1">
      <alignment horizontal="right" vertical="top" wrapText="1"/>
    </xf>
    <xf numFmtId="41" fontId="21" fillId="0" borderId="1" xfId="0" applyNumberFormat="1" applyFont="1" applyBorder="1" applyAlignment="1">
      <alignment horizontal="right" vertical="top" wrapText="1"/>
    </xf>
    <xf numFmtId="43" fontId="8" fillId="9" borderId="1" xfId="0" applyNumberFormat="1" applyFont="1" applyFill="1" applyBorder="1" applyAlignment="1">
      <alignment horizontal="right" vertical="top" wrapText="1"/>
    </xf>
    <xf numFmtId="41" fontId="8" fillId="0" borderId="1" xfId="1" quotePrefix="1" applyFont="1" applyFill="1" applyBorder="1" applyAlignment="1">
      <alignment horizontal="right" vertical="top"/>
    </xf>
    <xf numFmtId="0" fontId="17" fillId="9" borderId="1" xfId="0" applyNumberFormat="1" applyFont="1" applyFill="1" applyBorder="1" applyAlignment="1">
      <alignment horizontal="right" vertical="top"/>
    </xf>
    <xf numFmtId="10" fontId="8" fillId="9" borderId="1" xfId="3" applyNumberFormat="1" applyFont="1" applyFill="1" applyBorder="1" applyAlignment="1">
      <alignment horizontal="right" vertical="top"/>
    </xf>
    <xf numFmtId="0" fontId="8" fillId="21" borderId="1" xfId="0" applyNumberFormat="1" applyFont="1" applyFill="1" applyBorder="1" applyAlignment="1">
      <alignment horizontal="right" vertical="top" wrapText="1"/>
    </xf>
    <xf numFmtId="9" fontId="8" fillId="21" borderId="1" xfId="3" applyFont="1" applyFill="1" applyBorder="1" applyAlignment="1">
      <alignment horizontal="right" vertical="top" wrapText="1"/>
    </xf>
    <xf numFmtId="41" fontId="21" fillId="0" borderId="1" xfId="1" applyFont="1" applyBorder="1" applyAlignment="1">
      <alignment horizontal="right" vertical="top"/>
    </xf>
    <xf numFmtId="2" fontId="17" fillId="0" borderId="1" xfId="0" applyNumberFormat="1" applyFont="1" applyBorder="1" applyAlignment="1">
      <alignment horizontal="right" vertical="top"/>
    </xf>
    <xf numFmtId="2" fontId="40" fillId="0" borderId="1" xfId="0" applyNumberFormat="1" applyFont="1" applyBorder="1" applyAlignment="1">
      <alignment horizontal="right" vertical="top"/>
    </xf>
    <xf numFmtId="2" fontId="40" fillId="9" borderId="1" xfId="0" applyNumberFormat="1" applyFont="1" applyFill="1" applyBorder="1" applyAlignment="1">
      <alignment horizontal="right" vertical="top"/>
    </xf>
    <xf numFmtId="43" fontId="44" fillId="0" borderId="1" xfId="0" applyNumberFormat="1" applyFont="1" applyBorder="1" applyAlignment="1">
      <alignment horizontal="right" vertical="top"/>
    </xf>
    <xf numFmtId="2" fontId="44" fillId="0" borderId="1" xfId="0" applyNumberFormat="1" applyFont="1" applyBorder="1" applyAlignment="1">
      <alignment horizontal="right" vertical="top" wrapText="1"/>
    </xf>
    <xf numFmtId="2" fontId="44" fillId="0" borderId="1" xfId="0" applyNumberFormat="1" applyFont="1" applyFill="1" applyBorder="1" applyAlignment="1">
      <alignment horizontal="right" vertical="top" wrapText="1"/>
    </xf>
    <xf numFmtId="2" fontId="44" fillId="9" borderId="1" xfId="0" applyNumberFormat="1" applyFont="1" applyFill="1" applyBorder="1" applyAlignment="1">
      <alignment horizontal="right" vertical="top" wrapText="1"/>
    </xf>
    <xf numFmtId="43" fontId="44" fillId="0" borderId="1" xfId="0" applyNumberFormat="1" applyFont="1" applyBorder="1" applyAlignment="1">
      <alignment horizontal="right" vertical="top" wrapText="1"/>
    </xf>
    <xf numFmtId="164" fontId="8" fillId="0" borderId="1" xfId="0" applyNumberFormat="1" applyFont="1" applyBorder="1" applyAlignment="1">
      <alignment horizontal="right" vertical="top"/>
    </xf>
    <xf numFmtId="164" fontId="8" fillId="0" borderId="1" xfId="0" applyNumberFormat="1" applyFont="1" applyFill="1" applyBorder="1" applyAlignment="1">
      <alignment horizontal="right" vertical="top"/>
    </xf>
    <xf numFmtId="178" fontId="8" fillId="21" borderId="1" xfId="3" applyNumberFormat="1" applyFont="1" applyFill="1" applyBorder="1" applyAlignment="1">
      <alignment horizontal="right" vertical="top" wrapText="1"/>
    </xf>
    <xf numFmtId="166" fontId="40" fillId="9" borderId="1" xfId="1" applyNumberFormat="1" applyFont="1" applyFill="1" applyBorder="1" applyAlignment="1">
      <alignment horizontal="right" vertical="top"/>
    </xf>
    <xf numFmtId="2" fontId="44" fillId="0" borderId="1" xfId="1" applyNumberFormat="1" applyFont="1" applyBorder="1" applyAlignment="1">
      <alignment horizontal="right" vertical="top" wrapText="1"/>
    </xf>
    <xf numFmtId="2" fontId="8" fillId="0" borderId="1" xfId="1" applyNumberFormat="1" applyFont="1" applyFill="1" applyBorder="1" applyAlignment="1">
      <alignment horizontal="right" vertical="top" wrapText="1"/>
    </xf>
    <xf numFmtId="10" fontId="7" fillId="21" borderId="1" xfId="0" applyNumberFormat="1" applyFont="1" applyFill="1" applyBorder="1" applyAlignment="1">
      <alignment horizontal="center" vertical="top" wrapText="1"/>
    </xf>
    <xf numFmtId="0" fontId="21" fillId="0" borderId="1" xfId="5" applyFont="1" applyFill="1" applyBorder="1" applyAlignment="1">
      <alignment horizontal="left" vertical="top" wrapText="1"/>
    </xf>
    <xf numFmtId="10" fontId="8" fillId="0" borderId="1" xfId="0" applyNumberFormat="1" applyFont="1" applyFill="1" applyBorder="1" applyAlignment="1">
      <alignment horizontal="center" vertical="top" wrapText="1"/>
    </xf>
    <xf numFmtId="0" fontId="21" fillId="0" borderId="1" xfId="0" applyNumberFormat="1" applyFont="1" applyFill="1" applyBorder="1" applyAlignment="1">
      <alignment vertical="top"/>
    </xf>
    <xf numFmtId="0" fontId="17" fillId="21" borderId="1" xfId="5" applyFont="1" applyFill="1" applyBorder="1" applyAlignment="1">
      <alignment horizontal="left" vertical="top" wrapText="1"/>
    </xf>
    <xf numFmtId="0" fontId="7" fillId="21" borderId="1" xfId="5" applyFont="1" applyFill="1" applyBorder="1" applyAlignment="1">
      <alignment horizontal="left" vertical="top" wrapText="1"/>
    </xf>
    <xf numFmtId="41" fontId="7" fillId="21" borderId="1" xfId="1" applyFont="1" applyFill="1" applyBorder="1" applyAlignment="1">
      <alignment horizontal="right" vertical="top" wrapText="1"/>
    </xf>
    <xf numFmtId="0" fontId="17" fillId="21" borderId="1" xfId="0" applyNumberFormat="1" applyFont="1" applyFill="1" applyBorder="1" applyAlignment="1">
      <alignment vertical="top" wrapText="1"/>
    </xf>
    <xf numFmtId="0" fontId="17" fillId="21" borderId="1" xfId="0" applyNumberFormat="1" applyFont="1" applyFill="1" applyBorder="1" applyAlignment="1">
      <alignment horizontal="left" vertical="top" wrapText="1"/>
    </xf>
    <xf numFmtId="164" fontId="17" fillId="21" borderId="1" xfId="2" applyNumberFormat="1" applyFont="1" applyFill="1" applyBorder="1" applyAlignment="1">
      <alignment horizontal="right" vertical="top" wrapText="1"/>
    </xf>
    <xf numFmtId="0" fontId="8" fillId="0" borderId="1" xfId="0" quotePrefix="1" applyFont="1" applyBorder="1" applyAlignment="1">
      <alignment horizontal="center" vertical="top" wrapText="1"/>
    </xf>
    <xf numFmtId="0" fontId="8" fillId="21" borderId="1" xfId="0" quotePrefix="1" applyFont="1" applyFill="1" applyBorder="1" applyAlignment="1">
      <alignment horizontal="center" vertical="top" wrapText="1"/>
    </xf>
    <xf numFmtId="0" fontId="8" fillId="9" borderId="1" xfId="0" quotePrefix="1" applyFont="1" applyFill="1" applyBorder="1" applyAlignment="1">
      <alignment horizontal="center" vertical="top" wrapText="1"/>
    </xf>
    <xf numFmtId="0" fontId="8" fillId="0" borderId="1" xfId="1" quotePrefix="1" applyNumberFormat="1" applyFont="1" applyBorder="1" applyAlignment="1">
      <alignment horizontal="center" vertical="top" wrapText="1"/>
    </xf>
    <xf numFmtId="0" fontId="8" fillId="0" borderId="0" xfId="0" applyFont="1" applyAlignment="1">
      <alignment horizontal="left" vertical="top"/>
    </xf>
    <xf numFmtId="0" fontId="7" fillId="0" borderId="0" xfId="0" applyFont="1" applyAlignment="1">
      <alignment horizontal="left" vertical="top"/>
    </xf>
    <xf numFmtId="0" fontId="8" fillId="0" borderId="1" xfId="2" applyNumberFormat="1" applyFont="1" applyBorder="1" applyAlignment="1">
      <alignment horizontal="right" vertical="top"/>
    </xf>
    <xf numFmtId="43" fontId="8" fillId="0" borderId="1" xfId="2" applyFont="1" applyBorder="1" applyAlignment="1">
      <alignment horizontal="right" vertical="top"/>
    </xf>
    <xf numFmtId="0" fontId="8" fillId="0" borderId="1" xfId="2" quotePrefix="1" applyNumberFormat="1" applyFont="1" applyBorder="1" applyAlignment="1">
      <alignment horizontal="right" vertical="top"/>
    </xf>
    <xf numFmtId="43" fontId="8" fillId="0" borderId="1" xfId="2" quotePrefix="1" applyFont="1" applyBorder="1" applyAlignment="1">
      <alignment horizontal="right" vertical="top"/>
    </xf>
    <xf numFmtId="164" fontId="8" fillId="0" borderId="1" xfId="2" applyNumberFormat="1" applyFont="1" applyBorder="1" applyAlignment="1">
      <alignment horizontal="left" vertical="top"/>
    </xf>
    <xf numFmtId="164" fontId="8" fillId="0" borderId="1" xfId="2" quotePrefix="1" applyNumberFormat="1" applyFont="1" applyBorder="1" applyAlignment="1">
      <alignment horizontal="right" vertical="top"/>
    </xf>
    <xf numFmtId="0" fontId="8" fillId="9" borderId="0" xfId="0" applyFont="1" applyFill="1" applyAlignment="1">
      <alignment horizontal="left" vertical="top"/>
    </xf>
    <xf numFmtId="0" fontId="8" fillId="9" borderId="1" xfId="0" applyFont="1" applyFill="1" applyBorder="1" applyAlignment="1">
      <alignment horizontal="left" vertical="top"/>
    </xf>
    <xf numFmtId="0" fontId="21" fillId="9" borderId="1" xfId="0" quotePrefix="1" applyNumberFormat="1" applyFont="1" applyFill="1" applyBorder="1" applyAlignment="1">
      <alignment horizontal="left" vertical="top" wrapText="1"/>
    </xf>
    <xf numFmtId="0" fontId="21" fillId="9" borderId="1" xfId="0" applyNumberFormat="1" applyFont="1" applyFill="1" applyBorder="1" applyAlignment="1">
      <alignment horizontal="left" vertical="top" wrapText="1"/>
    </xf>
    <xf numFmtId="0" fontId="8" fillId="9" borderId="1" xfId="2" applyNumberFormat="1" applyFont="1" applyFill="1" applyBorder="1" applyAlignment="1">
      <alignment horizontal="right" vertical="top"/>
    </xf>
    <xf numFmtId="164" fontId="8" fillId="9" borderId="1" xfId="2" applyNumberFormat="1" applyFont="1" applyFill="1" applyBorder="1" applyAlignment="1">
      <alignment horizontal="right" vertical="top"/>
    </xf>
    <xf numFmtId="43" fontId="8" fillId="9" borderId="1" xfId="2" applyFont="1" applyFill="1" applyBorder="1" applyAlignment="1">
      <alignment horizontal="right" vertical="top"/>
    </xf>
    <xf numFmtId="0" fontId="7" fillId="21" borderId="1" xfId="0" applyFont="1" applyFill="1" applyBorder="1" applyAlignment="1">
      <alignment horizontal="left" vertical="top"/>
    </xf>
    <xf numFmtId="0" fontId="7" fillId="21" borderId="1" xfId="2" applyNumberFormat="1" applyFont="1" applyFill="1" applyBorder="1" applyAlignment="1">
      <alignment horizontal="right" vertical="top"/>
    </xf>
    <xf numFmtId="164" fontId="7" fillId="21" borderId="1" xfId="2" applyNumberFormat="1" applyFont="1" applyFill="1" applyBorder="1" applyAlignment="1">
      <alignment horizontal="right" vertical="top"/>
    </xf>
    <xf numFmtId="43" fontId="7" fillId="21" borderId="1" xfId="2" applyFont="1" applyFill="1" applyBorder="1" applyAlignment="1">
      <alignment horizontal="right" vertical="top"/>
    </xf>
    <xf numFmtId="164" fontId="7" fillId="21" borderId="1" xfId="2" applyNumberFormat="1" applyFont="1" applyFill="1" applyBorder="1" applyAlignment="1">
      <alignment horizontal="left" vertical="top"/>
    </xf>
    <xf numFmtId="0" fontId="8" fillId="0" borderId="1" xfId="0" applyFont="1" applyBorder="1" applyAlignment="1">
      <alignment horizontal="left" vertical="top"/>
    </xf>
    <xf numFmtId="0" fontId="8" fillId="0" borderId="0" xfId="0" applyFont="1" applyFill="1" applyAlignment="1">
      <alignment horizontal="left" vertical="top"/>
    </xf>
    <xf numFmtId="0" fontId="7" fillId="22" borderId="1" xfId="0" applyFont="1" applyFill="1" applyBorder="1" applyAlignment="1">
      <alignment horizontal="left" vertical="top" wrapText="1"/>
    </xf>
    <xf numFmtId="0" fontId="8" fillId="7" borderId="1" xfId="0" applyFont="1" applyFill="1" applyBorder="1" applyAlignment="1">
      <alignment horizontal="right" vertical="top"/>
    </xf>
    <xf numFmtId="0" fontId="8" fillId="7" borderId="1" xfId="0" applyFont="1" applyFill="1" applyBorder="1" applyAlignment="1">
      <alignment horizontal="center" vertical="top"/>
    </xf>
    <xf numFmtId="0" fontId="7" fillId="7" borderId="1" xfId="0" applyFont="1" applyFill="1" applyBorder="1" applyAlignment="1">
      <alignment horizontal="left" vertical="top" wrapText="1"/>
    </xf>
    <xf numFmtId="0" fontId="8" fillId="7" borderId="1" xfId="0" applyFont="1" applyFill="1" applyBorder="1" applyAlignment="1">
      <alignment horizontal="left" vertical="top"/>
    </xf>
    <xf numFmtId="3" fontId="7" fillId="21" borderId="1" xfId="0" applyNumberFormat="1" applyFont="1" applyFill="1" applyBorder="1" applyAlignment="1">
      <alignment horizontal="right" vertical="top" wrapText="1"/>
    </xf>
    <xf numFmtId="43" fontId="7" fillId="21" borderId="1" xfId="2" applyNumberFormat="1" applyFont="1" applyFill="1" applyBorder="1" applyAlignment="1">
      <alignment horizontal="right" vertical="top" wrapText="1"/>
    </xf>
    <xf numFmtId="171" fontId="8" fillId="9" borderId="1" xfId="0" applyNumberFormat="1" applyFont="1" applyFill="1" applyBorder="1" applyAlignment="1">
      <alignment horizontal="right" vertical="top" wrapText="1"/>
    </xf>
    <xf numFmtId="2" fontId="8" fillId="9" borderId="1" xfId="0" applyNumberFormat="1" applyFont="1" applyFill="1" applyBorder="1" applyAlignment="1">
      <alignment horizontal="right" vertical="top" wrapText="1"/>
    </xf>
    <xf numFmtId="10" fontId="8" fillId="9" borderId="1" xfId="0" applyNumberFormat="1" applyFont="1" applyFill="1" applyBorder="1" applyAlignment="1">
      <alignment horizontal="right" vertical="top" wrapText="1"/>
    </xf>
    <xf numFmtId="43" fontId="8" fillId="9" borderId="1" xfId="2" applyFont="1" applyFill="1" applyBorder="1" applyAlignment="1">
      <alignment horizontal="right" vertical="top" wrapText="1"/>
    </xf>
    <xf numFmtId="164" fontId="15" fillId="9" borderId="1" xfId="2" applyNumberFormat="1" applyFont="1" applyFill="1" applyBorder="1" applyAlignment="1">
      <alignment horizontal="right" vertical="top" wrapText="1"/>
    </xf>
    <xf numFmtId="3" fontId="8" fillId="9" borderId="1" xfId="0" quotePrefix="1" applyNumberFormat="1" applyFont="1" applyFill="1" applyBorder="1" applyAlignment="1">
      <alignment horizontal="right" vertical="top" wrapText="1"/>
    </xf>
    <xf numFmtId="171" fontId="8" fillId="9" borderId="1" xfId="0" quotePrefix="1" applyNumberFormat="1" applyFont="1" applyFill="1" applyBorder="1" applyAlignment="1">
      <alignment horizontal="right" vertical="top" wrapText="1"/>
    </xf>
    <xf numFmtId="164" fontId="8" fillId="9" borderId="1" xfId="2" quotePrefix="1" applyNumberFormat="1" applyFont="1" applyFill="1" applyBorder="1" applyAlignment="1">
      <alignment horizontal="right" vertical="top" wrapText="1"/>
    </xf>
    <xf numFmtId="1" fontId="8" fillId="9" borderId="1" xfId="0" applyNumberFormat="1" applyFont="1" applyFill="1" applyBorder="1" applyAlignment="1">
      <alignment horizontal="right" vertical="top" wrapText="1"/>
    </xf>
    <xf numFmtId="43" fontId="7" fillId="9" borderId="1" xfId="2" applyFont="1" applyFill="1" applyBorder="1" applyAlignment="1">
      <alignment horizontal="right" vertical="top" wrapText="1"/>
    </xf>
    <xf numFmtId="43" fontId="8" fillId="21" borderId="1" xfId="2" applyFont="1" applyFill="1" applyBorder="1" applyAlignment="1">
      <alignment horizontal="right" vertical="top" wrapText="1"/>
    </xf>
    <xf numFmtId="43" fontId="7" fillId="21" borderId="1" xfId="2" applyFont="1" applyFill="1" applyBorder="1" applyAlignment="1">
      <alignment horizontal="right" vertical="top" wrapText="1"/>
    </xf>
    <xf numFmtId="164" fontId="8" fillId="0" borderId="0" xfId="2" applyNumberFormat="1" applyFont="1" applyAlignment="1">
      <alignment vertical="top"/>
    </xf>
    <xf numFmtId="164" fontId="7" fillId="5" borderId="1" xfId="2" applyNumberFormat="1" applyFont="1" applyFill="1" applyBorder="1" applyAlignment="1">
      <alignment horizontal="center" vertical="top"/>
    </xf>
    <xf numFmtId="164" fontId="21" fillId="9" borderId="1" xfId="2" applyNumberFormat="1" applyFont="1" applyFill="1" applyBorder="1" applyAlignment="1">
      <alignment horizontal="right" vertical="top"/>
    </xf>
    <xf numFmtId="164" fontId="8" fillId="21" borderId="1" xfId="2" applyNumberFormat="1" applyFont="1" applyFill="1" applyBorder="1" applyAlignment="1">
      <alignment vertical="top"/>
    </xf>
    <xf numFmtId="164" fontId="8" fillId="21" borderId="1" xfId="2" applyNumberFormat="1" applyFont="1" applyFill="1" applyBorder="1" applyAlignment="1">
      <alignment horizontal="right" vertical="top" wrapText="1"/>
    </xf>
    <xf numFmtId="164" fontId="7" fillId="9" borderId="1" xfId="2" applyNumberFormat="1" applyFont="1" applyFill="1" applyBorder="1" applyAlignment="1">
      <alignment vertical="top" wrapText="1"/>
    </xf>
    <xf numFmtId="164" fontId="8" fillId="7" borderId="1" xfId="2" applyNumberFormat="1" applyFont="1" applyFill="1" applyBorder="1" applyAlignment="1">
      <alignment horizontal="right" vertical="top"/>
    </xf>
    <xf numFmtId="164" fontId="8" fillId="0" borderId="1" xfId="2" applyNumberFormat="1" applyFont="1" applyBorder="1" applyAlignment="1">
      <alignment horizontal="left" vertical="top" wrapText="1"/>
    </xf>
    <xf numFmtId="164" fontId="8" fillId="21" borderId="1" xfId="2" applyNumberFormat="1" applyFont="1" applyFill="1" applyBorder="1" applyAlignment="1">
      <alignment horizontal="center" vertical="top" wrapText="1"/>
    </xf>
    <xf numFmtId="164" fontId="7" fillId="9" borderId="1" xfId="2" applyNumberFormat="1" applyFont="1" applyFill="1" applyBorder="1" applyAlignment="1">
      <alignment vertical="top"/>
    </xf>
    <xf numFmtId="0" fontId="17" fillId="21" borderId="1" xfId="0" applyFont="1" applyFill="1" applyBorder="1" applyAlignment="1">
      <alignment vertical="top" wrapText="1"/>
    </xf>
    <xf numFmtId="0" fontId="17" fillId="21" borderId="1" xfId="0" applyFont="1" applyFill="1" applyBorder="1" applyAlignment="1">
      <alignment horizontal="right" vertical="top" wrapText="1"/>
    </xf>
    <xf numFmtId="164" fontId="17" fillId="21" borderId="1" xfId="0" applyNumberFormat="1" applyFont="1" applyFill="1" applyBorder="1" applyAlignment="1">
      <alignment horizontal="right" vertical="top" wrapText="1"/>
    </xf>
    <xf numFmtId="4" fontId="7" fillId="21" borderId="1" xfId="1" applyNumberFormat="1" applyFont="1" applyFill="1" applyBorder="1" applyAlignment="1">
      <alignment horizontal="right" vertical="top"/>
    </xf>
    <xf numFmtId="2" fontId="7" fillId="21" borderId="1" xfId="0" applyNumberFormat="1" applyFont="1" applyFill="1" applyBorder="1" applyAlignment="1">
      <alignment horizontal="right" vertical="top" wrapText="1"/>
    </xf>
    <xf numFmtId="0" fontId="15" fillId="9" borderId="1" xfId="0" applyNumberFormat="1" applyFont="1" applyFill="1" applyBorder="1" applyAlignment="1">
      <alignment horizontal="right" vertical="top" wrapText="1"/>
    </xf>
    <xf numFmtId="171" fontId="7" fillId="21" borderId="1" xfId="0" applyNumberFormat="1" applyFont="1" applyFill="1" applyBorder="1" applyAlignment="1">
      <alignment horizontal="right" vertical="top" wrapText="1"/>
    </xf>
    <xf numFmtId="1" fontId="7" fillId="21" borderId="1" xfId="0" applyNumberFormat="1" applyFont="1" applyFill="1" applyBorder="1" applyAlignment="1">
      <alignment horizontal="right" vertical="top" wrapText="1"/>
    </xf>
    <xf numFmtId="0" fontId="17" fillId="21" borderId="1" xfId="0" applyNumberFormat="1" applyFont="1" applyFill="1" applyBorder="1" applyAlignment="1">
      <alignment horizontal="right" vertical="top" wrapText="1"/>
    </xf>
    <xf numFmtId="164" fontId="23" fillId="21" borderId="1" xfId="2" applyNumberFormat="1" applyFont="1" applyFill="1" applyBorder="1" applyAlignment="1">
      <alignment horizontal="right" vertical="top" wrapText="1"/>
    </xf>
    <xf numFmtId="164" fontId="15" fillId="21" borderId="1" xfId="0" applyNumberFormat="1" applyFont="1" applyFill="1" applyBorder="1" applyAlignment="1">
      <alignment horizontal="right" vertical="top" wrapText="1"/>
    </xf>
    <xf numFmtId="0" fontId="15" fillId="21" borderId="1" xfId="0" applyFont="1" applyFill="1" applyBorder="1" applyAlignment="1">
      <alignment horizontal="right" vertical="top" wrapText="1"/>
    </xf>
    <xf numFmtId="0" fontId="23" fillId="21" borderId="1" xfId="0" applyFont="1" applyFill="1" applyBorder="1" applyAlignment="1">
      <alignment horizontal="right" vertical="top" wrapText="1"/>
    </xf>
    <xf numFmtId="164" fontId="23" fillId="21" borderId="1" xfId="0" applyNumberFormat="1" applyFont="1" applyFill="1" applyBorder="1" applyAlignment="1">
      <alignment horizontal="right" vertical="top" wrapText="1"/>
    </xf>
    <xf numFmtId="0" fontId="7" fillId="8" borderId="1" xfId="0" applyFont="1" applyFill="1" applyBorder="1" applyAlignment="1">
      <alignment vertical="top" wrapText="1"/>
    </xf>
    <xf numFmtId="0" fontId="8" fillId="9" borderId="1" xfId="0" applyFont="1" applyFill="1" applyBorder="1" applyAlignment="1">
      <alignment vertical="top" wrapText="1"/>
    </xf>
    <xf numFmtId="0" fontId="15" fillId="21" borderId="1" xfId="0" applyFont="1" applyFill="1" applyBorder="1" applyAlignment="1">
      <alignment horizontal="center" vertical="top" wrapText="1"/>
    </xf>
    <xf numFmtId="164" fontId="15" fillId="0" borderId="1" xfId="0" applyNumberFormat="1" applyFont="1" applyBorder="1" applyAlignment="1">
      <alignment horizontal="right" vertical="top"/>
    </xf>
    <xf numFmtId="41" fontId="15" fillId="0" borderId="1" xfId="0" applyNumberFormat="1" applyFont="1" applyBorder="1" applyAlignment="1">
      <alignment horizontal="right" vertical="top"/>
    </xf>
    <xf numFmtId="41" fontId="15" fillId="0" borderId="1" xfId="0" applyNumberFormat="1" applyFont="1" applyBorder="1" applyAlignment="1">
      <alignment horizontal="right" vertical="top" wrapText="1"/>
    </xf>
    <xf numFmtId="41" fontId="23" fillId="21" borderId="1" xfId="0" applyNumberFormat="1" applyFont="1" applyFill="1" applyBorder="1" applyAlignment="1">
      <alignment horizontal="right" vertical="top" wrapText="1"/>
    </xf>
    <xf numFmtId="41" fontId="8" fillId="21" borderId="1" xfId="1" applyFont="1" applyFill="1" applyBorder="1" applyAlignment="1">
      <alignment horizontal="right" vertical="top"/>
    </xf>
    <xf numFmtId="41" fontId="7" fillId="21" borderId="1" xfId="0" applyNumberFormat="1" applyFont="1" applyFill="1" applyBorder="1" applyAlignment="1">
      <alignment horizontal="right" vertical="top" wrapText="1"/>
    </xf>
    <xf numFmtId="164" fontId="8" fillId="0" borderId="1" xfId="0" applyNumberFormat="1" applyFont="1" applyFill="1" applyBorder="1" applyAlignment="1">
      <alignment horizontal="right" vertical="top" wrapText="1"/>
    </xf>
    <xf numFmtId="43" fontId="8" fillId="0" borderId="1" xfId="2" applyFont="1" applyFill="1" applyBorder="1" applyAlignment="1">
      <alignment horizontal="right" vertical="top" wrapText="1"/>
    </xf>
    <xf numFmtId="166" fontId="21" fillId="0" borderId="1" xfId="1" applyNumberFormat="1" applyFont="1" applyFill="1" applyBorder="1" applyAlignment="1">
      <alignment horizontal="right" vertical="top"/>
    </xf>
    <xf numFmtId="166" fontId="21" fillId="0" borderId="1" xfId="1" applyNumberFormat="1" applyFont="1" applyBorder="1" applyAlignment="1">
      <alignment horizontal="right" vertical="top" wrapText="1"/>
    </xf>
    <xf numFmtId="41" fontId="21" fillId="9" borderId="1" xfId="1" applyFont="1" applyFill="1" applyBorder="1" applyAlignment="1">
      <alignment horizontal="right" vertical="top" wrapText="1"/>
    </xf>
    <xf numFmtId="41" fontId="8" fillId="0" borderId="1" xfId="1" applyFont="1" applyBorder="1" applyAlignment="1">
      <alignment horizontal="right" vertical="top"/>
    </xf>
    <xf numFmtId="41" fontId="8" fillId="0" borderId="1" xfId="0" applyNumberFormat="1" applyFont="1" applyBorder="1" applyAlignment="1">
      <alignment horizontal="right" vertical="top"/>
    </xf>
    <xf numFmtId="3" fontId="8" fillId="0" borderId="1" xfId="0" applyNumberFormat="1" applyFont="1" applyBorder="1" applyAlignment="1">
      <alignment horizontal="right" vertical="top"/>
    </xf>
    <xf numFmtId="41" fontId="15" fillId="0" borderId="1" xfId="1" applyFont="1" applyBorder="1" applyAlignment="1">
      <alignment horizontal="right" vertical="top"/>
    </xf>
    <xf numFmtId="41" fontId="15" fillId="0" borderId="1" xfId="1" applyFont="1" applyBorder="1" applyAlignment="1">
      <alignment horizontal="right" vertical="top" wrapText="1"/>
    </xf>
    <xf numFmtId="3" fontId="8" fillId="0" borderId="1" xfId="0" applyNumberFormat="1" applyFont="1" applyBorder="1" applyAlignment="1">
      <alignment horizontal="right" vertical="top" wrapText="1"/>
    </xf>
    <xf numFmtId="164" fontId="8" fillId="0" borderId="1" xfId="2" quotePrefix="1" applyNumberFormat="1" applyFont="1" applyFill="1" applyBorder="1" applyAlignment="1">
      <alignment horizontal="right" vertical="top"/>
    </xf>
    <xf numFmtId="179" fontId="8" fillId="0" borderId="1" xfId="1" applyNumberFormat="1" applyFont="1" applyFill="1" applyBorder="1" applyAlignment="1">
      <alignment horizontal="right" vertical="top"/>
    </xf>
    <xf numFmtId="3" fontId="21" fillId="0" borderId="1" xfId="0" applyNumberFormat="1" applyFont="1" applyFill="1" applyBorder="1" applyAlignment="1">
      <alignment horizontal="right" vertical="top"/>
    </xf>
    <xf numFmtId="167" fontId="8" fillId="0" borderId="1" xfId="1" applyNumberFormat="1" applyFont="1" applyFill="1" applyBorder="1" applyAlignment="1">
      <alignment horizontal="right" vertical="top"/>
    </xf>
    <xf numFmtId="167" fontId="21" fillId="0" borderId="1" xfId="1" applyNumberFormat="1" applyFont="1" applyFill="1" applyBorder="1" applyAlignment="1">
      <alignment horizontal="right" vertical="top"/>
    </xf>
    <xf numFmtId="10" fontId="7" fillId="21" borderId="1" xfId="3" applyNumberFormat="1" applyFont="1" applyFill="1" applyBorder="1" applyAlignment="1">
      <alignment horizontal="right" vertical="top" wrapText="1"/>
    </xf>
    <xf numFmtId="0" fontId="15" fillId="9" borderId="1" xfId="0" applyFont="1" applyFill="1" applyBorder="1" applyAlignment="1">
      <alignment horizontal="justify" vertical="top" wrapText="1"/>
    </xf>
    <xf numFmtId="171" fontId="7" fillId="21" borderId="1" xfId="0" applyNumberFormat="1" applyFont="1" applyFill="1" applyBorder="1" applyAlignment="1">
      <alignment horizontal="right" vertical="top"/>
    </xf>
    <xf numFmtId="0" fontId="7" fillId="21" borderId="1" xfId="0" applyFont="1" applyFill="1" applyBorder="1" applyAlignment="1">
      <alignment horizontal="right" vertical="top"/>
    </xf>
    <xf numFmtId="2" fontId="7" fillId="21" borderId="1" xfId="0" applyNumberFormat="1" applyFont="1" applyFill="1" applyBorder="1" applyAlignment="1">
      <alignment horizontal="right" vertical="top"/>
    </xf>
    <xf numFmtId="41" fontId="17" fillId="21" borderId="1" xfId="1" applyFont="1" applyFill="1" applyBorder="1" applyAlignment="1">
      <alignment horizontal="right" vertical="top"/>
    </xf>
    <xf numFmtId="0" fontId="7" fillId="8" borderId="1" xfId="0" applyFont="1" applyFill="1" applyBorder="1" applyAlignment="1">
      <alignment horizontal="center" vertical="top"/>
    </xf>
    <xf numFmtId="0" fontId="7" fillId="22" borderId="1" xfId="0" applyFont="1" applyFill="1" applyBorder="1" applyAlignment="1">
      <alignment horizontal="center" vertical="top"/>
    </xf>
    <xf numFmtId="0" fontId="8" fillId="0" borderId="0" xfId="0" applyFont="1" applyBorder="1" applyAlignment="1">
      <alignment vertical="top"/>
    </xf>
    <xf numFmtId="0" fontId="7" fillId="21" borderId="1" xfId="0" quotePrefix="1" applyFont="1" applyFill="1" applyBorder="1" applyAlignment="1">
      <alignment vertical="top" wrapText="1"/>
    </xf>
    <xf numFmtId="9" fontId="7" fillId="21" borderId="1" xfId="0" applyNumberFormat="1" applyFont="1" applyFill="1" applyBorder="1" applyAlignment="1">
      <alignment vertical="top" wrapText="1"/>
    </xf>
    <xf numFmtId="43" fontId="7" fillId="21" borderId="1" xfId="0" applyNumberFormat="1" applyFont="1" applyFill="1" applyBorder="1" applyAlignment="1">
      <alignment vertical="top" wrapText="1"/>
    </xf>
    <xf numFmtId="43" fontId="7" fillId="21" borderId="1" xfId="2" applyNumberFormat="1" applyFont="1" applyFill="1" applyBorder="1" applyAlignment="1">
      <alignment vertical="top" wrapText="1"/>
    </xf>
    <xf numFmtId="9" fontId="8" fillId="0" borderId="1" xfId="0" applyNumberFormat="1" applyFont="1" applyBorder="1" applyAlignment="1">
      <alignment vertical="top" wrapText="1"/>
    </xf>
    <xf numFmtId="41" fontId="8" fillId="0" borderId="1" xfId="1" applyNumberFormat="1" applyFont="1" applyBorder="1" applyAlignment="1">
      <alignment vertical="top" wrapText="1"/>
    </xf>
    <xf numFmtId="43" fontId="8" fillId="0" borderId="1" xfId="2" applyNumberFormat="1" applyFont="1" applyBorder="1" applyAlignment="1">
      <alignment vertical="top" wrapText="1"/>
    </xf>
    <xf numFmtId="43" fontId="8" fillId="0" borderId="1" xfId="2" applyFont="1" applyBorder="1" applyAlignment="1">
      <alignment vertical="top" wrapText="1"/>
    </xf>
    <xf numFmtId="0" fontId="7" fillId="21" borderId="1" xfId="0" applyNumberFormat="1" applyFont="1" applyFill="1" applyBorder="1" applyAlignment="1">
      <alignment vertical="top" wrapText="1"/>
    </xf>
    <xf numFmtId="0" fontId="8" fillId="0" borderId="1" xfId="1" applyNumberFormat="1" applyFont="1" applyBorder="1" applyAlignment="1">
      <alignment vertical="top" wrapText="1"/>
    </xf>
    <xf numFmtId="0" fontId="7" fillId="21" borderId="1" xfId="1" applyNumberFormat="1" applyFont="1" applyFill="1" applyBorder="1" applyAlignment="1">
      <alignment vertical="top" wrapText="1"/>
    </xf>
    <xf numFmtId="9" fontId="7" fillId="21" borderId="1" xfId="3" applyFont="1" applyFill="1" applyBorder="1" applyAlignment="1">
      <alignment vertical="top" wrapText="1"/>
    </xf>
    <xf numFmtId="9" fontId="8" fillId="0" borderId="1" xfId="3" applyFont="1" applyBorder="1" applyAlignment="1">
      <alignment vertical="top" wrapText="1"/>
    </xf>
    <xf numFmtId="43" fontId="7" fillId="21" borderId="1" xfId="2" applyNumberFormat="1" applyFont="1" applyFill="1" applyBorder="1" applyAlignment="1">
      <alignment horizontal="right" vertical="top"/>
    </xf>
    <xf numFmtId="166" fontId="7" fillId="21" borderId="1" xfId="1" applyNumberFormat="1" applyFont="1" applyFill="1" applyBorder="1" applyAlignment="1">
      <alignment vertical="top" wrapText="1"/>
    </xf>
    <xf numFmtId="3" fontId="8" fillId="0" borderId="1" xfId="0" quotePrefix="1" applyNumberFormat="1" applyFont="1" applyFill="1" applyBorder="1" applyAlignment="1">
      <alignment horizontal="right" vertical="top"/>
    </xf>
    <xf numFmtId="41" fontId="8" fillId="0" borderId="1" xfId="1" applyNumberFormat="1" applyFont="1" applyFill="1" applyBorder="1" applyAlignment="1">
      <alignment vertical="top"/>
    </xf>
    <xf numFmtId="165" fontId="8" fillId="0" borderId="1" xfId="1" applyNumberFormat="1" applyFont="1" applyFill="1" applyBorder="1" applyAlignment="1">
      <alignment vertical="top"/>
    </xf>
    <xf numFmtId="0" fontId="7" fillId="21" borderId="1" xfId="0" quotePrefix="1" applyFont="1" applyFill="1" applyBorder="1" applyAlignment="1">
      <alignment horizontal="center" vertical="top"/>
    </xf>
    <xf numFmtId="41" fontId="7" fillId="21" borderId="1" xfId="1" applyFont="1" applyFill="1" applyBorder="1" applyAlignment="1">
      <alignment horizontal="right" vertical="top"/>
    </xf>
    <xf numFmtId="41" fontId="7" fillId="21" borderId="1" xfId="0" applyNumberFormat="1" applyFont="1" applyFill="1" applyBorder="1" applyAlignment="1">
      <alignment vertical="top"/>
    </xf>
    <xf numFmtId="0" fontId="7" fillId="21" borderId="1" xfId="0" applyFont="1" applyFill="1" applyBorder="1" applyAlignment="1">
      <alignment vertical="top"/>
    </xf>
    <xf numFmtId="164" fontId="7" fillId="21" borderId="1" xfId="2" applyNumberFormat="1" applyFont="1" applyFill="1" applyBorder="1" applyAlignment="1">
      <alignment vertical="top"/>
    </xf>
    <xf numFmtId="2" fontId="7" fillId="21" borderId="1" xfId="1" applyNumberFormat="1" applyFont="1" applyFill="1" applyBorder="1" applyAlignment="1">
      <alignment horizontal="right" vertical="top" wrapText="1"/>
    </xf>
    <xf numFmtId="2" fontId="8" fillId="9" borderId="1" xfId="1" applyNumberFormat="1" applyFont="1" applyFill="1" applyBorder="1" applyAlignment="1">
      <alignment horizontal="right" vertical="top" wrapText="1"/>
    </xf>
    <xf numFmtId="166" fontId="8" fillId="9" borderId="1" xfId="1" applyNumberFormat="1" applyFont="1" applyFill="1" applyBorder="1" applyAlignment="1">
      <alignment horizontal="right" vertical="top" wrapText="1"/>
    </xf>
    <xf numFmtId="0" fontId="17" fillId="21" borderId="1" xfId="0" applyFont="1" applyFill="1" applyBorder="1" applyAlignment="1">
      <alignment horizontal="center" vertical="top"/>
    </xf>
    <xf numFmtId="0" fontId="21" fillId="21" borderId="1" xfId="0" quotePrefix="1" applyFont="1" applyFill="1" applyBorder="1" applyAlignment="1">
      <alignment horizontal="center" vertical="top"/>
    </xf>
    <xf numFmtId="0" fontId="17" fillId="21" borderId="1" xfId="0" applyFont="1" applyFill="1" applyBorder="1" applyAlignment="1">
      <alignment horizontal="right" vertical="top"/>
    </xf>
    <xf numFmtId="0" fontId="17" fillId="21" borderId="1" xfId="0" applyFont="1" applyFill="1" applyBorder="1" applyAlignment="1">
      <alignment vertical="top"/>
    </xf>
    <xf numFmtId="0" fontId="17" fillId="21" borderId="1" xfId="0" quotePrefix="1" applyFont="1" applyFill="1" applyBorder="1" applyAlignment="1">
      <alignment horizontal="center" vertical="top"/>
    </xf>
    <xf numFmtId="166" fontId="17" fillId="21" borderId="1" xfId="1" applyNumberFormat="1" applyFont="1" applyFill="1" applyBorder="1" applyAlignment="1">
      <alignment horizontal="right" vertical="top"/>
    </xf>
    <xf numFmtId="164" fontId="17" fillId="21" borderId="1" xfId="2" applyNumberFormat="1" applyFont="1" applyFill="1" applyBorder="1" applyAlignment="1">
      <alignment vertical="top"/>
    </xf>
    <xf numFmtId="41" fontId="17" fillId="21" borderId="1" xfId="1" applyFont="1" applyFill="1" applyBorder="1" applyAlignment="1">
      <alignment vertical="top"/>
    </xf>
    <xf numFmtId="0" fontId="21" fillId="0" borderId="1" xfId="0" quotePrefix="1" applyFont="1" applyBorder="1" applyAlignment="1">
      <alignment horizontal="center" vertical="top"/>
    </xf>
    <xf numFmtId="2" fontId="17" fillId="21" borderId="1" xfId="0" applyNumberFormat="1" applyFont="1" applyFill="1" applyBorder="1" applyAlignment="1">
      <alignment horizontal="right" vertical="top"/>
    </xf>
    <xf numFmtId="2" fontId="21" fillId="0" borderId="1" xfId="0" applyNumberFormat="1" applyFont="1" applyFill="1" applyBorder="1" applyAlignment="1">
      <alignment horizontal="right" vertical="top"/>
    </xf>
    <xf numFmtId="2" fontId="21" fillId="0" borderId="1" xfId="0" applyNumberFormat="1" applyFont="1" applyBorder="1" applyAlignment="1">
      <alignment horizontal="right" vertical="top"/>
    </xf>
    <xf numFmtId="41" fontId="7" fillId="21" borderId="1" xfId="0" applyNumberFormat="1" applyFont="1" applyFill="1" applyBorder="1" applyAlignment="1">
      <alignment horizontal="right" vertical="top"/>
    </xf>
    <xf numFmtId="0" fontId="7" fillId="21" borderId="1" xfId="0" quotePrefix="1" applyFont="1" applyFill="1" applyBorder="1" applyAlignment="1">
      <alignment horizontal="right" vertical="top"/>
    </xf>
    <xf numFmtId="41" fontId="7" fillId="21" borderId="1" xfId="1" quotePrefix="1" applyFont="1" applyFill="1" applyBorder="1" applyAlignment="1">
      <alignment horizontal="right" vertical="top"/>
    </xf>
    <xf numFmtId="41" fontId="8" fillId="9" borderId="1" xfId="0" applyNumberFormat="1" applyFont="1" applyFill="1" applyBorder="1" applyAlignment="1">
      <alignment horizontal="right" vertical="top" wrapText="1"/>
    </xf>
    <xf numFmtId="166" fontId="8" fillId="9" borderId="1" xfId="1" applyNumberFormat="1" applyFont="1" applyFill="1" applyBorder="1" applyAlignment="1">
      <alignment vertical="top" wrapText="1"/>
    </xf>
    <xf numFmtId="0" fontId="8" fillId="9" borderId="1" xfId="1" applyNumberFormat="1" applyFont="1" applyFill="1" applyBorder="1" applyAlignment="1">
      <alignment horizontal="right" vertical="top" wrapText="1"/>
    </xf>
    <xf numFmtId="41" fontId="8" fillId="9" borderId="1" xfId="1" applyNumberFormat="1" applyFont="1" applyFill="1" applyBorder="1" applyAlignment="1">
      <alignment vertical="top" wrapText="1"/>
    </xf>
    <xf numFmtId="41" fontId="7" fillId="21" borderId="1" xfId="1" applyFont="1" applyFill="1" applyBorder="1" applyAlignment="1">
      <alignment vertical="top"/>
    </xf>
    <xf numFmtId="0" fontId="23" fillId="21" borderId="1" xfId="0" applyFont="1" applyFill="1" applyBorder="1" applyAlignment="1">
      <alignment horizontal="center" vertical="top" wrapText="1"/>
    </xf>
    <xf numFmtId="41" fontId="7" fillId="21" borderId="1" xfId="1" applyNumberFormat="1" applyFont="1" applyFill="1" applyBorder="1" applyAlignment="1">
      <alignment horizontal="right" vertical="top" wrapText="1"/>
    </xf>
    <xf numFmtId="166" fontId="7" fillId="21" borderId="1" xfId="1" applyNumberFormat="1" applyFont="1" applyFill="1" applyBorder="1" applyAlignment="1">
      <alignment horizontal="right" vertical="top" wrapText="1"/>
    </xf>
    <xf numFmtId="0" fontId="7" fillId="21" borderId="1" xfId="1" applyNumberFormat="1" applyFont="1" applyFill="1" applyBorder="1" applyAlignment="1">
      <alignment horizontal="right" vertical="top" wrapText="1"/>
    </xf>
    <xf numFmtId="41" fontId="8" fillId="21" borderId="1" xfId="1" applyFont="1" applyFill="1" applyBorder="1" applyAlignment="1">
      <alignment horizontal="right" vertical="top" wrapText="1"/>
    </xf>
    <xf numFmtId="41" fontId="8" fillId="21" borderId="1" xfId="1" applyFont="1" applyFill="1" applyBorder="1" applyAlignment="1">
      <alignment vertical="top" wrapText="1"/>
    </xf>
    <xf numFmtId="41" fontId="8" fillId="9" borderId="1" xfId="1" applyNumberFormat="1" applyFont="1" applyFill="1" applyBorder="1" applyAlignment="1">
      <alignment horizontal="right" vertical="top" wrapText="1"/>
    </xf>
    <xf numFmtId="0" fontId="44" fillId="9" borderId="0" xfId="0" applyFont="1" applyFill="1" applyBorder="1" applyAlignment="1">
      <alignment vertical="top"/>
    </xf>
    <xf numFmtId="164" fontId="7" fillId="21" borderId="1" xfId="0" applyNumberFormat="1" applyFont="1" applyFill="1" applyBorder="1" applyAlignment="1">
      <alignment horizontal="right" vertical="top"/>
    </xf>
    <xf numFmtId="1" fontId="8" fillId="0" borderId="1" xfId="0" quotePrefix="1" applyNumberFormat="1" applyFont="1" applyFill="1" applyBorder="1" applyAlignment="1">
      <alignment horizontal="right" vertical="top"/>
    </xf>
    <xf numFmtId="1" fontId="8" fillId="0" borderId="1" xfId="3" applyNumberFormat="1" applyFont="1" applyFill="1" applyBorder="1" applyAlignment="1">
      <alignment horizontal="right" vertical="top"/>
    </xf>
    <xf numFmtId="0" fontId="44" fillId="0" borderId="0" xfId="0" applyFont="1" applyBorder="1" applyAlignment="1">
      <alignment vertical="top"/>
    </xf>
    <xf numFmtId="0" fontId="42" fillId="0" borderId="0" xfId="0" applyFont="1" applyBorder="1" applyAlignment="1">
      <alignment vertical="top"/>
    </xf>
    <xf numFmtId="0" fontId="42" fillId="0" borderId="0" xfId="0" applyFont="1" applyAlignment="1">
      <alignment vertical="top"/>
    </xf>
    <xf numFmtId="41" fontId="17" fillId="21" borderId="1" xfId="1" applyFont="1" applyFill="1" applyBorder="1" applyAlignment="1">
      <alignment horizontal="right" vertical="top" wrapText="1"/>
    </xf>
    <xf numFmtId="2" fontId="40" fillId="21" borderId="1" xfId="0" applyNumberFormat="1" applyFont="1" applyFill="1" applyBorder="1" applyAlignment="1">
      <alignment horizontal="right" vertical="top"/>
    </xf>
    <xf numFmtId="166" fontId="40" fillId="21" borderId="1" xfId="1" applyNumberFormat="1" applyFont="1" applyFill="1" applyBorder="1" applyAlignment="1">
      <alignment horizontal="right" vertical="top"/>
    </xf>
    <xf numFmtId="0" fontId="21" fillId="21" borderId="1" xfId="0" applyFont="1" applyFill="1" applyBorder="1" applyAlignment="1">
      <alignment horizontal="right" vertical="top" wrapText="1"/>
    </xf>
    <xf numFmtId="41" fontId="21" fillId="21" borderId="1" xfId="1" applyFont="1" applyFill="1" applyBorder="1" applyAlignment="1">
      <alignment horizontal="right" vertical="top" wrapText="1"/>
    </xf>
    <xf numFmtId="41" fontId="17" fillId="21" borderId="1" xfId="1" applyFont="1" applyFill="1" applyBorder="1" applyAlignment="1">
      <alignment vertical="top" wrapText="1"/>
    </xf>
    <xf numFmtId="164" fontId="8" fillId="9" borderId="1" xfId="2" applyNumberFormat="1" applyFont="1" applyFill="1" applyBorder="1" applyAlignment="1">
      <alignment vertical="top"/>
    </xf>
    <xf numFmtId="2" fontId="43" fillId="9" borderId="1" xfId="0" applyNumberFormat="1" applyFont="1" applyFill="1" applyBorder="1" applyAlignment="1">
      <alignment horizontal="right" vertical="top"/>
    </xf>
    <xf numFmtId="166" fontId="43" fillId="9" borderId="1" xfId="1" applyNumberFormat="1" applyFont="1" applyFill="1" applyBorder="1" applyAlignment="1">
      <alignment horizontal="right" vertical="top"/>
    </xf>
    <xf numFmtId="41" fontId="35" fillId="21" borderId="1" xfId="0" applyNumberFormat="1" applyFont="1" applyFill="1" applyBorder="1" applyAlignment="1">
      <alignment vertical="top" wrapText="1"/>
    </xf>
    <xf numFmtId="0" fontId="46" fillId="21" borderId="1" xfId="0" applyFont="1" applyFill="1" applyBorder="1" applyAlignment="1">
      <alignment vertical="top"/>
    </xf>
    <xf numFmtId="0" fontId="41" fillId="0" borderId="0" xfId="0" applyFont="1" applyFill="1" applyAlignment="1">
      <alignment vertical="top"/>
    </xf>
    <xf numFmtId="43" fontId="7" fillId="21" borderId="1" xfId="0" applyNumberFormat="1" applyFont="1" applyFill="1" applyBorder="1" applyAlignment="1">
      <alignment horizontal="right" vertical="top"/>
    </xf>
    <xf numFmtId="43" fontId="46" fillId="21" borderId="1" xfId="0" applyNumberFormat="1" applyFont="1" applyFill="1" applyBorder="1" applyAlignment="1">
      <alignment horizontal="right" vertical="top"/>
    </xf>
    <xf numFmtId="2" fontId="46" fillId="21" borderId="1" xfId="0" applyNumberFormat="1" applyFont="1" applyFill="1" applyBorder="1" applyAlignment="1">
      <alignment horizontal="right" vertical="top"/>
    </xf>
    <xf numFmtId="0" fontId="46" fillId="0" borderId="0" xfId="0" applyFont="1" applyAlignment="1">
      <alignment vertical="top"/>
    </xf>
    <xf numFmtId="2" fontId="46" fillId="21" borderId="1" xfId="0" applyNumberFormat="1" applyFont="1" applyFill="1" applyBorder="1" applyAlignment="1">
      <alignment horizontal="right" vertical="top" wrapText="1"/>
    </xf>
    <xf numFmtId="41" fontId="44" fillId="0" borderId="0" xfId="1" applyFont="1" applyFill="1" applyAlignment="1">
      <alignment vertical="top"/>
    </xf>
    <xf numFmtId="0" fontId="15" fillId="0" borderId="1" xfId="0" applyFont="1" applyFill="1" applyBorder="1" applyAlignment="1">
      <alignment horizontal="right" vertical="top" wrapText="1"/>
    </xf>
    <xf numFmtId="43" fontId="8" fillId="0" borderId="1" xfId="0" applyNumberFormat="1" applyFont="1" applyFill="1" applyBorder="1" applyAlignment="1">
      <alignment horizontal="right" vertical="top" wrapText="1"/>
    </xf>
    <xf numFmtId="0" fontId="21" fillId="9" borderId="1" xfId="0" quotePrefix="1" applyFont="1" applyFill="1" applyBorder="1" applyAlignment="1">
      <alignment horizontal="right" vertical="top" wrapText="1"/>
    </xf>
    <xf numFmtId="0" fontId="15" fillId="0" borderId="1" xfId="0" applyFont="1" applyBorder="1" applyAlignment="1">
      <alignment horizontal="left" vertical="top"/>
    </xf>
    <xf numFmtId="0" fontId="15" fillId="0" borderId="1" xfId="0" applyFont="1" applyBorder="1" applyAlignment="1">
      <alignment vertical="top" wrapText="1"/>
    </xf>
    <xf numFmtId="0" fontId="8" fillId="0" borderId="1" xfId="0" applyFont="1" applyBorder="1" applyAlignment="1">
      <alignment vertical="top" wrapText="1"/>
    </xf>
    <xf numFmtId="164" fontId="7" fillId="0" borderId="1" xfId="2" applyNumberFormat="1" applyFont="1" applyBorder="1" applyAlignment="1">
      <alignment horizontal="center" vertical="top" wrapText="1"/>
    </xf>
    <xf numFmtId="0" fontId="15" fillId="0" borderId="1" xfId="0" applyFont="1" applyBorder="1" applyAlignment="1">
      <alignment horizontal="left" vertical="top" wrapText="1"/>
    </xf>
    <xf numFmtId="164" fontId="8" fillId="0" borderId="1" xfId="1" applyNumberFormat="1" applyFont="1" applyFill="1" applyBorder="1" applyAlignment="1">
      <alignment horizontal="right" vertical="top"/>
    </xf>
    <xf numFmtId="41" fontId="17" fillId="21" borderId="1" xfId="4" applyFont="1" applyFill="1" applyBorder="1" applyAlignment="1">
      <alignment horizontal="right" vertical="top" wrapText="1"/>
    </xf>
    <xf numFmtId="166" fontId="17" fillId="21" borderId="1" xfId="4" applyNumberFormat="1" applyFont="1" applyFill="1" applyBorder="1" applyAlignment="1">
      <alignment horizontal="right" vertical="top" wrapText="1"/>
    </xf>
    <xf numFmtId="164" fontId="17" fillId="21" borderId="1" xfId="2" applyNumberFormat="1" applyFont="1" applyFill="1" applyBorder="1" applyAlignment="1">
      <alignment horizontal="right" vertical="top"/>
    </xf>
    <xf numFmtId="41" fontId="17" fillId="21" borderId="1" xfId="4" applyFont="1" applyFill="1" applyBorder="1" applyAlignment="1">
      <alignment horizontal="center" vertical="top" wrapText="1"/>
    </xf>
    <xf numFmtId="0" fontId="21" fillId="21" borderId="1" xfId="0" applyFont="1" applyFill="1" applyBorder="1" applyAlignment="1">
      <alignment horizontal="center" vertical="top" wrapText="1"/>
    </xf>
    <xf numFmtId="41" fontId="21" fillId="0" borderId="1" xfId="1" applyNumberFormat="1" applyFont="1" applyBorder="1" applyAlignment="1">
      <alignment horizontal="right" vertical="top" wrapText="1"/>
    </xf>
    <xf numFmtId="0" fontId="7" fillId="0" borderId="1" xfId="0" applyFont="1" applyBorder="1" applyAlignment="1">
      <alignment horizontal="right" vertical="top" wrapText="1"/>
    </xf>
    <xf numFmtId="41" fontId="8" fillId="0" borderId="1" xfId="1" applyFont="1" applyBorder="1" applyAlignment="1">
      <alignment horizontal="center" vertical="top" wrapText="1"/>
    </xf>
    <xf numFmtId="41" fontId="7" fillId="0" borderId="1" xfId="1" applyFont="1" applyBorder="1" applyAlignment="1">
      <alignment vertical="top" wrapText="1"/>
    </xf>
    <xf numFmtId="2" fontId="8" fillId="0" borderId="1" xfId="0" applyNumberFormat="1" applyFont="1" applyBorder="1" applyAlignment="1">
      <alignment horizontal="right" vertical="top" wrapText="1"/>
    </xf>
    <xf numFmtId="2" fontId="7" fillId="0" borderId="1" xfId="0" applyNumberFormat="1" applyFont="1" applyBorder="1" applyAlignment="1">
      <alignment horizontal="right" vertical="top" wrapText="1"/>
    </xf>
    <xf numFmtId="0" fontId="44" fillId="0" borderId="0" xfId="0" applyFont="1" applyFill="1" applyBorder="1" applyAlignment="1">
      <alignment vertical="top"/>
    </xf>
    <xf numFmtId="41" fontId="21" fillId="0" borderId="1" xfId="1" applyFont="1" applyFill="1" applyBorder="1" applyAlignment="1">
      <alignment horizontal="right" vertical="top" wrapText="1"/>
    </xf>
    <xf numFmtId="166" fontId="8" fillId="0" borderId="1" xfId="1" applyNumberFormat="1" applyFont="1" applyBorder="1" applyAlignment="1">
      <alignment horizontal="right" vertical="top" wrapText="1"/>
    </xf>
    <xf numFmtId="0" fontId="8" fillId="0" borderId="1" xfId="3" applyNumberFormat="1" applyFont="1" applyBorder="1" applyAlignment="1">
      <alignment horizontal="right" vertical="top" wrapText="1"/>
    </xf>
    <xf numFmtId="41" fontId="7" fillId="0" borderId="1" xfId="1" applyFont="1" applyBorder="1" applyAlignment="1">
      <alignment horizontal="center" vertical="top" wrapText="1"/>
    </xf>
    <xf numFmtId="0" fontId="8" fillId="21" borderId="1" xfId="1" applyNumberFormat="1" applyFont="1" applyFill="1" applyBorder="1" applyAlignment="1">
      <alignment horizontal="right" vertical="top"/>
    </xf>
    <xf numFmtId="2" fontId="8" fillId="21" borderId="1" xfId="0" applyNumberFormat="1" applyFont="1" applyFill="1" applyBorder="1" applyAlignment="1">
      <alignment horizontal="right" vertical="top" wrapText="1"/>
    </xf>
    <xf numFmtId="0" fontId="7" fillId="21" borderId="1" xfId="3" applyNumberFormat="1" applyFont="1" applyFill="1" applyBorder="1" applyAlignment="1">
      <alignment horizontal="right" vertical="top" wrapText="1"/>
    </xf>
    <xf numFmtId="41" fontId="7" fillId="21" borderId="1" xfId="1" applyNumberFormat="1" applyFont="1" applyFill="1" applyBorder="1" applyAlignment="1">
      <alignment horizontal="right" vertical="top"/>
    </xf>
    <xf numFmtId="0" fontId="7" fillId="0" borderId="1" xfId="0" applyNumberFormat="1" applyFont="1" applyBorder="1" applyAlignment="1">
      <alignment horizontal="right" vertical="top" wrapText="1"/>
    </xf>
    <xf numFmtId="0" fontId="24" fillId="0" borderId="1" xfId="5" applyNumberFormat="1" applyFont="1" applyFill="1" applyBorder="1" applyAlignment="1">
      <alignment horizontal="justify" vertical="top" wrapText="1"/>
    </xf>
    <xf numFmtId="164" fontId="15" fillId="0" borderId="1" xfId="2" applyNumberFormat="1" applyFont="1" applyBorder="1" applyAlignment="1">
      <alignment horizontal="center" vertical="top" wrapText="1"/>
    </xf>
    <xf numFmtId="0" fontId="8" fillId="0" borderId="1" xfId="5" applyFont="1" applyFill="1" applyBorder="1" applyAlignment="1">
      <alignment vertical="top" wrapText="1"/>
    </xf>
    <xf numFmtId="41" fontId="21" fillId="9" borderId="1" xfId="1" applyFont="1" applyFill="1" applyBorder="1" applyAlignment="1">
      <alignment horizontal="right" vertical="top"/>
    </xf>
    <xf numFmtId="41" fontId="15" fillId="0" borderId="1" xfId="1" applyFont="1" applyBorder="1" applyAlignment="1">
      <alignment horizontal="center" vertical="top" wrapText="1"/>
    </xf>
    <xf numFmtId="41" fontId="17" fillId="21" borderId="1" xfId="0" applyNumberFormat="1" applyFont="1" applyFill="1" applyBorder="1" applyAlignment="1">
      <alignment horizontal="right" vertical="top" wrapText="1"/>
    </xf>
    <xf numFmtId="166" fontId="17" fillId="21" borderId="1" xfId="1" applyNumberFormat="1" applyFont="1" applyFill="1" applyBorder="1" applyAlignment="1">
      <alignment horizontal="right" vertical="top" wrapText="1"/>
    </xf>
    <xf numFmtId="41" fontId="17" fillId="21" borderId="1" xfId="0" applyNumberFormat="1" applyFont="1" applyFill="1" applyBorder="1" applyAlignment="1">
      <alignment vertical="top" wrapText="1"/>
    </xf>
    <xf numFmtId="41" fontId="17" fillId="21" borderId="1" xfId="1" applyFont="1" applyFill="1" applyBorder="1" applyAlignment="1">
      <alignment horizontal="center" vertical="top" wrapText="1"/>
    </xf>
    <xf numFmtId="164" fontId="17" fillId="21" borderId="1" xfId="2" applyNumberFormat="1" applyFont="1" applyFill="1" applyBorder="1" applyAlignment="1">
      <alignment horizontal="center" vertical="top" wrapText="1"/>
    </xf>
    <xf numFmtId="41" fontId="17" fillId="21" borderId="1" xfId="1" applyNumberFormat="1" applyFont="1" applyFill="1" applyBorder="1" applyAlignment="1">
      <alignment horizontal="right" vertical="top" wrapText="1"/>
    </xf>
    <xf numFmtId="41" fontId="15" fillId="0" borderId="1" xfId="1" applyNumberFormat="1" applyFont="1" applyBorder="1" applyAlignment="1">
      <alignment horizontal="right" vertical="top" wrapText="1"/>
    </xf>
    <xf numFmtId="0" fontId="50" fillId="21" borderId="1" xfId="0" applyFont="1" applyFill="1" applyBorder="1" applyAlignment="1">
      <alignment vertical="top" wrapText="1"/>
    </xf>
    <xf numFmtId="0" fontId="50" fillId="21" borderId="1" xfId="0" applyFont="1" applyFill="1" applyBorder="1" applyAlignment="1">
      <alignment horizontal="center" vertical="top" wrapText="1"/>
    </xf>
    <xf numFmtId="0" fontId="17" fillId="21" borderId="1" xfId="1" applyNumberFormat="1" applyFont="1" applyFill="1" applyBorder="1" applyAlignment="1">
      <alignment horizontal="right" vertical="top" wrapText="1"/>
    </xf>
    <xf numFmtId="166" fontId="7" fillId="21" borderId="1" xfId="0" applyNumberFormat="1" applyFont="1" applyFill="1" applyBorder="1" applyAlignment="1">
      <alignment horizontal="right" vertical="top" wrapText="1"/>
    </xf>
    <xf numFmtId="0" fontId="7" fillId="21" borderId="1" xfId="0" quotePrefix="1" applyFont="1" applyFill="1" applyBorder="1" applyAlignment="1">
      <alignment horizontal="left" vertical="top" wrapText="1"/>
    </xf>
    <xf numFmtId="166" fontId="7" fillId="21" borderId="1" xfId="1" applyNumberFormat="1" applyFont="1" applyFill="1" applyBorder="1" applyAlignment="1">
      <alignment horizontal="right" vertical="top"/>
    </xf>
    <xf numFmtId="166" fontId="7" fillId="21" borderId="1" xfId="0" applyNumberFormat="1" applyFont="1" applyFill="1" applyBorder="1" applyAlignment="1">
      <alignment horizontal="right" vertical="top"/>
    </xf>
    <xf numFmtId="41" fontId="8" fillId="0" borderId="1" xfId="1" applyNumberFormat="1" applyFont="1" applyFill="1" applyBorder="1" applyAlignment="1">
      <alignment horizontal="right" vertical="top"/>
    </xf>
    <xf numFmtId="41" fontId="7" fillId="21" borderId="1" xfId="1" applyNumberFormat="1" applyFont="1" applyFill="1" applyBorder="1" applyAlignment="1">
      <alignment vertical="top"/>
    </xf>
    <xf numFmtId="0" fontId="24" fillId="0" borderId="1" xfId="0" applyFont="1" applyBorder="1" applyAlignment="1">
      <alignment horizontal="left" vertical="top" wrapText="1"/>
    </xf>
    <xf numFmtId="0" fontId="44" fillId="0" borderId="1" xfId="0" applyFont="1" applyBorder="1" applyAlignment="1">
      <alignment horizontal="center" vertical="top" wrapText="1"/>
    </xf>
    <xf numFmtId="0" fontId="46" fillId="21" borderId="1" xfId="0" applyFont="1" applyFill="1" applyBorder="1" applyAlignment="1">
      <alignment horizontal="center" vertical="top" wrapText="1"/>
    </xf>
    <xf numFmtId="164" fontId="7" fillId="21" borderId="1" xfId="1" applyNumberFormat="1" applyFont="1" applyFill="1" applyBorder="1" applyAlignment="1">
      <alignment horizontal="right" vertical="top" wrapText="1"/>
    </xf>
    <xf numFmtId="164" fontId="7" fillId="21" borderId="1" xfId="1" quotePrefix="1" applyNumberFormat="1" applyFont="1" applyFill="1" applyBorder="1" applyAlignment="1">
      <alignment horizontal="right" vertical="top"/>
    </xf>
    <xf numFmtId="164" fontId="7" fillId="21" borderId="1" xfId="1" applyNumberFormat="1" applyFont="1" applyFill="1" applyBorder="1" applyAlignment="1">
      <alignment vertical="top"/>
    </xf>
    <xf numFmtId="10" fontId="17" fillId="21" borderId="1" xfId="0" applyNumberFormat="1" applyFont="1" applyFill="1" applyBorder="1" applyAlignment="1">
      <alignment horizontal="right" vertical="top" wrapText="1"/>
    </xf>
    <xf numFmtId="2" fontId="8" fillId="9" borderId="1" xfId="0" applyNumberFormat="1" applyFont="1" applyFill="1" applyBorder="1" applyAlignment="1">
      <alignment horizontal="right" vertical="top"/>
    </xf>
    <xf numFmtId="166" fontId="8" fillId="9" borderId="1" xfId="1" applyNumberFormat="1" applyFont="1" applyFill="1" applyBorder="1" applyAlignment="1">
      <alignment horizontal="right" vertical="top"/>
    </xf>
    <xf numFmtId="41" fontId="7" fillId="21" borderId="1" xfId="0" applyNumberFormat="1" applyFont="1" applyFill="1" applyBorder="1" applyAlignment="1">
      <alignment horizontal="left" vertical="top" wrapText="1"/>
    </xf>
    <xf numFmtId="41" fontId="7" fillId="21" borderId="1" xfId="1" applyNumberFormat="1" applyFont="1" applyFill="1" applyBorder="1" applyAlignment="1">
      <alignment horizontal="left" vertical="top" wrapText="1"/>
    </xf>
    <xf numFmtId="164" fontId="7" fillId="21" borderId="1" xfId="2" applyNumberFormat="1" applyFont="1" applyFill="1" applyBorder="1" applyAlignment="1">
      <alignment horizontal="left" vertical="top" wrapText="1"/>
    </xf>
    <xf numFmtId="0" fontId="7" fillId="21" borderId="1" xfId="0" quotePrefix="1" applyNumberFormat="1" applyFont="1" applyFill="1" applyBorder="1" applyAlignment="1">
      <alignment horizontal="center" vertical="top" wrapText="1"/>
    </xf>
    <xf numFmtId="0" fontId="7" fillId="21" borderId="1" xfId="0" applyNumberFormat="1" applyFont="1" applyFill="1" applyBorder="1" applyAlignment="1">
      <alignment horizontal="center" vertical="top" wrapText="1"/>
    </xf>
    <xf numFmtId="0" fontId="8" fillId="21" borderId="1" xfId="1" quotePrefix="1" applyNumberFormat="1" applyFont="1" applyFill="1" applyBorder="1" applyAlignment="1">
      <alignment horizontal="center" vertical="top" wrapText="1"/>
    </xf>
    <xf numFmtId="0" fontId="8" fillId="21" borderId="1" xfId="1" applyNumberFormat="1" applyFont="1" applyFill="1" applyBorder="1" applyAlignment="1">
      <alignment horizontal="center" vertical="top" wrapText="1"/>
    </xf>
    <xf numFmtId="0" fontId="7" fillId="21" borderId="1" xfId="1" applyNumberFormat="1" applyFont="1" applyFill="1" applyBorder="1" applyAlignment="1">
      <alignment horizontal="left" vertical="top" wrapText="1"/>
    </xf>
    <xf numFmtId="0" fontId="7" fillId="21" borderId="1" xfId="1" quotePrefix="1" applyNumberFormat="1" applyFont="1" applyFill="1" applyBorder="1" applyAlignment="1">
      <alignment horizontal="center" vertical="top" wrapText="1"/>
    </xf>
    <xf numFmtId="0" fontId="7" fillId="21" borderId="1" xfId="1" applyNumberFormat="1" applyFont="1" applyFill="1" applyBorder="1" applyAlignment="1">
      <alignment horizontal="center" vertical="top" wrapText="1"/>
    </xf>
    <xf numFmtId="41" fontId="7" fillId="21" borderId="1" xfId="1" applyNumberFormat="1" applyFont="1" applyFill="1" applyBorder="1" applyAlignment="1">
      <alignment horizontal="left" vertical="top"/>
    </xf>
    <xf numFmtId="0" fontId="7" fillId="21" borderId="1" xfId="0" quotePrefix="1" applyFont="1" applyFill="1" applyBorder="1" applyAlignment="1">
      <alignment horizontal="right" vertical="top" wrapText="1"/>
    </xf>
    <xf numFmtId="166" fontId="7" fillId="21" borderId="1" xfId="1" quotePrefix="1" applyNumberFormat="1" applyFont="1" applyFill="1" applyBorder="1" applyAlignment="1">
      <alignment horizontal="right" vertical="top" wrapText="1"/>
    </xf>
    <xf numFmtId="9" fontId="7" fillId="21" borderId="1" xfId="0" quotePrefix="1" applyNumberFormat="1" applyFont="1" applyFill="1" applyBorder="1" applyAlignment="1">
      <alignment horizontal="right" vertical="top" wrapText="1"/>
    </xf>
    <xf numFmtId="41" fontId="7" fillId="21" borderId="1" xfId="1" quotePrefix="1" applyFont="1" applyFill="1" applyBorder="1" applyAlignment="1">
      <alignment horizontal="right" vertical="top" wrapText="1"/>
    </xf>
    <xf numFmtId="0" fontId="7" fillId="21" borderId="1" xfId="5" applyNumberFormat="1" applyFont="1" applyFill="1" applyBorder="1" applyAlignment="1">
      <alignment horizontal="right" vertical="top" wrapText="1"/>
    </xf>
    <xf numFmtId="9" fontId="7" fillId="21" borderId="1" xfId="1" quotePrefix="1" applyNumberFormat="1" applyFont="1" applyFill="1" applyBorder="1" applyAlignment="1">
      <alignment horizontal="right" vertical="top"/>
    </xf>
    <xf numFmtId="41" fontId="7" fillId="21" borderId="1" xfId="1" quotePrefix="1" applyNumberFormat="1" applyFont="1" applyFill="1" applyBorder="1" applyAlignment="1">
      <alignment horizontal="right" vertical="top" wrapText="1"/>
    </xf>
    <xf numFmtId="0" fontId="43" fillId="0" borderId="0" xfId="0" applyFont="1" applyFill="1" applyAlignment="1">
      <alignment vertical="top"/>
    </xf>
    <xf numFmtId="41" fontId="8" fillId="0" borderId="1" xfId="1" applyNumberFormat="1" applyFont="1" applyFill="1" applyBorder="1" applyAlignment="1">
      <alignment horizontal="right" vertical="top" wrapText="1"/>
    </xf>
    <xf numFmtId="173" fontId="21" fillId="0" borderId="1" xfId="1" applyNumberFormat="1" applyFont="1" applyFill="1" applyBorder="1" applyAlignment="1">
      <alignment horizontal="right" vertical="top" wrapText="1"/>
    </xf>
    <xf numFmtId="0" fontId="40" fillId="0" borderId="0" xfId="0" applyFont="1" applyAlignment="1">
      <alignment vertical="top"/>
    </xf>
    <xf numFmtId="41" fontId="17" fillId="21" borderId="1" xfId="0" applyNumberFormat="1" applyFont="1" applyFill="1" applyBorder="1" applyAlignment="1">
      <alignment horizontal="right" vertical="top"/>
    </xf>
    <xf numFmtId="172" fontId="17" fillId="21" borderId="1" xfId="0" applyNumberFormat="1" applyFont="1" applyFill="1" applyBorder="1" applyAlignment="1">
      <alignment horizontal="right" vertical="top"/>
    </xf>
    <xf numFmtId="0" fontId="21" fillId="0" borderId="1" xfId="2" applyNumberFormat="1" applyFont="1" applyBorder="1" applyAlignment="1">
      <alignment vertical="top" wrapText="1"/>
    </xf>
    <xf numFmtId="0" fontId="21" fillId="0" borderId="1" xfId="2" applyNumberFormat="1" applyFont="1" applyBorder="1" applyAlignment="1">
      <alignment vertical="top"/>
    </xf>
    <xf numFmtId="0" fontId="21" fillId="0" borderId="1" xfId="3" applyNumberFormat="1" applyFont="1" applyFill="1" applyBorder="1" applyAlignment="1">
      <alignment vertical="top"/>
    </xf>
    <xf numFmtId="0" fontId="21" fillId="0" borderId="1" xfId="2" quotePrefix="1" applyNumberFormat="1" applyFont="1" applyBorder="1" applyAlignment="1">
      <alignment vertical="top"/>
    </xf>
    <xf numFmtId="0" fontId="7" fillId="21" borderId="1" xfId="0" applyNumberFormat="1" applyFont="1" applyFill="1" applyBorder="1" applyAlignment="1">
      <alignment vertical="top"/>
    </xf>
    <xf numFmtId="164" fontId="21" fillId="9" borderId="1" xfId="2" applyNumberFormat="1" applyFont="1" applyFill="1" applyBorder="1" applyAlignment="1">
      <alignment vertical="top" wrapText="1"/>
    </xf>
    <xf numFmtId="3" fontId="21" fillId="9" borderId="1" xfId="0" applyNumberFormat="1" applyFont="1" applyFill="1" applyBorder="1" applyAlignment="1">
      <alignment vertical="top" wrapText="1"/>
    </xf>
    <xf numFmtId="41" fontId="17" fillId="21" borderId="1" xfId="1" applyNumberFormat="1" applyFont="1" applyFill="1" applyBorder="1" applyAlignment="1">
      <alignment horizontal="right" vertical="top"/>
    </xf>
    <xf numFmtId="2" fontId="7" fillId="21" borderId="1" xfId="0" applyNumberFormat="1" applyFont="1" applyFill="1" applyBorder="1" applyAlignment="1">
      <alignment vertical="top"/>
    </xf>
    <xf numFmtId="166" fontId="7" fillId="21" borderId="1" xfId="0" applyNumberFormat="1" applyFont="1" applyFill="1" applyBorder="1" applyAlignment="1">
      <alignment vertical="top" wrapText="1"/>
    </xf>
    <xf numFmtId="43" fontId="17" fillId="21" borderId="1" xfId="2" applyFont="1" applyFill="1" applyBorder="1" applyAlignment="1">
      <alignment horizontal="right" vertical="top" wrapText="1"/>
    </xf>
    <xf numFmtId="43" fontId="7" fillId="21" borderId="1" xfId="2" applyFont="1" applyFill="1" applyBorder="1" applyAlignment="1">
      <alignment vertical="top"/>
    </xf>
    <xf numFmtId="43" fontId="8" fillId="0" borderId="1" xfId="2" applyFont="1" applyFill="1" applyBorder="1" applyAlignment="1">
      <alignment vertical="top"/>
    </xf>
    <xf numFmtId="43" fontId="8" fillId="0" borderId="1" xfId="2" applyFont="1" applyBorder="1" applyAlignment="1">
      <alignment vertical="top"/>
    </xf>
    <xf numFmtId="43" fontId="7" fillId="21" borderId="1" xfId="2" applyFont="1" applyFill="1" applyBorder="1" applyAlignment="1">
      <alignment horizontal="center" vertical="top" wrapText="1"/>
    </xf>
    <xf numFmtId="43" fontId="8" fillId="0" borderId="1" xfId="2" applyFont="1" applyBorder="1" applyAlignment="1">
      <alignment horizontal="center" vertical="top" wrapText="1"/>
    </xf>
    <xf numFmtId="43" fontId="8" fillId="9" borderId="1" xfId="2" applyFont="1" applyFill="1" applyBorder="1" applyAlignment="1">
      <alignment horizontal="center" vertical="top" wrapText="1"/>
    </xf>
    <xf numFmtId="0" fontId="17" fillId="0" borderId="0" xfId="0" applyFont="1" applyAlignment="1">
      <alignment vertical="top"/>
    </xf>
    <xf numFmtId="0" fontId="21" fillId="0" borderId="0" xfId="0" applyFont="1" applyFill="1" applyAlignment="1">
      <alignment vertical="top" wrapText="1"/>
    </xf>
    <xf numFmtId="0" fontId="21" fillId="0" borderId="0" xfId="0" applyFont="1" applyAlignment="1">
      <alignment vertical="top" wrapText="1"/>
    </xf>
    <xf numFmtId="184" fontId="17" fillId="21" borderId="1" xfId="2" applyNumberFormat="1" applyFont="1" applyFill="1" applyBorder="1" applyAlignment="1">
      <alignment horizontal="right" vertical="top"/>
    </xf>
    <xf numFmtId="43" fontId="17" fillId="21" borderId="1" xfId="2" applyFont="1" applyFill="1" applyBorder="1" applyAlignment="1">
      <alignment horizontal="right" vertical="top"/>
    </xf>
    <xf numFmtId="43" fontId="21" fillId="0" borderId="1" xfId="2" applyFont="1" applyFill="1" applyBorder="1" applyAlignment="1">
      <alignment horizontal="right" vertical="top"/>
    </xf>
    <xf numFmtId="184" fontId="21" fillId="0" borderId="1" xfId="2" applyNumberFormat="1" applyFont="1" applyFill="1" applyBorder="1" applyAlignment="1">
      <alignment horizontal="right" vertical="top"/>
    </xf>
    <xf numFmtId="0" fontId="21" fillId="0" borderId="1" xfId="0" applyNumberFormat="1" applyFont="1" applyBorder="1" applyAlignment="1">
      <alignment horizontal="right" vertical="top"/>
    </xf>
    <xf numFmtId="0" fontId="21" fillId="0" borderId="1" xfId="0" applyFont="1" applyFill="1" applyBorder="1" applyAlignment="1">
      <alignment horizontal="right" vertical="top" wrapText="1"/>
    </xf>
    <xf numFmtId="2" fontId="21" fillId="0" borderId="1" xfId="0" applyNumberFormat="1" applyFont="1" applyFill="1" applyBorder="1" applyAlignment="1">
      <alignment horizontal="right" vertical="top" wrapText="1"/>
    </xf>
    <xf numFmtId="185" fontId="21" fillId="0" borderId="1" xfId="0" applyNumberFormat="1" applyFont="1" applyBorder="1" applyAlignment="1">
      <alignment horizontal="right" vertical="top"/>
    </xf>
    <xf numFmtId="164" fontId="21" fillId="0" borderId="1" xfId="0" applyNumberFormat="1" applyFont="1" applyFill="1" applyBorder="1" applyAlignment="1">
      <alignment horizontal="right" vertical="top"/>
    </xf>
    <xf numFmtId="0" fontId="21" fillId="0" borderId="1" xfId="0" applyFont="1" applyFill="1" applyBorder="1" applyAlignment="1">
      <alignment horizontal="left" vertical="top"/>
    </xf>
    <xf numFmtId="1" fontId="21" fillId="0" borderId="1" xfId="0" applyNumberFormat="1" applyFont="1" applyBorder="1" applyAlignment="1">
      <alignment horizontal="right" vertical="top"/>
    </xf>
    <xf numFmtId="2" fontId="21" fillId="0" borderId="1" xfId="0" quotePrefix="1" applyNumberFormat="1" applyFont="1" applyFill="1" applyBorder="1" applyAlignment="1">
      <alignment horizontal="right" vertical="top"/>
    </xf>
    <xf numFmtId="43" fontId="21" fillId="0" borderId="1" xfId="2" applyFont="1" applyBorder="1" applyAlignment="1">
      <alignment horizontal="right" vertical="top"/>
    </xf>
    <xf numFmtId="43" fontId="21" fillId="0" borderId="1" xfId="2" quotePrefix="1" applyFont="1" applyFill="1" applyBorder="1" applyAlignment="1">
      <alignment horizontal="right" vertical="top"/>
    </xf>
    <xf numFmtId="0" fontId="21" fillId="0" borderId="1" xfId="0" quotePrefix="1" applyFont="1" applyFill="1" applyBorder="1" applyAlignment="1">
      <alignment horizontal="right" vertical="top"/>
    </xf>
    <xf numFmtId="164" fontId="21" fillId="0" borderId="1" xfId="2" quotePrefix="1" applyNumberFormat="1" applyFont="1" applyFill="1" applyBorder="1" applyAlignment="1">
      <alignment horizontal="right" vertical="top"/>
    </xf>
    <xf numFmtId="1" fontId="17" fillId="21" borderId="1" xfId="0" applyNumberFormat="1" applyFont="1" applyFill="1" applyBorder="1" applyAlignment="1">
      <alignment horizontal="right" vertical="top"/>
    </xf>
    <xf numFmtId="1" fontId="21" fillId="0" borderId="1" xfId="0" applyNumberFormat="1" applyFont="1" applyFill="1" applyBorder="1" applyAlignment="1">
      <alignment horizontal="right" vertical="top"/>
    </xf>
    <xf numFmtId="1" fontId="21" fillId="0" borderId="1" xfId="2" applyNumberFormat="1" applyFont="1" applyFill="1" applyBorder="1" applyAlignment="1">
      <alignment horizontal="right" vertical="top"/>
    </xf>
    <xf numFmtId="43" fontId="17" fillId="21" borderId="1" xfId="2" applyNumberFormat="1" applyFont="1" applyFill="1" applyBorder="1" applyAlignment="1">
      <alignment horizontal="right" vertical="top"/>
    </xf>
    <xf numFmtId="2" fontId="17" fillId="21" borderId="1" xfId="0" applyNumberFormat="1" applyFont="1" applyFill="1" applyBorder="1" applyAlignment="1">
      <alignment horizontal="right" vertical="top" wrapText="1"/>
    </xf>
    <xf numFmtId="1" fontId="17" fillId="21" borderId="1" xfId="0" applyNumberFormat="1" applyFont="1" applyFill="1" applyBorder="1" applyAlignment="1">
      <alignment horizontal="right" vertical="top" wrapText="1"/>
    </xf>
    <xf numFmtId="184" fontId="17" fillId="21" borderId="1" xfId="0" applyNumberFormat="1" applyFont="1" applyFill="1" applyBorder="1" applyAlignment="1">
      <alignment horizontal="right" vertical="top"/>
    </xf>
    <xf numFmtId="164" fontId="17" fillId="21" borderId="1" xfId="0" applyNumberFormat="1" applyFont="1" applyFill="1" applyBorder="1" applyAlignment="1">
      <alignment horizontal="right" vertical="top"/>
    </xf>
    <xf numFmtId="0" fontId="17" fillId="21" borderId="1" xfId="0" applyNumberFormat="1" applyFont="1" applyFill="1" applyBorder="1" applyAlignment="1">
      <alignment horizontal="right" vertical="top"/>
    </xf>
    <xf numFmtId="43" fontId="8" fillId="0" borderId="1" xfId="2" applyNumberFormat="1" applyFont="1" applyFill="1" applyBorder="1" applyAlignment="1">
      <alignment vertical="top" wrapText="1"/>
    </xf>
    <xf numFmtId="41" fontId="17" fillId="21" borderId="1" xfId="0" applyNumberFormat="1" applyFont="1" applyFill="1" applyBorder="1" applyAlignment="1">
      <alignment vertical="top"/>
    </xf>
    <xf numFmtId="164" fontId="7" fillId="21" borderId="1" xfId="0" applyNumberFormat="1" applyFont="1" applyFill="1" applyBorder="1" applyAlignment="1">
      <alignment vertical="top"/>
    </xf>
    <xf numFmtId="1" fontId="7" fillId="21" borderId="1" xfId="0" applyNumberFormat="1" applyFont="1" applyFill="1" applyBorder="1" applyAlignment="1">
      <alignment vertical="top"/>
    </xf>
    <xf numFmtId="43" fontId="8" fillId="0" borderId="1" xfId="2" applyFont="1" applyFill="1" applyBorder="1" applyAlignment="1">
      <alignment horizontal="right" vertical="top"/>
    </xf>
    <xf numFmtId="164" fontId="21" fillId="0" borderId="1" xfId="2" quotePrefix="1" applyNumberFormat="1" applyFont="1" applyFill="1" applyBorder="1" applyAlignment="1">
      <alignment vertical="top" wrapText="1"/>
    </xf>
    <xf numFmtId="0" fontId="7" fillId="21" borderId="1" xfId="1" applyNumberFormat="1" applyFont="1" applyFill="1" applyBorder="1" applyAlignment="1">
      <alignment vertical="top"/>
    </xf>
    <xf numFmtId="164" fontId="17" fillId="21" borderId="1" xfId="2" applyNumberFormat="1" applyFont="1" applyFill="1" applyBorder="1" applyAlignment="1">
      <alignment vertical="top" wrapText="1"/>
    </xf>
    <xf numFmtId="1" fontId="7" fillId="21" borderId="1" xfId="0" applyNumberFormat="1" applyFont="1" applyFill="1" applyBorder="1" applyAlignment="1">
      <alignment horizontal="right" vertical="top"/>
    </xf>
    <xf numFmtId="41" fontId="8" fillId="0" borderId="0" xfId="0" applyNumberFormat="1" applyFont="1" applyFill="1" applyBorder="1" applyAlignment="1">
      <alignment vertical="top"/>
    </xf>
    <xf numFmtId="41" fontId="8" fillId="0" borderId="0" xfId="1" applyFont="1" applyFill="1" applyBorder="1" applyAlignment="1">
      <alignment vertical="top" wrapText="1"/>
    </xf>
    <xf numFmtId="164" fontId="8" fillId="0" borderId="1" xfId="1" applyNumberFormat="1" applyFont="1" applyFill="1" applyBorder="1" applyAlignment="1">
      <alignment horizontal="right" vertical="top" wrapText="1"/>
    </xf>
    <xf numFmtId="0" fontId="8" fillId="0" borderId="1" xfId="3" applyNumberFormat="1" applyFont="1" applyFill="1" applyBorder="1" applyAlignment="1">
      <alignment horizontal="right" vertical="top"/>
    </xf>
    <xf numFmtId="0" fontId="8" fillId="0" borderId="1" xfId="1" applyNumberFormat="1" applyFont="1" applyFill="1" applyBorder="1" applyAlignment="1">
      <alignment horizontal="right" vertical="top" wrapText="1"/>
    </xf>
    <xf numFmtId="0" fontId="7" fillId="21" borderId="1" xfId="1" applyNumberFormat="1" applyFont="1" applyFill="1" applyBorder="1" applyAlignment="1">
      <alignment horizontal="right" vertical="top"/>
    </xf>
    <xf numFmtId="0" fontId="7" fillId="0" borderId="1" xfId="1" applyNumberFormat="1" applyFont="1" applyFill="1" applyBorder="1" applyAlignment="1">
      <alignment horizontal="right" vertical="top"/>
    </xf>
    <xf numFmtId="0" fontId="17" fillId="21" borderId="1" xfId="2" applyNumberFormat="1" applyFont="1" applyFill="1" applyBorder="1" applyAlignment="1">
      <alignment horizontal="right" vertical="top" wrapText="1"/>
    </xf>
    <xf numFmtId="0" fontId="17" fillId="21" borderId="1" xfId="6" applyNumberFormat="1" applyFont="1" applyFill="1" applyBorder="1" applyAlignment="1">
      <alignment horizontal="right" vertical="top"/>
    </xf>
    <xf numFmtId="0" fontId="8" fillId="0" borderId="1" xfId="2" applyNumberFormat="1" applyFont="1" applyFill="1" applyBorder="1" applyAlignment="1">
      <alignment horizontal="right" vertical="top" wrapText="1"/>
    </xf>
    <xf numFmtId="0" fontId="21" fillId="0" borderId="1" xfId="6" applyNumberFormat="1" applyFont="1" applyFill="1" applyBorder="1" applyAlignment="1">
      <alignment horizontal="right" vertical="top"/>
    </xf>
    <xf numFmtId="0" fontId="8" fillId="21" borderId="1" xfId="2" applyNumberFormat="1" applyFont="1" applyFill="1" applyBorder="1" applyAlignment="1">
      <alignment vertical="top" wrapText="1"/>
    </xf>
    <xf numFmtId="0" fontId="7" fillId="21" borderId="1" xfId="2" applyNumberFormat="1" applyFont="1" applyFill="1" applyBorder="1" applyAlignment="1">
      <alignment vertical="top" wrapText="1"/>
    </xf>
    <xf numFmtId="0" fontId="7" fillId="21" borderId="1" xfId="2" applyNumberFormat="1" applyFont="1" applyFill="1" applyBorder="1" applyAlignment="1">
      <alignment horizontal="right" vertical="top" wrapText="1"/>
    </xf>
    <xf numFmtId="164" fontId="7" fillId="0" borderId="1" xfId="1" applyNumberFormat="1" applyFont="1" applyFill="1" applyBorder="1" applyAlignment="1">
      <alignment horizontal="right" vertical="top"/>
    </xf>
    <xf numFmtId="43" fontId="17" fillId="9" borderId="1" xfId="2" applyFont="1" applyFill="1" applyBorder="1" applyAlignment="1">
      <alignment horizontal="right" vertical="top"/>
    </xf>
    <xf numFmtId="0" fontId="21" fillId="21" borderId="1" xfId="0" quotePrefix="1" applyFont="1" applyFill="1" applyBorder="1" applyAlignment="1">
      <alignment horizontal="center" vertical="top" wrapText="1"/>
    </xf>
    <xf numFmtId="0" fontId="17" fillId="21" borderId="1" xfId="3" applyNumberFormat="1" applyFont="1" applyFill="1" applyBorder="1" applyAlignment="1">
      <alignment horizontal="right" vertical="top"/>
    </xf>
    <xf numFmtId="0" fontId="21" fillId="0" borderId="1" xfId="0" applyFont="1" applyFill="1" applyBorder="1" applyAlignment="1">
      <alignment horizontal="center" vertical="top" wrapText="1"/>
    </xf>
    <xf numFmtId="0" fontId="21" fillId="0" borderId="1" xfId="0" quotePrefix="1" applyFont="1" applyFill="1" applyBorder="1" applyAlignment="1">
      <alignment horizontal="center" vertical="top" wrapText="1"/>
    </xf>
    <xf numFmtId="167" fontId="21" fillId="0" borderId="1" xfId="0" applyNumberFormat="1" applyFont="1" applyFill="1" applyBorder="1" applyAlignment="1">
      <alignment horizontal="right" vertical="top" wrapText="1"/>
    </xf>
    <xf numFmtId="41" fontId="21" fillId="0" borderId="1" xfId="0" applyNumberFormat="1" applyFont="1" applyFill="1" applyBorder="1" applyAlignment="1">
      <alignment horizontal="right" vertical="top" wrapText="1"/>
    </xf>
    <xf numFmtId="1" fontId="21" fillId="0" borderId="1" xfId="0" applyNumberFormat="1" applyFont="1" applyFill="1" applyBorder="1" applyAlignment="1">
      <alignment horizontal="right" vertical="top" wrapText="1"/>
    </xf>
    <xf numFmtId="169" fontId="21" fillId="0" borderId="1" xfId="0" applyNumberFormat="1" applyFont="1" applyFill="1" applyBorder="1" applyAlignment="1">
      <alignment horizontal="right" vertical="top" wrapText="1"/>
    </xf>
    <xf numFmtId="0" fontId="21" fillId="21" borderId="1" xfId="0" applyNumberFormat="1" applyFont="1" applyFill="1" applyBorder="1" applyAlignment="1">
      <alignment horizontal="right" vertical="top" wrapText="1"/>
    </xf>
    <xf numFmtId="169" fontId="17" fillId="21" borderId="1" xfId="0" applyNumberFormat="1" applyFont="1" applyFill="1" applyBorder="1" applyAlignment="1">
      <alignment horizontal="right" vertical="top" wrapText="1"/>
    </xf>
    <xf numFmtId="10" fontId="21" fillId="0" borderId="1" xfId="0" applyNumberFormat="1" applyFont="1" applyFill="1" applyBorder="1" applyAlignment="1">
      <alignment horizontal="right" vertical="top" wrapText="1"/>
    </xf>
    <xf numFmtId="0" fontId="17" fillId="21" borderId="1" xfId="0" quotePrefix="1" applyFont="1" applyFill="1" applyBorder="1" applyAlignment="1">
      <alignment horizontal="right" vertical="top" wrapText="1"/>
    </xf>
    <xf numFmtId="169" fontId="21" fillId="21" borderId="1" xfId="0" applyNumberFormat="1" applyFont="1" applyFill="1" applyBorder="1" applyAlignment="1">
      <alignment horizontal="right" vertical="top" wrapText="1"/>
    </xf>
    <xf numFmtId="167" fontId="17" fillId="21" borderId="1" xfId="0" applyNumberFormat="1" applyFont="1" applyFill="1" applyBorder="1" applyAlignment="1">
      <alignment horizontal="right" vertical="top" wrapText="1"/>
    </xf>
    <xf numFmtId="1" fontId="21" fillId="21" borderId="1" xfId="0" applyNumberFormat="1" applyFont="1" applyFill="1" applyBorder="1" applyAlignment="1">
      <alignment horizontal="right" vertical="top" wrapText="1"/>
    </xf>
    <xf numFmtId="41" fontId="17" fillId="0" borderId="1" xfId="0" applyNumberFormat="1" applyFont="1" applyFill="1" applyBorder="1" applyAlignment="1">
      <alignment horizontal="right" vertical="top" wrapText="1"/>
    </xf>
    <xf numFmtId="0" fontId="21" fillId="0" borderId="1" xfId="0" applyNumberFormat="1" applyFont="1" applyFill="1" applyBorder="1" applyAlignment="1">
      <alignment horizontal="right" vertical="top" wrapText="1"/>
    </xf>
    <xf numFmtId="4" fontId="21" fillId="0" borderId="1" xfId="1" applyNumberFormat="1" applyFont="1" applyFill="1" applyBorder="1" applyAlignment="1">
      <alignment horizontal="right" vertical="top" wrapText="1"/>
    </xf>
    <xf numFmtId="164" fontId="53" fillId="0" borderId="0" xfId="2" applyNumberFormat="1" applyFont="1" applyAlignment="1">
      <alignment vertical="top"/>
    </xf>
    <xf numFmtId="0" fontId="53" fillId="0" borderId="0" xfId="0" applyFont="1" applyAlignment="1">
      <alignment horizontal="right" vertical="top"/>
    </xf>
    <xf numFmtId="171" fontId="8" fillId="0" borderId="1" xfId="0" applyNumberFormat="1" applyFont="1" applyFill="1" applyBorder="1" applyAlignment="1">
      <alignment horizontal="right" vertical="top" wrapText="1"/>
    </xf>
    <xf numFmtId="3" fontId="8" fillId="0" borderId="1" xfId="0" applyNumberFormat="1" applyFont="1" applyFill="1" applyBorder="1" applyAlignment="1">
      <alignment horizontal="right" vertical="top" wrapText="1"/>
    </xf>
    <xf numFmtId="0" fontId="7" fillId="0" borderId="0" xfId="0" applyFont="1" applyFill="1" applyAlignment="1">
      <alignment horizontal="center" vertical="top"/>
    </xf>
    <xf numFmtId="0" fontId="7" fillId="0" borderId="0" xfId="0" applyFont="1" applyFill="1" applyAlignment="1">
      <alignment horizontal="left" vertical="top"/>
    </xf>
    <xf numFmtId="0" fontId="21" fillId="0" borderId="0" xfId="0" applyFont="1" applyFill="1" applyBorder="1" applyAlignment="1">
      <alignment vertical="top" wrapText="1"/>
    </xf>
    <xf numFmtId="0" fontId="21" fillId="0" borderId="0" xfId="0" applyFont="1" applyFill="1" applyBorder="1" applyAlignment="1">
      <alignment vertical="top"/>
    </xf>
    <xf numFmtId="2" fontId="40" fillId="0" borderId="0" xfId="0" applyNumberFormat="1" applyFont="1" applyFill="1" applyBorder="1" applyAlignment="1">
      <alignment vertical="top"/>
    </xf>
    <xf numFmtId="166" fontId="40" fillId="0" borderId="0" xfId="1" applyNumberFormat="1" applyFont="1" applyFill="1" applyBorder="1" applyAlignment="1">
      <alignment vertical="top"/>
    </xf>
    <xf numFmtId="0" fontId="42" fillId="0" borderId="0" xfId="0" applyFont="1" applyFill="1" applyBorder="1" applyAlignment="1">
      <alignment vertical="top"/>
    </xf>
    <xf numFmtId="0" fontId="46" fillId="0" borderId="0" xfId="0" applyFont="1" applyFill="1" applyAlignment="1">
      <alignment vertical="top"/>
    </xf>
    <xf numFmtId="0" fontId="46" fillId="0" borderId="0" xfId="0" applyFont="1" applyFill="1" applyBorder="1" applyAlignment="1">
      <alignment vertical="top"/>
    </xf>
    <xf numFmtId="41" fontId="44" fillId="0" borderId="0" xfId="1" applyFont="1" applyFill="1" applyBorder="1" applyAlignment="1">
      <alignment vertical="top"/>
    </xf>
    <xf numFmtId="0" fontId="41" fillId="0" borderId="0" xfId="0" applyFont="1" applyFill="1" applyBorder="1" applyAlignment="1">
      <alignment vertical="top"/>
    </xf>
    <xf numFmtId="41" fontId="8" fillId="0" borderId="0" xfId="0" applyNumberFormat="1" applyFont="1" applyFill="1" applyAlignment="1">
      <alignment vertical="top"/>
    </xf>
    <xf numFmtId="0" fontId="40" fillId="0" borderId="0" xfId="0" applyFont="1" applyFill="1" applyAlignment="1">
      <alignment vertical="top"/>
    </xf>
    <xf numFmtId="164" fontId="8" fillId="0" borderId="1" xfId="7" applyNumberFormat="1" applyFont="1" applyBorder="1" applyAlignment="1">
      <alignment vertical="top"/>
    </xf>
    <xf numFmtId="0" fontId="15" fillId="21" borderId="1" xfId="0" applyFont="1" applyFill="1" applyBorder="1" applyAlignment="1">
      <alignment horizontal="justify" vertical="top" wrapText="1"/>
    </xf>
    <xf numFmtId="41" fontId="7" fillId="0" borderId="1" xfId="1" applyFont="1" applyFill="1" applyBorder="1" applyAlignment="1">
      <alignment horizontal="right" vertical="top" wrapText="1"/>
    </xf>
    <xf numFmtId="164" fontId="7" fillId="0" borderId="1" xfId="0" applyNumberFormat="1" applyFont="1" applyFill="1" applyBorder="1" applyAlignment="1">
      <alignment horizontal="right" vertical="top" wrapText="1"/>
    </xf>
    <xf numFmtId="43" fontId="7" fillId="0" borderId="1" xfId="0" applyNumberFormat="1" applyFont="1" applyFill="1" applyBorder="1" applyAlignment="1">
      <alignment horizontal="right" vertical="top" wrapText="1"/>
    </xf>
    <xf numFmtId="43" fontId="7" fillId="0" borderId="1" xfId="0" applyNumberFormat="1" applyFont="1" applyFill="1" applyBorder="1" applyAlignment="1">
      <alignment vertical="top" wrapText="1"/>
    </xf>
    <xf numFmtId="164" fontId="8" fillId="9" borderId="1" xfId="0" applyNumberFormat="1" applyFont="1" applyFill="1" applyBorder="1" applyAlignment="1">
      <alignment horizontal="center" vertical="top" wrapText="1"/>
    </xf>
    <xf numFmtId="41" fontId="21" fillId="9" borderId="1" xfId="1" applyNumberFormat="1" applyFont="1" applyFill="1" applyBorder="1" applyAlignment="1">
      <alignment horizontal="right" vertical="top" wrapText="1"/>
    </xf>
    <xf numFmtId="41" fontId="21" fillId="9" borderId="1" xfId="1" applyNumberFormat="1" applyFont="1" applyFill="1" applyBorder="1" applyAlignment="1">
      <alignment horizontal="right" vertical="top"/>
    </xf>
    <xf numFmtId="41" fontId="21" fillId="9" borderId="1" xfId="1" quotePrefix="1" applyNumberFormat="1" applyFont="1" applyFill="1" applyBorder="1" applyAlignment="1">
      <alignment horizontal="right" vertical="top"/>
    </xf>
    <xf numFmtId="41" fontId="21" fillId="9" borderId="1" xfId="1" applyNumberFormat="1" applyFont="1" applyFill="1" applyBorder="1" applyAlignment="1">
      <alignment vertical="top"/>
    </xf>
    <xf numFmtId="41" fontId="21" fillId="9" borderId="1" xfId="1" quotePrefix="1" applyNumberFormat="1" applyFont="1" applyFill="1" applyBorder="1" applyAlignment="1">
      <alignment horizontal="right" vertical="top" wrapText="1"/>
    </xf>
    <xf numFmtId="0" fontId="21" fillId="9" borderId="1" xfId="0" quotePrefix="1" applyFont="1" applyFill="1" applyBorder="1" applyAlignment="1">
      <alignment horizontal="center" vertical="top" wrapText="1"/>
    </xf>
    <xf numFmtId="41" fontId="17" fillId="21" borderId="1" xfId="4" applyNumberFormat="1" applyFont="1" applyFill="1" applyBorder="1" applyAlignment="1">
      <alignment horizontal="right" vertical="top" wrapText="1"/>
    </xf>
    <xf numFmtId="0" fontId="35" fillId="9" borderId="1" xfId="0" applyFont="1" applyFill="1" applyBorder="1" applyAlignment="1">
      <alignment horizontal="center" vertical="top"/>
    </xf>
    <xf numFmtId="0" fontId="35" fillId="9" borderId="1" xfId="0" applyFont="1" applyFill="1" applyBorder="1" applyAlignment="1">
      <alignment vertical="top" wrapText="1"/>
    </xf>
    <xf numFmtId="0" fontId="35" fillId="9" borderId="1" xfId="0" applyFont="1" applyFill="1" applyBorder="1" applyAlignment="1">
      <alignment horizontal="right" vertical="top" wrapText="1"/>
    </xf>
    <xf numFmtId="0" fontId="35" fillId="9" borderId="1" xfId="0" applyFont="1" applyFill="1" applyBorder="1" applyAlignment="1">
      <alignment horizontal="center" vertical="top" wrapText="1"/>
    </xf>
    <xf numFmtId="0" fontId="35" fillId="9" borderId="0" xfId="0" applyFont="1" applyFill="1" applyAlignment="1">
      <alignment vertical="top"/>
    </xf>
    <xf numFmtId="41" fontId="21" fillId="9" borderId="1" xfId="4" quotePrefix="1" applyFont="1" applyFill="1" applyBorder="1" applyAlignment="1">
      <alignment horizontal="right" vertical="top" wrapText="1"/>
    </xf>
    <xf numFmtId="3" fontId="21" fillId="9" borderId="1" xfId="4" quotePrefix="1" applyNumberFormat="1" applyFont="1" applyFill="1" applyBorder="1" applyAlignment="1">
      <alignment horizontal="right" vertical="top" wrapText="1"/>
    </xf>
    <xf numFmtId="41" fontId="8" fillId="9" borderId="1" xfId="0" quotePrefix="1" applyNumberFormat="1" applyFont="1" applyFill="1" applyBorder="1" applyAlignment="1">
      <alignment horizontal="right" vertical="top" wrapText="1"/>
    </xf>
    <xf numFmtId="41" fontId="8" fillId="0" borderId="1" xfId="1" quotePrefix="1" applyNumberFormat="1" applyFont="1" applyBorder="1" applyAlignment="1">
      <alignment horizontal="right" vertical="top" wrapText="1"/>
    </xf>
    <xf numFmtId="41" fontId="8" fillId="0" borderId="1" xfId="1" quotePrefix="1" applyFont="1" applyBorder="1" applyAlignment="1">
      <alignment vertical="top" wrapText="1"/>
    </xf>
    <xf numFmtId="41" fontId="15" fillId="0" borderId="1" xfId="1" quotePrefix="1" applyFont="1" applyBorder="1" applyAlignment="1">
      <alignment horizontal="center" vertical="top" wrapText="1"/>
    </xf>
    <xf numFmtId="41" fontId="15" fillId="0" borderId="1" xfId="1" quotePrefix="1" applyNumberFormat="1" applyFont="1" applyBorder="1" applyAlignment="1">
      <alignment horizontal="right" vertical="top" wrapText="1"/>
    </xf>
    <xf numFmtId="164" fontId="15" fillId="0" borderId="1" xfId="2" quotePrefix="1" applyNumberFormat="1" applyFont="1" applyBorder="1" applyAlignment="1">
      <alignment horizontal="center" vertical="top" wrapText="1"/>
    </xf>
    <xf numFmtId="166" fontId="8" fillId="0" borderId="1" xfId="1" quotePrefix="1" applyNumberFormat="1" applyFont="1" applyBorder="1" applyAlignment="1">
      <alignment horizontal="right" vertical="top" wrapText="1"/>
    </xf>
    <xf numFmtId="166" fontId="21" fillId="0" borderId="1" xfId="1" quotePrefix="1" applyNumberFormat="1" applyFont="1" applyBorder="1" applyAlignment="1">
      <alignment horizontal="right" vertical="top" wrapText="1"/>
    </xf>
    <xf numFmtId="41" fontId="21" fillId="0" borderId="1" xfId="1" quotePrefix="1" applyFont="1" applyBorder="1" applyAlignment="1">
      <alignment horizontal="right" vertical="top" wrapText="1"/>
    </xf>
    <xf numFmtId="41" fontId="8" fillId="0" borderId="1" xfId="1" quotePrefix="1" applyFont="1" applyBorder="1" applyAlignment="1">
      <alignment horizontal="right" vertical="top" wrapText="1"/>
    </xf>
    <xf numFmtId="43" fontId="7" fillId="21" borderId="1" xfId="2" quotePrefix="1" applyFont="1" applyFill="1" applyBorder="1" applyAlignment="1">
      <alignment horizontal="right" vertical="top"/>
    </xf>
    <xf numFmtId="164" fontId="7" fillId="0" borderId="1" xfId="2" applyNumberFormat="1" applyFont="1" applyFill="1" applyBorder="1" applyAlignment="1">
      <alignment horizontal="center" vertical="top" wrapText="1"/>
    </xf>
    <xf numFmtId="0" fontId="23" fillId="0" borderId="1" xfId="0" applyFont="1" applyFill="1" applyBorder="1" applyAlignment="1">
      <alignment horizontal="center" vertical="top" wrapText="1"/>
    </xf>
    <xf numFmtId="41" fontId="8" fillId="0" borderId="1" xfId="1" quotePrefix="1" applyFont="1" applyFill="1" applyBorder="1" applyAlignment="1">
      <alignment vertical="top" wrapText="1"/>
    </xf>
    <xf numFmtId="9" fontId="8" fillId="0" borderId="1" xfId="3" applyNumberFormat="1" applyFont="1" applyFill="1" applyBorder="1" applyAlignment="1">
      <alignment vertical="top" wrapText="1"/>
    </xf>
    <xf numFmtId="39" fontId="17" fillId="21" borderId="1" xfId="1" applyNumberFormat="1" applyFont="1" applyFill="1" applyBorder="1" applyAlignment="1">
      <alignment horizontal="right" vertical="top"/>
    </xf>
    <xf numFmtId="41" fontId="21" fillId="0" borderId="1" xfId="1" applyNumberFormat="1" applyFont="1" applyFill="1" applyBorder="1" applyAlignment="1">
      <alignment horizontal="right" vertical="top"/>
    </xf>
    <xf numFmtId="37" fontId="21" fillId="0" borderId="1" xfId="1" applyNumberFormat="1" applyFont="1" applyBorder="1" applyAlignment="1">
      <alignment vertical="top" wrapText="1"/>
    </xf>
    <xf numFmtId="41" fontId="7" fillId="21" borderId="1" xfId="1" quotePrefix="1" applyFont="1" applyFill="1" applyBorder="1" applyAlignment="1">
      <alignment vertical="top" wrapText="1"/>
    </xf>
    <xf numFmtId="166" fontId="8" fillId="0" borderId="1" xfId="1" applyNumberFormat="1" applyFont="1" applyBorder="1" applyAlignment="1">
      <alignment vertical="top"/>
    </xf>
    <xf numFmtId="41" fontId="21" fillId="9" borderId="1" xfId="0" applyNumberFormat="1" applyFont="1" applyFill="1" applyBorder="1" applyAlignment="1">
      <alignment vertical="top" wrapText="1"/>
    </xf>
    <xf numFmtId="0" fontId="8" fillId="9" borderId="1" xfId="0" quotePrefix="1" applyNumberFormat="1" applyFont="1" applyFill="1" applyBorder="1" applyAlignment="1">
      <alignment horizontal="right" vertical="top" wrapText="1"/>
    </xf>
    <xf numFmtId="43" fontId="17" fillId="21" borderId="1" xfId="0" applyNumberFormat="1" applyFont="1" applyFill="1" applyBorder="1" applyAlignment="1">
      <alignment horizontal="right" vertical="top"/>
    </xf>
    <xf numFmtId="164" fontId="41" fillId="0" borderId="0" xfId="0" applyNumberFormat="1" applyFont="1" applyFill="1" applyAlignment="1">
      <alignment vertical="top"/>
    </xf>
    <xf numFmtId="10" fontId="7" fillId="21" borderId="1" xfId="3" applyNumberFormat="1" applyFont="1" applyFill="1" applyBorder="1" applyAlignment="1">
      <alignment horizontal="right" vertical="top"/>
    </xf>
    <xf numFmtId="43" fontId="8" fillId="0" borderId="0" xfId="0" applyNumberFormat="1" applyFont="1" applyFill="1" applyAlignment="1">
      <alignment horizontal="left" vertical="top"/>
    </xf>
    <xf numFmtId="164" fontId="8" fillId="0" borderId="0" xfId="0" applyNumberFormat="1" applyFont="1" applyFill="1" applyAlignment="1">
      <alignment vertical="top"/>
    </xf>
    <xf numFmtId="173" fontId="8" fillId="9" borderId="1" xfId="1" applyNumberFormat="1" applyFont="1" applyFill="1" applyBorder="1" applyAlignment="1">
      <alignment vertical="top" wrapText="1"/>
    </xf>
    <xf numFmtId="164" fontId="8" fillId="0" borderId="0" xfId="0" applyNumberFormat="1" applyFont="1" applyFill="1" applyAlignment="1">
      <alignment vertical="top" wrapText="1"/>
    </xf>
    <xf numFmtId="41" fontId="46" fillId="0" borderId="0" xfId="0" applyNumberFormat="1" applyFont="1" applyFill="1" applyAlignment="1">
      <alignment vertical="top"/>
    </xf>
    <xf numFmtId="41" fontId="42" fillId="0" borderId="0" xfId="0" applyNumberFormat="1" applyFont="1" applyFill="1" applyBorder="1" applyAlignment="1">
      <alignment vertical="top"/>
    </xf>
    <xf numFmtId="41" fontId="44" fillId="0" borderId="0" xfId="0" applyNumberFormat="1" applyFont="1" applyFill="1" applyAlignment="1">
      <alignment vertical="top"/>
    </xf>
    <xf numFmtId="41" fontId="0" fillId="0" borderId="0" xfId="1" applyFont="1"/>
    <xf numFmtId="41" fontId="0" fillId="0" borderId="0" xfId="1" applyNumberFormat="1" applyFont="1"/>
    <xf numFmtId="41" fontId="0" fillId="0" borderId="0" xfId="0" applyNumberFormat="1"/>
    <xf numFmtId="164" fontId="8" fillId="0" borderId="1" xfId="2" applyNumberFormat="1" applyFont="1" applyBorder="1" applyAlignment="1">
      <alignment horizontal="center" vertical="top" wrapText="1"/>
    </xf>
    <xf numFmtId="0" fontId="8" fillId="21" borderId="1" xfId="0" applyFont="1" applyFill="1" applyBorder="1" applyAlignment="1">
      <alignment horizontal="center" vertical="top"/>
    </xf>
    <xf numFmtId="0" fontId="8" fillId="21" borderId="1" xfId="0" applyFont="1" applyFill="1" applyBorder="1" applyAlignment="1">
      <alignment horizontal="center" vertical="top" wrapText="1"/>
    </xf>
    <xf numFmtId="178" fontId="8" fillId="0" borderId="1" xfId="0" applyNumberFormat="1" applyFont="1" applyBorder="1" applyAlignment="1">
      <alignment vertical="top" wrapText="1"/>
    </xf>
    <xf numFmtId="178" fontId="7" fillId="21" borderId="1" xfId="0" applyNumberFormat="1" applyFont="1" applyFill="1" applyBorder="1" applyAlignment="1">
      <alignment vertical="top" wrapText="1"/>
    </xf>
    <xf numFmtId="178" fontId="8" fillId="0" borderId="1" xfId="0" quotePrefix="1" applyNumberFormat="1" applyFont="1" applyBorder="1" applyAlignment="1">
      <alignment vertical="top" wrapText="1"/>
    </xf>
    <xf numFmtId="178" fontId="8" fillId="9" borderId="1" xfId="0" applyNumberFormat="1" applyFont="1" applyFill="1" applyBorder="1" applyAlignment="1">
      <alignment vertical="top" wrapText="1"/>
    </xf>
    <xf numFmtId="178" fontId="8" fillId="0" borderId="1" xfId="0" quotePrefix="1" applyNumberFormat="1" applyFont="1" applyBorder="1" applyAlignment="1">
      <alignment horizontal="right" vertical="top" wrapText="1"/>
    </xf>
    <xf numFmtId="0" fontId="21" fillId="21" borderId="1" xfId="0" applyFont="1" applyFill="1" applyBorder="1" applyAlignment="1">
      <alignment horizontal="center" vertical="top"/>
    </xf>
    <xf numFmtId="41" fontId="21" fillId="21" borderId="1" xfId="1" applyNumberFormat="1" applyFont="1" applyFill="1" applyBorder="1" applyAlignment="1">
      <alignment horizontal="right" vertical="top"/>
    </xf>
    <xf numFmtId="41" fontId="21" fillId="21" borderId="1" xfId="1" quotePrefix="1" applyNumberFormat="1" applyFont="1" applyFill="1" applyBorder="1" applyAlignment="1">
      <alignment horizontal="right" vertical="top"/>
    </xf>
    <xf numFmtId="166" fontId="17" fillId="21" borderId="1" xfId="4" applyNumberFormat="1" applyFont="1" applyFill="1" applyBorder="1" applyAlignment="1">
      <alignment horizontal="right" vertical="top"/>
    </xf>
    <xf numFmtId="41" fontId="17" fillId="21" borderId="1" xfId="4" applyNumberFormat="1" applyFont="1" applyFill="1" applyBorder="1" applyAlignment="1">
      <alignment horizontal="right" vertical="top"/>
    </xf>
    <xf numFmtId="0" fontId="17" fillId="21" borderId="1" xfId="4" applyNumberFormat="1" applyFont="1" applyFill="1" applyBorder="1" applyAlignment="1">
      <alignment horizontal="right" vertical="top"/>
    </xf>
    <xf numFmtId="41" fontId="17" fillId="21" borderId="1" xfId="4" applyFont="1" applyFill="1" applyBorder="1" applyAlignment="1">
      <alignment horizontal="right" vertical="top"/>
    </xf>
    <xf numFmtId="2" fontId="17" fillId="21" borderId="1" xfId="4" applyNumberFormat="1" applyFont="1" applyFill="1" applyBorder="1" applyAlignment="1">
      <alignment horizontal="right" vertical="top"/>
    </xf>
    <xf numFmtId="168" fontId="17" fillId="21" borderId="1" xfId="4" applyNumberFormat="1" applyFont="1" applyFill="1" applyBorder="1" applyAlignment="1">
      <alignment horizontal="right" vertical="top"/>
    </xf>
    <xf numFmtId="41" fontId="21" fillId="21" borderId="1" xfId="1" applyNumberFormat="1" applyFont="1" applyFill="1" applyBorder="1" applyAlignment="1">
      <alignment horizontal="right" vertical="top" wrapText="1"/>
    </xf>
    <xf numFmtId="167" fontId="17" fillId="21" borderId="1" xfId="1" applyNumberFormat="1" applyFont="1" applyFill="1" applyBorder="1" applyAlignment="1">
      <alignment horizontal="right" vertical="top" wrapText="1"/>
    </xf>
    <xf numFmtId="41" fontId="17" fillId="21" borderId="1" xfId="4" applyFont="1" applyFill="1" applyBorder="1" applyAlignment="1">
      <alignment horizontal="center" vertical="top"/>
    </xf>
    <xf numFmtId="41" fontId="17" fillId="21" borderId="1" xfId="1" applyNumberFormat="1" applyFont="1" applyFill="1" applyBorder="1" applyAlignment="1">
      <alignment vertical="top"/>
    </xf>
    <xf numFmtId="41" fontId="17" fillId="21" borderId="1" xfId="4" applyFont="1" applyFill="1" applyBorder="1" applyAlignment="1">
      <alignment vertical="top"/>
    </xf>
    <xf numFmtId="10" fontId="8" fillId="0" borderId="1" xfId="0" applyNumberFormat="1" applyFont="1" applyBorder="1" applyAlignment="1">
      <alignment vertical="top" wrapText="1"/>
    </xf>
    <xf numFmtId="10" fontId="8" fillId="21" borderId="1" xfId="0" applyNumberFormat="1" applyFont="1" applyFill="1" applyBorder="1" applyAlignment="1">
      <alignment horizontal="right" vertical="top" wrapText="1"/>
    </xf>
    <xf numFmtId="10" fontId="8" fillId="0" borderId="1" xfId="0" applyNumberFormat="1" applyFont="1" applyBorder="1" applyAlignment="1">
      <alignment horizontal="right" vertical="top" wrapText="1"/>
    </xf>
    <xf numFmtId="10" fontId="7" fillId="0" borderId="1" xfId="0" applyNumberFormat="1" applyFont="1" applyBorder="1" applyAlignment="1">
      <alignment vertical="top" wrapText="1"/>
    </xf>
    <xf numFmtId="9" fontId="7" fillId="21" borderId="1" xfId="3" applyFont="1" applyFill="1" applyBorder="1" applyAlignment="1">
      <alignment vertical="top"/>
    </xf>
    <xf numFmtId="1" fontId="8" fillId="0" borderId="1" xfId="0" applyNumberFormat="1" applyFont="1" applyBorder="1" applyAlignment="1">
      <alignment vertical="top" wrapText="1"/>
    </xf>
    <xf numFmtId="1" fontId="17" fillId="21" borderId="1" xfId="6" applyNumberFormat="1" applyFont="1" applyFill="1" applyBorder="1" applyAlignment="1">
      <alignment vertical="top"/>
    </xf>
    <xf numFmtId="168" fontId="17" fillId="21" borderId="1" xfId="6" applyNumberFormat="1" applyFont="1" applyFill="1" applyBorder="1" applyAlignment="1">
      <alignment vertical="top"/>
    </xf>
    <xf numFmtId="1" fontId="8" fillId="0" borderId="1" xfId="0" applyNumberFormat="1" applyFont="1" applyFill="1" applyBorder="1" applyAlignment="1">
      <alignment vertical="top" wrapText="1"/>
    </xf>
    <xf numFmtId="168" fontId="8" fillId="0" borderId="1" xfId="0" applyNumberFormat="1" applyFont="1" applyBorder="1" applyAlignment="1">
      <alignment horizontal="right" vertical="top" wrapText="1"/>
    </xf>
    <xf numFmtId="1" fontId="8" fillId="0" borderId="1" xfId="0" applyNumberFormat="1" applyFont="1" applyBorder="1" applyAlignment="1">
      <alignment horizontal="right" vertical="top" wrapText="1"/>
    </xf>
    <xf numFmtId="1" fontId="7" fillId="21" borderId="1" xfId="0" applyNumberFormat="1" applyFont="1" applyFill="1" applyBorder="1" applyAlignment="1">
      <alignment vertical="top" wrapText="1"/>
    </xf>
    <xf numFmtId="2" fontId="8" fillId="21" borderId="1" xfId="0" applyNumberFormat="1" applyFont="1" applyFill="1" applyBorder="1" applyAlignment="1">
      <alignment vertical="top" wrapText="1"/>
    </xf>
    <xf numFmtId="1" fontId="8" fillId="21" borderId="1" xfId="0" applyNumberFormat="1" applyFont="1" applyFill="1" applyBorder="1" applyAlignment="1">
      <alignment vertical="top" wrapText="1"/>
    </xf>
    <xf numFmtId="1" fontId="8" fillId="0" borderId="1" xfId="0" quotePrefix="1" applyNumberFormat="1" applyFont="1" applyFill="1" applyBorder="1" applyAlignment="1">
      <alignment vertical="top" wrapText="1"/>
    </xf>
    <xf numFmtId="37" fontId="7" fillId="21" borderId="1" xfId="2" applyNumberFormat="1" applyFont="1" applyFill="1" applyBorder="1" applyAlignment="1">
      <alignment horizontal="right" vertical="top"/>
    </xf>
    <xf numFmtId="167" fontId="21" fillId="0" borderId="1" xfId="0" applyNumberFormat="1" applyFont="1" applyBorder="1" applyAlignment="1">
      <alignment vertical="top" wrapText="1"/>
    </xf>
    <xf numFmtId="41" fontId="17" fillId="21" borderId="1" xfId="0" applyNumberFormat="1" applyFont="1" applyFill="1" applyBorder="1" applyAlignment="1">
      <alignment horizontal="center" vertical="top" wrapText="1"/>
    </xf>
    <xf numFmtId="167" fontId="21" fillId="9" borderId="1" xfId="0" applyNumberFormat="1" applyFont="1" applyFill="1" applyBorder="1" applyAlignment="1">
      <alignment vertical="top" wrapText="1"/>
    </xf>
    <xf numFmtId="167" fontId="17" fillId="21" borderId="1" xfId="0" applyNumberFormat="1" applyFont="1" applyFill="1" applyBorder="1" applyAlignment="1">
      <alignment vertical="top" wrapText="1"/>
    </xf>
    <xf numFmtId="0" fontId="8" fillId="7" borderId="1" xfId="0" applyFont="1" applyFill="1" applyBorder="1" applyAlignment="1">
      <alignment vertical="top"/>
    </xf>
    <xf numFmtId="0" fontId="8" fillId="8" borderId="1" xfId="0" applyFont="1" applyFill="1" applyBorder="1" applyAlignment="1">
      <alignment vertical="top"/>
    </xf>
    <xf numFmtId="164" fontId="7" fillId="8" borderId="1" xfId="2" applyNumberFormat="1" applyFont="1" applyFill="1" applyBorder="1" applyAlignment="1">
      <alignment vertical="top"/>
    </xf>
    <xf numFmtId="0" fontId="8" fillId="8" borderId="1" xfId="0" applyFont="1" applyFill="1" applyBorder="1" applyAlignment="1">
      <alignment horizontal="right" vertical="top"/>
    </xf>
    <xf numFmtId="0" fontId="7" fillId="8" borderId="1" xfId="0" applyFont="1" applyFill="1" applyBorder="1" applyAlignment="1">
      <alignment vertical="top"/>
    </xf>
    <xf numFmtId="3" fontId="21" fillId="0" borderId="1" xfId="1" applyNumberFormat="1" applyFont="1" applyFill="1" applyBorder="1" applyAlignment="1">
      <alignment horizontal="right" vertical="top" wrapText="1"/>
    </xf>
    <xf numFmtId="41" fontId="21" fillId="9" borderId="1" xfId="1" applyNumberFormat="1" applyFont="1" applyFill="1" applyBorder="1" applyAlignment="1">
      <alignment horizontal="left" vertical="top"/>
    </xf>
    <xf numFmtId="0" fontId="17" fillId="20" borderId="1" xfId="0" applyFont="1" applyFill="1" applyBorder="1" applyAlignment="1">
      <alignment vertical="top"/>
    </xf>
    <xf numFmtId="164" fontId="17" fillId="20" borderId="1" xfId="2" applyNumberFormat="1" applyFont="1" applyFill="1" applyBorder="1" applyAlignment="1">
      <alignment vertical="top"/>
    </xf>
    <xf numFmtId="184" fontId="8" fillId="0" borderId="1" xfId="2" applyNumberFormat="1" applyFont="1" applyBorder="1" applyAlignment="1">
      <alignment vertical="top"/>
    </xf>
    <xf numFmtId="9" fontId="8" fillId="0" borderId="1" xfId="0" applyNumberFormat="1" applyFont="1" applyBorder="1" applyAlignment="1">
      <alignment vertical="top"/>
    </xf>
    <xf numFmtId="173" fontId="21" fillId="9" borderId="1" xfId="1" applyNumberFormat="1" applyFont="1" applyFill="1" applyBorder="1" applyAlignment="1">
      <alignment vertical="top" wrapText="1"/>
    </xf>
    <xf numFmtId="41" fontId="21" fillId="21" borderId="1" xfId="0" applyNumberFormat="1" applyFont="1" applyFill="1" applyBorder="1" applyAlignment="1">
      <alignment horizontal="center" vertical="top"/>
    </xf>
    <xf numFmtId="167" fontId="21" fillId="0" borderId="1" xfId="0" applyNumberFormat="1" applyFont="1" applyBorder="1" applyAlignment="1">
      <alignment vertical="top"/>
    </xf>
    <xf numFmtId="165" fontId="7" fillId="21" borderId="1" xfId="1" applyNumberFormat="1" applyFont="1" applyFill="1" applyBorder="1" applyAlignment="1">
      <alignment vertical="top" wrapText="1"/>
    </xf>
    <xf numFmtId="41" fontId="7" fillId="21" borderId="1" xfId="1" applyNumberFormat="1" applyFont="1" applyFill="1" applyBorder="1" applyAlignment="1">
      <alignment vertical="top" wrapText="1"/>
    </xf>
    <xf numFmtId="0" fontId="7" fillId="22" borderId="1" xfId="0" applyFont="1" applyFill="1" applyBorder="1" applyAlignment="1">
      <alignment horizontal="right" vertical="top"/>
    </xf>
    <xf numFmtId="41" fontId="7" fillId="22" borderId="1" xfId="0" applyNumberFormat="1" applyFont="1" applyFill="1" applyBorder="1" applyAlignment="1">
      <alignment horizontal="right" vertical="top"/>
    </xf>
    <xf numFmtId="164" fontId="7" fillId="22" borderId="1" xfId="2" applyNumberFormat="1" applyFont="1" applyFill="1" applyBorder="1" applyAlignment="1">
      <alignment horizontal="right" vertical="top"/>
    </xf>
    <xf numFmtId="3" fontId="8" fillId="9" borderId="1" xfId="0" applyNumberFormat="1" applyFont="1" applyFill="1" applyBorder="1" applyAlignment="1">
      <alignment vertical="top" wrapText="1"/>
    </xf>
    <xf numFmtId="9" fontId="8" fillId="9" borderId="1" xfId="0" applyNumberFormat="1" applyFont="1" applyFill="1" applyBorder="1" applyAlignment="1">
      <alignment vertical="top" wrapText="1"/>
    </xf>
    <xf numFmtId="3" fontId="7" fillId="21" borderId="1" xfId="0" applyNumberFormat="1" applyFont="1" applyFill="1" applyBorder="1" applyAlignment="1">
      <alignment vertical="top" wrapText="1"/>
    </xf>
    <xf numFmtId="1" fontId="8" fillId="9" borderId="1" xfId="0" applyNumberFormat="1" applyFont="1" applyFill="1" applyBorder="1" applyAlignment="1">
      <alignment vertical="top" wrapText="1"/>
    </xf>
    <xf numFmtId="43" fontId="7" fillId="21" borderId="1" xfId="2" applyFont="1" applyFill="1" applyBorder="1" applyAlignment="1">
      <alignment vertical="top" wrapText="1"/>
    </xf>
    <xf numFmtId="3" fontId="7" fillId="21" borderId="1" xfId="1" applyNumberFormat="1" applyFont="1" applyFill="1" applyBorder="1" applyAlignment="1">
      <alignment horizontal="right" vertical="top" wrapText="1"/>
    </xf>
    <xf numFmtId="3" fontId="7" fillId="21" borderId="1" xfId="1" applyNumberFormat="1" applyFont="1" applyFill="1" applyBorder="1" applyAlignment="1">
      <alignment horizontal="right" vertical="top"/>
    </xf>
    <xf numFmtId="3" fontId="7" fillId="21" borderId="1" xfId="0" applyNumberFormat="1" applyFont="1" applyFill="1" applyBorder="1" applyAlignment="1">
      <alignment horizontal="center" vertical="top" wrapText="1"/>
    </xf>
    <xf numFmtId="3" fontId="8" fillId="0" borderId="1" xfId="1" applyNumberFormat="1" applyFont="1" applyFill="1" applyBorder="1" applyAlignment="1">
      <alignment horizontal="right" vertical="top" wrapText="1"/>
    </xf>
    <xf numFmtId="3" fontId="8" fillId="0" borderId="1" xfId="4" applyNumberFormat="1" applyFont="1" applyFill="1" applyBorder="1" applyAlignment="1">
      <alignment horizontal="right" vertical="top" wrapText="1"/>
    </xf>
    <xf numFmtId="3" fontId="8" fillId="9" borderId="1" xfId="1" applyNumberFormat="1" applyFont="1" applyFill="1" applyBorder="1" applyAlignment="1">
      <alignment horizontal="right" vertical="top" wrapText="1"/>
    </xf>
    <xf numFmtId="3" fontId="8" fillId="0" borderId="1" xfId="1" applyNumberFormat="1" applyFont="1" applyFill="1" applyBorder="1" applyAlignment="1">
      <alignment horizontal="center" vertical="top" wrapText="1"/>
    </xf>
    <xf numFmtId="3" fontId="8" fillId="0" borderId="1" xfId="7" applyNumberFormat="1" applyFont="1" applyFill="1" applyBorder="1" applyAlignment="1">
      <alignment vertical="top" wrapText="1"/>
    </xf>
    <xf numFmtId="10" fontId="8" fillId="9" borderId="1" xfId="0" applyNumberFormat="1" applyFont="1" applyFill="1" applyBorder="1" applyAlignment="1">
      <alignment horizontal="center" vertical="top" wrapText="1"/>
    </xf>
    <xf numFmtId="3" fontId="8" fillId="9" borderId="1" xfId="1" applyNumberFormat="1" applyFont="1" applyFill="1" applyBorder="1" applyAlignment="1">
      <alignment horizontal="center" vertical="top" wrapText="1"/>
    </xf>
    <xf numFmtId="0" fontId="8" fillId="0" borderId="1" xfId="3" applyNumberFormat="1" applyFont="1" applyFill="1" applyBorder="1" applyAlignment="1">
      <alignment horizontal="right" vertical="top" wrapText="1"/>
    </xf>
    <xf numFmtId="3" fontId="8" fillId="0" borderId="1" xfId="0" applyNumberFormat="1" applyFont="1" applyFill="1" applyBorder="1" applyAlignment="1">
      <alignment horizontal="center" vertical="top" wrapText="1"/>
    </xf>
    <xf numFmtId="2" fontId="8" fillId="0" borderId="1" xfId="0" applyNumberFormat="1" applyFont="1" applyFill="1" applyBorder="1" applyAlignment="1">
      <alignment horizontal="right" vertical="top" wrapText="1"/>
    </xf>
    <xf numFmtId="9" fontId="8" fillId="0" borderId="1" xfId="3" applyFont="1" applyFill="1" applyBorder="1" applyAlignment="1">
      <alignment horizontal="center" vertical="top" wrapText="1"/>
    </xf>
    <xf numFmtId="3" fontId="8" fillId="0" borderId="1" xfId="4" applyNumberFormat="1" applyFont="1" applyFill="1" applyBorder="1" applyAlignment="1">
      <alignment horizontal="right" vertical="top"/>
    </xf>
    <xf numFmtId="3" fontId="8" fillId="9" borderId="1" xfId="1" applyNumberFormat="1" applyFont="1" applyFill="1" applyBorder="1" applyAlignment="1">
      <alignment horizontal="right" vertical="top"/>
    </xf>
    <xf numFmtId="3" fontId="8" fillId="0" borderId="1" xfId="0" applyNumberFormat="1" applyFont="1" applyFill="1" applyBorder="1" applyAlignment="1">
      <alignment vertical="top" wrapText="1"/>
    </xf>
    <xf numFmtId="3" fontId="8" fillId="0" borderId="1" xfId="1" applyNumberFormat="1" applyFont="1" applyFill="1" applyBorder="1" applyAlignment="1">
      <alignment vertical="top" wrapText="1"/>
    </xf>
    <xf numFmtId="3" fontId="8" fillId="0" borderId="1" xfId="7" quotePrefix="1" applyNumberFormat="1" applyFont="1" applyFill="1" applyBorder="1" applyAlignment="1">
      <alignment vertical="top" wrapText="1"/>
    </xf>
    <xf numFmtId="3" fontId="7" fillId="21" borderId="1" xfId="4" applyNumberFormat="1" applyFont="1" applyFill="1" applyBorder="1" applyAlignment="1">
      <alignment horizontal="right" vertical="top" wrapText="1"/>
    </xf>
    <xf numFmtId="3" fontId="7" fillId="21" borderId="1" xfId="1" applyNumberFormat="1" applyFont="1" applyFill="1" applyBorder="1" applyAlignment="1">
      <alignment vertical="top" wrapText="1"/>
    </xf>
    <xf numFmtId="41" fontId="21" fillId="9" borderId="1" xfId="0" quotePrefix="1" applyNumberFormat="1" applyFont="1" applyFill="1" applyBorder="1" applyAlignment="1">
      <alignment vertical="top"/>
    </xf>
    <xf numFmtId="3" fontId="7" fillId="21" borderId="1" xfId="1" applyNumberFormat="1" applyFont="1" applyFill="1" applyBorder="1" applyAlignment="1">
      <alignment horizontal="center" vertical="top" wrapText="1"/>
    </xf>
    <xf numFmtId="169" fontId="17" fillId="21" borderId="1" xfId="0" applyNumberFormat="1" applyFont="1" applyFill="1" applyBorder="1" applyAlignment="1">
      <alignment horizontal="right" vertical="top"/>
    </xf>
    <xf numFmtId="166" fontId="17" fillId="21" borderId="1" xfId="2" applyNumberFormat="1" applyFont="1" applyFill="1" applyBorder="1" applyAlignment="1">
      <alignment horizontal="right" vertical="top"/>
    </xf>
    <xf numFmtId="3" fontId="8" fillId="21" borderId="1" xfId="7" applyNumberFormat="1" applyFont="1" applyFill="1" applyBorder="1" applyAlignment="1">
      <alignment vertical="top" wrapText="1"/>
    </xf>
    <xf numFmtId="4" fontId="7" fillId="21" borderId="1" xfId="1" applyNumberFormat="1" applyFont="1" applyFill="1" applyBorder="1" applyAlignment="1">
      <alignment horizontal="right" vertical="top" wrapText="1"/>
    </xf>
    <xf numFmtId="4" fontId="8" fillId="0" borderId="1" xfId="1" applyNumberFormat="1" applyFont="1" applyFill="1" applyBorder="1" applyAlignment="1">
      <alignment horizontal="right" vertical="top" wrapText="1"/>
    </xf>
    <xf numFmtId="3" fontId="8" fillId="0" borderId="1" xfId="7" quotePrefix="1" applyNumberFormat="1" applyFont="1" applyFill="1" applyBorder="1" applyAlignment="1">
      <alignment horizontal="right" vertical="top" wrapText="1"/>
    </xf>
    <xf numFmtId="164" fontId="7" fillId="21" borderId="1" xfId="3" applyNumberFormat="1" applyFont="1" applyFill="1" applyBorder="1" applyAlignment="1">
      <alignment horizontal="right" vertical="top" wrapText="1"/>
    </xf>
    <xf numFmtId="3" fontId="8" fillId="0" borderId="1" xfId="2" applyNumberFormat="1" applyFont="1" applyFill="1" applyBorder="1" applyAlignment="1">
      <alignment horizontal="right" vertical="top" wrapText="1"/>
    </xf>
    <xf numFmtId="180" fontId="8" fillId="0" borderId="1" xfId="0" applyNumberFormat="1" applyFont="1" applyFill="1" applyBorder="1" applyAlignment="1">
      <alignment horizontal="right" vertical="top" wrapText="1"/>
    </xf>
    <xf numFmtId="180" fontId="8" fillId="0" borderId="1" xfId="1" applyNumberFormat="1" applyFont="1" applyFill="1" applyBorder="1" applyAlignment="1">
      <alignment horizontal="right" vertical="top" wrapText="1"/>
    </xf>
    <xf numFmtId="175" fontId="7" fillId="21" borderId="1" xfId="0" applyNumberFormat="1" applyFont="1" applyFill="1" applyBorder="1" applyAlignment="1">
      <alignment horizontal="right" vertical="top" wrapText="1"/>
    </xf>
    <xf numFmtId="175" fontId="8" fillId="0" borderId="1" xfId="0" applyNumberFormat="1" applyFont="1" applyFill="1" applyBorder="1" applyAlignment="1">
      <alignment horizontal="right" vertical="top" wrapText="1"/>
    </xf>
    <xf numFmtId="175" fontId="8" fillId="0" borderId="1" xfId="1" applyNumberFormat="1" applyFont="1" applyFill="1" applyBorder="1" applyAlignment="1">
      <alignment horizontal="right" vertical="top" wrapText="1"/>
    </xf>
    <xf numFmtId="3" fontId="8" fillId="0" borderId="1" xfId="2" quotePrefix="1" applyNumberFormat="1" applyFont="1" applyFill="1" applyBorder="1" applyAlignment="1">
      <alignment horizontal="right" vertical="top" wrapText="1"/>
    </xf>
    <xf numFmtId="3" fontId="7" fillId="21" borderId="1" xfId="7" applyNumberFormat="1" applyFont="1" applyFill="1" applyBorder="1" applyAlignment="1">
      <alignment vertical="top" wrapText="1"/>
    </xf>
    <xf numFmtId="3" fontId="7" fillId="21" borderId="1" xfId="7" quotePrefix="1" applyNumberFormat="1" applyFont="1" applyFill="1" applyBorder="1" applyAlignment="1">
      <alignment horizontal="right" vertical="top" wrapText="1"/>
    </xf>
    <xf numFmtId="3" fontId="7" fillId="21" borderId="1" xfId="0" quotePrefix="1" applyNumberFormat="1" applyFont="1" applyFill="1" applyBorder="1" applyAlignment="1">
      <alignment horizontal="right" vertical="top"/>
    </xf>
    <xf numFmtId="171" fontId="7" fillId="21" borderId="1" xfId="0" quotePrefix="1" applyNumberFormat="1" applyFont="1" applyFill="1" applyBorder="1" applyAlignment="1">
      <alignment horizontal="right" vertical="top"/>
    </xf>
    <xf numFmtId="165" fontId="7" fillId="21" borderId="1" xfId="1" applyNumberFormat="1" applyFont="1" applyFill="1" applyBorder="1" applyAlignment="1">
      <alignment vertical="top"/>
    </xf>
    <xf numFmtId="41" fontId="21" fillId="0" borderId="1" xfId="0" applyNumberFormat="1" applyFont="1" applyFill="1" applyBorder="1" applyAlignment="1">
      <alignment vertical="top"/>
    </xf>
    <xf numFmtId="41" fontId="46" fillId="0" borderId="0" xfId="1" applyFont="1" applyFill="1" applyBorder="1" applyAlignment="1">
      <alignment vertical="top"/>
    </xf>
    <xf numFmtId="0" fontId="46" fillId="0" borderId="0" xfId="0" applyFont="1" applyBorder="1" applyAlignment="1">
      <alignment vertical="top"/>
    </xf>
    <xf numFmtId="0" fontId="7" fillId="0" borderId="0" xfId="0" applyFont="1" applyBorder="1" applyAlignment="1">
      <alignment vertical="top"/>
    </xf>
    <xf numFmtId="168" fontId="17" fillId="21" borderId="1" xfId="0" applyNumberFormat="1" applyFont="1" applyFill="1" applyBorder="1" applyAlignment="1">
      <alignment horizontal="right" vertical="top"/>
    </xf>
    <xf numFmtId="41" fontId="21" fillId="9" borderId="1" xfId="4" quotePrefix="1" applyFont="1" applyFill="1" applyBorder="1" applyAlignment="1">
      <alignment horizontal="right" vertical="top"/>
    </xf>
    <xf numFmtId="164" fontId="21" fillId="9" borderId="1" xfId="2" applyNumberFormat="1" applyFont="1" applyFill="1" applyBorder="1" applyAlignment="1">
      <alignment vertical="top"/>
    </xf>
    <xf numFmtId="41" fontId="21" fillId="9" borderId="1" xfId="4" applyNumberFormat="1" applyFont="1" applyFill="1" applyBorder="1" applyAlignment="1">
      <alignment horizontal="right" vertical="top"/>
    </xf>
    <xf numFmtId="41" fontId="21" fillId="9" borderId="1" xfId="0" quotePrefix="1" applyNumberFormat="1" applyFont="1" applyFill="1" applyBorder="1" applyAlignment="1">
      <alignment horizontal="right" vertical="top"/>
    </xf>
    <xf numFmtId="167" fontId="17" fillId="21" borderId="1" xfId="1" applyNumberFormat="1" applyFont="1" applyFill="1" applyBorder="1" applyAlignment="1">
      <alignment horizontal="right" vertical="top"/>
    </xf>
    <xf numFmtId="3" fontId="21" fillId="9" borderId="1" xfId="0" quotePrefix="1" applyNumberFormat="1" applyFont="1" applyFill="1" applyBorder="1" applyAlignment="1">
      <alignment horizontal="right" vertical="top"/>
    </xf>
    <xf numFmtId="164" fontId="21" fillId="9" borderId="1" xfId="2" quotePrefix="1" applyNumberFormat="1" applyFont="1" applyFill="1" applyBorder="1" applyAlignment="1">
      <alignment horizontal="right" vertical="top"/>
    </xf>
    <xf numFmtId="170" fontId="21" fillId="9" borderId="1" xfId="2" applyNumberFormat="1" applyFont="1" applyFill="1" applyBorder="1" applyAlignment="1">
      <alignment horizontal="right" vertical="top"/>
    </xf>
    <xf numFmtId="1" fontId="21" fillId="9" borderId="1" xfId="0" applyNumberFormat="1" applyFont="1" applyFill="1" applyBorder="1" applyAlignment="1">
      <alignment horizontal="right" vertical="top"/>
    </xf>
    <xf numFmtId="9" fontId="8" fillId="0" borderId="1" xfId="0" applyNumberFormat="1" applyFont="1" applyBorder="1" applyAlignment="1">
      <alignment horizontal="right" vertical="top"/>
    </xf>
    <xf numFmtId="10" fontId="8" fillId="0" borderId="1" xfId="3" quotePrefix="1" applyNumberFormat="1" applyFont="1" applyBorder="1" applyAlignment="1">
      <alignment horizontal="right" vertical="top"/>
    </xf>
    <xf numFmtId="9" fontId="8" fillId="0" borderId="1" xfId="0" quotePrefix="1" applyNumberFormat="1" applyFont="1" applyBorder="1" applyAlignment="1">
      <alignment horizontal="right" vertical="top"/>
    </xf>
    <xf numFmtId="9" fontId="8" fillId="0" borderId="1" xfId="3" applyFont="1" applyBorder="1" applyAlignment="1">
      <alignment vertical="top"/>
    </xf>
    <xf numFmtId="10" fontId="8" fillId="0" borderId="1" xfId="3" applyNumberFormat="1" applyFont="1" applyBorder="1" applyAlignment="1">
      <alignment horizontal="right" vertical="top"/>
    </xf>
    <xf numFmtId="0" fontId="8" fillId="0" borderId="1" xfId="0" quotePrefix="1" applyFont="1" applyBorder="1" applyAlignment="1">
      <alignment horizontal="right" vertical="top"/>
    </xf>
    <xf numFmtId="182" fontId="8" fillId="0" borderId="1" xfId="0" applyNumberFormat="1" applyFont="1" applyBorder="1" applyAlignment="1">
      <alignment horizontal="right" vertical="top"/>
    </xf>
    <xf numFmtId="41" fontId="8" fillId="9" borderId="1" xfId="0" applyNumberFormat="1" applyFont="1" applyFill="1" applyBorder="1" applyAlignment="1">
      <alignment vertical="top"/>
    </xf>
    <xf numFmtId="0" fontId="8" fillId="9" borderId="1" xfId="0" applyNumberFormat="1" applyFont="1" applyFill="1" applyBorder="1" applyAlignment="1">
      <alignment vertical="top" wrapText="1"/>
    </xf>
    <xf numFmtId="0" fontId="8" fillId="9" borderId="1" xfId="1" applyNumberFormat="1" applyFont="1" applyFill="1" applyBorder="1" applyAlignment="1">
      <alignment vertical="top" wrapText="1"/>
    </xf>
    <xf numFmtId="170" fontId="24" fillId="9" borderId="1" xfId="2" applyNumberFormat="1" applyFont="1" applyFill="1" applyBorder="1" applyAlignment="1">
      <alignment vertical="top"/>
    </xf>
    <xf numFmtId="170" fontId="8" fillId="9" borderId="1" xfId="0" applyNumberFormat="1" applyFont="1" applyFill="1" applyBorder="1" applyAlignment="1">
      <alignment vertical="top" wrapText="1"/>
    </xf>
    <xf numFmtId="0" fontId="7" fillId="21" borderId="1" xfId="3" applyNumberFormat="1" applyFont="1" applyFill="1" applyBorder="1" applyAlignment="1">
      <alignment vertical="top" wrapText="1"/>
    </xf>
    <xf numFmtId="41" fontId="7" fillId="21" borderId="1" xfId="3" applyNumberFormat="1" applyFont="1" applyFill="1" applyBorder="1" applyAlignment="1">
      <alignment vertical="top" wrapText="1"/>
    </xf>
    <xf numFmtId="0" fontId="8" fillId="9" borderId="1" xfId="3" applyNumberFormat="1" applyFont="1" applyFill="1" applyBorder="1" applyAlignment="1">
      <alignment vertical="top" wrapText="1"/>
    </xf>
    <xf numFmtId="166" fontId="8" fillId="9" borderId="1" xfId="0" applyNumberFormat="1" applyFont="1" applyFill="1" applyBorder="1" applyAlignment="1">
      <alignment vertical="top" wrapText="1"/>
    </xf>
    <xf numFmtId="41" fontId="8" fillId="21" borderId="1" xfId="0" applyNumberFormat="1" applyFont="1" applyFill="1" applyBorder="1" applyAlignment="1">
      <alignment vertical="top" wrapText="1"/>
    </xf>
    <xf numFmtId="165" fontId="7" fillId="21" borderId="1" xfId="1" quotePrefix="1" applyNumberFormat="1" applyFont="1" applyFill="1" applyBorder="1" applyAlignment="1">
      <alignment vertical="top" wrapText="1"/>
    </xf>
    <xf numFmtId="165" fontId="8" fillId="9" borderId="1" xfId="1" applyNumberFormat="1" applyFont="1" applyFill="1" applyBorder="1" applyAlignment="1">
      <alignment vertical="top" wrapText="1"/>
    </xf>
    <xf numFmtId="166" fontId="7" fillId="21" borderId="1" xfId="3" applyNumberFormat="1" applyFont="1" applyFill="1" applyBorder="1" applyAlignment="1">
      <alignment vertical="top" wrapText="1"/>
    </xf>
    <xf numFmtId="41" fontId="8" fillId="9" borderId="1" xfId="0" applyNumberFormat="1" applyFont="1" applyFill="1" applyBorder="1" applyAlignment="1">
      <alignment horizontal="center" vertical="top" wrapText="1"/>
    </xf>
    <xf numFmtId="41" fontId="8" fillId="9" borderId="1" xfId="0" quotePrefix="1" applyNumberFormat="1" applyFont="1" applyFill="1" applyBorder="1" applyAlignment="1">
      <alignment horizontal="center" vertical="top" wrapText="1"/>
    </xf>
    <xf numFmtId="166" fontId="8" fillId="9" borderId="1" xfId="3" applyNumberFormat="1" applyFont="1" applyFill="1" applyBorder="1" applyAlignment="1">
      <alignment vertical="top" wrapText="1"/>
    </xf>
    <xf numFmtId="1" fontId="7" fillId="21" borderId="1" xfId="0" quotePrefix="1" applyNumberFormat="1" applyFont="1" applyFill="1" applyBorder="1" applyAlignment="1">
      <alignment vertical="top" wrapText="1"/>
    </xf>
    <xf numFmtId="9" fontId="8" fillId="9" borderId="1" xfId="3" applyFont="1" applyFill="1" applyBorder="1" applyAlignment="1">
      <alignment vertical="top" wrapText="1"/>
    </xf>
    <xf numFmtId="41" fontId="8" fillId="9" borderId="1" xfId="1" quotePrefix="1" applyFont="1" applyFill="1" applyBorder="1" applyAlignment="1">
      <alignment vertical="top" wrapText="1"/>
    </xf>
    <xf numFmtId="165" fontId="8" fillId="9" borderId="1" xfId="0" applyNumberFormat="1" applyFont="1" applyFill="1" applyBorder="1" applyAlignment="1">
      <alignment vertical="top" wrapText="1"/>
    </xf>
    <xf numFmtId="41" fontId="7" fillId="21" borderId="1" xfId="0" quotePrefix="1" applyNumberFormat="1" applyFont="1" applyFill="1" applyBorder="1" applyAlignment="1">
      <alignment horizontal="center" vertical="top" wrapText="1"/>
    </xf>
    <xf numFmtId="2" fontId="7" fillId="21" borderId="1" xfId="3" applyNumberFormat="1" applyFont="1" applyFill="1" applyBorder="1" applyAlignment="1">
      <alignment horizontal="right" vertical="top" wrapText="1"/>
    </xf>
    <xf numFmtId="41" fontId="8" fillId="9" borderId="1" xfId="1" applyFont="1" applyFill="1" applyBorder="1" applyAlignment="1">
      <alignment horizontal="left" vertical="top" wrapText="1"/>
    </xf>
    <xf numFmtId="41" fontId="8" fillId="9" borderId="1" xfId="1" applyFont="1" applyFill="1" applyBorder="1" applyAlignment="1">
      <alignment horizontal="center" vertical="top" wrapText="1"/>
    </xf>
    <xf numFmtId="2" fontId="7" fillId="21" borderId="1" xfId="0" applyNumberFormat="1" applyFont="1" applyFill="1" applyBorder="1" applyAlignment="1">
      <alignment horizontal="center" vertical="top" wrapText="1"/>
    </xf>
    <xf numFmtId="166" fontId="8" fillId="21" borderId="1" xfId="1" applyNumberFormat="1" applyFont="1" applyFill="1" applyBorder="1" applyAlignment="1">
      <alignment vertical="top" wrapText="1"/>
    </xf>
    <xf numFmtId="41" fontId="8" fillId="21" borderId="1" xfId="1" applyNumberFormat="1" applyFont="1" applyFill="1" applyBorder="1" applyAlignment="1">
      <alignment vertical="top" wrapText="1"/>
    </xf>
    <xf numFmtId="166" fontId="8" fillId="9" borderId="1" xfId="1" quotePrefix="1" applyNumberFormat="1" applyFont="1" applyFill="1" applyBorder="1" applyAlignment="1">
      <alignment vertical="top" wrapText="1"/>
    </xf>
    <xf numFmtId="0" fontId="17" fillId="21" borderId="1" xfId="0" quotePrefix="1" applyFont="1" applyFill="1" applyBorder="1" applyAlignment="1">
      <alignment horizontal="center" vertical="top" wrapText="1"/>
    </xf>
    <xf numFmtId="0" fontId="21" fillId="0" borderId="1" xfId="0" quotePrefix="1" applyFont="1" applyBorder="1" applyAlignment="1">
      <alignment horizontal="center" vertical="top" wrapText="1"/>
    </xf>
    <xf numFmtId="0" fontId="21" fillId="0" borderId="1" xfId="0" applyFont="1" applyBorder="1" applyAlignment="1">
      <alignment horizontal="center" vertical="top" wrapText="1"/>
    </xf>
    <xf numFmtId="0" fontId="21" fillId="0" borderId="1" xfId="0" applyNumberFormat="1" applyFont="1" applyBorder="1" applyAlignment="1">
      <alignment vertical="top" wrapText="1"/>
    </xf>
    <xf numFmtId="41" fontId="21" fillId="0" borderId="1" xfId="0" applyNumberFormat="1" applyFont="1" applyBorder="1" applyAlignment="1">
      <alignment horizontal="right" vertical="top"/>
    </xf>
    <xf numFmtId="165" fontId="8" fillId="0" borderId="1" xfId="1" applyNumberFormat="1" applyFont="1" applyBorder="1" applyAlignment="1">
      <alignment vertical="top" wrapText="1"/>
    </xf>
    <xf numFmtId="2" fontId="8" fillId="0" borderId="1" xfId="3" applyNumberFormat="1" applyFont="1" applyBorder="1" applyAlignment="1">
      <alignment horizontal="right" vertical="top" wrapText="1"/>
    </xf>
    <xf numFmtId="0" fontId="21" fillId="0" borderId="1" xfId="1" applyNumberFormat="1" applyFont="1" applyBorder="1" applyAlignment="1">
      <alignment vertical="top" wrapText="1"/>
    </xf>
    <xf numFmtId="0" fontId="21" fillId="0" borderId="1" xfId="0" applyNumberFormat="1" applyFont="1" applyBorder="1" applyAlignment="1">
      <alignment vertical="top"/>
    </xf>
    <xf numFmtId="0" fontId="8" fillId="0" borderId="1" xfId="1" applyNumberFormat="1" applyFont="1" applyBorder="1" applyAlignment="1">
      <alignment horizontal="right" vertical="top" wrapText="1"/>
    </xf>
    <xf numFmtId="0" fontId="21" fillId="0" borderId="1" xfId="0" applyNumberFormat="1" applyFont="1" applyFill="1" applyBorder="1" applyAlignment="1">
      <alignment horizontal="left" vertical="top" wrapText="1"/>
    </xf>
    <xf numFmtId="0" fontId="21" fillId="0" borderId="1" xfId="0" applyNumberFormat="1" applyFont="1" applyFill="1" applyBorder="1" applyAlignment="1">
      <alignment horizontal="center" vertical="top"/>
    </xf>
    <xf numFmtId="0" fontId="21" fillId="0" borderId="1" xfId="0" applyNumberFormat="1" applyFont="1" applyFill="1" applyBorder="1" applyAlignment="1">
      <alignment horizontal="left" vertical="top"/>
    </xf>
    <xf numFmtId="166" fontId="7" fillId="21" borderId="1" xfId="3" applyNumberFormat="1" applyFont="1" applyFill="1" applyBorder="1" applyAlignment="1">
      <alignment horizontal="right" vertical="top" wrapText="1"/>
    </xf>
    <xf numFmtId="166" fontId="8" fillId="0" borderId="1" xfId="3" applyNumberFormat="1" applyFont="1" applyBorder="1" applyAlignment="1">
      <alignment horizontal="right" vertical="top" wrapText="1"/>
    </xf>
    <xf numFmtId="41" fontId="15" fillId="0" borderId="1" xfId="1" applyFont="1" applyFill="1" applyBorder="1" applyAlignment="1">
      <alignment horizontal="right" vertical="top" wrapText="1"/>
    </xf>
    <xf numFmtId="41" fontId="21" fillId="0" borderId="1" xfId="0" applyNumberFormat="1" applyFont="1" applyFill="1" applyBorder="1" applyAlignment="1">
      <alignment horizontal="right" vertical="top"/>
    </xf>
    <xf numFmtId="166" fontId="15" fillId="0" borderId="1" xfId="1" applyNumberFormat="1" applyFont="1" applyBorder="1" applyAlignment="1">
      <alignment horizontal="right" vertical="top" wrapText="1"/>
    </xf>
    <xf numFmtId="43" fontId="17" fillId="21" borderId="1" xfId="1" applyNumberFormat="1" applyFont="1" applyFill="1" applyBorder="1" applyAlignment="1">
      <alignment horizontal="right" vertical="top"/>
    </xf>
    <xf numFmtId="165" fontId="17" fillId="21" borderId="1" xfId="1" applyNumberFormat="1" applyFont="1" applyFill="1" applyBorder="1" applyAlignment="1">
      <alignment horizontal="center" vertical="top" wrapText="1"/>
    </xf>
    <xf numFmtId="165" fontId="15" fillId="0" borderId="1" xfId="1" applyNumberFormat="1" applyFont="1" applyBorder="1" applyAlignment="1">
      <alignment horizontal="center" vertical="top" wrapText="1"/>
    </xf>
    <xf numFmtId="41" fontId="21" fillId="9" borderId="1" xfId="1" applyFont="1" applyFill="1" applyBorder="1" applyAlignment="1">
      <alignment horizontal="left" vertical="top" wrapText="1"/>
    </xf>
    <xf numFmtId="166" fontId="35" fillId="0" borderId="1" xfId="1" applyNumberFormat="1" applyFont="1" applyBorder="1" applyAlignment="1">
      <alignment horizontal="right" vertical="top" wrapText="1"/>
    </xf>
    <xf numFmtId="166" fontId="8" fillId="0" borderId="1" xfId="1" applyNumberFormat="1" applyFont="1" applyBorder="1" applyAlignment="1">
      <alignment vertical="top" wrapText="1"/>
    </xf>
    <xf numFmtId="41" fontId="7" fillId="21" borderId="1" xfId="1" applyFont="1" applyFill="1" applyBorder="1" applyAlignment="1">
      <alignment horizontal="left" vertical="top" wrapText="1"/>
    </xf>
    <xf numFmtId="165" fontId="7" fillId="21" borderId="1" xfId="1" applyNumberFormat="1" applyFont="1" applyFill="1" applyBorder="1" applyAlignment="1">
      <alignment horizontal="center" vertical="top" wrapText="1"/>
    </xf>
    <xf numFmtId="41" fontId="15" fillId="0" borderId="1" xfId="0" applyNumberFormat="1" applyFont="1" applyBorder="1" applyAlignment="1">
      <alignment vertical="top" wrapText="1"/>
    </xf>
    <xf numFmtId="41" fontId="15" fillId="0" borderId="1" xfId="0" applyNumberFormat="1" applyFont="1" applyBorder="1" applyAlignment="1">
      <alignment horizontal="center" vertical="top" wrapText="1"/>
    </xf>
    <xf numFmtId="41" fontId="23" fillId="21" borderId="1" xfId="0" applyNumberFormat="1" applyFont="1" applyFill="1" applyBorder="1" applyAlignment="1">
      <alignment vertical="top" wrapText="1"/>
    </xf>
    <xf numFmtId="41" fontId="23" fillId="21" borderId="1" xfId="0" applyNumberFormat="1" applyFont="1" applyFill="1" applyBorder="1" applyAlignment="1">
      <alignment horizontal="center" vertical="top" wrapText="1"/>
    </xf>
    <xf numFmtId="41" fontId="17" fillId="21" borderId="1" xfId="1" applyFont="1" applyFill="1" applyBorder="1" applyAlignment="1">
      <alignment horizontal="left" vertical="top" wrapText="1"/>
    </xf>
    <xf numFmtId="166" fontId="23" fillId="21" borderId="1" xfId="1" applyNumberFormat="1" applyFont="1" applyFill="1" applyBorder="1" applyAlignment="1">
      <alignment horizontal="right" vertical="top" wrapText="1"/>
    </xf>
    <xf numFmtId="164" fontId="23" fillId="21" borderId="1" xfId="2" applyNumberFormat="1" applyFont="1" applyFill="1" applyBorder="1" applyAlignment="1">
      <alignment horizontal="center" vertical="top" wrapText="1"/>
    </xf>
    <xf numFmtId="173" fontId="17" fillId="21" borderId="1" xfId="1" applyNumberFormat="1" applyFont="1" applyFill="1" applyBorder="1" applyAlignment="1">
      <alignment horizontal="right" vertical="top" wrapText="1"/>
    </xf>
    <xf numFmtId="173" fontId="21" fillId="0" borderId="1" xfId="1" applyNumberFormat="1" applyFont="1" applyBorder="1" applyAlignment="1">
      <alignment horizontal="right" vertical="top" wrapText="1"/>
    </xf>
    <xf numFmtId="166" fontId="17" fillId="21" borderId="1" xfId="1" applyNumberFormat="1" applyFont="1" applyFill="1" applyBorder="1" applyAlignment="1">
      <alignment horizontal="center" vertical="top" wrapText="1"/>
    </xf>
    <xf numFmtId="165" fontId="21" fillId="0" borderId="1" xfId="1" applyNumberFormat="1" applyFont="1" applyBorder="1" applyAlignment="1">
      <alignment horizontal="center" vertical="top" wrapText="1"/>
    </xf>
    <xf numFmtId="166" fontId="50" fillId="21" borderId="1" xfId="1" applyNumberFormat="1" applyFont="1" applyFill="1" applyBorder="1" applyAlignment="1">
      <alignment horizontal="right" vertical="top" wrapText="1"/>
    </xf>
    <xf numFmtId="41" fontId="23" fillId="21" borderId="1" xfId="1" applyFont="1" applyFill="1" applyBorder="1" applyAlignment="1">
      <alignment horizontal="center" vertical="top" wrapText="1"/>
    </xf>
    <xf numFmtId="0" fontId="17" fillId="21" borderId="1" xfId="1" applyNumberFormat="1" applyFont="1" applyFill="1" applyBorder="1" applyAlignment="1">
      <alignment horizontal="left" vertical="top" wrapText="1"/>
    </xf>
    <xf numFmtId="43" fontId="8" fillId="0" borderId="1" xfId="0" quotePrefix="1" applyNumberFormat="1" applyFont="1" applyBorder="1" applyAlignment="1">
      <alignment horizontal="right" vertical="top"/>
    </xf>
    <xf numFmtId="2" fontId="44" fillId="9" borderId="1" xfId="0" applyNumberFormat="1" applyFont="1" applyFill="1" applyBorder="1" applyAlignment="1">
      <alignment horizontal="right" vertical="top"/>
    </xf>
    <xf numFmtId="41" fontId="15" fillId="9" borderId="1" xfId="1" applyFont="1" applyFill="1" applyBorder="1" applyAlignment="1">
      <alignment horizontal="right" vertical="top"/>
    </xf>
    <xf numFmtId="37" fontId="8" fillId="0" borderId="1" xfId="0" applyNumberFormat="1" applyFont="1" applyBorder="1" applyAlignment="1">
      <alignment horizontal="right" vertical="top" wrapText="1"/>
    </xf>
    <xf numFmtId="41" fontId="8" fillId="0" borderId="1" xfId="1" quotePrefix="1" applyFont="1" applyBorder="1" applyAlignment="1">
      <alignment vertical="top"/>
    </xf>
    <xf numFmtId="166" fontId="8" fillId="0" borderId="1" xfId="1" quotePrefix="1" applyNumberFormat="1" applyFont="1" applyBorder="1" applyAlignment="1">
      <alignment vertical="top"/>
    </xf>
    <xf numFmtId="172" fontId="17" fillId="21" borderId="1" xfId="0" applyNumberFormat="1" applyFont="1" applyFill="1" applyBorder="1" applyAlignment="1">
      <alignment vertical="top"/>
    </xf>
    <xf numFmtId="41" fontId="17" fillId="21" borderId="1" xfId="2" applyNumberFormat="1" applyFont="1" applyFill="1" applyBorder="1" applyAlignment="1">
      <alignment vertical="top"/>
    </xf>
    <xf numFmtId="164" fontId="8" fillId="0" borderId="1" xfId="1" applyNumberFormat="1" applyFont="1" applyFill="1" applyBorder="1" applyAlignment="1">
      <alignment vertical="top" wrapText="1"/>
    </xf>
    <xf numFmtId="172" fontId="8" fillId="0" borderId="1" xfId="1" applyNumberFormat="1" applyFont="1" applyFill="1" applyBorder="1" applyAlignment="1">
      <alignment vertical="top" wrapText="1"/>
    </xf>
    <xf numFmtId="0" fontId="8" fillId="0" borderId="1" xfId="3" applyNumberFormat="1" applyFont="1" applyFill="1" applyBorder="1" applyAlignment="1">
      <alignment vertical="top" wrapText="1"/>
    </xf>
    <xf numFmtId="172" fontId="8" fillId="0" borderId="1" xfId="4" applyNumberFormat="1" applyFont="1" applyFill="1" applyBorder="1" applyAlignment="1">
      <alignment vertical="top" wrapText="1"/>
    </xf>
    <xf numFmtId="3" fontId="8" fillId="0" borderId="1" xfId="2" applyNumberFormat="1" applyFont="1" applyFill="1" applyBorder="1" applyAlignment="1">
      <alignment vertical="top" wrapText="1"/>
    </xf>
    <xf numFmtId="186" fontId="21" fillId="21" borderId="1" xfId="0" quotePrefix="1" applyNumberFormat="1" applyFont="1" applyFill="1" applyBorder="1" applyAlignment="1">
      <alignment vertical="top"/>
    </xf>
    <xf numFmtId="183" fontId="8" fillId="0" borderId="1" xfId="0" applyNumberFormat="1" applyFont="1" applyFill="1" applyBorder="1" applyAlignment="1">
      <alignment horizontal="right" vertical="top"/>
    </xf>
    <xf numFmtId="186" fontId="21" fillId="0" borderId="1" xfId="0" quotePrefix="1" applyNumberFormat="1" applyFont="1" applyFill="1" applyBorder="1" applyAlignment="1">
      <alignment horizontal="right" vertical="top"/>
    </xf>
    <xf numFmtId="41" fontId="21" fillId="0" borderId="1" xfId="1" applyNumberFormat="1" applyFont="1" applyFill="1" applyBorder="1" applyAlignment="1">
      <alignment vertical="top"/>
    </xf>
    <xf numFmtId="173" fontId="21" fillId="0" borderId="1" xfId="1" applyNumberFormat="1" applyFont="1" applyFill="1" applyBorder="1" applyAlignment="1">
      <alignment vertical="top"/>
    </xf>
    <xf numFmtId="41" fontId="8" fillId="0" borderId="1" xfId="1" applyNumberFormat="1" applyFont="1" applyBorder="1" applyAlignment="1">
      <alignment vertical="top"/>
    </xf>
    <xf numFmtId="0" fontId="21" fillId="0" borderId="1" xfId="3" applyNumberFormat="1" applyFont="1" applyFill="1" applyBorder="1" applyAlignment="1">
      <alignment vertical="top" wrapText="1"/>
    </xf>
    <xf numFmtId="9" fontId="21" fillId="0" borderId="1" xfId="3" applyNumberFormat="1" applyFont="1" applyFill="1" applyBorder="1" applyAlignment="1">
      <alignment vertical="top"/>
    </xf>
    <xf numFmtId="0" fontId="7" fillId="0" borderId="0" xfId="0" applyFont="1" applyBorder="1" applyAlignment="1">
      <alignment horizontal="center" vertical="top"/>
    </xf>
    <xf numFmtId="0" fontId="8" fillId="0" borderId="15" xfId="0" applyFont="1" applyBorder="1" applyAlignment="1">
      <alignment vertical="top"/>
    </xf>
    <xf numFmtId="0" fontId="8" fillId="0" borderId="15" xfId="0" applyFont="1" applyBorder="1" applyAlignment="1">
      <alignment horizontal="right" vertical="top"/>
    </xf>
    <xf numFmtId="164" fontId="8" fillId="0" borderId="15" xfId="2" applyNumberFormat="1" applyFont="1" applyBorder="1" applyAlignment="1">
      <alignment vertical="top"/>
    </xf>
    <xf numFmtId="41" fontId="17" fillId="9" borderId="1" xfId="1" applyFont="1" applyFill="1" applyBorder="1" applyAlignment="1">
      <alignment horizontal="right" vertical="top" wrapText="1"/>
    </xf>
    <xf numFmtId="9" fontId="8" fillId="9" borderId="1" xfId="0" quotePrefix="1" applyNumberFormat="1" applyFont="1" applyFill="1" applyBorder="1" applyAlignment="1">
      <alignment horizontal="right" vertical="top" wrapText="1"/>
    </xf>
    <xf numFmtId="9" fontId="21" fillId="9" borderId="1" xfId="0" quotePrefix="1" applyNumberFormat="1" applyFont="1" applyFill="1" applyBorder="1" applyAlignment="1">
      <alignment horizontal="right" vertical="top" wrapText="1"/>
    </xf>
    <xf numFmtId="41" fontId="21" fillId="9" borderId="1" xfId="1" quotePrefix="1" applyFont="1" applyFill="1" applyBorder="1" applyAlignment="1">
      <alignment horizontal="right" vertical="top" wrapText="1"/>
    </xf>
    <xf numFmtId="41" fontId="43" fillId="9" borderId="1" xfId="1" applyFont="1" applyFill="1" applyBorder="1" applyAlignment="1">
      <alignment horizontal="right" vertical="top"/>
    </xf>
    <xf numFmtId="41" fontId="43" fillId="9" borderId="1" xfId="1" applyNumberFormat="1" applyFont="1" applyFill="1" applyBorder="1" applyAlignment="1">
      <alignment horizontal="right" vertical="top"/>
    </xf>
    <xf numFmtId="164" fontId="8" fillId="9" borderId="1" xfId="2" quotePrefix="1" applyNumberFormat="1" applyFont="1" applyFill="1" applyBorder="1" applyAlignment="1">
      <alignment vertical="top" wrapText="1"/>
    </xf>
    <xf numFmtId="41" fontId="7" fillId="8" borderId="1" xfId="0" applyNumberFormat="1" applyFont="1" applyFill="1" applyBorder="1" applyAlignment="1">
      <alignment vertical="top"/>
    </xf>
    <xf numFmtId="10" fontId="8" fillId="0" borderId="1" xfId="3" quotePrefix="1" applyNumberFormat="1" applyFont="1" applyFill="1" applyBorder="1" applyAlignment="1">
      <alignment horizontal="right" vertical="top" wrapText="1"/>
    </xf>
    <xf numFmtId="173" fontId="21" fillId="0" borderId="1" xfId="1" applyNumberFormat="1" applyFont="1" applyFill="1" applyBorder="1" applyAlignment="1">
      <alignment horizontal="right" vertical="top"/>
    </xf>
    <xf numFmtId="173" fontId="21" fillId="0" borderId="1" xfId="0" applyNumberFormat="1" applyFont="1" applyFill="1" applyBorder="1" applyAlignment="1">
      <alignment vertical="top"/>
    </xf>
    <xf numFmtId="173" fontId="17" fillId="21" borderId="1" xfId="1" applyNumberFormat="1" applyFont="1" applyFill="1" applyBorder="1" applyAlignment="1">
      <alignment horizontal="right" vertical="top"/>
    </xf>
    <xf numFmtId="184" fontId="21" fillId="0" borderId="1" xfId="2" applyNumberFormat="1" applyFont="1" applyBorder="1" applyAlignment="1">
      <alignment vertical="top"/>
    </xf>
    <xf numFmtId="0" fontId="8" fillId="0" borderId="1" xfId="2" quotePrefix="1" applyNumberFormat="1" applyFont="1" applyFill="1" applyBorder="1" applyAlignment="1">
      <alignment horizontal="right" vertical="top"/>
    </xf>
    <xf numFmtId="43" fontId="8" fillId="0" borderId="1" xfId="2" quotePrefix="1" applyFont="1" applyFill="1" applyBorder="1" applyAlignment="1">
      <alignment horizontal="right" vertical="top"/>
    </xf>
    <xf numFmtId="1" fontId="21" fillId="9" borderId="1" xfId="4" applyNumberFormat="1" applyFont="1" applyFill="1" applyBorder="1" applyAlignment="1">
      <alignment horizontal="right" vertical="top" wrapText="1"/>
    </xf>
    <xf numFmtId="41" fontId="7" fillId="9" borderId="1" xfId="1" applyFont="1" applyFill="1" applyBorder="1" applyAlignment="1">
      <alignment horizontal="right" vertical="top"/>
    </xf>
    <xf numFmtId="184" fontId="8" fillId="9" borderId="1" xfId="2" applyNumberFormat="1" applyFont="1" applyFill="1" applyBorder="1" applyAlignment="1">
      <alignment vertical="top" wrapText="1"/>
    </xf>
    <xf numFmtId="166" fontId="17" fillId="9" borderId="1" xfId="1" applyNumberFormat="1" applyFont="1" applyFill="1" applyBorder="1" applyAlignment="1">
      <alignment horizontal="right" vertical="top"/>
    </xf>
    <xf numFmtId="3" fontId="8" fillId="0" borderId="1" xfId="1" applyNumberFormat="1" applyFont="1" applyFill="1" applyBorder="1" applyAlignment="1">
      <alignment horizontal="right" vertical="top"/>
    </xf>
    <xf numFmtId="187" fontId="17" fillId="0" borderId="0" xfId="0" applyNumberFormat="1" applyFont="1" applyFill="1" applyAlignment="1">
      <alignment vertical="top"/>
    </xf>
    <xf numFmtId="41" fontId="8" fillId="9" borderId="1" xfId="1" applyNumberFormat="1" applyFont="1" applyFill="1" applyBorder="1" applyAlignment="1">
      <alignment vertical="top"/>
    </xf>
    <xf numFmtId="188" fontId="21" fillId="0" borderId="1" xfId="1" applyNumberFormat="1" applyFont="1" applyBorder="1" applyAlignment="1">
      <alignment vertical="top"/>
    </xf>
    <xf numFmtId="41" fontId="21" fillId="9" borderId="1" xfId="1" applyNumberFormat="1" applyFont="1" applyFill="1" applyBorder="1" applyAlignment="1">
      <alignment vertical="top" wrapText="1"/>
    </xf>
    <xf numFmtId="41" fontId="17" fillId="21" borderId="1" xfId="1" applyNumberFormat="1" applyFont="1" applyFill="1" applyBorder="1" applyAlignment="1">
      <alignment vertical="top" wrapText="1"/>
    </xf>
    <xf numFmtId="1" fontId="7" fillId="21" borderId="1" xfId="0" applyNumberFormat="1" applyFont="1" applyFill="1" applyBorder="1" applyAlignment="1">
      <alignment horizontal="center" vertical="top" wrapText="1"/>
    </xf>
    <xf numFmtId="164" fontId="7" fillId="21" borderId="1" xfId="0" applyNumberFormat="1" applyFont="1" applyFill="1" applyBorder="1" applyAlignment="1">
      <alignment horizontal="left" vertical="top" wrapText="1"/>
    </xf>
    <xf numFmtId="173" fontId="7" fillId="21" borderId="1" xfId="1" applyNumberFormat="1" applyFont="1" applyFill="1" applyBorder="1" applyAlignment="1">
      <alignment horizontal="right" vertical="top"/>
    </xf>
    <xf numFmtId="173" fontId="7" fillId="21" borderId="1" xfId="0" applyNumberFormat="1" applyFont="1" applyFill="1" applyBorder="1" applyAlignment="1">
      <alignment horizontal="right" vertical="top"/>
    </xf>
    <xf numFmtId="173" fontId="7" fillId="21" borderId="1" xfId="0" applyNumberFormat="1" applyFont="1" applyFill="1" applyBorder="1" applyAlignment="1">
      <alignment horizontal="right" vertical="top" wrapText="1"/>
    </xf>
    <xf numFmtId="41" fontId="8" fillId="21" borderId="1" xfId="1" quotePrefix="1" applyFont="1" applyFill="1" applyBorder="1" applyAlignment="1">
      <alignment vertical="top"/>
    </xf>
    <xf numFmtId="41" fontId="7" fillId="21" borderId="1" xfId="1" quotePrefix="1" applyNumberFormat="1" applyFont="1" applyFill="1" applyBorder="1" applyAlignment="1">
      <alignment vertical="top"/>
    </xf>
    <xf numFmtId="1" fontId="8" fillId="0" borderId="1" xfId="2" applyNumberFormat="1" applyFont="1" applyFill="1" applyBorder="1" applyAlignment="1">
      <alignment horizontal="right" vertical="top"/>
    </xf>
    <xf numFmtId="1" fontId="7" fillId="21" borderId="1" xfId="2" applyNumberFormat="1" applyFont="1" applyFill="1" applyBorder="1" applyAlignment="1">
      <alignment horizontal="right" vertical="top"/>
    </xf>
    <xf numFmtId="1" fontId="7" fillId="21" borderId="1" xfId="3" applyNumberFormat="1" applyFont="1" applyFill="1" applyBorder="1" applyAlignment="1">
      <alignment horizontal="right" vertical="top"/>
    </xf>
    <xf numFmtId="164" fontId="21" fillId="0" borderId="1" xfId="0" quotePrefix="1" applyNumberFormat="1" applyFont="1" applyFill="1" applyBorder="1" applyAlignment="1">
      <alignment horizontal="right" vertical="top"/>
    </xf>
    <xf numFmtId="175" fontId="21" fillId="0" borderId="1" xfId="2" applyNumberFormat="1" applyFont="1" applyFill="1" applyBorder="1" applyAlignment="1">
      <alignment horizontal="right" vertical="top"/>
    </xf>
    <xf numFmtId="43" fontId="21" fillId="0" borderId="1" xfId="2" applyNumberFormat="1" applyFont="1" applyFill="1" applyBorder="1" applyAlignment="1">
      <alignment horizontal="right" vertical="top"/>
    </xf>
    <xf numFmtId="43" fontId="21" fillId="0" borderId="1" xfId="0" applyNumberFormat="1" applyFont="1" applyFill="1" applyBorder="1" applyAlignment="1">
      <alignment horizontal="right" vertical="top"/>
    </xf>
    <xf numFmtId="1" fontId="7" fillId="9" borderId="1" xfId="0" applyNumberFormat="1" applyFont="1" applyFill="1" applyBorder="1" applyAlignment="1">
      <alignment horizontal="right" vertical="top" wrapText="1"/>
    </xf>
    <xf numFmtId="0" fontId="8" fillId="0" borderId="1" xfId="0" applyFont="1" applyFill="1" applyBorder="1" applyAlignment="1">
      <alignment horizontal="center" vertical="top"/>
    </xf>
    <xf numFmtId="0" fontId="17" fillId="21" borderId="1" xfId="0" applyFont="1" applyFill="1" applyBorder="1" applyAlignment="1">
      <alignment horizontal="center" vertical="top" wrapText="1"/>
    </xf>
    <xf numFmtId="0" fontId="8" fillId="0" borderId="1" xfId="0" applyFont="1" applyBorder="1" applyAlignment="1">
      <alignment horizontal="right" vertical="top"/>
    </xf>
    <xf numFmtId="0" fontId="8" fillId="0" borderId="1" xfId="0" applyFont="1" applyBorder="1" applyAlignment="1">
      <alignment horizontal="center" vertical="top"/>
    </xf>
    <xf numFmtId="0" fontId="7" fillId="21" borderId="1" xfId="0" applyFont="1" applyFill="1" applyBorder="1" applyAlignment="1">
      <alignment horizontal="center" vertical="top" wrapText="1"/>
    </xf>
    <xf numFmtId="0" fontId="21" fillId="9" borderId="1" xfId="0" applyFont="1" applyFill="1" applyBorder="1" applyAlignment="1">
      <alignment horizontal="center" vertical="top"/>
    </xf>
    <xf numFmtId="0" fontId="8" fillId="0" borderId="1" xfId="0" applyFont="1" applyFill="1" applyBorder="1" applyAlignment="1">
      <alignment horizontal="left" vertical="top" wrapText="1"/>
    </xf>
    <xf numFmtId="41" fontId="8" fillId="0" borderId="1" xfId="1" applyFont="1" applyFill="1" applyBorder="1" applyAlignment="1">
      <alignment horizontal="right" vertical="top"/>
    </xf>
    <xf numFmtId="2" fontId="8" fillId="0" borderId="1" xfId="0" applyNumberFormat="1" applyFont="1" applyFill="1" applyBorder="1" applyAlignment="1">
      <alignment horizontal="right" vertical="top"/>
    </xf>
    <xf numFmtId="0" fontId="8" fillId="0" borderId="1" xfId="0" applyFont="1" applyFill="1" applyBorder="1" applyAlignment="1">
      <alignment horizontal="right" vertical="top"/>
    </xf>
    <xf numFmtId="0" fontId="8" fillId="0" borderId="1" xfId="0" quotePrefix="1" applyFont="1" applyFill="1" applyBorder="1" applyAlignment="1">
      <alignment horizontal="right" vertical="top"/>
    </xf>
    <xf numFmtId="164" fontId="8" fillId="0" borderId="1" xfId="2" applyNumberFormat="1" applyFont="1" applyFill="1" applyBorder="1" applyAlignment="1">
      <alignment horizontal="right" vertical="top"/>
    </xf>
    <xf numFmtId="0" fontId="8" fillId="9" borderId="1" xfId="0" applyFont="1" applyFill="1" applyBorder="1" applyAlignment="1">
      <alignment horizontal="center" vertical="top"/>
    </xf>
    <xf numFmtId="43" fontId="7" fillId="21" borderId="1" xfId="0" applyNumberFormat="1" applyFont="1" applyFill="1" applyBorder="1" applyAlignment="1">
      <alignment horizontal="right" vertical="top" wrapText="1"/>
    </xf>
    <xf numFmtId="0" fontId="17" fillId="9" borderId="1" xfId="0" applyFont="1" applyFill="1" applyBorder="1" applyAlignment="1">
      <alignment horizontal="center" vertical="top"/>
    </xf>
    <xf numFmtId="164" fontId="7" fillId="21" borderId="1" xfId="2" applyNumberFormat="1" applyFont="1" applyFill="1" applyBorder="1" applyAlignment="1">
      <alignment horizontal="center" vertical="top" wrapText="1"/>
    </xf>
    <xf numFmtId="0" fontId="51" fillId="0" borderId="0" xfId="0" applyFont="1" applyBorder="1" applyAlignment="1">
      <alignment horizontal="center" vertical="top"/>
    </xf>
    <xf numFmtId="0" fontId="7" fillId="5" borderId="1" xfId="0" applyFont="1" applyFill="1" applyBorder="1" applyAlignment="1">
      <alignment horizontal="center" vertical="top"/>
    </xf>
    <xf numFmtId="0" fontId="17" fillId="9" borderId="1" xfId="0" applyFont="1" applyFill="1" applyBorder="1" applyAlignment="1">
      <alignment horizontal="right" vertical="top"/>
    </xf>
    <xf numFmtId="0" fontId="17" fillId="21" borderId="1" xfId="0" applyFont="1" applyFill="1" applyBorder="1" applyAlignment="1">
      <alignment horizontal="left" vertical="top" wrapText="1"/>
    </xf>
    <xf numFmtId="0" fontId="21" fillId="0" borderId="1" xfId="0" applyFont="1" applyBorder="1" applyAlignment="1">
      <alignment vertical="top" wrapText="1"/>
    </xf>
    <xf numFmtId="0" fontId="7" fillId="21" borderId="1" xfId="0" applyFont="1" applyFill="1" applyBorder="1" applyAlignment="1">
      <alignment horizontal="center" vertical="top"/>
    </xf>
    <xf numFmtId="0" fontId="7" fillId="21" borderId="1" xfId="0" applyFont="1" applyFill="1" applyBorder="1" applyAlignment="1">
      <alignment horizontal="left" vertical="top" wrapText="1"/>
    </xf>
    <xf numFmtId="0" fontId="15" fillId="0" borderId="1" xfId="0" applyFont="1" applyFill="1" applyBorder="1" applyAlignment="1">
      <alignment horizontal="center" vertical="top" wrapText="1"/>
    </xf>
    <xf numFmtId="0" fontId="44" fillId="0" borderId="1" xfId="0" applyFont="1" applyBorder="1" applyAlignment="1">
      <alignment horizontal="right" vertical="top"/>
    </xf>
    <xf numFmtId="41" fontId="7" fillId="21" borderId="1" xfId="1" applyFont="1" applyFill="1" applyBorder="1" applyAlignment="1">
      <alignment horizontal="center" vertical="top" wrapText="1"/>
    </xf>
    <xf numFmtId="0" fontId="8" fillId="0" borderId="1" xfId="0" applyFont="1" applyBorder="1" applyAlignment="1">
      <alignment horizontal="center" vertical="top" wrapText="1"/>
    </xf>
    <xf numFmtId="164" fontId="7" fillId="21" borderId="1" xfId="0" applyNumberFormat="1" applyFont="1" applyFill="1" applyBorder="1" applyAlignment="1">
      <alignment horizontal="right" vertical="top" wrapText="1"/>
    </xf>
    <xf numFmtId="0" fontId="7" fillId="21" borderId="1" xfId="0" applyFont="1" applyFill="1" applyBorder="1" applyAlignment="1">
      <alignment horizontal="right" vertical="top" wrapText="1"/>
    </xf>
    <xf numFmtId="0" fontId="7" fillId="0" borderId="0" xfId="0" applyFont="1" applyAlignment="1">
      <alignment horizontal="center" vertical="top"/>
    </xf>
    <xf numFmtId="0" fontId="7" fillId="0" borderId="1" xfId="0" applyFont="1" applyFill="1" applyBorder="1" applyAlignment="1">
      <alignment horizontal="right" vertical="top"/>
    </xf>
    <xf numFmtId="0" fontId="7" fillId="9" borderId="1" xfId="0" applyFont="1" applyFill="1" applyBorder="1" applyAlignment="1">
      <alignment horizontal="right" vertical="top"/>
    </xf>
    <xf numFmtId="0" fontId="8" fillId="9" borderId="1" xfId="0" applyFont="1" applyFill="1" applyBorder="1" applyAlignment="1">
      <alignment horizontal="right" vertical="top"/>
    </xf>
    <xf numFmtId="41" fontId="8" fillId="0" borderId="1" xfId="1" applyNumberFormat="1" applyFont="1" applyBorder="1" applyAlignment="1">
      <alignment horizontal="left" vertical="top" wrapText="1"/>
    </xf>
    <xf numFmtId="0" fontId="15" fillId="9" borderId="1" xfId="0" applyFont="1" applyFill="1" applyBorder="1" applyAlignment="1">
      <alignment vertical="top" wrapText="1"/>
    </xf>
    <xf numFmtId="0" fontId="21" fillId="0" borderId="1" xfId="0" applyFont="1" applyFill="1" applyBorder="1" applyAlignment="1">
      <alignment vertical="top" wrapText="1"/>
    </xf>
    <xf numFmtId="41" fontId="7" fillId="0" borderId="1" xfId="1" applyFont="1" applyFill="1" applyBorder="1" applyAlignment="1">
      <alignment horizontal="center" vertical="top" wrapText="1"/>
    </xf>
    <xf numFmtId="2" fontId="7" fillId="0" borderId="1" xfId="0" applyNumberFormat="1" applyFont="1" applyFill="1" applyBorder="1" applyAlignment="1">
      <alignment horizontal="right" vertical="top" wrapText="1"/>
    </xf>
    <xf numFmtId="41" fontId="8" fillId="0" borderId="1" xfId="1" applyFont="1" applyFill="1" applyBorder="1" applyAlignment="1">
      <alignment horizontal="center" vertical="top" wrapText="1"/>
    </xf>
    <xf numFmtId="164" fontId="8" fillId="0" borderId="1" xfId="2" applyNumberFormat="1" applyFont="1" applyFill="1" applyBorder="1" applyAlignment="1">
      <alignment horizontal="center" vertical="top" wrapText="1"/>
    </xf>
    <xf numFmtId="2" fontId="7" fillId="0" borderId="0" xfId="0" applyNumberFormat="1" applyFont="1" applyFill="1" applyAlignment="1">
      <alignment vertical="top" wrapText="1"/>
    </xf>
    <xf numFmtId="189" fontId="7" fillId="0" borderId="0" xfId="0" applyNumberFormat="1" applyFont="1" applyFill="1" applyAlignment="1">
      <alignment vertical="top" wrapText="1"/>
    </xf>
    <xf numFmtId="167" fontId="21" fillId="0" borderId="1" xfId="0" applyNumberFormat="1" applyFont="1" applyFill="1" applyBorder="1" applyAlignment="1">
      <alignment vertical="top" wrapText="1"/>
    </xf>
    <xf numFmtId="41" fontId="7" fillId="0" borderId="1" xfId="0" applyNumberFormat="1" applyFont="1" applyFill="1" applyBorder="1" applyAlignment="1">
      <alignment horizontal="right" vertical="top" wrapText="1"/>
    </xf>
    <xf numFmtId="0" fontId="8" fillId="0" borderId="5" xfId="0" applyFont="1" applyFill="1" applyBorder="1" applyAlignment="1">
      <alignment vertical="top" wrapText="1"/>
    </xf>
    <xf numFmtId="0" fontId="51" fillId="0" borderId="0" xfId="0" applyFont="1" applyBorder="1" applyAlignment="1">
      <alignment horizontal="center" vertical="top" wrapText="1"/>
    </xf>
    <xf numFmtId="0" fontId="8" fillId="0" borderId="15" xfId="0" applyFont="1" applyBorder="1" applyAlignment="1">
      <alignment horizontal="center" vertical="top" wrapText="1"/>
    </xf>
    <xf numFmtId="0" fontId="7" fillId="22" borderId="1" xfId="0" applyFont="1" applyFill="1" applyBorder="1" applyAlignment="1">
      <alignment horizontal="center" vertical="top" wrapText="1"/>
    </xf>
    <xf numFmtId="0" fontId="8" fillId="7" borderId="1" xfId="0" applyFont="1" applyFill="1" applyBorder="1" applyAlignment="1">
      <alignment horizontal="center" vertical="top" wrapText="1"/>
    </xf>
    <xf numFmtId="0" fontId="44" fillId="0" borderId="1" xfId="0" applyFont="1" applyFill="1" applyBorder="1" applyAlignment="1">
      <alignment horizontal="center" vertical="top" wrapText="1"/>
    </xf>
    <xf numFmtId="0" fontId="40" fillId="21" borderId="1" xfId="0" applyFont="1" applyFill="1" applyBorder="1" applyAlignment="1">
      <alignment horizontal="center" vertical="top" wrapText="1"/>
    </xf>
    <xf numFmtId="0" fontId="43" fillId="9" borderId="1" xfId="0" applyFont="1" applyFill="1" applyBorder="1" applyAlignment="1">
      <alignment horizontal="center" vertical="top" wrapText="1"/>
    </xf>
    <xf numFmtId="0" fontId="44" fillId="9" borderId="1" xfId="0" applyFont="1" applyFill="1" applyBorder="1" applyAlignment="1">
      <alignment horizontal="center" vertical="top" wrapText="1"/>
    </xf>
    <xf numFmtId="0" fontId="40" fillId="9" borderId="1" xfId="0" applyFont="1" applyFill="1" applyBorder="1" applyAlignment="1">
      <alignment horizontal="center" vertical="top" wrapText="1"/>
    </xf>
    <xf numFmtId="0" fontId="8" fillId="0" borderId="1" xfId="0" applyNumberFormat="1" applyFont="1" applyBorder="1" applyAlignment="1">
      <alignment horizontal="center" vertical="top" wrapText="1"/>
    </xf>
    <xf numFmtId="0" fontId="8" fillId="0" borderId="0" xfId="0" applyFont="1" applyAlignment="1">
      <alignment horizontal="center" vertical="top" wrapText="1"/>
    </xf>
    <xf numFmtId="0" fontId="53" fillId="0" borderId="0" xfId="0" applyFont="1" applyAlignment="1">
      <alignment horizontal="center" vertical="top" wrapText="1"/>
    </xf>
    <xf numFmtId="0" fontId="7" fillId="7" borderId="1" xfId="0" applyFont="1" applyFill="1" applyBorder="1" applyAlignment="1">
      <alignment vertical="top" wrapText="1"/>
    </xf>
    <xf numFmtId="164" fontId="8" fillId="7" borderId="1" xfId="2" applyNumberFormat="1" applyFont="1" applyFill="1" applyBorder="1" applyAlignment="1">
      <alignment vertical="top"/>
    </xf>
    <xf numFmtId="0" fontId="8" fillId="8" borderId="1" xfId="0" applyFont="1" applyFill="1" applyBorder="1" applyAlignment="1">
      <alignment horizontal="center" vertical="top"/>
    </xf>
    <xf numFmtId="41" fontId="7" fillId="8" borderId="1" xfId="0" applyNumberFormat="1" applyFont="1" applyFill="1" applyBorder="1" applyAlignment="1">
      <alignment horizontal="right" vertical="top"/>
    </xf>
    <xf numFmtId="164" fontId="7" fillId="8" borderId="1" xfId="2" applyNumberFormat="1" applyFont="1" applyFill="1" applyBorder="1" applyAlignment="1">
      <alignment horizontal="right" vertical="top"/>
    </xf>
    <xf numFmtId="0" fontId="8" fillId="8" borderId="1" xfId="0" applyFont="1" applyFill="1" applyBorder="1" applyAlignment="1">
      <alignment horizontal="center" vertical="top" wrapText="1"/>
    </xf>
    <xf numFmtId="41" fontId="17" fillId="0" borderId="0" xfId="0" applyNumberFormat="1" applyFont="1" applyFill="1" applyAlignment="1">
      <alignment vertical="top"/>
    </xf>
    <xf numFmtId="164" fontId="7" fillId="8" borderId="1" xfId="0" applyNumberFormat="1" applyFont="1" applyFill="1" applyBorder="1" applyAlignment="1">
      <alignment horizontal="right" vertical="top"/>
    </xf>
    <xf numFmtId="0" fontId="48" fillId="20" borderId="1" xfId="0" applyFont="1" applyFill="1" applyBorder="1" applyAlignment="1">
      <alignment vertical="top"/>
    </xf>
    <xf numFmtId="164" fontId="48" fillId="20" borderId="1" xfId="0" applyNumberFormat="1" applyFont="1" applyFill="1" applyBorder="1" applyAlignment="1">
      <alignment vertical="top"/>
    </xf>
    <xf numFmtId="164" fontId="48" fillId="20" borderId="1" xfId="2" applyNumberFormat="1" applyFont="1" applyFill="1" applyBorder="1" applyAlignment="1">
      <alignment vertical="top"/>
    </xf>
    <xf numFmtId="41" fontId="48" fillId="20" borderId="1" xfId="2" applyNumberFormat="1" applyFont="1" applyFill="1" applyBorder="1" applyAlignment="1">
      <alignment vertical="top"/>
    </xf>
    <xf numFmtId="0" fontId="48" fillId="20" borderId="1" xfId="0" applyFont="1" applyFill="1" applyBorder="1" applyAlignment="1">
      <alignment vertical="top" wrapText="1"/>
    </xf>
    <xf numFmtId="9" fontId="8" fillId="0" borderId="1" xfId="3" applyFont="1" applyBorder="1" applyAlignment="1">
      <alignment horizontal="right" vertical="top"/>
    </xf>
    <xf numFmtId="0" fontId="42" fillId="9" borderId="0" xfId="0" applyFont="1" applyFill="1" applyAlignment="1">
      <alignment vertical="top"/>
    </xf>
    <xf numFmtId="41" fontId="48" fillId="20" borderId="1" xfId="0" applyNumberFormat="1" applyFont="1" applyFill="1" applyBorder="1" applyAlignment="1">
      <alignment vertical="top"/>
    </xf>
    <xf numFmtId="164" fontId="7" fillId="8" borderId="1" xfId="2" applyNumberFormat="1" applyFont="1" applyFill="1" applyBorder="1" applyAlignment="1">
      <alignment horizontal="center" vertical="top"/>
    </xf>
    <xf numFmtId="0" fontId="45" fillId="0" borderId="0" xfId="0" applyFont="1" applyFill="1" applyAlignment="1">
      <alignment vertical="top"/>
    </xf>
    <xf numFmtId="0" fontId="45" fillId="0" borderId="0" xfId="0" applyFont="1" applyAlignment="1">
      <alignment vertical="top"/>
    </xf>
    <xf numFmtId="0" fontId="7" fillId="8" borderId="1" xfId="0" applyFont="1" applyFill="1" applyBorder="1" applyAlignment="1">
      <alignment horizontal="right" vertical="top"/>
    </xf>
    <xf numFmtId="0" fontId="7" fillId="8" borderId="1" xfId="0" applyFont="1" applyFill="1" applyBorder="1" applyAlignment="1">
      <alignment horizontal="center" vertical="top" wrapText="1"/>
    </xf>
    <xf numFmtId="41" fontId="31" fillId="0" borderId="0" xfId="0" applyNumberFormat="1" applyFont="1" applyFill="1" applyAlignment="1">
      <alignment vertical="top"/>
    </xf>
    <xf numFmtId="164" fontId="21" fillId="0" borderId="1" xfId="2" applyNumberFormat="1" applyFont="1" applyBorder="1" applyAlignment="1" applyProtection="1">
      <alignment horizontal="center" vertical="top"/>
      <protection locked="0"/>
    </xf>
    <xf numFmtId="0" fontId="8" fillId="22" borderId="1" xfId="0" applyFont="1" applyFill="1" applyBorder="1" applyAlignment="1">
      <alignment horizontal="right" vertical="top"/>
    </xf>
    <xf numFmtId="0" fontId="8" fillId="22" borderId="1" xfId="0" applyFont="1" applyFill="1" applyBorder="1" applyAlignment="1">
      <alignment horizontal="center" vertical="top"/>
    </xf>
    <xf numFmtId="164" fontId="7" fillId="22" borderId="1" xfId="0" applyNumberFormat="1" applyFont="1" applyFill="1" applyBorder="1" applyAlignment="1">
      <alignment horizontal="right" vertical="top"/>
    </xf>
    <xf numFmtId="0" fontId="8" fillId="22" borderId="1" xfId="0" applyFont="1" applyFill="1" applyBorder="1" applyAlignment="1">
      <alignment horizontal="center" vertical="top" wrapText="1"/>
    </xf>
    <xf numFmtId="0" fontId="7" fillId="8" borderId="1" xfId="0" applyFont="1" applyFill="1" applyBorder="1" applyAlignment="1">
      <alignment horizontal="left" vertical="top" wrapText="1"/>
    </xf>
    <xf numFmtId="0" fontId="8" fillId="8" borderId="1" xfId="0" applyFont="1" applyFill="1" applyBorder="1" applyAlignment="1">
      <alignment horizontal="left" vertical="top"/>
    </xf>
    <xf numFmtId="41" fontId="33" fillId="0" borderId="0" xfId="0" applyNumberFormat="1" applyFont="1" applyFill="1" applyAlignment="1">
      <alignment vertical="top"/>
    </xf>
    <xf numFmtId="0" fontId="7" fillId="9" borderId="0" xfId="0" applyFont="1" applyFill="1" applyAlignment="1">
      <alignment vertical="top"/>
    </xf>
    <xf numFmtId="184" fontId="7" fillId="8" borderId="1" xfId="2" applyNumberFormat="1" applyFont="1" applyFill="1" applyBorder="1" applyAlignment="1">
      <alignment horizontal="right" vertical="top"/>
    </xf>
    <xf numFmtId="43" fontId="21" fillId="0" borderId="0" xfId="0" applyNumberFormat="1" applyFont="1" applyFill="1" applyAlignment="1">
      <alignment vertical="top"/>
    </xf>
    <xf numFmtId="0" fontId="7" fillId="21" borderId="0" xfId="0" applyFont="1" applyFill="1" applyAlignment="1">
      <alignment vertical="top"/>
    </xf>
    <xf numFmtId="187" fontId="42" fillId="0" borderId="0" xfId="0" applyNumberFormat="1" applyFont="1" applyFill="1" applyAlignment="1">
      <alignment vertical="top"/>
    </xf>
    <xf numFmtId="41" fontId="42" fillId="0" borderId="0" xfId="0" applyNumberFormat="1" applyFont="1" applyFill="1" applyAlignment="1">
      <alignment vertical="top"/>
    </xf>
    <xf numFmtId="41" fontId="46" fillId="0" borderId="0" xfId="0" applyNumberFormat="1" applyFont="1" applyFill="1" applyBorder="1" applyAlignment="1">
      <alignment vertical="top"/>
    </xf>
    <xf numFmtId="41" fontId="44" fillId="0" borderId="0" xfId="0" applyNumberFormat="1" applyFont="1" applyFill="1" applyBorder="1" applyAlignment="1">
      <alignment vertical="top"/>
    </xf>
    <xf numFmtId="43" fontId="7" fillId="8" borderId="1" xfId="0" applyNumberFormat="1" applyFont="1" applyFill="1" applyBorder="1" applyAlignment="1">
      <alignment horizontal="right" vertical="top"/>
    </xf>
    <xf numFmtId="164" fontId="7" fillId="20" borderId="1" xfId="0" applyNumberFormat="1" applyFont="1" applyFill="1" applyBorder="1" applyAlignment="1">
      <alignment vertical="top"/>
    </xf>
    <xf numFmtId="164" fontId="7" fillId="20" borderId="1" xfId="2" applyNumberFormat="1" applyFont="1" applyFill="1" applyBorder="1" applyAlignment="1">
      <alignment vertical="top"/>
    </xf>
    <xf numFmtId="164" fontId="42" fillId="0" borderId="0" xfId="0" applyNumberFormat="1" applyFont="1" applyFill="1" applyAlignment="1">
      <alignment vertical="top"/>
    </xf>
    <xf numFmtId="164" fontId="42" fillId="9" borderId="0" xfId="0" applyNumberFormat="1" applyFont="1" applyFill="1" applyAlignment="1">
      <alignment vertical="top"/>
    </xf>
    <xf numFmtId="41" fontId="7" fillId="20" borderId="1" xfId="0" applyNumberFormat="1" applyFont="1" applyFill="1" applyBorder="1" applyAlignment="1">
      <alignment vertical="top"/>
    </xf>
    <xf numFmtId="41" fontId="7" fillId="0" borderId="1" xfId="0" applyNumberFormat="1" applyFont="1" applyFill="1" applyBorder="1" applyAlignment="1">
      <alignment horizontal="center" vertical="top" textRotation="255" wrapText="1"/>
    </xf>
    <xf numFmtId="0" fontId="8" fillId="9" borderId="0" xfId="0" applyFont="1" applyFill="1" applyBorder="1" applyAlignment="1">
      <alignment vertical="top"/>
    </xf>
    <xf numFmtId="164" fontId="17" fillId="0" borderId="0" xfId="2" applyNumberFormat="1" applyFont="1" applyFill="1" applyAlignment="1">
      <alignment vertical="top"/>
    </xf>
    <xf numFmtId="164" fontId="7" fillId="8" borderId="1" xfId="0" applyNumberFormat="1" applyFont="1" applyFill="1" applyBorder="1" applyAlignment="1">
      <alignment vertical="top"/>
    </xf>
    <xf numFmtId="164" fontId="54" fillId="0" borderId="0" xfId="2" applyNumberFormat="1" applyFont="1" applyAlignment="1">
      <alignment vertical="top"/>
    </xf>
    <xf numFmtId="0" fontId="54" fillId="0" borderId="0" xfId="0" applyFont="1" applyAlignment="1">
      <alignment horizontal="right" vertical="top"/>
    </xf>
    <xf numFmtId="0" fontId="54" fillId="0" borderId="0" xfId="0" applyFont="1" applyAlignment="1">
      <alignment horizontal="center" vertical="top"/>
    </xf>
    <xf numFmtId="164" fontId="54" fillId="0" borderId="0" xfId="2" applyNumberFormat="1" applyFont="1" applyAlignment="1">
      <alignment horizontal="center" vertical="top"/>
    </xf>
    <xf numFmtId="164" fontId="54" fillId="0" borderId="0" xfId="2" applyNumberFormat="1" applyFont="1" applyAlignment="1">
      <alignment horizontal="center" vertical="top" wrapText="1"/>
    </xf>
    <xf numFmtId="0" fontId="8" fillId="0" borderId="1" xfId="0" applyFont="1" applyBorder="1" applyAlignment="1">
      <alignment horizontal="center" vertical="top" wrapText="1"/>
    </xf>
    <xf numFmtId="9" fontId="7" fillId="21" borderId="1" xfId="3" quotePrefix="1" applyFont="1" applyFill="1" applyBorder="1" applyAlignment="1">
      <alignment horizontal="right" vertical="top" wrapText="1"/>
    </xf>
    <xf numFmtId="164" fontId="8" fillId="0" borderId="1" xfId="2" applyNumberFormat="1" applyFont="1" applyFill="1" applyBorder="1" applyAlignment="1">
      <alignment horizontal="right" vertical="top"/>
    </xf>
    <xf numFmtId="0" fontId="17" fillId="21" borderId="1" xfId="0" applyFont="1" applyFill="1" applyBorder="1" applyAlignment="1">
      <alignment horizontal="center" vertical="top" wrapText="1"/>
    </xf>
    <xf numFmtId="164" fontId="54" fillId="0" borderId="0" xfId="2" applyNumberFormat="1" applyFont="1" applyAlignment="1">
      <alignment horizontal="center" vertical="top"/>
    </xf>
    <xf numFmtId="164" fontId="7" fillId="21" borderId="1" xfId="2" applyNumberFormat="1" applyFont="1" applyFill="1" applyBorder="1" applyAlignment="1">
      <alignment horizontal="center" vertical="top" wrapText="1"/>
    </xf>
    <xf numFmtId="41" fontId="7" fillId="21" borderId="1" xfId="1" applyFont="1" applyFill="1" applyBorder="1" applyAlignment="1">
      <alignment horizontal="center" vertical="top" wrapText="1"/>
    </xf>
    <xf numFmtId="164" fontId="51" fillId="0" borderId="0" xfId="2" applyNumberFormat="1" applyFont="1" applyBorder="1" applyAlignment="1">
      <alignment horizontal="center" vertical="top"/>
    </xf>
    <xf numFmtId="164" fontId="8" fillId="8" borderId="1" xfId="2" applyNumberFormat="1" applyFont="1" applyFill="1" applyBorder="1" applyAlignment="1">
      <alignment vertical="top"/>
    </xf>
    <xf numFmtId="164" fontId="21" fillId="21" borderId="1" xfId="2" applyNumberFormat="1" applyFont="1" applyFill="1" applyBorder="1" applyAlignment="1">
      <alignment horizontal="right" vertical="top" wrapText="1"/>
    </xf>
    <xf numFmtId="164" fontId="35" fillId="9" borderId="1" xfId="2" applyNumberFormat="1" applyFont="1" applyFill="1" applyBorder="1" applyAlignment="1">
      <alignment horizontal="right" vertical="top" wrapText="1"/>
    </xf>
    <xf numFmtId="164" fontId="8" fillId="8" borderId="1" xfId="2" applyNumberFormat="1" applyFont="1" applyFill="1" applyBorder="1" applyAlignment="1">
      <alignment horizontal="right" vertical="top"/>
    </xf>
    <xf numFmtId="164" fontId="7" fillId="0" borderId="1" xfId="2" applyNumberFormat="1" applyFont="1" applyBorder="1" applyAlignment="1">
      <alignment vertical="top" wrapText="1"/>
    </xf>
    <xf numFmtId="164" fontId="7" fillId="21" borderId="1" xfId="2" quotePrefix="1" applyNumberFormat="1" applyFont="1" applyFill="1" applyBorder="1" applyAlignment="1">
      <alignment horizontal="right" vertical="top" wrapText="1"/>
    </xf>
    <xf numFmtId="2" fontId="17" fillId="21" borderId="1" xfId="0" applyNumberFormat="1" applyFont="1" applyFill="1" applyBorder="1" applyAlignment="1">
      <alignment horizontal="center" vertical="top"/>
    </xf>
    <xf numFmtId="164" fontId="42" fillId="0" borderId="0" xfId="2" applyNumberFormat="1" applyFont="1" applyFill="1" applyAlignment="1">
      <alignment vertical="top"/>
    </xf>
    <xf numFmtId="164" fontId="44" fillId="0" borderId="0" xfId="2" applyNumberFormat="1" applyFont="1" applyFill="1" applyAlignment="1">
      <alignment vertical="top"/>
    </xf>
    <xf numFmtId="166" fontId="8" fillId="21" borderId="1" xfId="1" applyNumberFormat="1" applyFont="1" applyFill="1" applyBorder="1" applyAlignment="1">
      <alignment horizontal="right" vertical="top" wrapText="1"/>
    </xf>
    <xf numFmtId="164" fontId="21" fillId="0" borderId="0" xfId="0" applyNumberFormat="1" applyFont="1" applyFill="1" applyAlignment="1">
      <alignment vertical="top"/>
    </xf>
    <xf numFmtId="41" fontId="8" fillId="0" borderId="1" xfId="1" quotePrefix="1" applyNumberFormat="1" applyFont="1" applyBorder="1" applyAlignment="1">
      <alignment vertical="top"/>
    </xf>
    <xf numFmtId="41" fontId="4" fillId="21" borderId="1" xfId="1" applyNumberFormat="1" applyFont="1" applyFill="1" applyBorder="1" applyAlignment="1">
      <alignment vertical="top"/>
    </xf>
    <xf numFmtId="10" fontId="7" fillId="21" borderId="1" xfId="3" applyNumberFormat="1" applyFont="1" applyFill="1" applyBorder="1" applyAlignment="1">
      <alignment vertical="top" wrapText="1"/>
    </xf>
    <xf numFmtId="10" fontId="8" fillId="0" borderId="1" xfId="3" applyNumberFormat="1" applyFont="1" applyBorder="1" applyAlignment="1">
      <alignment vertical="top" wrapText="1"/>
    </xf>
    <xf numFmtId="10" fontId="8" fillId="9" borderId="1" xfId="3" applyNumberFormat="1" applyFont="1" applyFill="1" applyBorder="1" applyAlignment="1">
      <alignment vertical="top" wrapText="1"/>
    </xf>
    <xf numFmtId="9" fontId="8" fillId="9" borderId="1" xfId="3" applyNumberFormat="1" applyFont="1" applyFill="1" applyBorder="1" applyAlignment="1">
      <alignment vertical="top" wrapText="1"/>
    </xf>
    <xf numFmtId="0" fontId="21" fillId="0" borderId="1" xfId="0" applyFont="1" applyBorder="1" applyAlignment="1">
      <alignment vertical="top" wrapText="1"/>
    </xf>
    <xf numFmtId="0" fontId="17" fillId="21" borderId="1" xfId="0" applyFont="1" applyFill="1" applyBorder="1" applyAlignment="1">
      <alignment horizontal="left" vertical="top" wrapText="1"/>
    </xf>
    <xf numFmtId="0" fontId="17" fillId="21" borderId="1" xfId="0" applyFont="1" applyFill="1" applyBorder="1" applyAlignment="1">
      <alignment horizontal="center" vertical="top" wrapText="1"/>
    </xf>
    <xf numFmtId="0" fontId="21" fillId="0" borderId="1" xfId="0" applyFont="1" applyFill="1" applyBorder="1" applyAlignment="1">
      <alignment vertical="top" wrapText="1"/>
    </xf>
    <xf numFmtId="0" fontId="7" fillId="0" borderId="1" xfId="0" applyFont="1" applyFill="1" applyBorder="1" applyAlignment="1">
      <alignment horizontal="right" vertical="top"/>
    </xf>
    <xf numFmtId="0" fontId="8" fillId="0" borderId="4" xfId="0" applyFont="1" applyFill="1" applyBorder="1" applyAlignment="1">
      <alignment horizontal="center" vertical="top" wrapText="1"/>
    </xf>
    <xf numFmtId="0" fontId="8" fillId="0" borderId="1" xfId="0" applyFont="1" applyFill="1" applyBorder="1" applyAlignment="1">
      <alignment horizontal="center" vertical="top" wrapText="1"/>
    </xf>
    <xf numFmtId="0" fontId="7" fillId="21" borderId="1" xfId="0" applyFont="1" applyFill="1" applyBorder="1" applyAlignment="1">
      <alignment horizontal="center" vertical="top" wrapText="1"/>
    </xf>
    <xf numFmtId="164" fontId="7" fillId="21" borderId="1" xfId="2" applyNumberFormat="1" applyFont="1" applyFill="1" applyBorder="1" applyAlignment="1">
      <alignment horizontal="center" vertical="top" wrapText="1"/>
    </xf>
    <xf numFmtId="43" fontId="8" fillId="0" borderId="1" xfId="2" applyNumberFormat="1" applyFont="1" applyBorder="1" applyAlignment="1">
      <alignment horizontal="right" vertical="top"/>
    </xf>
    <xf numFmtId="9" fontId="21" fillId="9" borderId="1" xfId="3" quotePrefix="1" applyFont="1" applyFill="1" applyBorder="1" applyAlignment="1">
      <alignment horizontal="right" vertical="top"/>
    </xf>
    <xf numFmtId="9" fontId="8" fillId="9" borderId="1" xfId="3" quotePrefix="1" applyFont="1" applyFill="1" applyBorder="1" applyAlignment="1">
      <alignment horizontal="right" vertical="top" wrapText="1"/>
    </xf>
    <xf numFmtId="9" fontId="8" fillId="9" borderId="1" xfId="0" quotePrefix="1" applyNumberFormat="1" applyFont="1" applyFill="1" applyBorder="1" applyAlignment="1">
      <alignment vertical="top" wrapText="1"/>
    </xf>
    <xf numFmtId="9" fontId="7" fillId="21" borderId="1" xfId="3" quotePrefix="1" applyNumberFormat="1" applyFont="1" applyFill="1" applyBorder="1" applyAlignment="1">
      <alignment horizontal="right" vertical="top" wrapText="1"/>
    </xf>
    <xf numFmtId="9" fontId="7" fillId="21" borderId="1" xfId="0" quotePrefix="1" applyNumberFormat="1" applyFont="1" applyFill="1" applyBorder="1" applyAlignment="1">
      <alignment vertical="top" wrapText="1"/>
    </xf>
    <xf numFmtId="9" fontId="7" fillId="21" borderId="1" xfId="3" applyNumberFormat="1" applyFont="1" applyFill="1" applyBorder="1" applyAlignment="1">
      <alignment horizontal="right" vertical="top" wrapText="1"/>
    </xf>
    <xf numFmtId="1" fontId="8" fillId="9" borderId="1" xfId="1" applyNumberFormat="1" applyFont="1" applyFill="1" applyBorder="1" applyAlignment="1">
      <alignment vertical="top" wrapText="1"/>
    </xf>
    <xf numFmtId="2" fontId="7" fillId="21" borderId="1" xfId="3" applyNumberFormat="1" applyFont="1" applyFill="1" applyBorder="1" applyAlignment="1">
      <alignment vertical="top" wrapText="1"/>
    </xf>
    <xf numFmtId="0" fontId="7" fillId="8" borderId="2" xfId="0" applyFont="1" applyFill="1" applyBorder="1" applyAlignment="1">
      <alignment horizontal="center" vertical="top"/>
    </xf>
    <xf numFmtId="0" fontId="7" fillId="8" borderId="2" xfId="0" applyFont="1" applyFill="1" applyBorder="1" applyAlignment="1">
      <alignment vertical="top"/>
    </xf>
    <xf numFmtId="0" fontId="7" fillId="8" borderId="2" xfId="0" applyFont="1" applyFill="1" applyBorder="1" applyAlignment="1">
      <alignment vertical="top" wrapText="1"/>
    </xf>
    <xf numFmtId="0" fontId="7" fillId="8" borderId="2" xfId="0" applyFont="1" applyFill="1" applyBorder="1" applyAlignment="1">
      <alignment horizontal="right" vertical="top"/>
    </xf>
    <xf numFmtId="41" fontId="7" fillId="8" borderId="2" xfId="0" applyNumberFormat="1" applyFont="1" applyFill="1" applyBorder="1" applyAlignment="1">
      <alignment horizontal="right" vertical="top"/>
    </xf>
    <xf numFmtId="164" fontId="7" fillId="8" borderId="2" xfId="2" applyNumberFormat="1" applyFont="1" applyFill="1" applyBorder="1" applyAlignment="1">
      <alignment horizontal="right" vertical="top"/>
    </xf>
    <xf numFmtId="164" fontId="7" fillId="8" borderId="2" xfId="2" applyNumberFormat="1" applyFont="1" applyFill="1" applyBorder="1" applyAlignment="1">
      <alignment vertical="top"/>
    </xf>
    <xf numFmtId="0" fontId="17" fillId="8" borderId="2" xfId="0" applyFont="1" applyFill="1" applyBorder="1" applyAlignment="1">
      <alignment vertical="top" wrapText="1"/>
    </xf>
    <xf numFmtId="41" fontId="17" fillId="8" borderId="2" xfId="0" applyNumberFormat="1" applyFont="1" applyFill="1" applyBorder="1" applyAlignment="1">
      <alignment vertical="top" wrapText="1"/>
    </xf>
    <xf numFmtId="0" fontId="7" fillId="8" borderId="2" xfId="0" applyFont="1" applyFill="1" applyBorder="1" applyAlignment="1">
      <alignment horizontal="center" vertical="top" wrapText="1"/>
    </xf>
    <xf numFmtId="2" fontId="7" fillId="0" borderId="4" xfId="0" applyNumberFormat="1" applyFont="1" applyBorder="1" applyAlignment="1">
      <alignment horizontal="right" vertical="top"/>
    </xf>
    <xf numFmtId="167" fontId="21" fillId="0" borderId="1" xfId="0" applyNumberFormat="1" applyFont="1" applyFill="1" applyBorder="1" applyAlignment="1">
      <alignment vertical="top"/>
    </xf>
    <xf numFmtId="167" fontId="21" fillId="0" borderId="1" xfId="0" applyNumberFormat="1" applyFont="1" applyBorder="1" applyAlignment="1">
      <alignment vertical="center" wrapText="1"/>
    </xf>
    <xf numFmtId="46" fontId="8" fillId="0" borderId="1" xfId="0" quotePrefix="1" applyNumberFormat="1" applyFont="1" applyFill="1" applyBorder="1" applyAlignment="1">
      <alignment horizontal="right" vertical="top" wrapText="1"/>
    </xf>
    <xf numFmtId="0" fontId="39" fillId="23" borderId="1" xfId="0" applyFont="1" applyFill="1" applyBorder="1" applyAlignment="1">
      <alignment vertical="top" wrapText="1"/>
    </xf>
    <xf numFmtId="0" fontId="39" fillId="23" borderId="1" xfId="0" applyFont="1" applyFill="1" applyBorder="1" applyAlignment="1">
      <alignment horizontal="center" vertical="top" wrapText="1"/>
    </xf>
    <xf numFmtId="0" fontId="39" fillId="23" borderId="1" xfId="0" applyFont="1" applyFill="1" applyBorder="1" applyAlignment="1">
      <alignment horizontal="left" vertical="top" wrapText="1"/>
    </xf>
    <xf numFmtId="0" fontId="24" fillId="15" borderId="0" xfId="0" applyFont="1" applyFill="1" applyAlignment="1">
      <alignment vertical="top"/>
    </xf>
    <xf numFmtId="41" fontId="24" fillId="0" borderId="0" xfId="0" applyNumberFormat="1" applyFont="1" applyFill="1" applyAlignment="1">
      <alignment vertical="top"/>
    </xf>
    <xf numFmtId="0" fontId="24" fillId="0" borderId="0" xfId="0" applyFont="1" applyFill="1" applyAlignment="1">
      <alignment vertical="top"/>
    </xf>
    <xf numFmtId="0" fontId="24" fillId="15" borderId="1" xfId="0" applyFont="1" applyFill="1" applyBorder="1" applyAlignment="1">
      <alignment vertical="top" wrapText="1"/>
    </xf>
    <xf numFmtId="0" fontId="24" fillId="15" borderId="1" xfId="0" quotePrefix="1" applyFont="1" applyFill="1" applyBorder="1" applyAlignment="1">
      <alignment horizontal="center" vertical="top" wrapText="1"/>
    </xf>
    <xf numFmtId="0" fontId="24" fillId="15" borderId="1" xfId="0" applyFont="1" applyFill="1" applyBorder="1" applyAlignment="1">
      <alignment horizontal="center" vertical="top" wrapText="1"/>
    </xf>
    <xf numFmtId="0" fontId="24" fillId="15" borderId="1" xfId="0" applyFont="1" applyFill="1" applyBorder="1" applyAlignment="1">
      <alignment horizontal="left" vertical="top" wrapText="1"/>
    </xf>
    <xf numFmtId="0" fontId="24" fillId="15" borderId="1" xfId="0" applyFont="1" applyFill="1" applyBorder="1" applyAlignment="1">
      <alignment horizontal="right" vertical="top" wrapText="1"/>
    </xf>
    <xf numFmtId="41" fontId="24" fillId="15" borderId="1" xfId="6" applyFont="1" applyFill="1" applyBorder="1" applyAlignment="1">
      <alignment horizontal="right" vertical="top" wrapText="1"/>
    </xf>
    <xf numFmtId="0" fontId="24" fillId="0" borderId="1" xfId="0" applyFont="1" applyBorder="1" applyAlignment="1">
      <alignment horizontal="right" vertical="top"/>
    </xf>
    <xf numFmtId="0" fontId="24" fillId="15" borderId="1" xfId="6" applyNumberFormat="1" applyFont="1" applyFill="1" applyBorder="1" applyAlignment="1">
      <alignment horizontal="right" vertical="top" wrapText="1"/>
    </xf>
    <xf numFmtId="41" fontId="24" fillId="15" borderId="1" xfId="6" applyNumberFormat="1" applyFont="1" applyFill="1" applyBorder="1" applyAlignment="1">
      <alignment vertical="top" wrapText="1"/>
    </xf>
    <xf numFmtId="41" fontId="24" fillId="15" borderId="1" xfId="6" applyFont="1" applyFill="1" applyBorder="1" applyAlignment="1">
      <alignment vertical="top"/>
    </xf>
    <xf numFmtId="1" fontId="24" fillId="15" borderId="1" xfId="6" applyNumberFormat="1" applyFont="1" applyFill="1" applyBorder="1" applyAlignment="1">
      <alignment vertical="top" wrapText="1"/>
    </xf>
    <xf numFmtId="9" fontId="24" fillId="15" borderId="1" xfId="6" applyNumberFormat="1" applyFont="1" applyFill="1" applyBorder="1" applyAlignment="1">
      <alignment horizontal="center" vertical="top" wrapText="1"/>
    </xf>
    <xf numFmtId="164" fontId="24" fillId="15" borderId="1" xfId="2" applyNumberFormat="1" applyFont="1" applyFill="1" applyBorder="1" applyAlignment="1">
      <alignment vertical="top" wrapText="1"/>
    </xf>
    <xf numFmtId="41" fontId="24" fillId="15" borderId="1" xfId="0" applyNumberFormat="1" applyFont="1" applyFill="1" applyBorder="1" applyAlignment="1">
      <alignment horizontal="right" vertical="top" wrapText="1"/>
    </xf>
    <xf numFmtId="166" fontId="24" fillId="15" borderId="1" xfId="6" applyNumberFormat="1" applyFont="1" applyFill="1" applyBorder="1" applyAlignment="1">
      <alignment horizontal="right" vertical="top" wrapText="1"/>
    </xf>
    <xf numFmtId="0" fontId="39" fillId="0" borderId="0" xfId="0" applyFont="1" applyFill="1" applyAlignment="1">
      <alignment vertical="top"/>
    </xf>
    <xf numFmtId="41" fontId="24" fillId="15" borderId="1" xfId="6" applyFont="1" applyFill="1" applyBorder="1" applyAlignment="1">
      <alignment horizontal="left" vertical="top" wrapText="1"/>
    </xf>
    <xf numFmtId="0" fontId="57" fillId="0" borderId="0" xfId="0" applyFont="1" applyFill="1" applyAlignment="1">
      <alignment vertical="top"/>
    </xf>
    <xf numFmtId="41" fontId="24" fillId="0" borderId="1" xfId="6" applyFont="1" applyBorder="1" applyAlignment="1">
      <alignment horizontal="right" vertical="top"/>
    </xf>
    <xf numFmtId="41" fontId="24" fillId="15" borderId="1" xfId="6" applyFont="1" applyFill="1" applyBorder="1" applyAlignment="1">
      <alignment vertical="top" wrapText="1"/>
    </xf>
    <xf numFmtId="41" fontId="24" fillId="15" borderId="1" xfId="6" quotePrefix="1" applyFont="1" applyFill="1" applyBorder="1" applyAlignment="1">
      <alignment horizontal="right" vertical="top" wrapText="1"/>
    </xf>
    <xf numFmtId="41" fontId="24" fillId="15" borderId="1" xfId="0" applyNumberFormat="1" applyFont="1" applyFill="1" applyBorder="1" applyAlignment="1">
      <alignment vertical="top" wrapText="1"/>
    </xf>
    <xf numFmtId="9" fontId="24" fillId="15" borderId="1" xfId="0" applyNumberFormat="1" applyFont="1" applyFill="1" applyBorder="1" applyAlignment="1">
      <alignment vertical="top" wrapText="1"/>
    </xf>
    <xf numFmtId="9" fontId="24" fillId="15" borderId="1" xfId="6" applyNumberFormat="1" applyFont="1" applyFill="1" applyBorder="1" applyAlignment="1">
      <alignment vertical="top" wrapText="1"/>
    </xf>
    <xf numFmtId="41" fontId="24" fillId="15" borderId="1" xfId="6" applyFont="1" applyFill="1" applyBorder="1" applyAlignment="1">
      <alignment horizontal="center" vertical="top" wrapText="1"/>
    </xf>
    <xf numFmtId="2" fontId="24" fillId="15" borderId="1" xfId="0" applyNumberFormat="1" applyFont="1" applyFill="1" applyBorder="1" applyAlignment="1">
      <alignment horizontal="right" vertical="top" wrapText="1"/>
    </xf>
    <xf numFmtId="2" fontId="24" fillId="15" borderId="1" xfId="6" applyNumberFormat="1" applyFont="1" applyFill="1" applyBorder="1" applyAlignment="1">
      <alignment horizontal="right" vertical="top" wrapText="1"/>
    </xf>
    <xf numFmtId="41" fontId="24" fillId="15" borderId="1" xfId="6" applyFont="1" applyFill="1" applyBorder="1" applyAlignment="1">
      <alignment horizontal="right" vertical="top"/>
    </xf>
    <xf numFmtId="0" fontId="24" fillId="0" borderId="1" xfId="0" applyFont="1" applyBorder="1" applyAlignment="1">
      <alignment horizontal="right" vertical="top" wrapText="1"/>
    </xf>
    <xf numFmtId="41" fontId="24" fillId="15" borderId="1" xfId="0" quotePrefix="1" applyNumberFormat="1" applyFont="1" applyFill="1" applyBorder="1" applyAlignment="1">
      <alignment horizontal="center" vertical="top" wrapText="1"/>
    </xf>
    <xf numFmtId="41" fontId="24" fillId="15" borderId="1" xfId="0" quotePrefix="1" applyNumberFormat="1" applyFont="1" applyFill="1" applyBorder="1" applyAlignment="1">
      <alignment horizontal="right" vertical="top" wrapText="1"/>
    </xf>
    <xf numFmtId="0" fontId="24" fillId="0" borderId="1" xfId="0" applyFont="1" applyFill="1" applyBorder="1" applyAlignment="1">
      <alignment vertical="top" wrapText="1"/>
    </xf>
    <xf numFmtId="0" fontId="24" fillId="0" borderId="1" xfId="0" quotePrefix="1" applyFont="1" applyFill="1" applyBorder="1" applyAlignment="1">
      <alignment horizontal="center" vertical="top" wrapText="1"/>
    </xf>
    <xf numFmtId="0" fontId="24" fillId="0" borderId="1" xfId="0" applyFont="1" applyFill="1" applyBorder="1" applyAlignment="1">
      <alignment horizontal="center" vertical="top" wrapText="1"/>
    </xf>
    <xf numFmtId="0" fontId="24" fillId="0" borderId="1" xfId="0" applyFont="1" applyFill="1" applyBorder="1" applyAlignment="1">
      <alignment horizontal="right" vertical="top" wrapText="1"/>
    </xf>
    <xf numFmtId="41" fontId="24" fillId="0" borderId="1" xfId="6" applyFont="1" applyFill="1" applyBorder="1" applyAlignment="1">
      <alignment horizontal="right" vertical="top" wrapText="1"/>
    </xf>
    <xf numFmtId="41" fontId="24" fillId="0" borderId="1" xfId="6" applyFont="1" applyFill="1" applyBorder="1" applyAlignment="1">
      <alignment horizontal="right" vertical="top"/>
    </xf>
    <xf numFmtId="0" fontId="24" fillId="0" borderId="1" xfId="6" applyNumberFormat="1" applyFont="1" applyFill="1" applyBorder="1" applyAlignment="1">
      <alignment horizontal="right" vertical="top" wrapText="1"/>
    </xf>
    <xf numFmtId="41" fontId="24" fillId="0" borderId="1" xfId="6" applyNumberFormat="1" applyFont="1" applyFill="1" applyBorder="1" applyAlignment="1">
      <alignment vertical="top" wrapText="1"/>
    </xf>
    <xf numFmtId="41" fontId="24" fillId="0" borderId="1" xfId="6" applyFont="1" applyFill="1" applyBorder="1" applyAlignment="1">
      <alignment vertical="top" wrapText="1"/>
    </xf>
    <xf numFmtId="9" fontId="24" fillId="0" borderId="1" xfId="6" applyNumberFormat="1" applyFont="1" applyFill="1" applyBorder="1" applyAlignment="1">
      <alignment horizontal="center" vertical="top" wrapText="1"/>
    </xf>
    <xf numFmtId="164" fontId="24" fillId="0" borderId="1" xfId="2" applyNumberFormat="1" applyFont="1" applyFill="1" applyBorder="1" applyAlignment="1">
      <alignment vertical="top" wrapText="1"/>
    </xf>
    <xf numFmtId="41" fontId="24" fillId="0" borderId="1" xfId="0" quotePrefix="1" applyNumberFormat="1" applyFont="1" applyFill="1" applyBorder="1" applyAlignment="1">
      <alignment horizontal="right" vertical="top" wrapText="1"/>
    </xf>
    <xf numFmtId="2" fontId="24" fillId="0" borderId="1" xfId="0" applyNumberFormat="1" applyFont="1" applyFill="1" applyBorder="1" applyAlignment="1">
      <alignment horizontal="right" vertical="top" wrapText="1"/>
    </xf>
    <xf numFmtId="2" fontId="24" fillId="0" borderId="1" xfId="6" applyNumberFormat="1" applyFont="1" applyFill="1" applyBorder="1" applyAlignment="1">
      <alignment horizontal="right" vertical="top" wrapText="1"/>
    </xf>
    <xf numFmtId="0" fontId="24" fillId="15" borderId="1" xfId="0" applyFont="1" applyFill="1" applyBorder="1" applyAlignment="1">
      <alignment vertical="top"/>
    </xf>
    <xf numFmtId="0" fontId="24" fillId="15" borderId="1" xfId="0" quotePrefix="1" applyFont="1" applyFill="1" applyBorder="1" applyAlignment="1">
      <alignment horizontal="center" vertical="top"/>
    </xf>
    <xf numFmtId="0" fontId="24" fillId="15" borderId="1" xfId="0" applyFont="1" applyFill="1" applyBorder="1" applyAlignment="1">
      <alignment horizontal="center" vertical="top"/>
    </xf>
    <xf numFmtId="41" fontId="24" fillId="15" borderId="1" xfId="6" applyFont="1" applyFill="1" applyBorder="1" applyAlignment="1">
      <alignment horizontal="center" vertical="top"/>
    </xf>
    <xf numFmtId="0" fontId="24" fillId="15" borderId="1" xfId="0" applyNumberFormat="1" applyFont="1" applyFill="1" applyBorder="1" applyAlignment="1">
      <alignment horizontal="right" vertical="top" wrapText="1"/>
    </xf>
    <xf numFmtId="41" fontId="24" fillId="15" borderId="1" xfId="6" quotePrefix="1" applyNumberFormat="1" applyFont="1" applyFill="1" applyBorder="1" applyAlignment="1">
      <alignment horizontal="center" vertical="top" wrapText="1"/>
    </xf>
    <xf numFmtId="1" fontId="24" fillId="15" borderId="1" xfId="0" applyNumberFormat="1" applyFont="1" applyFill="1" applyBorder="1" applyAlignment="1">
      <alignment vertical="top" wrapText="1"/>
    </xf>
    <xf numFmtId="9" fontId="24" fillId="15" borderId="1" xfId="0" applyNumberFormat="1" applyFont="1" applyFill="1" applyBorder="1" applyAlignment="1">
      <alignment horizontal="center" vertical="top" wrapText="1"/>
    </xf>
    <xf numFmtId="1" fontId="24" fillId="15" borderId="1" xfId="0" applyNumberFormat="1" applyFont="1" applyFill="1" applyBorder="1" applyAlignment="1">
      <alignment horizontal="right" vertical="top" wrapText="1"/>
    </xf>
    <xf numFmtId="164" fontId="24" fillId="15" borderId="1" xfId="2" quotePrefix="1" applyNumberFormat="1" applyFont="1" applyFill="1" applyBorder="1" applyAlignment="1">
      <alignment horizontal="center" vertical="top" wrapText="1"/>
    </xf>
    <xf numFmtId="0" fontId="24" fillId="0" borderId="1" xfId="0" applyNumberFormat="1" applyFont="1" applyFill="1" applyBorder="1" applyAlignment="1">
      <alignment horizontal="right" vertical="top" wrapText="1"/>
    </xf>
    <xf numFmtId="1" fontId="24" fillId="0" borderId="1" xfId="0" applyNumberFormat="1" applyFont="1" applyFill="1" applyBorder="1" applyAlignment="1">
      <alignment vertical="top" wrapText="1"/>
    </xf>
    <xf numFmtId="9" fontId="24" fillId="0" borderId="1" xfId="0" applyNumberFormat="1" applyFont="1" applyFill="1" applyBorder="1" applyAlignment="1">
      <alignment horizontal="center" vertical="top" wrapText="1"/>
    </xf>
    <xf numFmtId="9" fontId="24" fillId="0" borderId="1" xfId="0" applyNumberFormat="1" applyFont="1" applyFill="1" applyBorder="1" applyAlignment="1">
      <alignment horizontal="right" vertical="top" wrapText="1"/>
    </xf>
    <xf numFmtId="41" fontId="24" fillId="15" borderId="1" xfId="6" quotePrefix="1" applyFont="1" applyFill="1" applyBorder="1" applyAlignment="1">
      <alignment horizontal="center" vertical="top" wrapText="1"/>
    </xf>
    <xf numFmtId="41" fontId="24" fillId="0" borderId="1" xfId="6" quotePrefix="1" applyFont="1" applyFill="1" applyBorder="1" applyAlignment="1">
      <alignment horizontal="center" vertical="top" wrapText="1"/>
    </xf>
    <xf numFmtId="1" fontId="39" fillId="0" borderId="1" xfId="3" applyNumberFormat="1" applyFont="1" applyFill="1" applyBorder="1" applyAlignment="1">
      <alignment horizontal="right" vertical="top" wrapText="1"/>
    </xf>
    <xf numFmtId="190" fontId="21" fillId="0" borderId="0" xfId="0" applyNumberFormat="1" applyFont="1" applyFill="1" applyAlignment="1">
      <alignment vertical="top"/>
    </xf>
    <xf numFmtId="1" fontId="7" fillId="21" borderId="1" xfId="0" quotePrefix="1" applyNumberFormat="1" applyFont="1" applyFill="1" applyBorder="1" applyAlignment="1">
      <alignment horizontal="right" vertical="top" wrapText="1"/>
    </xf>
    <xf numFmtId="1" fontId="7" fillId="0" borderId="1" xfId="0" quotePrefix="1" applyNumberFormat="1" applyFont="1" applyBorder="1" applyAlignment="1">
      <alignment horizontal="right" vertical="top" wrapText="1"/>
    </xf>
    <xf numFmtId="2" fontId="8" fillId="0" borderId="1" xfId="0" applyNumberFormat="1" applyFont="1" applyFill="1" applyBorder="1" applyAlignment="1">
      <alignment horizontal="right" vertical="top"/>
    </xf>
    <xf numFmtId="0" fontId="8" fillId="0" borderId="1" xfId="0" applyFont="1" applyFill="1" applyBorder="1" applyAlignment="1">
      <alignment horizontal="center" vertical="top" wrapText="1"/>
    </xf>
    <xf numFmtId="0" fontId="8" fillId="0" borderId="1" xfId="0" applyFont="1" applyFill="1" applyBorder="1" applyAlignment="1">
      <alignment horizontal="right" vertical="top"/>
    </xf>
    <xf numFmtId="41" fontId="8" fillId="0" borderId="1" xfId="1" applyFont="1" applyFill="1" applyBorder="1" applyAlignment="1">
      <alignment horizontal="right" vertical="top"/>
    </xf>
    <xf numFmtId="0" fontId="8" fillId="0" borderId="1" xfId="0" quotePrefix="1" applyFont="1" applyFill="1" applyBorder="1" applyAlignment="1">
      <alignment horizontal="right" vertical="top"/>
    </xf>
    <xf numFmtId="0" fontId="7" fillId="21" borderId="1" xfId="0" applyFont="1" applyFill="1" applyBorder="1" applyAlignment="1">
      <alignment horizontal="center" vertical="top" wrapText="1"/>
    </xf>
    <xf numFmtId="0" fontId="17" fillId="9" borderId="1" xfId="0" applyFont="1" applyFill="1" applyBorder="1" applyAlignment="1">
      <alignment horizontal="right" vertical="top"/>
    </xf>
    <xf numFmtId="0" fontId="7" fillId="21" borderId="1" xfId="0" applyFont="1" applyFill="1" applyBorder="1" applyAlignment="1">
      <alignment horizontal="center" vertical="top"/>
    </xf>
    <xf numFmtId="0" fontId="21" fillId="0" borderId="1" xfId="0" applyFont="1" applyBorder="1" applyAlignment="1">
      <alignment vertical="top" wrapText="1"/>
    </xf>
    <xf numFmtId="0" fontId="8" fillId="0" borderId="1" xfId="0" applyFont="1" applyBorder="1" applyAlignment="1">
      <alignment horizontal="center" vertical="top" wrapText="1"/>
    </xf>
    <xf numFmtId="0" fontId="21" fillId="0" borderId="1" xfId="0" applyFont="1" applyFill="1" applyBorder="1" applyAlignment="1">
      <alignment vertical="top" wrapText="1"/>
    </xf>
    <xf numFmtId="0" fontId="24" fillId="0" borderId="1" xfId="0" applyFont="1" applyBorder="1" applyAlignment="1">
      <alignment vertical="top" wrapText="1"/>
    </xf>
    <xf numFmtId="0" fontId="21" fillId="15" borderId="1" xfId="0" applyFont="1" applyFill="1" applyBorder="1" applyAlignment="1">
      <alignment horizontal="center" vertical="top"/>
    </xf>
    <xf numFmtId="0" fontId="21" fillId="15" borderId="1" xfId="0" quotePrefix="1" applyFont="1" applyFill="1" applyBorder="1" applyAlignment="1">
      <alignment horizontal="center" vertical="top"/>
    </xf>
    <xf numFmtId="0" fontId="24" fillId="0" borderId="1" xfId="0" quotePrefix="1" applyFont="1" applyBorder="1" applyAlignment="1">
      <alignment horizontal="center" vertical="top"/>
    </xf>
    <xf numFmtId="0" fontId="24" fillId="0" borderId="1" xfId="0" applyNumberFormat="1" applyFont="1" applyBorder="1" applyAlignment="1">
      <alignment horizontal="right" vertical="top"/>
    </xf>
    <xf numFmtId="172" fontId="24" fillId="0" borderId="1" xfId="2" applyNumberFormat="1" applyFont="1" applyBorder="1" applyAlignment="1">
      <alignment horizontal="right" vertical="top"/>
    </xf>
    <xf numFmtId="41" fontId="24" fillId="0" borderId="1" xfId="0" applyNumberFormat="1" applyFont="1" applyBorder="1" applyAlignment="1">
      <alignment horizontal="right" vertical="top"/>
    </xf>
    <xf numFmtId="0" fontId="24" fillId="0" borderId="1" xfId="0" applyFont="1" applyBorder="1" applyAlignment="1">
      <alignment horizontal="center" vertical="top"/>
    </xf>
    <xf numFmtId="41" fontId="24" fillId="0" borderId="1" xfId="6" applyFont="1" applyBorder="1" applyAlignment="1">
      <alignment horizontal="center" vertical="top"/>
    </xf>
    <xf numFmtId="164" fontId="24" fillId="0" borderId="1" xfId="2" applyNumberFormat="1" applyFont="1" applyBorder="1" applyAlignment="1">
      <alignment horizontal="right" vertical="top"/>
    </xf>
    <xf numFmtId="0" fontId="24" fillId="0" borderId="1" xfId="0" applyFont="1" applyBorder="1" applyAlignment="1">
      <alignment vertical="top"/>
    </xf>
    <xf numFmtId="41" fontId="24" fillId="0" borderId="1" xfId="6" applyFont="1" applyBorder="1" applyAlignment="1">
      <alignment vertical="top"/>
    </xf>
    <xf numFmtId="41" fontId="24" fillId="0" borderId="1" xfId="6" applyNumberFormat="1" applyFont="1" applyBorder="1" applyAlignment="1">
      <alignment vertical="top"/>
    </xf>
    <xf numFmtId="2" fontId="24" fillId="0" borderId="1" xfId="0" applyNumberFormat="1" applyFont="1" applyBorder="1" applyAlignment="1">
      <alignment vertical="top"/>
    </xf>
    <xf numFmtId="0" fontId="24" fillId="0" borderId="1" xfId="0" applyFont="1" applyBorder="1" applyAlignment="1">
      <alignment horizontal="center" vertical="top" wrapText="1"/>
    </xf>
    <xf numFmtId="0" fontId="39" fillId="23" borderId="1" xfId="0" applyFont="1" applyFill="1" applyBorder="1" applyAlignment="1">
      <alignment vertical="top"/>
    </xf>
    <xf numFmtId="0" fontId="17" fillId="23" borderId="1" xfId="0" applyFont="1" applyFill="1" applyBorder="1" applyAlignment="1">
      <alignment horizontal="center" vertical="top"/>
    </xf>
    <xf numFmtId="0" fontId="17" fillId="23" borderId="1" xfId="0" quotePrefix="1" applyFont="1" applyFill="1" applyBorder="1" applyAlignment="1">
      <alignment horizontal="center" vertical="top"/>
    </xf>
    <xf numFmtId="0" fontId="39" fillId="23" borderId="1" xfId="0" applyFont="1" applyFill="1" applyBorder="1" applyAlignment="1">
      <alignment horizontal="center" vertical="top"/>
    </xf>
    <xf numFmtId="0" fontId="17" fillId="23" borderId="1" xfId="0" applyFont="1" applyFill="1" applyBorder="1" applyAlignment="1">
      <alignment vertical="top" wrapText="1"/>
    </xf>
    <xf numFmtId="0" fontId="17" fillId="23" borderId="1" xfId="0" applyFont="1" applyFill="1" applyBorder="1" applyAlignment="1">
      <alignment horizontal="right" vertical="top"/>
    </xf>
    <xf numFmtId="41" fontId="17" fillId="23" borderId="1" xfId="0" applyNumberFormat="1" applyFont="1" applyFill="1" applyBorder="1" applyAlignment="1">
      <alignment horizontal="right" vertical="top"/>
    </xf>
    <xf numFmtId="172" fontId="17" fillId="23" borderId="1" xfId="0" applyNumberFormat="1" applyFont="1" applyFill="1" applyBorder="1" applyAlignment="1">
      <alignment horizontal="right" vertical="top"/>
    </xf>
    <xf numFmtId="41" fontId="17" fillId="23" borderId="1" xfId="0" applyNumberFormat="1" applyFont="1" applyFill="1" applyBorder="1" applyAlignment="1">
      <alignment horizontal="center" vertical="top"/>
    </xf>
    <xf numFmtId="0" fontId="17" fillId="23" borderId="1" xfId="0" applyFont="1" applyFill="1" applyBorder="1" applyAlignment="1">
      <alignment vertical="top"/>
    </xf>
    <xf numFmtId="41" fontId="17" fillId="23" borderId="1" xfId="0" applyNumberFormat="1" applyFont="1" applyFill="1" applyBorder="1" applyAlignment="1">
      <alignment vertical="top"/>
    </xf>
    <xf numFmtId="2" fontId="17" fillId="23" borderId="1" xfId="0" applyNumberFormat="1" applyFont="1" applyFill="1" applyBorder="1" applyAlignment="1">
      <alignment vertical="top"/>
    </xf>
    <xf numFmtId="0" fontId="17" fillId="23" borderId="1" xfId="0" applyFont="1" applyFill="1" applyBorder="1" applyAlignment="1">
      <alignment horizontal="center" vertical="top" wrapText="1"/>
    </xf>
    <xf numFmtId="9" fontId="24" fillId="0" borderId="1" xfId="0" applyNumberFormat="1" applyFont="1" applyBorder="1" applyAlignment="1">
      <alignment horizontal="right" vertical="top" wrapText="1"/>
    </xf>
    <xf numFmtId="0" fontId="39" fillId="23" borderId="1" xfId="0" applyFont="1" applyFill="1" applyBorder="1" applyAlignment="1">
      <alignment horizontal="right" vertical="top"/>
    </xf>
    <xf numFmtId="41" fontId="39" fillId="23" borderId="1" xfId="6" applyFont="1" applyFill="1" applyBorder="1" applyAlignment="1">
      <alignment horizontal="right" vertical="top"/>
    </xf>
    <xf numFmtId="172" fontId="39" fillId="23" borderId="1" xfId="2" applyNumberFormat="1" applyFont="1" applyFill="1" applyBorder="1" applyAlignment="1">
      <alignment horizontal="right" vertical="top"/>
    </xf>
    <xf numFmtId="41" fontId="39" fillId="23" borderId="1" xfId="6" applyFont="1" applyFill="1" applyBorder="1" applyAlignment="1">
      <alignment horizontal="center" vertical="top"/>
    </xf>
    <xf numFmtId="41" fontId="39" fillId="23" borderId="1" xfId="6" applyFont="1" applyFill="1" applyBorder="1" applyAlignment="1">
      <alignment vertical="top"/>
    </xf>
    <xf numFmtId="41" fontId="39" fillId="23" borderId="1" xfId="6" applyNumberFormat="1" applyFont="1" applyFill="1" applyBorder="1" applyAlignment="1">
      <alignment vertical="top"/>
    </xf>
    <xf numFmtId="2" fontId="39" fillId="23" borderId="1" xfId="0" applyNumberFormat="1" applyFont="1" applyFill="1" applyBorder="1" applyAlignment="1">
      <alignment vertical="top"/>
    </xf>
    <xf numFmtId="41" fontId="17" fillId="23" borderId="1" xfId="6" applyFont="1" applyFill="1" applyBorder="1" applyAlignment="1">
      <alignment horizontal="right" vertical="top"/>
    </xf>
    <xf numFmtId="41" fontId="17" fillId="23" borderId="1" xfId="6" applyFont="1" applyFill="1" applyBorder="1" applyAlignment="1">
      <alignment vertical="top"/>
    </xf>
    <xf numFmtId="164" fontId="24" fillId="0" borderId="1" xfId="6" applyNumberFormat="1" applyFont="1" applyFill="1" applyBorder="1" applyAlignment="1">
      <alignment horizontal="right" vertical="top"/>
    </xf>
    <xf numFmtId="172" fontId="24" fillId="0" borderId="1" xfId="2" applyNumberFormat="1" applyFont="1" applyBorder="1" applyAlignment="1">
      <alignment vertical="top"/>
    </xf>
    <xf numFmtId="0" fontId="24" fillId="0" borderId="1" xfId="6" applyNumberFormat="1" applyFont="1" applyFill="1" applyBorder="1" applyAlignment="1" applyProtection="1">
      <alignment horizontal="right" vertical="top"/>
    </xf>
    <xf numFmtId="172" fontId="24" fillId="0" borderId="1" xfId="2" applyNumberFormat="1" applyFont="1" applyBorder="1" applyAlignment="1">
      <alignment horizontal="right" vertical="top" wrapText="1"/>
    </xf>
    <xf numFmtId="0" fontId="24" fillId="0" borderId="1" xfId="0" applyNumberFormat="1" applyFont="1" applyBorder="1" applyAlignment="1">
      <alignment horizontal="right" vertical="top" wrapText="1"/>
    </xf>
    <xf numFmtId="164" fontId="24" fillId="0" borderId="1" xfId="2" applyNumberFormat="1" applyFont="1" applyBorder="1" applyAlignment="1">
      <alignment horizontal="right" vertical="top" wrapText="1"/>
    </xf>
    <xf numFmtId="1" fontId="24" fillId="0" borderId="1" xfId="0" applyNumberFormat="1" applyFont="1" applyBorder="1" applyAlignment="1">
      <alignment vertical="top"/>
    </xf>
    <xf numFmtId="41" fontId="24" fillId="0" borderId="1" xfId="6" applyNumberFormat="1" applyFont="1" applyBorder="1" applyAlignment="1">
      <alignment horizontal="right" vertical="top"/>
    </xf>
    <xf numFmtId="169" fontId="24" fillId="0" borderId="1" xfId="2" applyNumberFormat="1" applyFont="1" applyBorder="1" applyAlignment="1">
      <alignment horizontal="right" vertical="top"/>
    </xf>
    <xf numFmtId="0" fontId="24" fillId="0" borderId="1" xfId="0" applyFont="1" applyFill="1" applyBorder="1" applyAlignment="1">
      <alignment horizontal="center" vertical="top"/>
    </xf>
    <xf numFmtId="172" fontId="24" fillId="0" borderId="1" xfId="2" applyNumberFormat="1" applyFont="1" applyFill="1" applyBorder="1" applyAlignment="1">
      <alignment horizontal="right" vertical="top"/>
    </xf>
    <xf numFmtId="172" fontId="24" fillId="0" borderId="1" xfId="2" applyNumberFormat="1" applyFont="1" applyFill="1" applyBorder="1" applyAlignment="1">
      <alignment horizontal="right" vertical="top" wrapText="1"/>
    </xf>
    <xf numFmtId="164" fontId="24" fillId="0" borderId="1" xfId="2" applyNumberFormat="1" applyFont="1" applyFill="1" applyBorder="1" applyAlignment="1">
      <alignment horizontal="right" vertical="top"/>
    </xf>
    <xf numFmtId="0" fontId="24" fillId="0" borderId="1" xfId="0" applyFont="1" applyFill="1" applyBorder="1" applyAlignment="1">
      <alignment vertical="top"/>
    </xf>
    <xf numFmtId="172" fontId="24" fillId="0" borderId="1" xfId="2" applyNumberFormat="1" applyFont="1" applyFill="1" applyBorder="1" applyAlignment="1">
      <alignment vertical="top"/>
    </xf>
    <xf numFmtId="41" fontId="24" fillId="0" borderId="1" xfId="6" applyNumberFormat="1" applyFont="1" applyFill="1" applyBorder="1" applyAlignment="1">
      <alignment vertical="top"/>
    </xf>
    <xf numFmtId="2" fontId="24" fillId="0" borderId="1" xfId="0" applyNumberFormat="1" applyFont="1" applyFill="1" applyBorder="1" applyAlignment="1">
      <alignment vertical="top"/>
    </xf>
    <xf numFmtId="41" fontId="39" fillId="23" borderId="1" xfId="0" applyNumberFormat="1" applyFont="1" applyFill="1" applyBorder="1" applyAlignment="1">
      <alignment horizontal="right" vertical="top"/>
    </xf>
    <xf numFmtId="164" fontId="39" fillId="23" borderId="1" xfId="2" applyNumberFormat="1" applyFont="1" applyFill="1" applyBorder="1" applyAlignment="1">
      <alignment horizontal="right" vertical="top"/>
    </xf>
    <xf numFmtId="2" fontId="39" fillId="23" borderId="1" xfId="0" applyNumberFormat="1" applyFont="1" applyFill="1" applyBorder="1" applyAlignment="1">
      <alignment horizontal="right" vertical="top"/>
    </xf>
    <xf numFmtId="1" fontId="21" fillId="23" borderId="1" xfId="0" applyNumberFormat="1" applyFont="1" applyFill="1" applyBorder="1" applyAlignment="1">
      <alignment horizontal="center" vertical="top"/>
    </xf>
    <xf numFmtId="41" fontId="21" fillId="23" borderId="1" xfId="6" applyFont="1" applyFill="1" applyBorder="1" applyAlignment="1">
      <alignment horizontal="center" vertical="top"/>
    </xf>
    <xf numFmtId="164" fontId="17" fillId="23" borderId="1" xfId="2" applyNumberFormat="1" applyFont="1" applyFill="1" applyBorder="1" applyAlignment="1">
      <alignment horizontal="right" vertical="top"/>
    </xf>
    <xf numFmtId="172" fontId="24" fillId="0" borderId="1" xfId="2" applyNumberFormat="1" applyFont="1" applyBorder="1" applyAlignment="1">
      <alignment vertical="top" wrapText="1"/>
    </xf>
    <xf numFmtId="41" fontId="21" fillId="0" borderId="1" xfId="1" quotePrefix="1" applyNumberFormat="1" applyFont="1" applyFill="1" applyBorder="1" applyAlignment="1">
      <alignment horizontal="right" vertical="top"/>
    </xf>
    <xf numFmtId="41" fontId="21" fillId="0" borderId="1" xfId="0" quotePrefix="1" applyNumberFormat="1" applyFont="1" applyFill="1" applyBorder="1" applyAlignment="1">
      <alignment horizontal="right" vertical="top"/>
    </xf>
    <xf numFmtId="184" fontId="21" fillId="0" borderId="1" xfId="2" applyNumberFormat="1" applyFont="1" applyFill="1" applyBorder="1" applyAlignment="1">
      <alignment vertical="top"/>
    </xf>
    <xf numFmtId="3" fontId="21" fillId="0" borderId="1" xfId="0" applyNumberFormat="1" applyFont="1" applyFill="1" applyBorder="1" applyAlignment="1">
      <alignment horizontal="right" vertical="top" wrapText="1"/>
    </xf>
    <xf numFmtId="41" fontId="21" fillId="0" borderId="1" xfId="1" applyNumberFormat="1" applyFont="1" applyFill="1" applyBorder="1" applyAlignment="1">
      <alignment vertical="top" wrapText="1"/>
    </xf>
    <xf numFmtId="166" fontId="21" fillId="0" borderId="1" xfId="1" applyNumberFormat="1" applyFont="1" applyFill="1" applyBorder="1" applyAlignment="1">
      <alignment vertical="top" wrapText="1"/>
    </xf>
    <xf numFmtId="173" fontId="21" fillId="0" borderId="1" xfId="1" applyNumberFormat="1" applyFont="1" applyFill="1" applyBorder="1" applyAlignment="1">
      <alignment vertical="top" wrapText="1"/>
    </xf>
    <xf numFmtId="0" fontId="17" fillId="0" borderId="1" xfId="0" applyFont="1" applyFill="1" applyBorder="1" applyAlignment="1">
      <alignment horizontal="right" vertical="top"/>
    </xf>
    <xf numFmtId="166" fontId="21" fillId="0" borderId="1" xfId="0" applyNumberFormat="1" applyFont="1" applyFill="1" applyBorder="1" applyAlignment="1">
      <alignment horizontal="right" vertical="top"/>
    </xf>
    <xf numFmtId="0" fontId="1" fillId="0" borderId="1" xfId="0" applyFont="1" applyBorder="1" applyAlignment="1">
      <alignment vertical="top"/>
    </xf>
    <xf numFmtId="167" fontId="1" fillId="0" borderId="1" xfId="0" applyNumberFormat="1" applyFont="1" applyBorder="1" applyAlignment="1">
      <alignment vertical="top"/>
    </xf>
    <xf numFmtId="164" fontId="1" fillId="0" borderId="1" xfId="0" applyNumberFormat="1" applyFont="1" applyBorder="1" applyAlignment="1">
      <alignment vertical="top"/>
    </xf>
    <xf numFmtId="0" fontId="1" fillId="0" borderId="2" xfId="0" applyFont="1" applyBorder="1" applyAlignment="1">
      <alignment vertical="top"/>
    </xf>
    <xf numFmtId="167" fontId="1" fillId="0" borderId="2" xfId="0" applyNumberFormat="1" applyFont="1" applyBorder="1" applyAlignment="1">
      <alignment vertical="top"/>
    </xf>
    <xf numFmtId="164" fontId="8" fillId="0" borderId="2" xfId="0" applyNumberFormat="1" applyFont="1" applyBorder="1" applyAlignment="1">
      <alignment vertical="top"/>
    </xf>
    <xf numFmtId="167" fontId="21" fillId="0" borderId="2" xfId="0" applyNumberFormat="1" applyFont="1" applyBorder="1" applyAlignment="1">
      <alignment vertical="top"/>
    </xf>
    <xf numFmtId="0" fontId="7" fillId="25" borderId="1" xfId="0" applyFont="1" applyFill="1" applyBorder="1" applyAlignment="1">
      <alignment horizontal="center" vertical="top"/>
    </xf>
    <xf numFmtId="0" fontId="17" fillId="25" borderId="1" xfId="0" applyFont="1" applyFill="1" applyBorder="1" applyAlignment="1">
      <alignment vertical="top" wrapText="1"/>
    </xf>
    <xf numFmtId="0" fontId="7" fillId="25" borderId="1" xfId="0" applyFont="1" applyFill="1" applyBorder="1" applyAlignment="1">
      <alignment vertical="top" wrapText="1"/>
    </xf>
    <xf numFmtId="49" fontId="17" fillId="25" borderId="1" xfId="0" applyNumberFormat="1" applyFont="1" applyFill="1" applyBorder="1" applyAlignment="1">
      <alignment vertical="top" wrapText="1"/>
    </xf>
    <xf numFmtId="0" fontId="7" fillId="25" borderId="1" xfId="0" applyNumberFormat="1" applyFont="1" applyFill="1" applyBorder="1" applyAlignment="1">
      <alignment vertical="top"/>
    </xf>
    <xf numFmtId="3" fontId="7" fillId="25" borderId="1" xfId="0" applyNumberFormat="1" applyFont="1" applyFill="1" applyBorder="1" applyAlignment="1">
      <alignment vertical="top"/>
    </xf>
    <xf numFmtId="1" fontId="7" fillId="25" borderId="1" xfId="0" applyNumberFormat="1" applyFont="1" applyFill="1" applyBorder="1" applyAlignment="1">
      <alignment vertical="top"/>
    </xf>
    <xf numFmtId="179" fontId="7" fillId="25" borderId="1" xfId="0" applyNumberFormat="1" applyFont="1" applyFill="1" applyBorder="1" applyAlignment="1">
      <alignment vertical="top"/>
    </xf>
    <xf numFmtId="167" fontId="7" fillId="25" borderId="1" xfId="1" applyNumberFormat="1" applyFont="1" applyFill="1" applyBorder="1" applyAlignment="1">
      <alignment vertical="top"/>
    </xf>
    <xf numFmtId="164" fontId="7" fillId="25" borderId="1" xfId="0" applyNumberFormat="1" applyFont="1" applyFill="1" applyBorder="1" applyAlignment="1">
      <alignment vertical="top"/>
    </xf>
    <xf numFmtId="167" fontId="7" fillId="25" borderId="1" xfId="0" applyNumberFormat="1" applyFont="1" applyFill="1" applyBorder="1" applyAlignment="1">
      <alignment vertical="top"/>
    </xf>
    <xf numFmtId="0" fontId="40" fillId="25" borderId="1" xfId="0" applyFont="1" applyFill="1" applyBorder="1" applyAlignment="1">
      <alignment vertical="top"/>
    </xf>
    <xf numFmtId="1" fontId="8" fillId="25" borderId="1" xfId="0" applyNumberFormat="1" applyFont="1" applyFill="1" applyBorder="1" applyAlignment="1">
      <alignment vertical="top"/>
    </xf>
    <xf numFmtId="43" fontId="7" fillId="25" borderId="1" xfId="2" applyFont="1" applyFill="1" applyBorder="1" applyAlignment="1">
      <alignment vertical="top"/>
    </xf>
    <xf numFmtId="0" fontId="7" fillId="25" borderId="1" xfId="0" applyFont="1" applyFill="1" applyBorder="1" applyAlignment="1">
      <alignment horizontal="center" vertical="top" wrapText="1"/>
    </xf>
    <xf numFmtId="0" fontId="43" fillId="0" borderId="1" xfId="0" applyFont="1" applyBorder="1" applyAlignment="1">
      <alignment vertical="top"/>
    </xf>
    <xf numFmtId="4" fontId="43" fillId="0" borderId="1" xfId="0" applyNumberFormat="1" applyFont="1" applyBorder="1" applyAlignment="1">
      <alignment vertical="top"/>
    </xf>
    <xf numFmtId="4" fontId="8" fillId="0" borderId="1" xfId="0" applyNumberFormat="1" applyFont="1" applyBorder="1" applyAlignment="1">
      <alignment vertical="top"/>
    </xf>
    <xf numFmtId="164" fontId="43" fillId="0" borderId="1" xfId="0" applyNumberFormat="1" applyFont="1" applyBorder="1" applyAlignment="1">
      <alignment vertical="top"/>
    </xf>
    <xf numFmtId="167" fontId="43" fillId="0" borderId="1" xfId="0" applyNumberFormat="1" applyFont="1" applyBorder="1" applyAlignment="1">
      <alignment vertical="top"/>
    </xf>
    <xf numFmtId="169" fontId="7" fillId="25" borderId="1" xfId="0" applyNumberFormat="1" applyFont="1" applyFill="1" applyBorder="1" applyAlignment="1">
      <alignment vertical="top"/>
    </xf>
    <xf numFmtId="0" fontId="7" fillId="25" borderId="1" xfId="0" applyNumberFormat="1" applyFont="1" applyFill="1" applyBorder="1" applyAlignment="1">
      <alignment vertical="top" wrapText="1"/>
    </xf>
    <xf numFmtId="0" fontId="7" fillId="25" borderId="1" xfId="0" applyFont="1" applyFill="1" applyBorder="1" applyAlignment="1">
      <alignment vertical="top"/>
    </xf>
    <xf numFmtId="0" fontId="1" fillId="25" borderId="1" xfId="0" applyFont="1" applyFill="1" applyBorder="1" applyAlignment="1">
      <alignment vertical="top"/>
    </xf>
    <xf numFmtId="0" fontId="7" fillId="25" borderId="1" xfId="0" applyFont="1" applyFill="1" applyBorder="1" applyAlignment="1">
      <alignment horizontal="left" vertical="top" wrapText="1"/>
    </xf>
    <xf numFmtId="0" fontId="39" fillId="25" borderId="1" xfId="0" applyFont="1" applyFill="1" applyBorder="1" applyAlignment="1">
      <alignment vertical="top"/>
    </xf>
    <xf numFmtId="3" fontId="17" fillId="25" borderId="1" xfId="0" applyNumberFormat="1" applyFont="1" applyFill="1" applyBorder="1" applyAlignment="1">
      <alignment vertical="top"/>
    </xf>
    <xf numFmtId="167" fontId="17" fillId="25" borderId="1" xfId="1" applyNumberFormat="1" applyFont="1" applyFill="1" applyBorder="1" applyAlignment="1">
      <alignment vertical="top"/>
    </xf>
    <xf numFmtId="41" fontId="7" fillId="25" borderId="1" xfId="0" applyNumberFormat="1" applyFont="1" applyFill="1" applyBorder="1" applyAlignment="1">
      <alignment vertical="top"/>
    </xf>
    <xf numFmtId="0" fontId="4" fillId="25" borderId="1" xfId="0" applyFont="1" applyFill="1" applyBorder="1" applyAlignment="1">
      <alignment vertical="top"/>
    </xf>
    <xf numFmtId="0" fontId="39" fillId="25" borderId="1" xfId="0" applyFont="1" applyFill="1" applyBorder="1" applyAlignment="1">
      <alignment vertical="top" wrapText="1"/>
    </xf>
    <xf numFmtId="0" fontId="24" fillId="25" borderId="1" xfId="0" applyFont="1" applyFill="1" applyBorder="1" applyAlignment="1">
      <alignment vertical="top" wrapText="1"/>
    </xf>
    <xf numFmtId="43" fontId="8" fillId="25" borderId="1" xfId="2" applyFont="1" applyFill="1" applyBorder="1" applyAlignment="1">
      <alignment vertical="top"/>
    </xf>
    <xf numFmtId="0" fontId="8" fillId="25" borderId="1" xfId="0" applyFont="1" applyFill="1" applyBorder="1" applyAlignment="1">
      <alignment vertical="top"/>
    </xf>
    <xf numFmtId="0" fontId="39" fillId="25" borderId="1" xfId="0" applyNumberFormat="1" applyFont="1" applyFill="1" applyBorder="1" applyAlignment="1">
      <alignment vertical="top"/>
    </xf>
    <xf numFmtId="164" fontId="17" fillId="25" borderId="1" xfId="2" applyNumberFormat="1" applyFont="1" applyFill="1" applyBorder="1" applyAlignment="1">
      <alignment vertical="top"/>
    </xf>
    <xf numFmtId="179" fontId="7" fillId="25" borderId="1" xfId="1" applyNumberFormat="1" applyFont="1" applyFill="1" applyBorder="1" applyAlignment="1">
      <alignment vertical="top"/>
    </xf>
    <xf numFmtId="164" fontId="17" fillId="25" borderId="1" xfId="2" quotePrefix="1" applyNumberFormat="1" applyFont="1" applyFill="1" applyBorder="1" applyAlignment="1">
      <alignment vertical="top"/>
    </xf>
    <xf numFmtId="0" fontId="8" fillId="25" borderId="0" xfId="0" applyFont="1" applyFill="1" applyAlignment="1">
      <alignment vertical="top"/>
    </xf>
    <xf numFmtId="43" fontId="7" fillId="25" borderId="1" xfId="2" applyFont="1" applyFill="1" applyBorder="1" applyAlignment="1">
      <alignment horizontal="right" vertical="top"/>
    </xf>
    <xf numFmtId="41" fontId="7" fillId="25" borderId="1" xfId="1" applyFont="1" applyFill="1" applyBorder="1" applyAlignment="1">
      <alignment vertical="top"/>
    </xf>
    <xf numFmtId="0" fontId="17" fillId="25" borderId="1" xfId="0" applyFont="1" applyFill="1" applyBorder="1" applyAlignment="1">
      <alignment horizontal="left" vertical="top" wrapText="1"/>
    </xf>
    <xf numFmtId="0" fontId="7" fillId="25" borderId="1" xfId="1" applyNumberFormat="1" applyFont="1" applyFill="1" applyBorder="1" applyAlignment="1">
      <alignment vertical="top"/>
    </xf>
    <xf numFmtId="167" fontId="4" fillId="25" borderId="1" xfId="0" applyNumberFormat="1" applyFont="1" applyFill="1" applyBorder="1" applyAlignment="1">
      <alignment vertical="top"/>
    </xf>
    <xf numFmtId="164" fontId="17" fillId="25" borderId="1" xfId="2" applyNumberFormat="1" applyFont="1" applyFill="1" applyBorder="1" applyAlignment="1">
      <alignment vertical="top" wrapText="1"/>
    </xf>
    <xf numFmtId="0" fontId="7" fillId="25" borderId="1" xfId="0" applyNumberFormat="1" applyFont="1" applyFill="1" applyBorder="1" applyAlignment="1">
      <alignment horizontal="center" vertical="top" wrapText="1"/>
    </xf>
    <xf numFmtId="0" fontId="21" fillId="25" borderId="1" xfId="0" applyFont="1" applyFill="1" applyBorder="1" applyAlignment="1">
      <alignment vertical="top" wrapText="1"/>
    </xf>
    <xf numFmtId="0" fontId="35" fillId="25" borderId="1" xfId="0" applyFont="1" applyFill="1" applyBorder="1" applyAlignment="1">
      <alignment vertical="top"/>
    </xf>
    <xf numFmtId="0" fontId="27" fillId="0" borderId="1" xfId="0" applyFont="1" applyBorder="1" applyAlignment="1">
      <alignment vertical="top"/>
    </xf>
    <xf numFmtId="167" fontId="27" fillId="0" borderId="1" xfId="0" applyNumberFormat="1" applyFont="1" applyBorder="1" applyAlignment="1">
      <alignment vertical="top"/>
    </xf>
    <xf numFmtId="164" fontId="21" fillId="0" borderId="1" xfId="0" applyNumberFormat="1" applyFont="1" applyBorder="1" applyAlignment="1">
      <alignment vertical="top"/>
    </xf>
    <xf numFmtId="1" fontId="21" fillId="0" borderId="1" xfId="0" applyNumberFormat="1" applyFont="1" applyBorder="1" applyAlignment="1">
      <alignment vertical="top"/>
    </xf>
    <xf numFmtId="0" fontId="17" fillId="25" borderId="1" xfId="3" quotePrefix="1" applyNumberFormat="1" applyFont="1" applyFill="1" applyBorder="1" applyAlignment="1">
      <alignment vertical="top"/>
    </xf>
    <xf numFmtId="164" fontId="21" fillId="25" borderId="1" xfId="2" applyNumberFormat="1" applyFont="1" applyFill="1" applyBorder="1" applyAlignment="1">
      <alignment vertical="top"/>
    </xf>
    <xf numFmtId="179" fontId="1" fillId="25" borderId="1" xfId="0" applyNumberFormat="1" applyFont="1" applyFill="1" applyBorder="1" applyAlignment="1">
      <alignment vertical="top"/>
    </xf>
    <xf numFmtId="167" fontId="1" fillId="25" borderId="1" xfId="0" applyNumberFormat="1" applyFont="1" applyFill="1" applyBorder="1" applyAlignment="1">
      <alignment vertical="top"/>
    </xf>
    <xf numFmtId="0" fontId="24" fillId="25" borderId="1" xfId="0" applyNumberFormat="1" applyFont="1" applyFill="1" applyBorder="1" applyAlignment="1">
      <alignment vertical="top"/>
    </xf>
    <xf numFmtId="0" fontId="1" fillId="25" borderId="1" xfId="0" applyNumberFormat="1" applyFont="1" applyFill="1" applyBorder="1" applyAlignment="1">
      <alignment vertical="top"/>
    </xf>
    <xf numFmtId="2" fontId="7" fillId="25" borderId="1" xfId="0" applyNumberFormat="1" applyFont="1" applyFill="1" applyBorder="1" applyAlignment="1">
      <alignment vertical="top"/>
    </xf>
    <xf numFmtId="182" fontId="7" fillId="25" borderId="1" xfId="0" applyNumberFormat="1" applyFont="1" applyFill="1" applyBorder="1" applyAlignment="1">
      <alignment vertical="top"/>
    </xf>
    <xf numFmtId="0" fontId="7" fillId="25" borderId="1" xfId="0" applyFont="1" applyFill="1" applyBorder="1" applyAlignment="1">
      <alignment horizontal="right" vertical="top"/>
    </xf>
    <xf numFmtId="164" fontId="7" fillId="25" borderId="1" xfId="0" applyNumberFormat="1" applyFont="1" applyFill="1" applyBorder="1" applyAlignment="1">
      <alignment horizontal="right" vertical="top"/>
    </xf>
    <xf numFmtId="1" fontId="7" fillId="25" borderId="1" xfId="0" applyNumberFormat="1" applyFont="1" applyFill="1" applyBorder="1" applyAlignment="1">
      <alignment horizontal="right" vertical="top"/>
    </xf>
    <xf numFmtId="179" fontId="7" fillId="25" borderId="1" xfId="0" applyNumberFormat="1" applyFont="1" applyFill="1" applyBorder="1" applyAlignment="1">
      <alignment horizontal="right" vertical="top"/>
    </xf>
    <xf numFmtId="41" fontId="7" fillId="25" borderId="1" xfId="0" applyNumberFormat="1" applyFont="1" applyFill="1" applyBorder="1" applyAlignment="1">
      <alignment horizontal="right" vertical="top"/>
    </xf>
    <xf numFmtId="164" fontId="8" fillId="25" borderId="1" xfId="0" applyNumberFormat="1" applyFont="1" applyFill="1" applyBorder="1" applyAlignment="1">
      <alignment vertical="top"/>
    </xf>
    <xf numFmtId="167" fontId="8" fillId="25" borderId="1" xfId="0" applyNumberFormat="1" applyFont="1" applyFill="1" applyBorder="1" applyAlignment="1">
      <alignment vertical="top"/>
    </xf>
    <xf numFmtId="43" fontId="59" fillId="0" borderId="0" xfId="0" applyNumberFormat="1" applyFont="1" applyFill="1" applyAlignment="1">
      <alignment vertical="top"/>
    </xf>
    <xf numFmtId="0" fontId="59" fillId="0" borderId="0" xfId="0" applyFont="1" applyFill="1" applyAlignment="1">
      <alignment vertical="top"/>
    </xf>
    <xf numFmtId="0" fontId="59" fillId="0" borderId="0" xfId="0" applyFont="1" applyAlignment="1">
      <alignment vertical="top"/>
    </xf>
    <xf numFmtId="0" fontId="24" fillId="0" borderId="1" xfId="0" quotePrefix="1" applyFont="1" applyFill="1" applyBorder="1" applyAlignment="1">
      <alignment horizontal="center" vertical="top"/>
    </xf>
    <xf numFmtId="0" fontId="60" fillId="0" borderId="1" xfId="0" applyFont="1" applyFill="1" applyBorder="1" applyAlignment="1">
      <alignment horizontal="left" vertical="top" wrapText="1"/>
    </xf>
    <xf numFmtId="164" fontId="60" fillId="0" borderId="1" xfId="2" applyNumberFormat="1" applyFont="1" applyFill="1" applyBorder="1" applyAlignment="1">
      <alignment horizontal="right" vertical="top"/>
    </xf>
    <xf numFmtId="41" fontId="60" fillId="0" borderId="1" xfId="6" applyNumberFormat="1" applyFont="1" applyFill="1" applyBorder="1" applyAlignment="1">
      <alignment horizontal="right" vertical="top"/>
    </xf>
    <xf numFmtId="0" fontId="60" fillId="0" borderId="1" xfId="0" quotePrefix="1" applyFont="1" applyFill="1" applyBorder="1" applyAlignment="1">
      <alignment horizontal="right" vertical="top"/>
    </xf>
    <xf numFmtId="164" fontId="60" fillId="0" borderId="1" xfId="2" quotePrefix="1" applyNumberFormat="1" applyFont="1" applyFill="1" applyBorder="1" applyAlignment="1">
      <alignment horizontal="right" vertical="top"/>
    </xf>
    <xf numFmtId="41" fontId="60" fillId="0" borderId="1" xfId="0" applyNumberFormat="1" applyFont="1" applyFill="1" applyBorder="1" applyAlignment="1">
      <alignment horizontal="right" vertical="top"/>
    </xf>
    <xf numFmtId="41" fontId="60" fillId="0" borderId="1" xfId="6" quotePrefix="1" applyFont="1" applyFill="1" applyBorder="1" applyAlignment="1">
      <alignment horizontal="right" vertical="top"/>
    </xf>
    <xf numFmtId="41" fontId="60" fillId="0" borderId="1" xfId="6" applyFont="1" applyFill="1" applyBorder="1" applyAlignment="1">
      <alignment vertical="top"/>
    </xf>
    <xf numFmtId="0" fontId="60" fillId="0" borderId="1" xfId="0" applyFont="1" applyFill="1" applyBorder="1" applyAlignment="1">
      <alignment vertical="top"/>
    </xf>
    <xf numFmtId="41" fontId="60" fillId="0" borderId="4" xfId="6" applyFont="1" applyBorder="1" applyAlignment="1">
      <alignment horizontal="right" vertical="top"/>
    </xf>
    <xf numFmtId="41" fontId="60" fillId="0" borderId="4" xfId="6" applyNumberFormat="1" applyFont="1" applyBorder="1" applyAlignment="1">
      <alignment horizontal="right" vertical="top"/>
    </xf>
    <xf numFmtId="164" fontId="60" fillId="0" borderId="1" xfId="2" applyNumberFormat="1" applyFont="1" applyFill="1" applyBorder="1" applyAlignment="1">
      <alignment vertical="top"/>
    </xf>
    <xf numFmtId="172" fontId="60" fillId="0" borderId="1" xfId="0" applyNumberFormat="1" applyFont="1" applyFill="1" applyBorder="1" applyAlignment="1">
      <alignment horizontal="right" vertical="top"/>
    </xf>
    <xf numFmtId="166" fontId="60" fillId="0" borderId="1" xfId="6" applyNumberFormat="1" applyFont="1" applyFill="1" applyBorder="1" applyAlignment="1">
      <alignment horizontal="right" vertical="top"/>
    </xf>
    <xf numFmtId="0" fontId="60" fillId="0" borderId="1" xfId="0" applyFont="1" applyFill="1" applyBorder="1" applyAlignment="1">
      <alignment horizontal="center" vertical="top" wrapText="1"/>
    </xf>
    <xf numFmtId="41" fontId="59" fillId="0" borderId="0" xfId="0" applyNumberFormat="1" applyFont="1" applyFill="1" applyAlignment="1">
      <alignment vertical="top"/>
    </xf>
    <xf numFmtId="164" fontId="59" fillId="0" borderId="0" xfId="0" applyNumberFormat="1" applyFont="1" applyFill="1" applyAlignment="1">
      <alignment vertical="top"/>
    </xf>
    <xf numFmtId="0" fontId="60" fillId="0" borderId="1" xfId="0" applyFont="1" applyFill="1" applyBorder="1" applyAlignment="1">
      <alignment vertical="top" wrapText="1"/>
    </xf>
    <xf numFmtId="41" fontId="60" fillId="0" borderId="1" xfId="0" quotePrefix="1" applyNumberFormat="1" applyFont="1" applyFill="1" applyBorder="1" applyAlignment="1">
      <alignment horizontal="right" vertical="top"/>
    </xf>
    <xf numFmtId="41" fontId="60" fillId="0" borderId="1" xfId="2" quotePrefix="1" applyNumberFormat="1" applyFont="1" applyFill="1" applyBorder="1" applyAlignment="1">
      <alignment horizontal="right" vertical="top"/>
    </xf>
    <xf numFmtId="41" fontId="60" fillId="0" borderId="1" xfId="2" applyNumberFormat="1" applyFont="1" applyFill="1" applyBorder="1" applyAlignment="1">
      <alignment horizontal="right" vertical="top"/>
    </xf>
    <xf numFmtId="41" fontId="60" fillId="0" borderId="1" xfId="6" quotePrefix="1" applyNumberFormat="1" applyFont="1" applyFill="1" applyBorder="1" applyAlignment="1">
      <alignment horizontal="right" vertical="top"/>
    </xf>
    <xf numFmtId="166" fontId="60" fillId="0" borderId="1" xfId="6" applyNumberFormat="1" applyFont="1" applyFill="1" applyBorder="1" applyAlignment="1">
      <alignment vertical="top"/>
    </xf>
    <xf numFmtId="41" fontId="60" fillId="0" borderId="1" xfId="0" applyNumberFormat="1" applyFont="1" applyFill="1" applyBorder="1" applyAlignment="1">
      <alignment vertical="top"/>
    </xf>
    <xf numFmtId="166" fontId="60" fillId="0" borderId="1" xfId="0" applyNumberFormat="1" applyFont="1" applyFill="1" applyBorder="1" applyAlignment="1">
      <alignment vertical="top"/>
    </xf>
    <xf numFmtId="166" fontId="60" fillId="0" borderId="1" xfId="0" applyNumberFormat="1" applyFont="1" applyFill="1" applyBorder="1" applyAlignment="1">
      <alignment horizontal="right" vertical="top"/>
    </xf>
    <xf numFmtId="0" fontId="61" fillId="0" borderId="0" xfId="0" applyFont="1" applyFill="1" applyAlignment="1">
      <alignment vertical="top"/>
    </xf>
    <xf numFmtId="41" fontId="61" fillId="0" borderId="0" xfId="0" applyNumberFormat="1" applyFont="1" applyFill="1" applyAlignment="1">
      <alignment vertical="top"/>
    </xf>
    <xf numFmtId="164" fontId="61" fillId="0" borderId="0" xfId="0" applyNumberFormat="1" applyFont="1" applyFill="1" applyAlignment="1">
      <alignment vertical="top"/>
    </xf>
    <xf numFmtId="0" fontId="61" fillId="0" borderId="0" xfId="0" applyFont="1" applyAlignment="1">
      <alignment vertical="top"/>
    </xf>
    <xf numFmtId="41" fontId="60" fillId="0" borderId="1" xfId="6" applyNumberFormat="1" applyFont="1" applyFill="1" applyBorder="1" applyAlignment="1">
      <alignment vertical="top"/>
    </xf>
    <xf numFmtId="41" fontId="52" fillId="0" borderId="4" xfId="6" applyFont="1" applyBorder="1" applyAlignment="1">
      <alignment horizontal="right" vertical="top"/>
    </xf>
    <xf numFmtId="41" fontId="52" fillId="0" borderId="4" xfId="6" applyNumberFormat="1" applyFont="1" applyBorder="1" applyAlignment="1">
      <alignment horizontal="right" vertical="top"/>
    </xf>
    <xf numFmtId="0" fontId="59" fillId="0" borderId="1" xfId="0" applyFont="1" applyBorder="1" applyAlignment="1">
      <alignment vertical="top"/>
    </xf>
    <xf numFmtId="0" fontId="59" fillId="0" borderId="1" xfId="0" applyFont="1" applyBorder="1" applyAlignment="1">
      <alignment vertical="top" wrapText="1"/>
    </xf>
    <xf numFmtId="0" fontId="59" fillId="0" borderId="1" xfId="0" quotePrefix="1" applyFont="1" applyBorder="1" applyAlignment="1">
      <alignment horizontal="center" vertical="top"/>
    </xf>
    <xf numFmtId="0" fontId="60" fillId="15" borderId="1" xfId="0" applyFont="1" applyFill="1" applyBorder="1" applyAlignment="1">
      <alignment vertical="top" wrapText="1"/>
    </xf>
    <xf numFmtId="0" fontId="60" fillId="15" borderId="1" xfId="0" applyFont="1" applyFill="1" applyBorder="1" applyAlignment="1">
      <alignment horizontal="left" vertical="top" wrapText="1"/>
    </xf>
    <xf numFmtId="164" fontId="60" fillId="15" borderId="1" xfId="6" applyNumberFormat="1" applyFont="1" applyFill="1" applyBorder="1" applyAlignment="1">
      <alignment horizontal="right" vertical="top"/>
    </xf>
    <xf numFmtId="164" fontId="60" fillId="15" borderId="1" xfId="6" applyNumberFormat="1" applyFont="1" applyFill="1" applyBorder="1" applyAlignment="1">
      <alignment horizontal="right" vertical="top" wrapText="1"/>
    </xf>
    <xf numFmtId="41" fontId="60" fillId="0" borderId="1" xfId="6" quotePrefix="1" applyFont="1" applyBorder="1" applyAlignment="1">
      <alignment horizontal="right" vertical="top"/>
    </xf>
    <xf numFmtId="166" fontId="60" fillId="0" borderId="1" xfId="6" applyNumberFormat="1" applyFont="1" applyBorder="1" applyAlignment="1">
      <alignment horizontal="right" vertical="top"/>
    </xf>
    <xf numFmtId="41" fontId="60" fillId="0" borderId="1" xfId="6" applyNumberFormat="1" applyFont="1" applyBorder="1" applyAlignment="1">
      <alignment horizontal="right" vertical="top"/>
    </xf>
    <xf numFmtId="172" fontId="60" fillId="0" borderId="1" xfId="0" applyNumberFormat="1" applyFont="1" applyBorder="1" applyAlignment="1">
      <alignment horizontal="right" vertical="top"/>
    </xf>
    <xf numFmtId="0" fontId="60" fillId="15" borderId="1" xfId="0" applyFont="1" applyFill="1" applyBorder="1" applyAlignment="1">
      <alignment horizontal="right" vertical="top" wrapText="1"/>
    </xf>
    <xf numFmtId="0" fontId="60" fillId="0" borderId="1" xfId="0" applyFont="1" applyBorder="1" applyAlignment="1">
      <alignment vertical="top" wrapText="1"/>
    </xf>
    <xf numFmtId="0" fontId="60" fillId="0" borderId="1" xfId="0" applyFont="1" applyBorder="1" applyAlignment="1">
      <alignment horizontal="left" vertical="top" wrapText="1"/>
    </xf>
    <xf numFmtId="41" fontId="60" fillId="15" borderId="1" xfId="6" applyNumberFormat="1" applyFont="1" applyFill="1" applyBorder="1" applyAlignment="1">
      <alignment horizontal="right" vertical="top" wrapText="1"/>
    </xf>
    <xf numFmtId="41" fontId="26" fillId="0" borderId="1" xfId="0" applyNumberFormat="1" applyFont="1" applyBorder="1" applyAlignment="1">
      <alignment horizontal="right" vertical="top"/>
    </xf>
    <xf numFmtId="41" fontId="60" fillId="0" borderId="1" xfId="6" quotePrefix="1" applyNumberFormat="1" applyFont="1" applyBorder="1" applyAlignment="1">
      <alignment horizontal="right" vertical="top"/>
    </xf>
    <xf numFmtId="41" fontId="26" fillId="0" borderId="1" xfId="6" applyNumberFormat="1" applyFont="1" applyBorder="1" applyAlignment="1">
      <alignment vertical="top"/>
    </xf>
    <xf numFmtId="0" fontId="60" fillId="0" borderId="1" xfId="0" applyFont="1" applyBorder="1" applyAlignment="1">
      <alignment vertical="top"/>
    </xf>
    <xf numFmtId="41" fontId="60" fillId="0" borderId="1" xfId="6" applyFont="1" applyBorder="1" applyAlignment="1">
      <alignment vertical="top"/>
    </xf>
    <xf numFmtId="0" fontId="26" fillId="0" borderId="1" xfId="0" applyFont="1" applyBorder="1" applyAlignment="1">
      <alignment vertical="top"/>
    </xf>
    <xf numFmtId="41" fontId="60" fillId="0" borderId="1" xfId="0" applyNumberFormat="1" applyFont="1" applyBorder="1" applyAlignment="1">
      <alignment horizontal="right" vertical="top"/>
    </xf>
    <xf numFmtId="164" fontId="60" fillId="0" borderId="1" xfId="2" applyNumberFormat="1" applyFont="1" applyBorder="1" applyAlignment="1">
      <alignment vertical="top"/>
    </xf>
    <xf numFmtId="0" fontId="26" fillId="0" borderId="1" xfId="0" applyFont="1" applyBorder="1" applyAlignment="1">
      <alignment horizontal="center" vertical="top" wrapText="1"/>
    </xf>
    <xf numFmtId="164" fontId="60" fillId="15" borderId="1" xfId="0" applyNumberFormat="1" applyFont="1" applyFill="1" applyBorder="1" applyAlignment="1">
      <alignment horizontal="right" vertical="top" wrapText="1"/>
    </xf>
    <xf numFmtId="41" fontId="60" fillId="0" borderId="1" xfId="6" applyNumberFormat="1" applyFont="1" applyBorder="1" applyAlignment="1">
      <alignment vertical="top"/>
    </xf>
    <xf numFmtId="0" fontId="60" fillId="0" borderId="1" xfId="0" applyFont="1" applyBorder="1" applyAlignment="1">
      <alignment horizontal="center" vertical="top" wrapText="1"/>
    </xf>
    <xf numFmtId="166" fontId="60" fillId="15" borderId="1" xfId="6" applyNumberFormat="1" applyFont="1" applyFill="1" applyBorder="1" applyAlignment="1">
      <alignment horizontal="right" vertical="top"/>
    </xf>
    <xf numFmtId="166" fontId="60" fillId="15" borderId="1" xfId="6" applyNumberFormat="1" applyFont="1" applyFill="1" applyBorder="1" applyAlignment="1">
      <alignment horizontal="right" vertical="top" wrapText="1"/>
    </xf>
    <xf numFmtId="41" fontId="60" fillId="0" borderId="1" xfId="6" applyFont="1" applyBorder="1" applyAlignment="1">
      <alignment horizontal="right" vertical="top"/>
    </xf>
    <xf numFmtId="166" fontId="60" fillId="0" borderId="1" xfId="6" quotePrefix="1" applyNumberFormat="1" applyFont="1" applyBorder="1" applyAlignment="1">
      <alignment vertical="top"/>
    </xf>
    <xf numFmtId="0" fontId="17" fillId="9" borderId="1" xfId="0" applyFont="1" applyFill="1" applyBorder="1" applyAlignment="1">
      <alignment horizontal="right" vertical="top"/>
    </xf>
    <xf numFmtId="0" fontId="21" fillId="0" borderId="1" xfId="0" applyFont="1" applyFill="1" applyBorder="1" applyAlignment="1">
      <alignment vertical="top" wrapText="1"/>
    </xf>
    <xf numFmtId="164" fontId="44" fillId="0" borderId="0" xfId="0" applyNumberFormat="1" applyFont="1" applyFill="1" applyAlignment="1">
      <alignment vertical="top"/>
    </xf>
    <xf numFmtId="41" fontId="8" fillId="0" borderId="0" xfId="1" applyFont="1" applyFill="1" applyBorder="1" applyAlignment="1">
      <alignment vertical="top"/>
    </xf>
    <xf numFmtId="41" fontId="8" fillId="0" borderId="1" xfId="1" quotePrefix="1" applyFont="1" applyFill="1" applyBorder="1" applyAlignment="1">
      <alignment horizontal="right" vertical="top" wrapText="1"/>
    </xf>
    <xf numFmtId="3" fontId="31" fillId="0" borderId="0" xfId="0" applyNumberFormat="1" applyFont="1" applyFill="1" applyAlignment="1">
      <alignment vertical="top"/>
    </xf>
    <xf numFmtId="41" fontId="31" fillId="0" borderId="0" xfId="1" applyFont="1" applyFill="1" applyAlignment="1">
      <alignment vertical="top"/>
    </xf>
    <xf numFmtId="3" fontId="8" fillId="0" borderId="0" xfId="0" applyNumberFormat="1" applyFont="1" applyFill="1" applyAlignment="1">
      <alignment vertical="top"/>
    </xf>
    <xf numFmtId="164" fontId="31" fillId="0" borderId="0" xfId="0" applyNumberFormat="1" applyFont="1" applyFill="1" applyAlignment="1">
      <alignment vertical="top"/>
    </xf>
    <xf numFmtId="41" fontId="24" fillId="0" borderId="1" xfId="1" applyFont="1" applyFill="1" applyBorder="1" applyAlignment="1">
      <alignment vertical="top" wrapText="1"/>
    </xf>
    <xf numFmtId="41" fontId="24" fillId="15" borderId="1" xfId="1" applyFont="1" applyFill="1" applyBorder="1" applyAlignment="1">
      <alignment vertical="top" wrapText="1"/>
    </xf>
    <xf numFmtId="164" fontId="0" fillId="8" borderId="2" xfId="2" applyNumberFormat="1" applyFont="1" applyFill="1" applyBorder="1" applyAlignment="1">
      <alignment vertical="top"/>
    </xf>
    <xf numFmtId="9" fontId="7" fillId="0" borderId="1" xfId="3" quotePrefix="1" applyFont="1" applyFill="1" applyBorder="1" applyAlignment="1">
      <alignment horizontal="right" vertical="top" wrapText="1"/>
    </xf>
    <xf numFmtId="1" fontId="7" fillId="0" borderId="1" xfId="0" applyNumberFormat="1" applyFont="1" applyFill="1" applyBorder="1" applyAlignment="1">
      <alignment vertical="top" wrapText="1"/>
    </xf>
    <xf numFmtId="0" fontId="7" fillId="21" borderId="1" xfId="0" applyFont="1" applyFill="1" applyBorder="1" applyAlignment="1">
      <alignment horizontal="center" vertical="top" wrapText="1"/>
    </xf>
    <xf numFmtId="0" fontId="7" fillId="21" borderId="1" xfId="0" applyFont="1" applyFill="1" applyBorder="1" applyAlignment="1">
      <alignment horizontal="left" vertical="top" wrapText="1"/>
    </xf>
    <xf numFmtId="164" fontId="7" fillId="21" borderId="1" xfId="0" applyNumberFormat="1" applyFont="1" applyFill="1" applyBorder="1" applyAlignment="1">
      <alignment horizontal="right" vertical="top" wrapText="1"/>
    </xf>
    <xf numFmtId="0" fontId="7" fillId="21" borderId="1" xfId="0" applyFont="1" applyFill="1" applyBorder="1" applyAlignment="1">
      <alignment horizontal="right" vertical="top" wrapText="1"/>
    </xf>
    <xf numFmtId="0" fontId="8" fillId="9" borderId="1" xfId="0" applyFont="1" applyFill="1" applyBorder="1" applyAlignment="1">
      <alignment horizontal="right" vertical="top"/>
    </xf>
    <xf numFmtId="0" fontId="15" fillId="9" borderId="1" xfId="0" applyFont="1" applyFill="1" applyBorder="1" applyAlignment="1">
      <alignment vertical="top" wrapText="1"/>
    </xf>
    <xf numFmtId="0" fontId="8" fillId="0" borderId="1" xfId="0" applyFont="1" applyFill="1" applyBorder="1" applyAlignment="1">
      <alignment horizontal="center" vertical="top" wrapText="1"/>
    </xf>
    <xf numFmtId="0" fontId="17" fillId="9" borderId="1" xfId="0" applyFont="1" applyFill="1" applyBorder="1" applyAlignment="1">
      <alignment horizontal="right" vertical="top"/>
    </xf>
    <xf numFmtId="0" fontId="7" fillId="21" borderId="1" xfId="0" applyFont="1" applyFill="1" applyBorder="1" applyAlignment="1">
      <alignment horizontal="center" vertical="top"/>
    </xf>
    <xf numFmtId="41" fontId="24" fillId="0" borderId="1" xfId="1" applyFont="1" applyFill="1" applyBorder="1" applyAlignment="1" applyProtection="1">
      <alignment vertical="top"/>
    </xf>
    <xf numFmtId="41" fontId="65" fillId="0" borderId="0" xfId="1" applyFont="1" applyAlignment="1" applyProtection="1">
      <alignment vertical="top"/>
      <protection locked="0"/>
    </xf>
    <xf numFmtId="41" fontId="65" fillId="0" borderId="1" xfId="1" applyFont="1" applyBorder="1" applyAlignment="1" applyProtection="1">
      <alignment vertical="top"/>
      <protection locked="0"/>
    </xf>
    <xf numFmtId="41" fontId="65" fillId="0" borderId="1" xfId="1" applyFont="1" applyBorder="1" applyProtection="1">
      <protection locked="0"/>
    </xf>
    <xf numFmtId="41" fontId="24" fillId="0" borderId="1" xfId="1" applyFont="1" applyFill="1" applyBorder="1" applyAlignment="1">
      <alignment vertical="top"/>
    </xf>
    <xf numFmtId="164" fontId="24" fillId="0" borderId="1" xfId="2" applyNumberFormat="1" applyFont="1" applyFill="1" applyBorder="1" applyAlignment="1" applyProtection="1">
      <alignment horizontal="right" vertical="top"/>
    </xf>
    <xf numFmtId="41" fontId="0" fillId="0" borderId="1" xfId="1" applyFont="1" applyBorder="1" applyAlignment="1">
      <alignment vertical="top"/>
    </xf>
    <xf numFmtId="0" fontId="44" fillId="9" borderId="4" xfId="0" applyFont="1" applyFill="1" applyBorder="1" applyAlignment="1">
      <alignment vertical="top"/>
    </xf>
    <xf numFmtId="41" fontId="44" fillId="9" borderId="4" xfId="1" applyFont="1" applyFill="1" applyBorder="1" applyAlignment="1">
      <alignment vertical="top"/>
    </xf>
    <xf numFmtId="0" fontId="8" fillId="0" borderId="1" xfId="3" quotePrefix="1" applyNumberFormat="1" applyFont="1" applyFill="1" applyBorder="1" applyAlignment="1">
      <alignment horizontal="right" vertical="top" wrapText="1"/>
    </xf>
    <xf numFmtId="0" fontId="49" fillId="20" borderId="1" xfId="0" applyFont="1" applyFill="1" applyBorder="1" applyAlignment="1">
      <alignment vertical="top"/>
    </xf>
    <xf numFmtId="41" fontId="49" fillId="20" borderId="1" xfId="0" applyNumberFormat="1" applyFont="1" applyFill="1" applyBorder="1" applyAlignment="1">
      <alignment vertical="top"/>
    </xf>
    <xf numFmtId="164" fontId="49" fillId="20" borderId="1" xfId="2" applyNumberFormat="1" applyFont="1" applyFill="1" applyBorder="1" applyAlignment="1">
      <alignment vertical="top"/>
    </xf>
    <xf numFmtId="41" fontId="49" fillId="20" borderId="1" xfId="2" applyNumberFormat="1" applyFont="1" applyFill="1" applyBorder="1" applyAlignment="1">
      <alignment vertical="top"/>
    </xf>
    <xf numFmtId="41" fontId="49" fillId="20" borderId="1" xfId="1" applyFont="1" applyFill="1" applyBorder="1" applyAlignment="1">
      <alignment vertical="top"/>
    </xf>
    <xf numFmtId="0" fontId="49" fillId="20" borderId="1" xfId="0" applyFont="1" applyFill="1" applyBorder="1" applyAlignment="1">
      <alignment vertical="top" wrapText="1"/>
    </xf>
    <xf numFmtId="0" fontId="64" fillId="0" borderId="0" xfId="0" applyFont="1" applyFill="1" applyAlignment="1">
      <alignment vertical="top"/>
    </xf>
    <xf numFmtId="0" fontId="64" fillId="0" borderId="0" xfId="0" applyFont="1" applyAlignment="1">
      <alignment vertical="top"/>
    </xf>
    <xf numFmtId="0" fontId="8" fillId="0" borderId="4" xfId="0" quotePrefix="1" applyFont="1" applyBorder="1" applyAlignment="1">
      <alignment vertical="top"/>
    </xf>
    <xf numFmtId="2" fontId="8" fillId="0" borderId="4" xfId="0" applyNumberFormat="1" applyFont="1" applyBorder="1" applyAlignment="1">
      <alignment horizontal="right" vertical="top"/>
    </xf>
    <xf numFmtId="2" fontId="8" fillId="0" borderId="4" xfId="0" applyNumberFormat="1" applyFont="1" applyBorder="1" applyAlignment="1">
      <alignment vertical="top"/>
    </xf>
    <xf numFmtId="0" fontId="8" fillId="0" borderId="4" xfId="0" applyFont="1" applyBorder="1" applyAlignment="1">
      <alignment horizontal="center" vertical="top"/>
    </xf>
    <xf numFmtId="2" fontId="8" fillId="0" borderId="1" xfId="1" applyNumberFormat="1" applyFont="1" applyBorder="1" applyAlignment="1">
      <alignment vertical="top" wrapText="1"/>
    </xf>
    <xf numFmtId="0" fontId="8" fillId="9" borderId="4" xfId="0" applyFont="1" applyFill="1" applyBorder="1" applyAlignment="1">
      <alignment vertical="top" wrapText="1"/>
    </xf>
    <xf numFmtId="0" fontId="8" fillId="9" borderId="4" xfId="0" applyFont="1" applyFill="1" applyBorder="1" applyAlignment="1">
      <alignment vertical="top"/>
    </xf>
    <xf numFmtId="41" fontId="8" fillId="9" borderId="1" xfId="1" applyFont="1" applyFill="1" applyBorder="1" applyAlignment="1">
      <alignment vertical="top"/>
    </xf>
    <xf numFmtId="2" fontId="8" fillId="9" borderId="1" xfId="0" applyNumberFormat="1" applyFont="1" applyFill="1" applyBorder="1" applyAlignment="1">
      <alignment vertical="top"/>
    </xf>
    <xf numFmtId="41" fontId="8" fillId="9" borderId="4" xfId="1" applyFont="1" applyFill="1" applyBorder="1" applyAlignment="1">
      <alignment vertical="top"/>
    </xf>
    <xf numFmtId="41" fontId="8" fillId="9" borderId="4" xfId="0" applyNumberFormat="1" applyFont="1" applyFill="1" applyBorder="1" applyAlignment="1">
      <alignment vertical="top"/>
    </xf>
    <xf numFmtId="0" fontId="8" fillId="9" borderId="3" xfId="0" applyFont="1" applyFill="1" applyBorder="1" applyAlignment="1">
      <alignment horizontal="center" vertical="top"/>
    </xf>
    <xf numFmtId="0" fontId="8" fillId="0" borderId="3" xfId="0" applyFont="1" applyBorder="1" applyAlignment="1">
      <alignment wrapText="1"/>
    </xf>
    <xf numFmtId="0" fontId="22" fillId="9" borderId="4" xfId="0" applyFont="1" applyFill="1" applyBorder="1" applyAlignment="1">
      <alignment horizontal="center" vertical="top"/>
    </xf>
    <xf numFmtId="0" fontId="22" fillId="9" borderId="3" xfId="0" applyFont="1" applyFill="1" applyBorder="1" applyAlignment="1">
      <alignment horizontal="center" vertical="top"/>
    </xf>
    <xf numFmtId="0" fontId="22" fillId="9" borderId="4" xfId="0" applyFont="1" applyFill="1" applyBorder="1" applyAlignment="1">
      <alignment vertical="top"/>
    </xf>
    <xf numFmtId="0" fontId="7" fillId="9" borderId="4" xfId="0" applyFont="1" applyFill="1" applyBorder="1" applyAlignment="1">
      <alignment vertical="top" wrapText="1"/>
    </xf>
    <xf numFmtId="41" fontId="21" fillId="0" borderId="4" xfId="0" applyNumberFormat="1" applyFont="1" applyBorder="1" applyAlignment="1">
      <alignment vertical="top"/>
    </xf>
    <xf numFmtId="0" fontId="49" fillId="0" borderId="0" xfId="0" applyFont="1" applyAlignment="1">
      <alignment vertical="top"/>
    </xf>
    <xf numFmtId="41" fontId="8" fillId="0" borderId="0" xfId="0" applyNumberFormat="1" applyFont="1" applyAlignment="1">
      <alignment vertical="top"/>
    </xf>
    <xf numFmtId="0" fontId="49" fillId="21" borderId="1" xfId="0" applyFont="1" applyFill="1" applyBorder="1" applyAlignment="1">
      <alignment horizontal="center" vertical="top"/>
    </xf>
    <xf numFmtId="0" fontId="49" fillId="21" borderId="1" xfId="0" applyFont="1" applyFill="1" applyBorder="1" applyAlignment="1">
      <alignment vertical="center" wrapText="1"/>
    </xf>
    <xf numFmtId="0" fontId="49" fillId="21" borderId="1" xfId="0" quotePrefix="1" applyFont="1" applyFill="1" applyBorder="1" applyAlignment="1">
      <alignment horizontal="center" vertical="top"/>
    </xf>
    <xf numFmtId="0" fontId="49" fillId="21" borderId="1" xfId="0" applyFont="1" applyFill="1" applyBorder="1" applyAlignment="1">
      <alignment vertical="top" wrapText="1"/>
    </xf>
    <xf numFmtId="0" fontId="49" fillId="21" borderId="1" xfId="0" applyFont="1" applyFill="1" applyBorder="1" applyAlignment="1">
      <alignment vertical="top"/>
    </xf>
    <xf numFmtId="41" fontId="49" fillId="21" borderId="1" xfId="1" applyFont="1" applyFill="1" applyBorder="1" applyAlignment="1">
      <alignment vertical="top"/>
    </xf>
    <xf numFmtId="41" fontId="49" fillId="21" borderId="1" xfId="0" applyNumberFormat="1" applyFont="1" applyFill="1" applyBorder="1" applyAlignment="1">
      <alignment vertical="top"/>
    </xf>
    <xf numFmtId="2" fontId="49" fillId="21" borderId="1" xfId="0" applyNumberFormat="1" applyFont="1" applyFill="1" applyBorder="1" applyAlignment="1">
      <alignment vertical="top"/>
    </xf>
    <xf numFmtId="1" fontId="21" fillId="9" borderId="4" xfId="0" applyNumberFormat="1" applyFont="1" applyFill="1" applyBorder="1" applyAlignment="1">
      <alignment vertical="top"/>
    </xf>
    <xf numFmtId="0" fontId="7" fillId="0" borderId="0" xfId="0" applyFont="1"/>
    <xf numFmtId="41" fontId="7" fillId="0" borderId="0" xfId="0" applyNumberFormat="1" applyFont="1" applyAlignment="1">
      <alignment vertical="top"/>
    </xf>
    <xf numFmtId="2" fontId="8" fillId="0" borderId="1" xfId="0" applyNumberFormat="1" applyFont="1" applyBorder="1" applyAlignment="1">
      <alignment horizontal="right" vertical="top"/>
    </xf>
    <xf numFmtId="164" fontId="27" fillId="0" borderId="1" xfId="2" applyNumberFormat="1" applyFont="1" applyBorder="1" applyAlignment="1">
      <alignment vertical="top"/>
    </xf>
    <xf numFmtId="184" fontId="27" fillId="0" borderId="1" xfId="2" applyNumberFormat="1" applyFont="1" applyBorder="1" applyAlignment="1">
      <alignment vertical="top"/>
    </xf>
    <xf numFmtId="41" fontId="27" fillId="0" borderId="3" xfId="1" applyFont="1" applyFill="1" applyBorder="1" applyAlignment="1">
      <alignment horizontal="right" vertical="top"/>
    </xf>
    <xf numFmtId="43" fontId="27" fillId="0" borderId="1" xfId="2" applyNumberFormat="1" applyFont="1" applyFill="1" applyBorder="1" applyAlignment="1">
      <alignment horizontal="right" vertical="top"/>
    </xf>
    <xf numFmtId="164" fontId="27" fillId="0" borderId="1" xfId="2" applyNumberFormat="1" applyFont="1" applyFill="1" applyBorder="1" applyAlignment="1">
      <alignment horizontal="right" vertical="top"/>
    </xf>
    <xf numFmtId="0" fontId="8" fillId="0" borderId="1" xfId="0" applyFont="1" applyFill="1" applyBorder="1" applyAlignment="1">
      <alignment horizontal="left" vertical="top" wrapText="1"/>
    </xf>
    <xf numFmtId="0" fontId="8" fillId="0" borderId="2" xfId="0" applyFont="1" applyFill="1" applyBorder="1" applyAlignment="1">
      <alignment horizontal="left" vertical="top" wrapText="1"/>
    </xf>
    <xf numFmtId="41" fontId="43" fillId="0" borderId="0" xfId="0" applyNumberFormat="1" applyFont="1" applyFill="1" applyAlignment="1">
      <alignment vertical="top"/>
    </xf>
    <xf numFmtId="0" fontId="66" fillId="9" borderId="0" xfId="0" applyFont="1" applyFill="1" applyAlignment="1">
      <alignment vertical="top"/>
    </xf>
    <xf numFmtId="0" fontId="0" fillId="0" borderId="1" xfId="0" applyFill="1" applyBorder="1" applyAlignment="1">
      <alignment vertical="center" wrapText="1"/>
    </xf>
    <xf numFmtId="0" fontId="0" fillId="0" borderId="1" xfId="0" applyFill="1" applyBorder="1" applyAlignment="1">
      <alignment horizontal="center" vertical="top"/>
    </xf>
    <xf numFmtId="0" fontId="0" fillId="0" borderId="1" xfId="0" applyFill="1" applyBorder="1" applyAlignment="1">
      <alignment vertical="top" wrapText="1"/>
    </xf>
    <xf numFmtId="0" fontId="0" fillId="0" borderId="1" xfId="0" quotePrefix="1" applyFill="1" applyBorder="1" applyAlignment="1">
      <alignment vertical="top" wrapText="1"/>
    </xf>
    <xf numFmtId="41" fontId="0" fillId="0" borderId="1" xfId="1" applyFont="1" applyFill="1" applyBorder="1" applyAlignment="1">
      <alignment vertical="top"/>
    </xf>
    <xf numFmtId="41" fontId="0" fillId="0" borderId="1" xfId="0" applyNumberFormat="1" applyFill="1" applyBorder="1" applyAlignment="1">
      <alignment vertical="top"/>
    </xf>
    <xf numFmtId="2" fontId="0" fillId="0" borderId="1" xfId="0" applyNumberFormat="1" applyFill="1" applyBorder="1" applyAlignment="1">
      <alignment vertical="top"/>
    </xf>
    <xf numFmtId="0" fontId="0" fillId="0" borderId="1" xfId="0" applyBorder="1" applyAlignment="1">
      <alignment horizontal="center" vertical="top"/>
    </xf>
    <xf numFmtId="0" fontId="0" fillId="0" borderId="1" xfId="0" applyBorder="1" applyAlignment="1">
      <alignment horizontal="left" vertical="top" wrapText="1"/>
    </xf>
    <xf numFmtId="0" fontId="0" fillId="0" borderId="1" xfId="0" quotePrefix="1" applyBorder="1" applyAlignment="1">
      <alignment horizontal="center" vertical="top"/>
    </xf>
    <xf numFmtId="41" fontId="0" fillId="0" borderId="1" xfId="1" applyFont="1" applyBorder="1" applyAlignment="1">
      <alignment horizontal="center" vertical="top"/>
    </xf>
    <xf numFmtId="0" fontId="66" fillId="0" borderId="1" xfId="0" applyFont="1" applyBorder="1" applyAlignment="1">
      <alignment horizontal="center" vertical="top"/>
    </xf>
    <xf numFmtId="0" fontId="0" fillId="0" borderId="4" xfId="0" applyFill="1" applyBorder="1" applyAlignment="1">
      <alignment vertical="top" wrapText="1"/>
    </xf>
    <xf numFmtId="41" fontId="0" fillId="0" borderId="4" xfId="1" applyFont="1" applyFill="1" applyBorder="1" applyAlignment="1">
      <alignment vertical="top"/>
    </xf>
    <xf numFmtId="41" fontId="0" fillId="9" borderId="1" xfId="1" applyFont="1" applyFill="1" applyBorder="1" applyAlignment="1">
      <alignment vertical="top" wrapText="1"/>
    </xf>
    <xf numFmtId="0" fontId="0" fillId="9" borderId="1" xfId="0" applyFill="1" applyBorder="1" applyAlignment="1">
      <alignment vertical="top" wrapText="1"/>
    </xf>
    <xf numFmtId="41" fontId="1" fillId="9" borderId="1" xfId="1" applyFont="1" applyFill="1" applyBorder="1" applyAlignment="1">
      <alignment vertical="top" wrapText="1"/>
    </xf>
    <xf numFmtId="41" fontId="4" fillId="9" borderId="1" xfId="1" applyFont="1" applyFill="1" applyBorder="1" applyAlignment="1">
      <alignment vertical="top" wrapText="1"/>
    </xf>
    <xf numFmtId="164" fontId="4" fillId="9" borderId="1" xfId="2" applyNumberFormat="1" applyFont="1" applyFill="1" applyBorder="1" applyAlignment="1">
      <alignment vertical="top" wrapText="1"/>
    </xf>
    <xf numFmtId="41" fontId="1" fillId="9" borderId="1" xfId="1" applyFont="1" applyFill="1" applyBorder="1" applyAlignment="1">
      <alignment horizontal="center" vertical="top"/>
    </xf>
    <xf numFmtId="0" fontId="0" fillId="9" borderId="1" xfId="0" applyFill="1" applyBorder="1" applyAlignment="1">
      <alignment horizontal="right" vertical="top"/>
    </xf>
    <xf numFmtId="41" fontId="0" fillId="9" borderId="1" xfId="1" applyFont="1" applyFill="1" applyBorder="1" applyAlignment="1">
      <alignment horizontal="center" vertical="top"/>
    </xf>
    <xf numFmtId="164" fontId="0" fillId="9" borderId="1" xfId="2" applyNumberFormat="1" applyFont="1" applyFill="1" applyBorder="1" applyAlignment="1">
      <alignment horizontal="center" vertical="top"/>
    </xf>
    <xf numFmtId="0" fontId="0" fillId="9" borderId="1" xfId="0" applyFill="1" applyBorder="1" applyAlignment="1">
      <alignment horizontal="center" vertical="top"/>
    </xf>
    <xf numFmtId="2" fontId="4" fillId="0" borderId="1" xfId="0" applyNumberFormat="1" applyFont="1" applyBorder="1" applyAlignment="1">
      <alignment horizontal="center" vertical="top"/>
    </xf>
    <xf numFmtId="1" fontId="23" fillId="0" borderId="1" xfId="0" applyNumberFormat="1" applyFont="1" applyFill="1" applyBorder="1" applyAlignment="1">
      <alignment horizontal="center" vertical="top" wrapText="1"/>
    </xf>
    <xf numFmtId="1" fontId="23" fillId="0" borderId="1" xfId="1" applyNumberFormat="1" applyFont="1" applyFill="1" applyBorder="1" applyAlignment="1">
      <alignment horizontal="center" vertical="top" wrapText="1"/>
    </xf>
    <xf numFmtId="43" fontId="23" fillId="0" borderId="1" xfId="0" applyNumberFormat="1" applyFont="1" applyBorder="1" applyAlignment="1">
      <alignment horizontal="center" vertical="top" wrapText="1"/>
    </xf>
    <xf numFmtId="43" fontId="23" fillId="0" borderId="1" xfId="0" applyNumberFormat="1" applyFont="1" applyFill="1" applyBorder="1" applyAlignment="1">
      <alignment horizontal="center" vertical="top" wrapText="1"/>
    </xf>
    <xf numFmtId="0" fontId="8" fillId="0" borderId="1" xfId="5" applyFont="1" applyBorder="1" applyAlignment="1">
      <alignment horizontal="left" vertical="center" wrapText="1"/>
    </xf>
    <xf numFmtId="0" fontId="8" fillId="0" borderId="1" xfId="0" applyFont="1" applyBorder="1" applyAlignment="1">
      <alignment horizontal="center" vertical="center" wrapText="1"/>
    </xf>
    <xf numFmtId="0" fontId="8" fillId="0" borderId="1" xfId="0" quotePrefix="1" applyFont="1" applyBorder="1" applyAlignment="1">
      <alignment horizontal="center" vertical="center" wrapText="1"/>
    </xf>
    <xf numFmtId="0" fontId="8" fillId="0" borderId="1" xfId="5" applyFont="1" applyBorder="1" applyAlignment="1">
      <alignment horizontal="left" vertical="top" wrapText="1"/>
    </xf>
    <xf numFmtId="1" fontId="15" fillId="0" borderId="1" xfId="0" applyNumberFormat="1" applyFont="1" applyBorder="1" applyAlignment="1">
      <alignment horizontal="center" vertical="top" wrapText="1"/>
    </xf>
    <xf numFmtId="1" fontId="15" fillId="0" borderId="1" xfId="0" quotePrefix="1" applyNumberFormat="1" applyFont="1" applyBorder="1" applyAlignment="1">
      <alignment horizontal="center" vertical="top" wrapText="1"/>
    </xf>
    <xf numFmtId="41" fontId="23" fillId="0" borderId="1" xfId="8" applyNumberFormat="1" applyFont="1" applyBorder="1" applyAlignment="1">
      <alignment horizontal="center" vertical="top" wrapText="1"/>
    </xf>
    <xf numFmtId="3" fontId="23" fillId="0" borderId="1" xfId="0" applyNumberFormat="1" applyFont="1" applyBorder="1" applyAlignment="1">
      <alignment horizontal="center" vertical="top" wrapText="1"/>
    </xf>
    <xf numFmtId="41" fontId="23" fillId="0" borderId="1" xfId="1" applyFont="1" applyBorder="1" applyAlignment="1">
      <alignment horizontal="center" vertical="top" wrapText="1"/>
    </xf>
    <xf numFmtId="41" fontId="23" fillId="0" borderId="1" xfId="0" applyNumberFormat="1" applyFont="1" applyBorder="1" applyAlignment="1">
      <alignment horizontal="center" vertical="top" wrapText="1"/>
    </xf>
    <xf numFmtId="0" fontId="23" fillId="0" borderId="1" xfId="0" applyFont="1" applyBorder="1" applyAlignment="1">
      <alignment horizontal="center" vertical="top" wrapText="1"/>
    </xf>
    <xf numFmtId="0" fontId="7" fillId="0" borderId="1" xfId="5" applyFont="1" applyBorder="1" applyAlignment="1">
      <alignment horizontal="left" vertical="center" wrapText="1"/>
    </xf>
    <xf numFmtId="0" fontId="7" fillId="0" borderId="1" xfId="0" applyFont="1" applyBorder="1" applyAlignment="1">
      <alignment horizontal="center" vertical="center" wrapText="1"/>
    </xf>
    <xf numFmtId="0" fontId="7" fillId="0" borderId="1" xfId="0" quotePrefix="1" applyFont="1" applyBorder="1" applyAlignment="1">
      <alignment horizontal="center" vertical="center" wrapText="1"/>
    </xf>
    <xf numFmtId="1" fontId="23" fillId="0" borderId="1" xfId="0" applyNumberFormat="1" applyFont="1" applyBorder="1" applyAlignment="1">
      <alignment horizontal="center" vertical="top" wrapText="1"/>
    </xf>
    <xf numFmtId="164" fontId="23" fillId="0" borderId="1" xfId="2" applyNumberFormat="1" applyFont="1" applyBorder="1" applyAlignment="1">
      <alignment horizontal="center" vertical="top" wrapText="1"/>
    </xf>
    <xf numFmtId="164" fontId="23" fillId="0" borderId="1" xfId="2" applyNumberFormat="1" applyFont="1" applyBorder="1" applyAlignment="1">
      <alignment horizontal="left" vertical="top" wrapText="1" readingOrder="1"/>
    </xf>
    <xf numFmtId="0" fontId="7" fillId="0" borderId="1" xfId="0" quotePrefix="1" applyFont="1" applyFill="1" applyBorder="1" applyAlignment="1">
      <alignment horizontal="center" vertical="center" wrapText="1"/>
    </xf>
    <xf numFmtId="164" fontId="23" fillId="0" borderId="1" xfId="2" applyNumberFormat="1" applyFont="1" applyFill="1" applyBorder="1" applyAlignment="1">
      <alignment horizontal="center" vertical="top" wrapText="1"/>
    </xf>
    <xf numFmtId="3" fontId="23" fillId="0" borderId="1" xfId="0" applyNumberFormat="1" applyFont="1" applyFill="1" applyBorder="1" applyAlignment="1">
      <alignment horizontal="center" vertical="top" wrapText="1"/>
    </xf>
    <xf numFmtId="0" fontId="15" fillId="0" borderId="1" xfId="0" applyFont="1" applyBorder="1" applyAlignment="1">
      <alignment horizontal="left" vertical="center" wrapText="1"/>
    </xf>
    <xf numFmtId="3" fontId="15" fillId="0" borderId="1" xfId="0" applyNumberFormat="1" applyFont="1" applyBorder="1" applyAlignment="1">
      <alignment horizontal="center" vertical="top" wrapText="1"/>
    </xf>
    <xf numFmtId="164" fontId="15" fillId="9" borderId="1" xfId="2" applyNumberFormat="1" applyFont="1" applyFill="1" applyBorder="1" applyAlignment="1">
      <alignment horizontal="center" vertical="top" wrapText="1"/>
    </xf>
    <xf numFmtId="1" fontId="15" fillId="0" borderId="1" xfId="1" applyNumberFormat="1" applyFont="1" applyFill="1" applyBorder="1" applyAlignment="1">
      <alignment horizontal="center" vertical="top" wrapText="1"/>
    </xf>
    <xf numFmtId="3" fontId="23" fillId="0" borderId="1" xfId="0" quotePrefix="1" applyNumberFormat="1" applyFont="1" applyBorder="1" applyAlignment="1">
      <alignment horizontal="center" vertical="top" wrapText="1"/>
    </xf>
    <xf numFmtId="1" fontId="23" fillId="0" borderId="1" xfId="0" quotePrefix="1" applyNumberFormat="1" applyFont="1" applyFill="1" applyBorder="1" applyAlignment="1">
      <alignment horizontal="center" vertical="top" wrapText="1"/>
    </xf>
    <xf numFmtId="0" fontId="8" fillId="0" borderId="1" xfId="0" quotePrefix="1" applyFont="1" applyFill="1" applyBorder="1" applyAlignment="1">
      <alignment horizontal="center" vertical="center" wrapText="1"/>
    </xf>
    <xf numFmtId="1" fontId="15" fillId="0" borderId="1" xfId="0" applyNumberFormat="1" applyFont="1" applyFill="1" applyBorder="1" applyAlignment="1">
      <alignment horizontal="center" vertical="top" wrapText="1"/>
    </xf>
    <xf numFmtId="164" fontId="15" fillId="0" borderId="1" xfId="2" applyNumberFormat="1" applyFont="1" applyFill="1" applyBorder="1" applyAlignment="1">
      <alignment horizontal="center" vertical="top" wrapText="1"/>
    </xf>
    <xf numFmtId="1" fontId="15" fillId="0" borderId="1" xfId="0" quotePrefix="1" applyNumberFormat="1" applyFont="1" applyFill="1" applyBorder="1" applyAlignment="1">
      <alignment horizontal="center" vertical="top" wrapText="1"/>
    </xf>
    <xf numFmtId="3" fontId="23" fillId="0" borderId="1" xfId="0" quotePrefix="1" applyNumberFormat="1" applyFont="1" applyFill="1" applyBorder="1" applyAlignment="1">
      <alignment horizontal="center" vertical="top" wrapText="1"/>
    </xf>
    <xf numFmtId="0" fontId="15" fillId="0" borderId="1" xfId="0" applyFont="1" applyFill="1" applyBorder="1" applyAlignment="1">
      <alignment horizontal="center" vertical="center" wrapText="1"/>
    </xf>
    <xf numFmtId="1" fontId="15" fillId="0" borderId="2" xfId="0" applyNumberFormat="1" applyFont="1" applyFill="1" applyBorder="1" applyAlignment="1">
      <alignment horizontal="center" vertical="center" wrapText="1"/>
    </xf>
    <xf numFmtId="164" fontId="15" fillId="0" borderId="1" xfId="2" applyNumberFormat="1" applyFont="1" applyFill="1" applyBorder="1" applyAlignment="1">
      <alignment horizontal="left" vertical="center" wrapText="1"/>
    </xf>
    <xf numFmtId="1" fontId="15" fillId="0" borderId="1" xfId="0" quotePrefix="1" applyNumberFormat="1" applyFont="1" applyFill="1" applyBorder="1" applyAlignment="1">
      <alignment horizontal="center" vertical="center" wrapText="1"/>
    </xf>
    <xf numFmtId="164" fontId="15" fillId="0" borderId="1" xfId="2" applyNumberFormat="1" applyFont="1" applyFill="1" applyBorder="1" applyAlignment="1">
      <alignment horizontal="center" vertical="center" wrapText="1"/>
    </xf>
    <xf numFmtId="1" fontId="23" fillId="0" borderId="2" xfId="1" applyNumberFormat="1" applyFont="1" applyFill="1" applyBorder="1" applyAlignment="1">
      <alignment horizontal="center" vertical="center" wrapText="1"/>
    </xf>
    <xf numFmtId="0" fontId="15" fillId="0" borderId="1" xfId="0" applyFont="1" applyFill="1" applyBorder="1" applyAlignment="1">
      <alignment horizontal="left" vertical="center" wrapText="1"/>
    </xf>
    <xf numFmtId="0" fontId="23" fillId="0" borderId="1" xfId="0" quotePrefix="1" applyFont="1" applyFill="1" applyBorder="1" applyAlignment="1">
      <alignment horizontal="center" vertical="top" wrapText="1"/>
    </xf>
    <xf numFmtId="3" fontId="8" fillId="0" borderId="0" xfId="0" applyNumberFormat="1" applyFont="1" applyAlignment="1">
      <alignment horizontal="right" vertical="top"/>
    </xf>
    <xf numFmtId="3" fontId="15" fillId="0" borderId="1" xfId="0" applyNumberFormat="1" applyFont="1" applyFill="1" applyBorder="1" applyAlignment="1">
      <alignment horizontal="center" vertical="top" wrapText="1"/>
    </xf>
    <xf numFmtId="0" fontId="8" fillId="0" borderId="1" xfId="0" applyFont="1" applyBorder="1" applyAlignment="1">
      <alignment horizontal="left" vertical="center" wrapText="1"/>
    </xf>
    <xf numFmtId="0" fontId="15" fillId="0" borderId="2" xfId="0" applyFont="1" applyBorder="1" applyAlignment="1">
      <alignment horizontal="center" vertical="top" wrapText="1"/>
    </xf>
    <xf numFmtId="0" fontId="7" fillId="0" borderId="2" xfId="0" applyFont="1" applyBorder="1" applyAlignment="1">
      <alignment horizontal="left" vertical="center" wrapText="1"/>
    </xf>
    <xf numFmtId="0" fontId="7" fillId="0" borderId="2" xfId="0" applyFont="1" applyBorder="1" applyAlignment="1">
      <alignment horizontal="center" vertical="center" wrapText="1"/>
    </xf>
    <xf numFmtId="0" fontId="7" fillId="0" borderId="2" xfId="0" quotePrefix="1" applyFont="1" applyBorder="1" applyAlignment="1">
      <alignment horizontal="center" vertical="center" wrapText="1"/>
    </xf>
    <xf numFmtId="1" fontId="15" fillId="0" borderId="2" xfId="0" applyNumberFormat="1" applyFont="1" applyBorder="1" applyAlignment="1">
      <alignment horizontal="center" vertical="top" wrapText="1"/>
    </xf>
    <xf numFmtId="164" fontId="15" fillId="0" borderId="2" xfId="2" applyNumberFormat="1" applyFont="1" applyBorder="1" applyAlignment="1">
      <alignment horizontal="center" vertical="top" wrapText="1"/>
    </xf>
    <xf numFmtId="1" fontId="15" fillId="0" borderId="2" xfId="0" quotePrefix="1" applyNumberFormat="1" applyFont="1" applyBorder="1" applyAlignment="1">
      <alignment horizontal="center" vertical="top" wrapText="1"/>
    </xf>
    <xf numFmtId="1" fontId="23" fillId="0" borderId="2" xfId="1" applyNumberFormat="1" applyFont="1" applyFill="1" applyBorder="1" applyAlignment="1">
      <alignment horizontal="center" vertical="top" wrapText="1"/>
    </xf>
    <xf numFmtId="164" fontId="15" fillId="0" borderId="2" xfId="2" applyNumberFormat="1" applyFont="1" applyFill="1" applyBorder="1" applyAlignment="1">
      <alignment horizontal="center" vertical="top" wrapText="1"/>
    </xf>
    <xf numFmtId="3" fontId="23" fillId="0" borderId="2" xfId="0" applyNumberFormat="1" applyFont="1" applyFill="1" applyBorder="1" applyAlignment="1">
      <alignment horizontal="center" vertical="top" wrapText="1"/>
    </xf>
    <xf numFmtId="164" fontId="7" fillId="8" borderId="2" xfId="0" applyNumberFormat="1" applyFont="1" applyFill="1" applyBorder="1" applyAlignment="1">
      <alignment vertical="top"/>
    </xf>
    <xf numFmtId="41" fontId="8" fillId="0" borderId="0" xfId="0" applyNumberFormat="1" applyFont="1"/>
    <xf numFmtId="0" fontId="7" fillId="21" borderId="1" xfId="0" applyFont="1" applyFill="1" applyBorder="1" applyAlignment="1">
      <alignment horizontal="left" vertical="center" wrapText="1"/>
    </xf>
    <xf numFmtId="0" fontId="7" fillId="21" borderId="1" xfId="0" applyFont="1" applyFill="1" applyBorder="1" applyAlignment="1">
      <alignment horizontal="center" vertical="center" wrapText="1"/>
    </xf>
    <xf numFmtId="0" fontId="7" fillId="21" borderId="1" xfId="0" quotePrefix="1" applyFont="1" applyFill="1" applyBorder="1" applyAlignment="1">
      <alignment horizontal="center" vertical="center" wrapText="1"/>
    </xf>
    <xf numFmtId="1" fontId="23" fillId="21" borderId="1" xfId="0" applyNumberFormat="1" applyFont="1" applyFill="1" applyBorder="1" applyAlignment="1">
      <alignment horizontal="center" vertical="top" wrapText="1"/>
    </xf>
    <xf numFmtId="1" fontId="23" fillId="21" borderId="1" xfId="0" quotePrefix="1" applyNumberFormat="1" applyFont="1" applyFill="1" applyBorder="1" applyAlignment="1">
      <alignment horizontal="center" vertical="top" wrapText="1"/>
    </xf>
    <xf numFmtId="1" fontId="23" fillId="21" borderId="1" xfId="1" applyNumberFormat="1" applyFont="1" applyFill="1" applyBorder="1" applyAlignment="1">
      <alignment horizontal="center" vertical="top" wrapText="1"/>
    </xf>
    <xf numFmtId="3" fontId="23" fillId="21" borderId="1" xfId="0" applyNumberFormat="1" applyFont="1" applyFill="1" applyBorder="1" applyAlignment="1">
      <alignment horizontal="center" vertical="top" wrapText="1"/>
    </xf>
    <xf numFmtId="43" fontId="23" fillId="21" borderId="1" xfId="0" applyNumberFormat="1" applyFont="1" applyFill="1" applyBorder="1" applyAlignment="1">
      <alignment horizontal="center" vertical="top" wrapText="1"/>
    </xf>
    <xf numFmtId="0" fontId="8" fillId="21" borderId="0" xfId="0" applyFont="1" applyFill="1"/>
    <xf numFmtId="0" fontId="23" fillId="21" borderId="1" xfId="0" applyFont="1" applyFill="1" applyBorder="1" applyAlignment="1">
      <alignment horizontal="left" vertical="center" wrapText="1"/>
    </xf>
    <xf numFmtId="0" fontId="4" fillId="21" borderId="1" xfId="0" applyFont="1" applyFill="1" applyBorder="1" applyAlignment="1">
      <alignment horizontal="center" vertical="top"/>
    </xf>
    <xf numFmtId="0" fontId="4" fillId="21" borderId="1" xfId="0" applyFont="1" applyFill="1" applyBorder="1" applyAlignment="1">
      <alignment horizontal="left" vertical="top" wrapText="1"/>
    </xf>
    <xf numFmtId="0" fontId="4" fillId="21" borderId="1" xfId="0" quotePrefix="1" applyFont="1" applyFill="1" applyBorder="1" applyAlignment="1">
      <alignment horizontal="center" vertical="top"/>
    </xf>
    <xf numFmtId="0" fontId="4" fillId="21" borderId="1" xfId="0" applyFont="1" applyFill="1" applyBorder="1" applyAlignment="1">
      <alignment vertical="top" wrapText="1"/>
    </xf>
    <xf numFmtId="0" fontId="4" fillId="21" borderId="1" xfId="0" applyFont="1" applyFill="1" applyBorder="1" applyAlignment="1">
      <alignment vertical="top"/>
    </xf>
    <xf numFmtId="41" fontId="4" fillId="21" borderId="1" xfId="1" applyFont="1" applyFill="1" applyBorder="1" applyAlignment="1">
      <alignment vertical="top"/>
    </xf>
    <xf numFmtId="164" fontId="4" fillId="21" borderId="1" xfId="2" applyNumberFormat="1" applyFont="1" applyFill="1" applyBorder="1" applyAlignment="1">
      <alignment vertical="top"/>
    </xf>
    <xf numFmtId="2" fontId="4" fillId="21" borderId="1" xfId="0" applyNumberFormat="1" applyFont="1" applyFill="1" applyBorder="1" applyAlignment="1">
      <alignment vertical="top"/>
    </xf>
    <xf numFmtId="0" fontId="0" fillId="21" borderId="0" xfId="0" applyFill="1" applyAlignment="1">
      <alignment vertical="top"/>
    </xf>
    <xf numFmtId="0" fontId="4" fillId="21" borderId="0" xfId="0" applyFont="1" applyFill="1" applyAlignment="1">
      <alignment vertical="top"/>
    </xf>
    <xf numFmtId="41" fontId="1" fillId="0" borderId="1" xfId="1" applyFont="1" applyFill="1" applyBorder="1" applyAlignment="1">
      <alignment vertical="top" wrapText="1"/>
    </xf>
    <xf numFmtId="41" fontId="0" fillId="0" borderId="1" xfId="1" applyFont="1" applyFill="1" applyBorder="1" applyAlignment="1">
      <alignment vertical="top" wrapText="1"/>
    </xf>
    <xf numFmtId="164" fontId="1" fillId="0" borderId="1" xfId="2" applyNumberFormat="1" applyFont="1" applyFill="1" applyBorder="1" applyAlignment="1">
      <alignment vertical="top" wrapText="1"/>
    </xf>
    <xf numFmtId="2" fontId="66" fillId="0" borderId="1" xfId="0" applyNumberFormat="1" applyFont="1" applyBorder="1" applyAlignment="1">
      <alignment horizontal="center" vertical="top"/>
    </xf>
    <xf numFmtId="0" fontId="7" fillId="21" borderId="1" xfId="0" applyFont="1" applyFill="1" applyBorder="1" applyAlignment="1">
      <alignment horizontal="left" vertical="top" wrapText="1"/>
    </xf>
    <xf numFmtId="0" fontId="0" fillId="0" borderId="1" xfId="0" applyBorder="1" applyAlignment="1">
      <alignment horizontal="right" vertical="top"/>
    </xf>
    <xf numFmtId="0" fontId="23" fillId="21" borderId="4" xfId="0" applyFont="1" applyFill="1" applyBorder="1" applyAlignment="1">
      <alignment horizontal="center" vertical="top" wrapText="1"/>
    </xf>
    <xf numFmtId="0" fontId="7" fillId="21" borderId="4" xfId="0" applyFont="1" applyFill="1" applyBorder="1" applyAlignment="1">
      <alignment horizontal="center" vertical="center" wrapText="1"/>
    </xf>
    <xf numFmtId="0" fontId="7" fillId="21" borderId="4" xfId="0" quotePrefix="1" applyFont="1" applyFill="1" applyBorder="1" applyAlignment="1">
      <alignment horizontal="center" vertical="center" wrapText="1"/>
    </xf>
    <xf numFmtId="0" fontId="8" fillId="0" borderId="1" xfId="0" applyFont="1" applyFill="1" applyBorder="1" applyAlignment="1">
      <alignment horizontal="center" vertical="top" wrapText="1"/>
    </xf>
    <xf numFmtId="0" fontId="8" fillId="0" borderId="1" xfId="0" applyFont="1" applyFill="1" applyBorder="1" applyAlignment="1">
      <alignment horizontal="center" vertical="top"/>
    </xf>
    <xf numFmtId="0" fontId="8" fillId="0" borderId="1" xfId="0" quotePrefix="1" applyFont="1" applyFill="1" applyBorder="1" applyAlignment="1">
      <alignment horizontal="center" vertical="top"/>
    </xf>
    <xf numFmtId="41" fontId="7" fillId="21" borderId="1" xfId="0" applyNumberFormat="1" applyFont="1" applyFill="1" applyBorder="1" applyAlignment="1">
      <alignment horizontal="center" vertical="top" wrapText="1"/>
    </xf>
    <xf numFmtId="0" fontId="8" fillId="0" borderId="1" xfId="0" applyFont="1" applyBorder="1" applyAlignment="1">
      <alignment horizontal="center" vertical="top" wrapText="1"/>
    </xf>
    <xf numFmtId="0" fontId="7" fillId="21" borderId="1" xfId="0" applyFont="1" applyFill="1" applyBorder="1" applyAlignment="1">
      <alignment horizontal="center" vertical="top" wrapText="1"/>
    </xf>
    <xf numFmtId="0" fontId="7" fillId="21" borderId="1" xfId="0" applyFont="1" applyFill="1" applyBorder="1" applyAlignment="1">
      <alignment horizontal="center" vertical="top"/>
    </xf>
    <xf numFmtId="0" fontId="21" fillId="9" borderId="1" xfId="0" applyFont="1" applyFill="1" applyBorder="1" applyAlignment="1">
      <alignment horizontal="center" vertical="top"/>
    </xf>
    <xf numFmtId="0" fontId="51" fillId="0" borderId="0" xfId="0" applyFont="1" applyBorder="1" applyAlignment="1">
      <alignment horizontal="center" vertical="top"/>
    </xf>
    <xf numFmtId="0" fontId="17" fillId="21" borderId="1" xfId="0" applyFont="1" applyFill="1" applyBorder="1" applyAlignment="1">
      <alignment horizontal="center" vertical="top" wrapText="1"/>
    </xf>
    <xf numFmtId="0" fontId="15" fillId="9" borderId="1" xfId="0" applyFont="1" applyFill="1" applyBorder="1" applyAlignment="1">
      <alignment horizontal="center" vertical="top" wrapText="1"/>
    </xf>
    <xf numFmtId="0" fontId="8" fillId="0" borderId="15" xfId="0" applyFont="1" applyBorder="1" applyAlignment="1">
      <alignment horizontal="center" vertical="top"/>
    </xf>
    <xf numFmtId="0" fontId="4" fillId="0" borderId="0" xfId="0" applyFont="1" applyAlignment="1">
      <alignment vertical="top"/>
    </xf>
    <xf numFmtId="0" fontId="0" fillId="0" borderId="4" xfId="0" applyFill="1" applyBorder="1" applyAlignment="1">
      <alignment vertical="top"/>
    </xf>
    <xf numFmtId="0" fontId="0" fillId="0" borderId="4" xfId="0" quotePrefix="1" applyFill="1" applyBorder="1" applyAlignment="1">
      <alignment horizontal="center" vertical="top"/>
    </xf>
    <xf numFmtId="0" fontId="0" fillId="0" borderId="4" xfId="0" applyFill="1" applyBorder="1" applyAlignment="1">
      <alignment horizontal="center" vertical="top"/>
    </xf>
    <xf numFmtId="41" fontId="0" fillId="0" borderId="4" xfId="1" quotePrefix="1" applyFont="1" applyFill="1" applyBorder="1" applyAlignment="1">
      <alignment vertical="top"/>
    </xf>
    <xf numFmtId="41" fontId="0" fillId="0" borderId="4" xfId="0" applyNumberFormat="1" applyFill="1" applyBorder="1" applyAlignment="1">
      <alignment vertical="top"/>
    </xf>
    <xf numFmtId="41" fontId="0" fillId="0" borderId="1" xfId="1" quotePrefix="1" applyFont="1" applyFill="1" applyBorder="1" applyAlignment="1">
      <alignment vertical="top"/>
    </xf>
    <xf numFmtId="0" fontId="0" fillId="0" borderId="4" xfId="0" applyFill="1" applyBorder="1" applyAlignment="1">
      <alignment vertical="center" wrapText="1"/>
    </xf>
    <xf numFmtId="2" fontId="0" fillId="0" borderId="4" xfId="0" applyNumberFormat="1" applyFill="1" applyBorder="1" applyAlignment="1">
      <alignment vertical="top"/>
    </xf>
    <xf numFmtId="0" fontId="0" fillId="0" borderId="2" xfId="0" applyFill="1" applyBorder="1" applyAlignment="1">
      <alignment vertical="top"/>
    </xf>
    <xf numFmtId="0" fontId="0" fillId="0" borderId="2" xfId="0" applyFill="1" applyBorder="1" applyAlignment="1">
      <alignment vertical="center" wrapText="1"/>
    </xf>
    <xf numFmtId="0" fontId="0" fillId="0" borderId="2" xfId="0" quotePrefix="1" applyFill="1" applyBorder="1" applyAlignment="1">
      <alignment horizontal="center" vertical="top"/>
    </xf>
    <xf numFmtId="0" fontId="0" fillId="0" borderId="2" xfId="0" applyFill="1" applyBorder="1" applyAlignment="1">
      <alignment vertical="top" wrapText="1"/>
    </xf>
    <xf numFmtId="0" fontId="0" fillId="0" borderId="2" xfId="0" quotePrefix="1" applyFill="1" applyBorder="1" applyAlignment="1">
      <alignment vertical="top" wrapText="1"/>
    </xf>
    <xf numFmtId="0" fontId="0" fillId="0" borderId="2" xfId="0" applyFill="1" applyBorder="1" applyAlignment="1">
      <alignment horizontal="center" vertical="top"/>
    </xf>
    <xf numFmtId="41" fontId="0" fillId="0" borderId="2" xfId="1" applyFont="1" applyFill="1" applyBorder="1" applyAlignment="1">
      <alignment vertical="top"/>
    </xf>
    <xf numFmtId="41" fontId="0" fillId="0" borderId="2" xfId="1" quotePrefix="1" applyFont="1" applyFill="1" applyBorder="1" applyAlignment="1">
      <alignment vertical="top"/>
    </xf>
    <xf numFmtId="41" fontId="0" fillId="0" borderId="2" xfId="0" applyNumberFormat="1" applyFill="1" applyBorder="1" applyAlignment="1">
      <alignment vertical="top"/>
    </xf>
    <xf numFmtId="2" fontId="0" fillId="0" borderId="2" xfId="0" applyNumberFormat="1" applyFill="1" applyBorder="1" applyAlignment="1">
      <alignment vertical="top"/>
    </xf>
    <xf numFmtId="0" fontId="0" fillId="0" borderId="4" xfId="0" quotePrefix="1" applyFill="1" applyBorder="1" applyAlignment="1">
      <alignment vertical="top" wrapText="1"/>
    </xf>
    <xf numFmtId="3" fontId="0" fillId="0" borderId="4" xfId="0" applyNumberFormat="1" applyFill="1" applyBorder="1" applyAlignment="1">
      <alignment horizontal="center" vertical="top"/>
    </xf>
    <xf numFmtId="41" fontId="0" fillId="0" borderId="4" xfId="1" quotePrefix="1" applyFont="1" applyFill="1" applyBorder="1" applyAlignment="1">
      <alignment horizontal="center" vertical="top"/>
    </xf>
    <xf numFmtId="41" fontId="0" fillId="0" borderId="4" xfId="1" applyFont="1" applyFill="1" applyBorder="1" applyAlignment="1">
      <alignment horizontal="center" vertical="top"/>
    </xf>
    <xf numFmtId="0" fontId="4" fillId="0" borderId="0" xfId="0" applyFont="1" applyFill="1" applyAlignment="1">
      <alignment vertical="top"/>
    </xf>
    <xf numFmtId="0" fontId="0" fillId="0" borderId="1" xfId="0" applyBorder="1" applyAlignment="1">
      <alignment horizontal="center" vertical="top" wrapText="1"/>
    </xf>
    <xf numFmtId="41" fontId="0" fillId="0" borderId="1" xfId="0" applyNumberFormat="1" applyBorder="1" applyAlignment="1">
      <alignment vertical="top" wrapText="1"/>
    </xf>
    <xf numFmtId="41" fontId="0" fillId="0" borderId="1" xfId="0" applyNumberFormat="1" applyBorder="1" applyAlignment="1">
      <alignment horizontal="center" vertical="top"/>
    </xf>
    <xf numFmtId="0" fontId="4" fillId="0" borderId="0" xfId="0" applyFont="1" applyAlignment="1">
      <alignment vertical="top" wrapText="1"/>
    </xf>
    <xf numFmtId="41" fontId="0" fillId="0" borderId="1" xfId="1" applyFont="1" applyBorder="1" applyAlignment="1">
      <alignment horizontal="right" vertical="top"/>
    </xf>
    <xf numFmtId="3" fontId="0" fillId="0" borderId="1" xfId="0" applyNumberFormat="1" applyFont="1" applyFill="1" applyBorder="1" applyAlignment="1">
      <alignment horizontal="right" vertical="top"/>
    </xf>
    <xf numFmtId="0" fontId="0" fillId="0" borderId="4" xfId="0" quotePrefix="1" applyFill="1" applyBorder="1" applyAlignment="1">
      <alignment vertical="top"/>
    </xf>
    <xf numFmtId="0" fontId="0" fillId="0" borderId="3" xfId="0" applyBorder="1" applyAlignment="1">
      <alignment vertical="top" wrapText="1"/>
    </xf>
    <xf numFmtId="0" fontId="0" fillId="0" borderId="4" xfId="0" applyBorder="1" applyAlignment="1">
      <alignment horizontal="center" vertical="top"/>
    </xf>
    <xf numFmtId="0" fontId="49" fillId="21" borderId="1" xfId="0" applyFont="1" applyFill="1" applyBorder="1" applyAlignment="1">
      <alignment horizontal="left" vertical="top" wrapText="1"/>
    </xf>
    <xf numFmtId="2" fontId="49" fillId="21" borderId="1" xfId="0" applyNumberFormat="1" applyFont="1" applyFill="1" applyBorder="1" applyAlignment="1">
      <alignment horizontal="center" vertical="top"/>
    </xf>
    <xf numFmtId="0" fontId="49" fillId="0" borderId="0" xfId="0" applyFont="1" applyFill="1" applyAlignment="1">
      <alignment vertical="top"/>
    </xf>
    <xf numFmtId="0" fontId="52" fillId="21" borderId="1" xfId="0" applyFont="1" applyFill="1" applyBorder="1" applyAlignment="1">
      <alignment horizontal="center" vertical="top"/>
    </xf>
    <xf numFmtId="0" fontId="52" fillId="21" borderId="1" xfId="0" quotePrefix="1" applyFont="1" applyFill="1" applyBorder="1" applyAlignment="1">
      <alignment horizontal="center" vertical="top"/>
    </xf>
    <xf numFmtId="0" fontId="48" fillId="20" borderId="1" xfId="0" applyFont="1" applyFill="1" applyBorder="1" applyAlignment="1">
      <alignment horizontal="center" vertical="top"/>
    </xf>
    <xf numFmtId="0" fontId="15" fillId="0" borderId="1" xfId="0" quotePrefix="1" applyFont="1" applyBorder="1" applyAlignment="1">
      <alignment horizontal="center" vertical="top" wrapText="1"/>
    </xf>
    <xf numFmtId="0" fontId="7" fillId="20" borderId="1" xfId="0" applyFont="1" applyFill="1" applyBorder="1" applyAlignment="1">
      <alignment horizontal="center" vertical="top"/>
    </xf>
    <xf numFmtId="0" fontId="49" fillId="20" borderId="1" xfId="0" applyFont="1" applyFill="1" applyBorder="1" applyAlignment="1">
      <alignment horizontal="center" vertical="top"/>
    </xf>
    <xf numFmtId="0" fontId="7" fillId="25" borderId="1" xfId="0" quotePrefix="1" applyFont="1" applyFill="1" applyBorder="1" applyAlignment="1">
      <alignment horizontal="center" vertical="top" wrapText="1"/>
    </xf>
    <xf numFmtId="0" fontId="7" fillId="9" borderId="4" xfId="0" quotePrefix="1" applyFont="1" applyFill="1" applyBorder="1" applyAlignment="1">
      <alignment horizontal="center" vertical="top" wrapText="1"/>
    </xf>
    <xf numFmtId="0" fontId="8" fillId="0" borderId="0" xfId="0" applyFont="1" applyAlignment="1">
      <alignment horizontal="center"/>
    </xf>
    <xf numFmtId="1" fontId="8" fillId="0" borderId="1" xfId="3" applyNumberFormat="1" applyFont="1" applyFill="1" applyBorder="1" applyAlignment="1">
      <alignment horizontal="right" vertical="top" wrapText="1"/>
    </xf>
    <xf numFmtId="1" fontId="8" fillId="0" borderId="1" xfId="3" applyNumberFormat="1" applyFont="1" applyBorder="1" applyAlignment="1">
      <alignment vertical="top" wrapText="1"/>
    </xf>
    <xf numFmtId="1" fontId="8" fillId="0" borderId="1" xfId="3" applyNumberFormat="1" applyFont="1" applyFill="1" applyBorder="1" applyAlignment="1">
      <alignment vertical="top" wrapText="1"/>
    </xf>
    <xf numFmtId="0" fontId="0" fillId="0" borderId="1" xfId="0" applyBorder="1" applyAlignment="1">
      <alignment horizontal="right" vertical="top"/>
    </xf>
    <xf numFmtId="0" fontId="8" fillId="0" borderId="1" xfId="0" applyFont="1" applyFill="1" applyBorder="1" applyAlignment="1">
      <alignment horizontal="center" vertical="top" wrapText="1"/>
    </xf>
    <xf numFmtId="0" fontId="8" fillId="0" borderId="1" xfId="0" applyFont="1" applyFill="1" applyBorder="1" applyAlignment="1">
      <alignment horizontal="center" vertical="top"/>
    </xf>
    <xf numFmtId="0" fontId="8" fillId="0" borderId="1" xfId="0" quotePrefix="1" applyFont="1" applyFill="1" applyBorder="1" applyAlignment="1">
      <alignment horizontal="center" vertical="top"/>
    </xf>
    <xf numFmtId="0" fontId="8" fillId="0" borderId="1" xfId="0" applyFont="1" applyFill="1" applyBorder="1" applyAlignment="1">
      <alignment horizontal="left" vertical="top" wrapText="1"/>
    </xf>
    <xf numFmtId="0" fontId="8" fillId="0" borderId="1" xfId="0" applyFont="1" applyFill="1" applyBorder="1" applyAlignment="1">
      <alignment horizontal="right" vertical="top"/>
    </xf>
    <xf numFmtId="41" fontId="8" fillId="0" borderId="1" xfId="1" applyFont="1" applyFill="1" applyBorder="1" applyAlignment="1">
      <alignment horizontal="right" vertical="top"/>
    </xf>
    <xf numFmtId="0" fontId="7" fillId="21" borderId="1" xfId="0" applyFont="1" applyFill="1" applyBorder="1" applyAlignment="1">
      <alignment horizontal="center" vertical="top" wrapText="1"/>
    </xf>
    <xf numFmtId="0" fontId="17" fillId="21" borderId="1" xfId="0" applyFont="1" applyFill="1" applyBorder="1" applyAlignment="1">
      <alignment horizontal="left" vertical="top" wrapText="1"/>
    </xf>
    <xf numFmtId="0" fontId="7" fillId="21" borderId="1" xfId="0" applyFont="1" applyFill="1" applyBorder="1" applyAlignment="1">
      <alignment horizontal="left" vertical="top" wrapText="1"/>
    </xf>
    <xf numFmtId="2" fontId="8" fillId="0" borderId="1" xfId="0" applyNumberFormat="1" applyFont="1" applyFill="1" applyBorder="1" applyAlignment="1">
      <alignment horizontal="right" vertical="top"/>
    </xf>
    <xf numFmtId="0" fontId="7" fillId="9" borderId="1" xfId="0" applyFont="1" applyFill="1" applyBorder="1" applyAlignment="1">
      <alignment horizontal="left" vertical="top" wrapText="1"/>
    </xf>
    <xf numFmtId="0" fontId="7" fillId="9" borderId="1" xfId="0" applyFont="1" applyFill="1" applyBorder="1" applyAlignment="1">
      <alignment horizontal="right" vertical="top"/>
    </xf>
    <xf numFmtId="41" fontId="8" fillId="0" borderId="1" xfId="1" applyFont="1" applyFill="1" applyBorder="1" applyAlignment="1">
      <alignment horizontal="center" vertical="top"/>
    </xf>
    <xf numFmtId="41" fontId="8" fillId="0" borderId="1" xfId="0" applyNumberFormat="1" applyFont="1" applyFill="1" applyBorder="1" applyAlignment="1">
      <alignment horizontal="center" vertical="top"/>
    </xf>
    <xf numFmtId="41" fontId="23" fillId="21" borderId="1" xfId="1" quotePrefix="1" applyFont="1" applyFill="1" applyBorder="1" applyAlignment="1">
      <alignment horizontal="center" vertical="top" wrapText="1"/>
    </xf>
    <xf numFmtId="0" fontId="8" fillId="0" borderId="1" xfId="5" applyFont="1" applyFill="1" applyBorder="1" applyAlignment="1">
      <alignment horizontal="left" vertical="top" wrapText="1"/>
    </xf>
    <xf numFmtId="41" fontId="15" fillId="0" borderId="1" xfId="8" applyNumberFormat="1" applyFont="1" applyFill="1" applyBorder="1" applyAlignment="1">
      <alignment horizontal="center" vertical="top" wrapText="1"/>
    </xf>
    <xf numFmtId="3" fontId="15" fillId="0" borderId="1" xfId="0" applyNumberFormat="1" applyFont="1" applyFill="1" applyBorder="1" applyAlignment="1">
      <alignment horizontal="right" vertical="top" wrapText="1"/>
    </xf>
    <xf numFmtId="43" fontId="15" fillId="0" borderId="1" xfId="0" applyNumberFormat="1" applyFont="1" applyFill="1" applyBorder="1" applyAlignment="1">
      <alignment horizontal="center" vertical="top" wrapText="1"/>
    </xf>
    <xf numFmtId="1" fontId="15" fillId="0" borderId="1" xfId="1" quotePrefix="1" applyNumberFormat="1" applyFont="1" applyFill="1" applyBorder="1" applyAlignment="1">
      <alignment horizontal="center" vertical="top" wrapText="1"/>
    </xf>
    <xf numFmtId="164" fontId="15" fillId="0" borderId="1" xfId="2" quotePrefix="1" applyNumberFormat="1" applyFont="1" applyFill="1" applyBorder="1" applyAlignment="1">
      <alignment horizontal="center" vertical="top" wrapText="1"/>
    </xf>
    <xf numFmtId="41" fontId="15" fillId="0" borderId="1" xfId="1" applyFont="1" applyFill="1" applyBorder="1" applyAlignment="1">
      <alignment horizontal="center" vertical="top" wrapText="1"/>
    </xf>
    <xf numFmtId="41" fontId="15" fillId="0" borderId="1" xfId="0" applyNumberFormat="1" applyFont="1" applyFill="1" applyBorder="1" applyAlignment="1">
      <alignment horizontal="center" vertical="top" wrapText="1"/>
    </xf>
    <xf numFmtId="3" fontId="15" fillId="0" borderId="1" xfId="0" quotePrefix="1" applyNumberFormat="1" applyFont="1" applyFill="1" applyBorder="1" applyAlignment="1">
      <alignment horizontal="right" vertical="top" wrapText="1"/>
    </xf>
    <xf numFmtId="3" fontId="8" fillId="0" borderId="1" xfId="0" applyNumberFormat="1" applyFont="1" applyFill="1" applyBorder="1" applyAlignment="1">
      <alignment horizontal="right" vertical="top"/>
    </xf>
    <xf numFmtId="3" fontId="23" fillId="21" borderId="1" xfId="0" applyNumberFormat="1" applyFont="1" applyFill="1" applyBorder="1" applyAlignment="1">
      <alignment horizontal="right" vertical="top" wrapText="1"/>
    </xf>
    <xf numFmtId="164" fontId="15" fillId="0" borderId="1" xfId="2" quotePrefix="1" applyNumberFormat="1" applyFont="1" applyFill="1" applyBorder="1" applyAlignment="1">
      <alignment horizontal="right" vertical="top" wrapText="1"/>
    </xf>
    <xf numFmtId="3" fontId="15" fillId="0" borderId="1" xfId="0" quotePrefix="1" applyNumberFormat="1" applyFont="1" applyFill="1" applyBorder="1" applyAlignment="1">
      <alignment horizontal="center" vertical="top" wrapText="1"/>
    </xf>
    <xf numFmtId="1" fontId="23" fillId="21" borderId="1" xfId="1" quotePrefix="1" applyNumberFormat="1" applyFont="1" applyFill="1" applyBorder="1" applyAlignment="1">
      <alignment horizontal="center" vertical="top" wrapText="1"/>
    </xf>
    <xf numFmtId="164" fontId="23" fillId="21" borderId="1" xfId="2" quotePrefix="1" applyNumberFormat="1" applyFont="1" applyFill="1" applyBorder="1" applyAlignment="1">
      <alignment horizontal="center" vertical="top" wrapText="1"/>
    </xf>
    <xf numFmtId="164" fontId="23" fillId="21" borderId="1" xfId="2" quotePrefix="1" applyNumberFormat="1" applyFont="1" applyFill="1" applyBorder="1" applyAlignment="1">
      <alignment horizontal="right" vertical="top" wrapText="1"/>
    </xf>
    <xf numFmtId="164" fontId="23" fillId="0" borderId="1" xfId="2" quotePrefix="1" applyNumberFormat="1" applyFont="1" applyFill="1" applyBorder="1" applyAlignment="1">
      <alignment horizontal="center" vertical="top" wrapText="1"/>
    </xf>
    <xf numFmtId="3" fontId="23" fillId="0" borderId="1" xfId="0" applyNumberFormat="1" applyFont="1" applyFill="1" applyBorder="1" applyAlignment="1">
      <alignment horizontal="right" vertical="top" wrapText="1"/>
    </xf>
    <xf numFmtId="3" fontId="23" fillId="21" borderId="1" xfId="0" quotePrefix="1" applyNumberFormat="1" applyFont="1" applyFill="1" applyBorder="1" applyAlignment="1">
      <alignment horizontal="right" vertical="top" wrapText="1"/>
    </xf>
    <xf numFmtId="1" fontId="23" fillId="0" borderId="1" xfId="1" quotePrefix="1" applyNumberFormat="1" applyFont="1" applyFill="1" applyBorder="1" applyAlignment="1">
      <alignment horizontal="center" vertical="top" wrapText="1"/>
    </xf>
    <xf numFmtId="3" fontId="23" fillId="0" borderId="1" xfId="0" quotePrefix="1" applyNumberFormat="1" applyFont="1" applyFill="1" applyBorder="1" applyAlignment="1">
      <alignment horizontal="right" vertical="top" wrapText="1"/>
    </xf>
    <xf numFmtId="1" fontId="23" fillId="21" borderId="1" xfId="2" applyNumberFormat="1" applyFont="1" applyFill="1" applyBorder="1" applyAlignment="1">
      <alignment horizontal="center" vertical="top" wrapText="1"/>
    </xf>
    <xf numFmtId="1" fontId="23" fillId="0" borderId="1" xfId="2" quotePrefix="1" applyNumberFormat="1" applyFont="1" applyFill="1" applyBorder="1" applyAlignment="1">
      <alignment horizontal="center" vertical="top" wrapText="1"/>
    </xf>
    <xf numFmtId="0" fontId="15" fillId="0" borderId="1" xfId="0" quotePrefix="1" applyFont="1" applyFill="1" applyBorder="1" applyAlignment="1">
      <alignment horizontal="center" vertical="top" wrapText="1"/>
    </xf>
    <xf numFmtId="164" fontId="15" fillId="0" borderId="1" xfId="2" applyNumberFormat="1" applyFont="1" applyFill="1" applyBorder="1" applyAlignment="1">
      <alignment horizontal="center" vertical="top"/>
    </xf>
    <xf numFmtId="3" fontId="23" fillId="21" borderId="1" xfId="0" quotePrefix="1" applyNumberFormat="1" applyFont="1" applyFill="1" applyBorder="1" applyAlignment="1">
      <alignment horizontal="center" vertical="top" wrapText="1"/>
    </xf>
    <xf numFmtId="0" fontId="67" fillId="21" borderId="1" xfId="0" applyFont="1" applyFill="1" applyBorder="1" applyAlignment="1">
      <alignment horizontal="center" vertical="top" wrapText="1"/>
    </xf>
    <xf numFmtId="0" fontId="49" fillId="21" borderId="1" xfId="0" applyFont="1" applyFill="1" applyBorder="1" applyAlignment="1">
      <alignment horizontal="center" vertical="top" wrapText="1"/>
    </xf>
    <xf numFmtId="0" fontId="49" fillId="21" borderId="1" xfId="0" quotePrefix="1" applyFont="1" applyFill="1" applyBorder="1" applyAlignment="1">
      <alignment horizontal="center" vertical="top" wrapText="1"/>
    </xf>
    <xf numFmtId="0" fontId="67" fillId="21" borderId="1" xfId="0" applyFont="1" applyFill="1" applyBorder="1" applyAlignment="1">
      <alignment horizontal="left" vertical="top" wrapText="1"/>
    </xf>
    <xf numFmtId="1" fontId="67" fillId="21" borderId="1" xfId="0" applyNumberFormat="1" applyFont="1" applyFill="1" applyBorder="1" applyAlignment="1">
      <alignment horizontal="center" vertical="top" wrapText="1"/>
    </xf>
    <xf numFmtId="41" fontId="67" fillId="21" borderId="1" xfId="1" applyFont="1" applyFill="1" applyBorder="1" applyAlignment="1">
      <alignment horizontal="center" vertical="top" wrapText="1"/>
    </xf>
    <xf numFmtId="1" fontId="67" fillId="21" borderId="1" xfId="1" applyNumberFormat="1" applyFont="1" applyFill="1" applyBorder="1" applyAlignment="1">
      <alignment horizontal="center" vertical="top" wrapText="1"/>
    </xf>
    <xf numFmtId="41" fontId="67" fillId="21" borderId="1" xfId="1" applyFont="1" applyFill="1" applyBorder="1" applyAlignment="1">
      <alignment horizontal="right" vertical="top" wrapText="1"/>
    </xf>
    <xf numFmtId="41" fontId="67" fillId="21" borderId="1" xfId="1" quotePrefix="1" applyFont="1" applyFill="1" applyBorder="1" applyAlignment="1">
      <alignment horizontal="center" vertical="top" wrapText="1"/>
    </xf>
    <xf numFmtId="43" fontId="48" fillId="21" borderId="1" xfId="0" quotePrefix="1" applyNumberFormat="1" applyFont="1" applyFill="1" applyBorder="1" applyAlignment="1">
      <alignment horizontal="center" vertical="top" wrapText="1"/>
    </xf>
    <xf numFmtId="43" fontId="67" fillId="21" borderId="4" xfId="0" applyNumberFormat="1" applyFont="1" applyFill="1" applyBorder="1" applyAlignment="1">
      <alignment horizontal="center" vertical="top" wrapText="1"/>
    </xf>
    <xf numFmtId="0" fontId="67" fillId="21" borderId="4" xfId="0" applyFont="1" applyFill="1" applyBorder="1" applyAlignment="1">
      <alignment horizontal="center" vertical="top" wrapText="1"/>
    </xf>
    <xf numFmtId="2" fontId="67" fillId="21" borderId="1" xfId="0" applyNumberFormat="1" applyFont="1" applyFill="1" applyBorder="1" applyAlignment="1">
      <alignment horizontal="center" vertical="top" wrapText="1"/>
    </xf>
    <xf numFmtId="2" fontId="15" fillId="0" borderId="1" xfId="0" applyNumberFormat="1" applyFont="1" applyFill="1" applyBorder="1" applyAlignment="1">
      <alignment horizontal="center" vertical="top" wrapText="1"/>
    </xf>
    <xf numFmtId="2" fontId="23" fillId="21" borderId="1" xfId="0" applyNumberFormat="1" applyFont="1" applyFill="1" applyBorder="1" applyAlignment="1">
      <alignment horizontal="center" vertical="top" wrapText="1"/>
    </xf>
    <xf numFmtId="2" fontId="23" fillId="0" borderId="1" xfId="0" applyNumberFormat="1" applyFont="1" applyFill="1" applyBorder="1" applyAlignment="1">
      <alignment horizontal="center" vertical="top" wrapText="1"/>
    </xf>
    <xf numFmtId="2" fontId="15" fillId="0" borderId="1" xfId="0" applyNumberFormat="1" applyFont="1" applyFill="1" applyBorder="1" applyAlignment="1">
      <alignment horizontal="right" vertical="top" wrapText="1"/>
    </xf>
    <xf numFmtId="164" fontId="67" fillId="21" borderId="1" xfId="0" applyNumberFormat="1" applyFont="1" applyFill="1" applyBorder="1" applyAlignment="1">
      <alignment horizontal="center" vertical="top" wrapText="1"/>
    </xf>
    <xf numFmtId="164" fontId="15" fillId="0" borderId="1" xfId="0" applyNumberFormat="1" applyFont="1" applyFill="1" applyBorder="1" applyAlignment="1">
      <alignment horizontal="center" vertical="top" wrapText="1"/>
    </xf>
    <xf numFmtId="164" fontId="23" fillId="21" borderId="1" xfId="0" applyNumberFormat="1" applyFont="1" applyFill="1" applyBorder="1" applyAlignment="1">
      <alignment horizontal="center" vertical="top" wrapText="1"/>
    </xf>
    <xf numFmtId="164" fontId="23" fillId="0" borderId="1" xfId="0" applyNumberFormat="1" applyFont="1" applyFill="1" applyBorder="1" applyAlignment="1">
      <alignment horizontal="center" vertical="top" wrapText="1"/>
    </xf>
    <xf numFmtId="164" fontId="23" fillId="21" borderId="1" xfId="0" quotePrefix="1" applyNumberFormat="1" applyFont="1" applyFill="1" applyBorder="1" applyAlignment="1">
      <alignment horizontal="center" vertical="top" wrapText="1"/>
    </xf>
    <xf numFmtId="164" fontId="15" fillId="0" borderId="1" xfId="0" quotePrefix="1" applyNumberFormat="1" applyFont="1" applyFill="1" applyBorder="1" applyAlignment="1">
      <alignment horizontal="center" vertical="top" wrapText="1"/>
    </xf>
    <xf numFmtId="164" fontId="4" fillId="21" borderId="1" xfId="1" applyNumberFormat="1" applyFont="1" applyFill="1" applyBorder="1" applyAlignment="1">
      <alignment vertical="top"/>
    </xf>
    <xf numFmtId="164" fontId="0" fillId="0" borderId="4" xfId="1" applyNumberFormat="1" applyFont="1" applyFill="1" applyBorder="1" applyAlignment="1">
      <alignment vertical="top"/>
    </xf>
    <xf numFmtId="0" fontId="23" fillId="21" borderId="1" xfId="0" quotePrefix="1" applyFont="1" applyFill="1" applyBorder="1" applyAlignment="1">
      <alignment horizontal="center" vertical="top" wrapText="1"/>
    </xf>
    <xf numFmtId="0" fontId="7" fillId="21" borderId="1" xfId="5" applyFont="1" applyFill="1" applyBorder="1" applyAlignment="1">
      <alignment horizontal="left" vertical="center" wrapText="1"/>
    </xf>
    <xf numFmtId="164" fontId="23" fillId="21" borderId="1" xfId="2" applyNumberFormat="1" applyFont="1" applyFill="1" applyBorder="1" applyAlignment="1">
      <alignment horizontal="left" vertical="top" wrapText="1" readingOrder="1"/>
    </xf>
    <xf numFmtId="3" fontId="23" fillId="0" borderId="1" xfId="0" applyNumberFormat="1" applyFont="1" applyBorder="1" applyAlignment="1">
      <alignment horizontal="right" vertical="top" wrapText="1"/>
    </xf>
    <xf numFmtId="164" fontId="17" fillId="21" borderId="1" xfId="0" applyNumberFormat="1" applyFont="1" applyFill="1" applyBorder="1" applyAlignment="1">
      <alignment horizontal="center" vertical="top" wrapText="1"/>
    </xf>
    <xf numFmtId="164" fontId="8" fillId="0" borderId="0" xfId="0" applyNumberFormat="1" applyFont="1"/>
    <xf numFmtId="164" fontId="23" fillId="21" borderId="1" xfId="1" applyNumberFormat="1" applyFont="1" applyFill="1" applyBorder="1" applyAlignment="1">
      <alignment horizontal="center" vertical="top" wrapText="1"/>
    </xf>
    <xf numFmtId="164" fontId="23" fillId="21" borderId="1" xfId="1" applyNumberFormat="1" applyFont="1" applyFill="1" applyBorder="1" applyAlignment="1">
      <alignment horizontal="right" vertical="top" wrapText="1"/>
    </xf>
    <xf numFmtId="164" fontId="23" fillId="21" borderId="1" xfId="1" quotePrefix="1" applyNumberFormat="1" applyFont="1" applyFill="1" applyBorder="1" applyAlignment="1">
      <alignment horizontal="center" vertical="top" wrapText="1"/>
    </xf>
    <xf numFmtId="164" fontId="17" fillId="21" borderId="1" xfId="0" quotePrefix="1" applyNumberFormat="1" applyFont="1" applyFill="1" applyBorder="1" applyAlignment="1">
      <alignment horizontal="center" vertical="top" wrapText="1"/>
    </xf>
    <xf numFmtId="2" fontId="23" fillId="21" borderId="4" xfId="0" applyNumberFormat="1" applyFont="1" applyFill="1" applyBorder="1" applyAlignment="1">
      <alignment horizontal="center" vertical="top" wrapText="1"/>
    </xf>
    <xf numFmtId="164" fontId="8" fillId="0" borderId="0" xfId="0" applyNumberFormat="1" applyFont="1" applyFill="1"/>
    <xf numFmtId="164" fontId="67" fillId="21" borderId="1" xfId="2" applyNumberFormat="1" applyFont="1" applyFill="1" applyBorder="1" applyAlignment="1">
      <alignment horizontal="center" vertical="top" wrapText="1"/>
    </xf>
    <xf numFmtId="1" fontId="67" fillId="21" borderId="1" xfId="0" quotePrefix="1" applyNumberFormat="1" applyFont="1" applyFill="1" applyBorder="1" applyAlignment="1">
      <alignment horizontal="center" vertical="top" wrapText="1"/>
    </xf>
    <xf numFmtId="1" fontId="67" fillId="21" borderId="1" xfId="1" quotePrefix="1" applyNumberFormat="1" applyFont="1" applyFill="1" applyBorder="1" applyAlignment="1">
      <alignment horizontal="center" vertical="top" wrapText="1"/>
    </xf>
    <xf numFmtId="164" fontId="67" fillId="21" borderId="1" xfId="2" quotePrefix="1" applyNumberFormat="1" applyFont="1" applyFill="1" applyBorder="1" applyAlignment="1">
      <alignment horizontal="right" vertical="top" wrapText="1"/>
    </xf>
    <xf numFmtId="164" fontId="67" fillId="21" borderId="1" xfId="2" quotePrefix="1" applyNumberFormat="1" applyFont="1" applyFill="1" applyBorder="1" applyAlignment="1">
      <alignment horizontal="center" vertical="top" wrapText="1"/>
    </xf>
    <xf numFmtId="164" fontId="67" fillId="21" borderId="1" xfId="0" applyNumberFormat="1" applyFont="1" applyFill="1" applyBorder="1" applyAlignment="1">
      <alignment horizontal="right" vertical="top" wrapText="1"/>
    </xf>
    <xf numFmtId="3" fontId="67" fillId="21" borderId="1" xfId="0" applyNumberFormat="1" applyFont="1" applyFill="1" applyBorder="1" applyAlignment="1">
      <alignment horizontal="center" vertical="top" wrapText="1"/>
    </xf>
    <xf numFmtId="3" fontId="67" fillId="21" borderId="1" xfId="0" applyNumberFormat="1" applyFont="1" applyFill="1" applyBorder="1" applyAlignment="1">
      <alignment horizontal="right" vertical="top" wrapText="1"/>
    </xf>
    <xf numFmtId="3" fontId="67" fillId="21" borderId="1" xfId="0" quotePrefix="1" applyNumberFormat="1" applyFont="1" applyFill="1" applyBorder="1" applyAlignment="1">
      <alignment horizontal="right" vertical="top" wrapText="1"/>
    </xf>
    <xf numFmtId="0" fontId="67" fillId="21" borderId="1" xfId="0" quotePrefix="1" applyFont="1" applyFill="1" applyBorder="1" applyAlignment="1">
      <alignment horizontal="center" vertical="top" wrapText="1"/>
    </xf>
    <xf numFmtId="1" fontId="67" fillId="21" borderId="1" xfId="2" applyNumberFormat="1" applyFont="1" applyFill="1" applyBorder="1" applyAlignment="1">
      <alignment horizontal="center" vertical="top" wrapText="1"/>
    </xf>
    <xf numFmtId="0" fontId="48" fillId="21" borderId="1" xfId="0" applyFont="1" applyFill="1" applyBorder="1" applyAlignment="1">
      <alignment horizontal="left" vertical="top" wrapText="1"/>
    </xf>
    <xf numFmtId="164" fontId="67" fillId="21" borderId="1" xfId="2" applyNumberFormat="1" applyFont="1" applyFill="1" applyBorder="1" applyAlignment="1">
      <alignment horizontal="right" vertical="top" wrapText="1"/>
    </xf>
    <xf numFmtId="3" fontId="67" fillId="21" borderId="1" xfId="0" quotePrefix="1" applyNumberFormat="1" applyFont="1" applyFill="1" applyBorder="1" applyAlignment="1">
      <alignment horizontal="center" vertical="top" wrapText="1"/>
    </xf>
    <xf numFmtId="164" fontId="67" fillId="21" borderId="1" xfId="0" quotePrefix="1" applyNumberFormat="1" applyFont="1" applyFill="1" applyBorder="1" applyAlignment="1">
      <alignment horizontal="center" vertical="top" wrapText="1"/>
    </xf>
    <xf numFmtId="0" fontId="1" fillId="0" borderId="0" xfId="0" applyFont="1" applyFill="1" applyAlignment="1">
      <alignment vertical="top"/>
    </xf>
    <xf numFmtId="41" fontId="0" fillId="0" borderId="0" xfId="0" applyNumberFormat="1" applyFill="1" applyAlignment="1">
      <alignment vertical="top"/>
    </xf>
    <xf numFmtId="41" fontId="66" fillId="9" borderId="0" xfId="0" applyNumberFormat="1" applyFont="1" applyFill="1" applyAlignment="1">
      <alignment vertical="top"/>
    </xf>
    <xf numFmtId="0" fontId="49" fillId="21" borderId="1" xfId="0" applyFont="1" applyFill="1" applyBorder="1" applyAlignment="1">
      <alignment horizontal="right" vertical="top"/>
    </xf>
    <xf numFmtId="41" fontId="49" fillId="21" borderId="1" xfId="1" applyFont="1" applyFill="1" applyBorder="1" applyAlignment="1">
      <alignment horizontal="right" vertical="top"/>
    </xf>
    <xf numFmtId="2" fontId="49" fillId="21" borderId="1" xfId="0" applyNumberFormat="1" applyFont="1" applyFill="1" applyBorder="1" applyAlignment="1">
      <alignment horizontal="right" vertical="top"/>
    </xf>
    <xf numFmtId="43" fontId="49" fillId="21" borderId="1" xfId="0" applyNumberFormat="1" applyFont="1" applyFill="1" applyBorder="1" applyAlignment="1">
      <alignment horizontal="right" vertical="top"/>
    </xf>
    <xf numFmtId="164" fontId="15" fillId="0" borderId="1" xfId="2" applyNumberFormat="1" applyFont="1" applyBorder="1" applyAlignment="1">
      <alignment horizontal="right" vertical="top" wrapText="1"/>
    </xf>
    <xf numFmtId="166" fontId="49" fillId="21" borderId="1" xfId="1" applyNumberFormat="1" applyFont="1" applyFill="1" applyBorder="1" applyAlignment="1">
      <alignment vertical="top"/>
    </xf>
    <xf numFmtId="0" fontId="52" fillId="21" borderId="1" xfId="0" applyFont="1" applyFill="1" applyBorder="1" applyAlignment="1">
      <alignment vertical="top" wrapText="1"/>
    </xf>
    <xf numFmtId="0" fontId="52" fillId="21" borderId="1" xfId="0" applyFont="1" applyFill="1" applyBorder="1" applyAlignment="1">
      <alignment vertical="top"/>
    </xf>
    <xf numFmtId="41" fontId="52" fillId="21" borderId="1" xfId="1" applyFont="1" applyFill="1" applyBorder="1" applyAlignment="1">
      <alignment vertical="top"/>
    </xf>
    <xf numFmtId="2" fontId="52" fillId="21" borderId="1" xfId="0" applyNumberFormat="1" applyFont="1" applyFill="1" applyBorder="1" applyAlignment="1">
      <alignment vertical="top"/>
    </xf>
    <xf numFmtId="41" fontId="52" fillId="21" borderId="1" xfId="0" applyNumberFormat="1" applyFont="1" applyFill="1" applyBorder="1" applyAlignment="1">
      <alignment vertical="top"/>
    </xf>
    <xf numFmtId="0" fontId="7" fillId="9" borderId="1" xfId="0" applyFont="1" applyFill="1" applyBorder="1" applyAlignment="1">
      <alignment horizontal="center" vertical="top"/>
    </xf>
    <xf numFmtId="164" fontId="15" fillId="0" borderId="1" xfId="0" applyNumberFormat="1" applyFont="1" applyBorder="1" applyAlignment="1">
      <alignment horizontal="right" vertical="top" wrapText="1"/>
    </xf>
    <xf numFmtId="166" fontId="15" fillId="0" borderId="1" xfId="0" applyNumberFormat="1" applyFont="1" applyBorder="1" applyAlignment="1">
      <alignment horizontal="right" vertical="top" wrapText="1"/>
    </xf>
    <xf numFmtId="9" fontId="15" fillId="0" borderId="1" xfId="3" applyFont="1" applyBorder="1" applyAlignment="1">
      <alignment horizontal="right" vertical="top" wrapText="1"/>
    </xf>
    <xf numFmtId="2" fontId="7" fillId="9" borderId="1" xfId="0" applyNumberFormat="1" applyFont="1" applyFill="1" applyBorder="1" applyAlignment="1">
      <alignment horizontal="right" vertical="top"/>
    </xf>
    <xf numFmtId="2" fontId="7" fillId="9" borderId="1" xfId="0" applyNumberFormat="1" applyFont="1" applyFill="1" applyBorder="1" applyAlignment="1">
      <alignment vertical="top"/>
    </xf>
    <xf numFmtId="0" fontId="66" fillId="0" borderId="0" xfId="0" applyFont="1" applyFill="1" applyAlignment="1">
      <alignment vertical="top"/>
    </xf>
    <xf numFmtId="41" fontId="66" fillId="0" borderId="0" xfId="0" applyNumberFormat="1" applyFont="1" applyFill="1" applyAlignment="1">
      <alignment vertical="top"/>
    </xf>
    <xf numFmtId="0" fontId="66" fillId="0" borderId="0" xfId="0" applyFont="1" applyFill="1" applyAlignment="1">
      <alignment vertical="top" wrapText="1"/>
    </xf>
    <xf numFmtId="0" fontId="8" fillId="24" borderId="1" xfId="0" applyFont="1" applyFill="1" applyBorder="1" applyAlignment="1">
      <alignment vertical="top"/>
    </xf>
    <xf numFmtId="0" fontId="8" fillId="24" borderId="1" xfId="0" applyFont="1" applyFill="1" applyBorder="1" applyAlignment="1">
      <alignment horizontal="center" vertical="top"/>
    </xf>
    <xf numFmtId="0" fontId="7" fillId="24" borderId="1" xfId="0" applyFont="1" applyFill="1" applyBorder="1" applyAlignment="1">
      <alignment vertical="top" wrapText="1"/>
    </xf>
    <xf numFmtId="0" fontId="8" fillId="24" borderId="1" xfId="0" applyFont="1" applyFill="1" applyBorder="1" applyAlignment="1">
      <alignment horizontal="right" vertical="top"/>
    </xf>
    <xf numFmtId="164" fontId="8" fillId="24" borderId="1" xfId="0" applyNumberFormat="1" applyFont="1" applyFill="1" applyBorder="1" applyAlignment="1">
      <alignment horizontal="right" vertical="top"/>
    </xf>
    <xf numFmtId="164" fontId="8" fillId="24" borderId="1" xfId="2" applyNumberFormat="1" applyFont="1" applyFill="1" applyBorder="1" applyAlignment="1">
      <alignment vertical="top"/>
    </xf>
    <xf numFmtId="0" fontId="8" fillId="24" borderId="1" xfId="0" applyFont="1" applyFill="1" applyBorder="1" applyAlignment="1">
      <alignment horizontal="center" vertical="top" wrapText="1"/>
    </xf>
    <xf numFmtId="164" fontId="8" fillId="24" borderId="1" xfId="0" applyNumberFormat="1" applyFont="1" applyFill="1" applyBorder="1" applyAlignment="1">
      <alignment vertical="top"/>
    </xf>
    <xf numFmtId="0" fontId="8" fillId="26" borderId="1" xfId="0" applyFont="1" applyFill="1" applyBorder="1" applyAlignment="1">
      <alignment vertical="top"/>
    </xf>
    <xf numFmtId="0" fontId="8" fillId="26" borderId="1" xfId="0" applyFont="1" applyFill="1" applyBorder="1" applyAlignment="1">
      <alignment horizontal="center" vertical="top"/>
    </xf>
    <xf numFmtId="0" fontId="7" fillId="26" borderId="1" xfId="0" applyFont="1" applyFill="1" applyBorder="1" applyAlignment="1">
      <alignment vertical="top" wrapText="1"/>
    </xf>
    <xf numFmtId="164" fontId="8" fillId="26" borderId="1" xfId="0" applyNumberFormat="1" applyFont="1" applyFill="1" applyBorder="1" applyAlignment="1">
      <alignment vertical="top"/>
    </xf>
    <xf numFmtId="164" fontId="8" fillId="26" borderId="1" xfId="2" applyNumberFormat="1" applyFont="1" applyFill="1" applyBorder="1" applyAlignment="1">
      <alignment vertical="top"/>
    </xf>
    <xf numFmtId="0" fontId="8" fillId="26" borderId="1" xfId="0" applyFont="1" applyFill="1" applyBorder="1" applyAlignment="1">
      <alignment horizontal="center" vertical="top" wrapText="1"/>
    </xf>
    <xf numFmtId="0" fontId="8" fillId="26" borderId="0" xfId="0" applyFont="1" applyFill="1" applyAlignment="1">
      <alignment vertical="top"/>
    </xf>
    <xf numFmtId="0" fontId="8" fillId="0" borderId="1" xfId="0" applyFont="1" applyFill="1" applyBorder="1" applyAlignment="1">
      <alignment horizontal="center" vertical="top" wrapText="1"/>
    </xf>
    <xf numFmtId="0" fontId="8" fillId="0" borderId="1" xfId="0" applyFont="1" applyFill="1" applyBorder="1" applyAlignment="1">
      <alignment horizontal="center" vertical="top"/>
    </xf>
    <xf numFmtId="0" fontId="8" fillId="0" borderId="1" xfId="0" quotePrefix="1" applyFont="1" applyFill="1" applyBorder="1" applyAlignment="1">
      <alignment horizontal="center" vertical="top"/>
    </xf>
    <xf numFmtId="0" fontId="8" fillId="0" borderId="1" xfId="0" applyFont="1" applyFill="1" applyBorder="1" applyAlignment="1">
      <alignment horizontal="left" vertical="top" wrapText="1"/>
    </xf>
    <xf numFmtId="41" fontId="8" fillId="0" borderId="1" xfId="1" applyFont="1" applyFill="1" applyBorder="1" applyAlignment="1">
      <alignment horizontal="right" vertical="top"/>
    </xf>
    <xf numFmtId="0" fontId="8" fillId="0" borderId="1" xfId="0" applyFont="1" applyFill="1" applyBorder="1" applyAlignment="1">
      <alignment horizontal="right" vertical="top"/>
    </xf>
    <xf numFmtId="41" fontId="8" fillId="0" borderId="1" xfId="1" applyFont="1" applyFill="1" applyBorder="1" applyAlignment="1">
      <alignment horizontal="center" vertical="top"/>
    </xf>
    <xf numFmtId="0" fontId="49" fillId="8" borderId="1" xfId="0" applyFont="1" applyFill="1" applyBorder="1" applyAlignment="1">
      <alignment horizontal="center" vertical="center"/>
    </xf>
    <xf numFmtId="0" fontId="49" fillId="8" borderId="1" xfId="0" applyFont="1" applyFill="1" applyBorder="1" applyAlignment="1">
      <alignment vertical="center"/>
    </xf>
    <xf numFmtId="0" fontId="49" fillId="8" borderId="1" xfId="0" applyFont="1" applyFill="1" applyBorder="1" applyAlignment="1">
      <alignment vertical="center" wrapText="1"/>
    </xf>
    <xf numFmtId="164" fontId="49" fillId="8" borderId="1" xfId="0" applyNumberFormat="1" applyFont="1" applyFill="1" applyBorder="1" applyAlignment="1">
      <alignment vertical="center"/>
    </xf>
    <xf numFmtId="164" fontId="49" fillId="8" borderId="1" xfId="2" applyNumberFormat="1" applyFont="1" applyFill="1" applyBorder="1" applyAlignment="1">
      <alignment vertical="center"/>
    </xf>
    <xf numFmtId="0" fontId="49" fillId="8" borderId="1" xfId="0" applyFont="1" applyFill="1" applyBorder="1" applyAlignment="1">
      <alignment horizontal="center" vertical="center" wrapText="1"/>
    </xf>
    <xf numFmtId="0" fontId="49" fillId="0" borderId="0" xfId="0" applyFont="1" applyFill="1" applyAlignment="1">
      <alignment vertical="center"/>
    </xf>
    <xf numFmtId="0" fontId="49" fillId="0" borderId="0" xfId="0" applyFont="1" applyAlignment="1">
      <alignment vertical="center"/>
    </xf>
    <xf numFmtId="0" fontId="7" fillId="21" borderId="1" xfId="0" applyFont="1" applyFill="1" applyBorder="1" applyAlignment="1">
      <alignment horizontal="center" vertical="top" wrapText="1"/>
    </xf>
    <xf numFmtId="0" fontId="7" fillId="21" borderId="1" xfId="0" applyFont="1" applyFill="1" applyBorder="1" applyAlignment="1">
      <alignment horizontal="left" vertical="top" wrapText="1"/>
    </xf>
    <xf numFmtId="0" fontId="17" fillId="9" borderId="1" xfId="0" applyFont="1" applyFill="1" applyBorder="1" applyAlignment="1">
      <alignment horizontal="right" vertical="top"/>
    </xf>
    <xf numFmtId="0" fontId="8" fillId="0" borderId="1" xfId="0" quotePrefix="1" applyFont="1" applyFill="1" applyBorder="1" applyAlignment="1">
      <alignment horizontal="center" vertical="top"/>
    </xf>
    <xf numFmtId="0" fontId="8" fillId="0" borderId="1" xfId="0" applyFont="1" applyFill="1" applyBorder="1" applyAlignment="1">
      <alignment horizontal="center" vertical="top"/>
    </xf>
    <xf numFmtId="0" fontId="8" fillId="0" borderId="1" xfId="0" applyFont="1" applyFill="1" applyBorder="1" applyAlignment="1">
      <alignment horizontal="center" vertical="top" wrapText="1"/>
    </xf>
    <xf numFmtId="0" fontId="8" fillId="0" borderId="1" xfId="0" applyFont="1" applyFill="1" applyBorder="1" applyAlignment="1">
      <alignment horizontal="right" vertical="top"/>
    </xf>
    <xf numFmtId="41" fontId="8" fillId="0" borderId="1" xfId="1" applyFont="1" applyFill="1" applyBorder="1" applyAlignment="1">
      <alignment horizontal="right" vertical="top"/>
    </xf>
    <xf numFmtId="0" fontId="17" fillId="21" borderId="1" xfId="0" applyFont="1" applyFill="1" applyBorder="1" applyAlignment="1">
      <alignment horizontal="left" vertical="top" wrapText="1"/>
    </xf>
    <xf numFmtId="164" fontId="7" fillId="21" borderId="1" xfId="2" applyNumberFormat="1" applyFont="1" applyFill="1" applyBorder="1" applyAlignment="1">
      <alignment horizontal="center" vertical="top" wrapText="1"/>
    </xf>
    <xf numFmtId="0" fontId="17" fillId="21" borderId="1" xfId="0" applyFont="1" applyFill="1" applyBorder="1" applyAlignment="1">
      <alignment horizontal="center" vertical="top" wrapText="1"/>
    </xf>
    <xf numFmtId="0" fontId="8" fillId="0" borderId="4" xfId="0" quotePrefix="1" applyFont="1" applyFill="1" applyBorder="1" applyAlignment="1">
      <alignment horizontal="center" vertical="top"/>
    </xf>
    <xf numFmtId="0" fontId="8" fillId="0" borderId="4" xfId="0" applyFont="1" applyFill="1" applyBorder="1" applyAlignment="1">
      <alignment horizontal="center" vertical="top"/>
    </xf>
    <xf numFmtId="0" fontId="8" fillId="0" borderId="1" xfId="0" applyFont="1" applyFill="1" applyBorder="1" applyAlignment="1">
      <alignment horizontal="left" vertical="top" wrapText="1"/>
    </xf>
    <xf numFmtId="0" fontId="7" fillId="21" borderId="1" xfId="0" applyFont="1" applyFill="1" applyBorder="1" applyAlignment="1">
      <alignment horizontal="right" vertical="top" wrapText="1"/>
    </xf>
    <xf numFmtId="0" fontId="8" fillId="0" borderId="1" xfId="0" applyFont="1" applyBorder="1" applyAlignment="1">
      <alignment horizontal="center" vertical="top" wrapText="1"/>
    </xf>
    <xf numFmtId="41" fontId="7" fillId="21" borderId="1" xfId="1" applyFont="1" applyFill="1" applyBorder="1" applyAlignment="1">
      <alignment horizontal="center" vertical="top" wrapText="1"/>
    </xf>
    <xf numFmtId="41" fontId="8" fillId="0" borderId="4" xfId="1" applyFont="1" applyFill="1" applyBorder="1" applyAlignment="1">
      <alignment horizontal="center" vertical="top"/>
    </xf>
    <xf numFmtId="41" fontId="8" fillId="0" borderId="1" xfId="1" applyFont="1" applyFill="1" applyBorder="1" applyAlignment="1">
      <alignment horizontal="center" vertical="top"/>
    </xf>
    <xf numFmtId="41" fontId="8" fillId="0" borderId="4" xfId="1" quotePrefix="1" applyFont="1" applyFill="1" applyBorder="1" applyAlignment="1">
      <alignment horizontal="center" vertical="top"/>
    </xf>
    <xf numFmtId="0" fontId="21" fillId="0" borderId="1" xfId="0" applyFont="1" applyFill="1" applyBorder="1" applyAlignment="1">
      <alignment vertical="top" wrapText="1"/>
    </xf>
    <xf numFmtId="0" fontId="52" fillId="0" borderId="4" xfId="0" applyFont="1" applyFill="1" applyBorder="1" applyAlignment="1">
      <alignment vertical="top"/>
    </xf>
    <xf numFmtId="0" fontId="52" fillId="0" borderId="1" xfId="0" applyFont="1" applyFill="1" applyBorder="1" applyAlignment="1">
      <alignment vertical="center" wrapText="1"/>
    </xf>
    <xf numFmtId="0" fontId="52" fillId="0" borderId="1" xfId="0" quotePrefix="1" applyFont="1" applyFill="1" applyBorder="1" applyAlignment="1">
      <alignment horizontal="center" vertical="top"/>
    </xf>
    <xf numFmtId="0" fontId="52" fillId="0" borderId="4" xfId="0" quotePrefix="1" applyFont="1" applyFill="1" applyBorder="1" applyAlignment="1">
      <alignment horizontal="center" vertical="top"/>
    </xf>
    <xf numFmtId="0" fontId="52" fillId="0" borderId="4" xfId="0" applyFont="1" applyFill="1" applyBorder="1" applyAlignment="1">
      <alignment vertical="top" wrapText="1"/>
    </xf>
    <xf numFmtId="0" fontId="52" fillId="0" borderId="4" xfId="0" applyFont="1" applyFill="1" applyBorder="1" applyAlignment="1">
      <alignment horizontal="center" vertical="top"/>
    </xf>
    <xf numFmtId="41" fontId="52" fillId="0" borderId="4" xfId="1" applyFont="1" applyFill="1" applyBorder="1" applyAlignment="1">
      <alignment vertical="top"/>
    </xf>
    <xf numFmtId="41" fontId="52" fillId="0" borderId="4" xfId="1" quotePrefix="1" applyFont="1" applyFill="1" applyBorder="1" applyAlignment="1">
      <alignment vertical="top"/>
    </xf>
    <xf numFmtId="41" fontId="52" fillId="0" borderId="4" xfId="0" applyNumberFormat="1" applyFont="1" applyFill="1" applyBorder="1" applyAlignment="1">
      <alignment vertical="top"/>
    </xf>
    <xf numFmtId="0" fontId="52" fillId="0" borderId="1" xfId="0" applyFont="1" applyFill="1" applyBorder="1" applyAlignment="1">
      <alignment horizontal="center" vertical="top"/>
    </xf>
    <xf numFmtId="2" fontId="52" fillId="0" borderId="1" xfId="0" applyNumberFormat="1" applyFont="1" applyFill="1" applyBorder="1" applyAlignment="1">
      <alignment vertical="top"/>
    </xf>
    <xf numFmtId="0" fontId="52" fillId="0" borderId="0" xfId="0" applyFont="1" applyFill="1" applyAlignment="1">
      <alignment vertical="top"/>
    </xf>
    <xf numFmtId="0" fontId="52" fillId="0" borderId="1" xfId="0" applyFont="1" applyFill="1" applyBorder="1" applyAlignment="1">
      <alignment vertical="top"/>
    </xf>
    <xf numFmtId="0" fontId="52" fillId="0" borderId="1" xfId="0" applyFont="1" applyFill="1" applyBorder="1" applyAlignment="1">
      <alignment vertical="top" wrapText="1"/>
    </xf>
    <xf numFmtId="41" fontId="52" fillId="0" borderId="1" xfId="1" applyFont="1" applyFill="1" applyBorder="1" applyAlignment="1">
      <alignment vertical="top"/>
    </xf>
    <xf numFmtId="41" fontId="52" fillId="0" borderId="1" xfId="1" quotePrefix="1" applyFont="1" applyFill="1" applyBorder="1" applyAlignment="1">
      <alignment vertical="top"/>
    </xf>
    <xf numFmtId="41" fontId="52" fillId="0" borderId="1" xfId="0" applyNumberFormat="1" applyFont="1" applyFill="1" applyBorder="1" applyAlignment="1">
      <alignment vertical="top"/>
    </xf>
    <xf numFmtId="0" fontId="52" fillId="0" borderId="4" xfId="0" applyFont="1" applyFill="1" applyBorder="1" applyAlignment="1">
      <alignment vertical="center" wrapText="1"/>
    </xf>
    <xf numFmtId="2" fontId="52" fillId="0" borderId="4" xfId="0" applyNumberFormat="1" applyFont="1" applyFill="1" applyBorder="1" applyAlignment="1">
      <alignment vertical="top"/>
    </xf>
    <xf numFmtId="0" fontId="52" fillId="0" borderId="1" xfId="0" quotePrefix="1" applyFont="1" applyFill="1" applyBorder="1" applyAlignment="1">
      <alignment vertical="top" wrapText="1"/>
    </xf>
    <xf numFmtId="41" fontId="4" fillId="0" borderId="0" xfId="0" applyNumberFormat="1" applyFont="1" applyFill="1" applyAlignment="1">
      <alignment vertical="top"/>
    </xf>
    <xf numFmtId="41" fontId="4" fillId="9" borderId="0" xfId="0" applyNumberFormat="1" applyFont="1" applyFill="1" applyAlignment="1">
      <alignment vertical="top"/>
    </xf>
    <xf numFmtId="41" fontId="0" fillId="0" borderId="1" xfId="0" applyNumberFormat="1" applyBorder="1" applyAlignment="1">
      <alignment horizontal="center" vertical="top" wrapText="1"/>
    </xf>
    <xf numFmtId="1" fontId="49" fillId="21" borderId="1" xfId="0" applyNumberFormat="1" applyFont="1" applyFill="1" applyBorder="1" applyAlignment="1">
      <alignment vertical="top"/>
    </xf>
    <xf numFmtId="1" fontId="8" fillId="0" borderId="1" xfId="0" applyNumberFormat="1" applyFont="1" applyBorder="1" applyAlignment="1">
      <alignment horizontal="center" vertical="top" wrapText="1"/>
    </xf>
    <xf numFmtId="0" fontId="52" fillId="0" borderId="1" xfId="0" applyFont="1" applyBorder="1" applyAlignment="1">
      <alignment vertical="top"/>
    </xf>
    <xf numFmtId="0" fontId="52" fillId="0" borderId="1" xfId="0" applyFont="1" applyBorder="1" applyAlignment="1">
      <alignment vertical="top" wrapText="1"/>
    </xf>
    <xf numFmtId="0" fontId="52" fillId="0" borderId="1" xfId="0" applyFont="1" applyBorder="1" applyAlignment="1">
      <alignment horizontal="center" vertical="top" wrapText="1"/>
    </xf>
    <xf numFmtId="41" fontId="52" fillId="0" borderId="1" xfId="1" applyFont="1" applyBorder="1" applyAlignment="1">
      <alignment vertical="top" wrapText="1"/>
    </xf>
    <xf numFmtId="41" fontId="52" fillId="0" borderId="1" xfId="0" applyNumberFormat="1" applyFont="1" applyBorder="1" applyAlignment="1">
      <alignment vertical="top" wrapText="1"/>
    </xf>
    <xf numFmtId="2" fontId="52" fillId="0" borderId="1" xfId="0" applyNumberFormat="1" applyFont="1" applyBorder="1" applyAlignment="1">
      <alignment vertical="top" wrapText="1"/>
    </xf>
    <xf numFmtId="0" fontId="49" fillId="0" borderId="0" xfId="0" applyFont="1" applyAlignment="1">
      <alignment vertical="top" wrapText="1"/>
    </xf>
    <xf numFmtId="2" fontId="49" fillId="0" borderId="1" xfId="0" applyNumberFormat="1" applyFont="1" applyBorder="1" applyAlignment="1">
      <alignment horizontal="center" vertical="top"/>
    </xf>
    <xf numFmtId="0" fontId="52" fillId="0" borderId="0" xfId="0" applyFont="1"/>
    <xf numFmtId="0" fontId="49" fillId="0" borderId="1" xfId="0" applyFont="1" applyBorder="1" applyAlignment="1">
      <alignment horizontal="center" vertical="top"/>
    </xf>
    <xf numFmtId="37" fontId="8" fillId="0" borderId="4" xfId="1" quotePrefix="1" applyNumberFormat="1" applyFont="1" applyFill="1" applyBorder="1" applyAlignment="1">
      <alignment horizontal="center" vertical="top"/>
    </xf>
    <xf numFmtId="1" fontId="21" fillId="9" borderId="1" xfId="0" quotePrefix="1" applyNumberFormat="1" applyFont="1" applyFill="1" applyBorder="1" applyAlignment="1">
      <alignment horizontal="right" vertical="top"/>
    </xf>
    <xf numFmtId="0" fontId="17" fillId="21" borderId="2" xfId="0" applyFont="1" applyFill="1" applyBorder="1" applyAlignment="1">
      <alignment horizontal="center" vertical="top"/>
    </xf>
    <xf numFmtId="49" fontId="21" fillId="21" borderId="2" xfId="0" quotePrefix="1" applyNumberFormat="1" applyFont="1" applyFill="1" applyBorder="1" applyAlignment="1">
      <alignment horizontal="center" vertical="top"/>
    </xf>
    <xf numFmtId="0" fontId="21" fillId="21" borderId="2" xfId="0" applyFont="1" applyFill="1" applyBorder="1" applyAlignment="1">
      <alignment horizontal="center" vertical="top"/>
    </xf>
    <xf numFmtId="0" fontId="17" fillId="21" borderId="3" xfId="0" applyFont="1" applyFill="1" applyBorder="1" applyAlignment="1">
      <alignment horizontal="center" vertical="top"/>
    </xf>
    <xf numFmtId="49" fontId="21" fillId="21" borderId="3" xfId="0" quotePrefix="1" applyNumberFormat="1" applyFont="1" applyFill="1" applyBorder="1" applyAlignment="1">
      <alignment horizontal="center" vertical="top"/>
    </xf>
    <xf numFmtId="0" fontId="21" fillId="21" borderId="3" xfId="0" applyFont="1" applyFill="1" applyBorder="1" applyAlignment="1">
      <alignment horizontal="center" vertical="top"/>
    </xf>
    <xf numFmtId="0" fontId="17" fillId="21" borderId="4" xfId="0" applyFont="1" applyFill="1" applyBorder="1" applyAlignment="1">
      <alignment horizontal="center" vertical="top"/>
    </xf>
    <xf numFmtId="49" fontId="21" fillId="21" borderId="4" xfId="0" quotePrefix="1" applyNumberFormat="1" applyFont="1" applyFill="1" applyBorder="1" applyAlignment="1">
      <alignment horizontal="center" vertical="top"/>
    </xf>
    <xf numFmtId="0" fontId="21" fillId="21" borderId="4" xfId="0" applyFont="1" applyFill="1" applyBorder="1" applyAlignment="1">
      <alignment horizontal="center" vertical="top"/>
    </xf>
    <xf numFmtId="0" fontId="17" fillId="21" borderId="4" xfId="0" applyFont="1" applyFill="1" applyBorder="1" applyAlignment="1">
      <alignment vertical="top" wrapText="1"/>
    </xf>
    <xf numFmtId="0" fontId="21" fillId="21" borderId="2" xfId="0" applyFont="1" applyFill="1" applyBorder="1" applyAlignment="1">
      <alignment vertical="top" wrapText="1"/>
    </xf>
    <xf numFmtId="0" fontId="21" fillId="21" borderId="2" xfId="0" quotePrefix="1" applyFont="1" applyFill="1" applyBorder="1" applyAlignment="1">
      <alignment horizontal="center" vertical="top"/>
    </xf>
    <xf numFmtId="0" fontId="21" fillId="21" borderId="3" xfId="0" applyFont="1" applyFill="1" applyBorder="1" applyAlignment="1">
      <alignment vertical="top" wrapText="1"/>
    </xf>
    <xf numFmtId="0" fontId="21" fillId="21" borderId="3" xfId="0" quotePrefix="1" applyFont="1" applyFill="1" applyBorder="1" applyAlignment="1">
      <alignment horizontal="center" vertical="top"/>
    </xf>
    <xf numFmtId="0" fontId="21" fillId="21" borderId="4" xfId="0" applyFont="1" applyFill="1" applyBorder="1" applyAlignment="1">
      <alignment vertical="top" wrapText="1"/>
    </xf>
    <xf numFmtId="0" fontId="21" fillId="21" borderId="4" xfId="0" quotePrefix="1" applyFont="1" applyFill="1" applyBorder="1" applyAlignment="1">
      <alignment horizontal="center" vertical="top"/>
    </xf>
    <xf numFmtId="0" fontId="17" fillId="21" borderId="4" xfId="0" applyFont="1" applyFill="1" applyBorder="1" applyAlignment="1">
      <alignment horizontal="left" vertical="top" wrapText="1"/>
    </xf>
    <xf numFmtId="0" fontId="17" fillId="21" borderId="2" xfId="0" applyFont="1" applyFill="1" applyBorder="1" applyAlignment="1">
      <alignment horizontal="right" vertical="top"/>
    </xf>
    <xf numFmtId="0" fontId="17" fillId="21" borderId="2" xfId="0" applyFont="1" applyFill="1" applyBorder="1" applyAlignment="1">
      <alignment vertical="top" wrapText="1"/>
    </xf>
    <xf numFmtId="49" fontId="21" fillId="21" borderId="2" xfId="0" applyNumberFormat="1" applyFont="1" applyFill="1" applyBorder="1" applyAlignment="1">
      <alignment horizontal="center" vertical="top"/>
    </xf>
    <xf numFmtId="0" fontId="17" fillId="21" borderId="2" xfId="0" applyNumberFormat="1" applyFont="1" applyFill="1" applyBorder="1" applyAlignment="1">
      <alignment vertical="top" wrapText="1"/>
    </xf>
    <xf numFmtId="49" fontId="21" fillId="21" borderId="4" xfId="0" applyNumberFormat="1" applyFont="1" applyFill="1" applyBorder="1" applyAlignment="1">
      <alignment horizontal="center" vertical="top"/>
    </xf>
    <xf numFmtId="0" fontId="17" fillId="21" borderId="4" xfId="0" applyNumberFormat="1" applyFont="1" applyFill="1" applyBorder="1" applyAlignment="1">
      <alignment vertical="top" wrapText="1"/>
    </xf>
    <xf numFmtId="167" fontId="21" fillId="0" borderId="0" xfId="0" applyNumberFormat="1" applyFont="1" applyFill="1" applyBorder="1" applyAlignment="1">
      <alignment vertical="top"/>
    </xf>
    <xf numFmtId="0" fontId="17" fillId="0" borderId="0" xfId="0" applyFont="1" applyFill="1" applyBorder="1" applyAlignment="1">
      <alignment vertical="top"/>
    </xf>
    <xf numFmtId="0" fontId="17" fillId="0" borderId="0" xfId="0" applyFont="1" applyFill="1" applyBorder="1" applyAlignment="1">
      <alignment horizontal="center" vertical="top"/>
    </xf>
    <xf numFmtId="1" fontId="8" fillId="0" borderId="1" xfId="0" quotePrefix="1" applyNumberFormat="1" applyFont="1" applyFill="1" applyBorder="1" applyAlignment="1">
      <alignment horizontal="right" vertical="top" wrapText="1"/>
    </xf>
    <xf numFmtId="166" fontId="8" fillId="0" borderId="1" xfId="1" quotePrefix="1" applyNumberFormat="1" applyFont="1" applyFill="1" applyBorder="1" applyAlignment="1">
      <alignment horizontal="right" vertical="top" wrapText="1"/>
    </xf>
    <xf numFmtId="0" fontId="7" fillId="21" borderId="2" xfId="0" applyFont="1" applyFill="1" applyBorder="1" applyAlignment="1">
      <alignment horizontal="right" vertical="top"/>
    </xf>
    <xf numFmtId="0" fontId="7" fillId="21" borderId="2" xfId="0" applyFont="1" applyFill="1" applyBorder="1" applyAlignment="1">
      <alignment vertical="top" wrapText="1"/>
    </xf>
    <xf numFmtId="0" fontId="7" fillId="21" borderId="2" xfId="0" quotePrefix="1" applyFont="1" applyFill="1" applyBorder="1" applyAlignment="1">
      <alignment horizontal="center" vertical="top"/>
    </xf>
    <xf numFmtId="0" fontId="7" fillId="21" borderId="2" xfId="0" quotePrefix="1" applyFont="1" applyFill="1" applyBorder="1" applyAlignment="1">
      <alignment horizontal="center" vertical="top" wrapText="1"/>
    </xf>
    <xf numFmtId="0" fontId="7" fillId="21" borderId="2" xfId="0" applyFont="1" applyFill="1" applyBorder="1" applyAlignment="1">
      <alignment horizontal="left" vertical="top" wrapText="1"/>
    </xf>
    <xf numFmtId="0" fontId="7" fillId="21" borderId="4" xfId="0" quotePrefix="1" applyFont="1" applyFill="1" applyBorder="1" applyAlignment="1">
      <alignment horizontal="center" vertical="top"/>
    </xf>
    <xf numFmtId="0" fontId="8" fillId="0" borderId="4" xfId="0" quotePrefix="1" applyFont="1" applyFill="1" applyBorder="1" applyAlignment="1">
      <alignment horizontal="center" vertical="top" wrapText="1"/>
    </xf>
    <xf numFmtId="0" fontId="7" fillId="21" borderId="3" xfId="0" quotePrefix="1" applyFont="1" applyFill="1" applyBorder="1" applyAlignment="1">
      <alignment horizontal="center" vertical="top"/>
    </xf>
    <xf numFmtId="41" fontId="39" fillId="0" borderId="1" xfId="6" applyFont="1" applyFill="1" applyBorder="1" applyAlignment="1">
      <alignment horizontal="right" vertical="top" wrapText="1"/>
    </xf>
    <xf numFmtId="0" fontId="39" fillId="21" borderId="1" xfId="0" applyFont="1" applyFill="1" applyBorder="1" applyAlignment="1">
      <alignment vertical="top" wrapText="1"/>
    </xf>
    <xf numFmtId="0" fontId="39" fillId="21" borderId="1" xfId="0" quotePrefix="1" applyFont="1" applyFill="1" applyBorder="1" applyAlignment="1">
      <alignment horizontal="center" vertical="top" wrapText="1"/>
    </xf>
    <xf numFmtId="0" fontId="39" fillId="21" borderId="1" xfId="0" applyFont="1" applyFill="1" applyBorder="1" applyAlignment="1">
      <alignment horizontal="center" vertical="top" wrapText="1"/>
    </xf>
    <xf numFmtId="0" fontId="39" fillId="21" borderId="1" xfId="0" applyFont="1" applyFill="1" applyBorder="1" applyAlignment="1">
      <alignment horizontal="left" vertical="top" wrapText="1"/>
    </xf>
    <xf numFmtId="0" fontId="39" fillId="21" borderId="1" xfId="0" applyFont="1" applyFill="1" applyBorder="1" applyAlignment="1">
      <alignment horizontal="right" vertical="top" wrapText="1"/>
    </xf>
    <xf numFmtId="41" fontId="39" fillId="21" borderId="1" xfId="6" applyFont="1" applyFill="1" applyBorder="1" applyAlignment="1">
      <alignment horizontal="right" vertical="top" wrapText="1"/>
    </xf>
    <xf numFmtId="41" fontId="39" fillId="21" borderId="1" xfId="6" applyNumberFormat="1" applyFont="1" applyFill="1" applyBorder="1" applyAlignment="1">
      <alignment vertical="top" wrapText="1"/>
    </xf>
    <xf numFmtId="41" fontId="39" fillId="21" borderId="1" xfId="1" applyFont="1" applyFill="1" applyBorder="1" applyAlignment="1">
      <alignment vertical="top" wrapText="1"/>
    </xf>
    <xf numFmtId="41" fontId="39" fillId="21" borderId="1" xfId="6" applyFont="1" applyFill="1" applyBorder="1" applyAlignment="1">
      <alignment vertical="top" wrapText="1"/>
    </xf>
    <xf numFmtId="1" fontId="39" fillId="21" borderId="1" xfId="0" applyNumberFormat="1" applyFont="1" applyFill="1" applyBorder="1" applyAlignment="1">
      <alignment vertical="top" wrapText="1"/>
    </xf>
    <xf numFmtId="41" fontId="39" fillId="21" borderId="1" xfId="6" quotePrefix="1" applyFont="1" applyFill="1" applyBorder="1" applyAlignment="1">
      <alignment horizontal="center" vertical="top" wrapText="1"/>
    </xf>
    <xf numFmtId="9" fontId="39" fillId="21" borderId="1" xfId="0" applyNumberFormat="1" applyFont="1" applyFill="1" applyBorder="1" applyAlignment="1">
      <alignment horizontal="center" vertical="top" wrapText="1"/>
    </xf>
    <xf numFmtId="164" fontId="39" fillId="21" borderId="1" xfId="2" applyNumberFormat="1" applyFont="1" applyFill="1" applyBorder="1" applyAlignment="1">
      <alignment vertical="top" wrapText="1"/>
    </xf>
    <xf numFmtId="2" fontId="24" fillId="21" borderId="1" xfId="0" applyNumberFormat="1" applyFont="1" applyFill="1" applyBorder="1" applyAlignment="1">
      <alignment horizontal="right" vertical="top" wrapText="1"/>
    </xf>
    <xf numFmtId="2" fontId="39" fillId="21" borderId="1" xfId="6" applyNumberFormat="1" applyFont="1" applyFill="1" applyBorder="1" applyAlignment="1">
      <alignment horizontal="right" vertical="top" wrapText="1"/>
    </xf>
    <xf numFmtId="0" fontId="39" fillId="21" borderId="1" xfId="3" applyNumberFormat="1" applyFont="1" applyFill="1" applyBorder="1" applyAlignment="1">
      <alignment horizontal="right" vertical="top" wrapText="1"/>
    </xf>
    <xf numFmtId="2" fontId="39" fillId="21" borderId="1" xfId="0" applyNumberFormat="1" applyFont="1" applyFill="1" applyBorder="1" applyAlignment="1">
      <alignment vertical="top" wrapText="1"/>
    </xf>
    <xf numFmtId="41" fontId="39" fillId="21" borderId="1" xfId="6" applyFont="1" applyFill="1" applyBorder="1" applyAlignment="1">
      <alignment horizontal="center" vertical="top" wrapText="1"/>
    </xf>
    <xf numFmtId="2" fontId="39" fillId="21" borderId="1" xfId="0" applyNumberFormat="1" applyFont="1" applyFill="1" applyBorder="1" applyAlignment="1">
      <alignment horizontal="right" vertical="top" wrapText="1"/>
    </xf>
    <xf numFmtId="9" fontId="39" fillId="21" borderId="1" xfId="3" applyFont="1" applyFill="1" applyBorder="1" applyAlignment="1">
      <alignment horizontal="right" vertical="top"/>
    </xf>
    <xf numFmtId="41" fontId="17" fillId="21" borderId="1" xfId="6" applyFont="1" applyFill="1" applyBorder="1" applyAlignment="1">
      <alignment horizontal="right" vertical="top" wrapText="1"/>
    </xf>
    <xf numFmtId="9" fontId="17" fillId="21" borderId="1" xfId="0" applyNumberFormat="1" applyFont="1" applyFill="1" applyBorder="1" applyAlignment="1">
      <alignment horizontal="right" vertical="top"/>
    </xf>
    <xf numFmtId="10" fontId="39" fillId="21" borderId="1" xfId="3" applyNumberFormat="1" applyFont="1" applyFill="1" applyBorder="1" applyAlignment="1">
      <alignment horizontal="right" vertical="top" wrapText="1"/>
    </xf>
    <xf numFmtId="41" fontId="17" fillId="21" borderId="1" xfId="6" applyFont="1" applyFill="1" applyBorder="1" applyAlignment="1">
      <alignment vertical="top" wrapText="1"/>
    </xf>
    <xf numFmtId="10" fontId="39" fillId="21" borderId="1" xfId="0" applyNumberFormat="1" applyFont="1" applyFill="1" applyBorder="1" applyAlignment="1">
      <alignment vertical="top" wrapText="1"/>
    </xf>
    <xf numFmtId="9" fontId="39" fillId="21" borderId="1" xfId="0" applyNumberFormat="1" applyFont="1" applyFill="1" applyBorder="1" applyAlignment="1">
      <alignment horizontal="right" vertical="top"/>
    </xf>
    <xf numFmtId="10" fontId="24" fillId="21" borderId="1" xfId="3" applyNumberFormat="1" applyFont="1" applyFill="1" applyBorder="1" applyAlignment="1">
      <alignment vertical="top" wrapText="1"/>
    </xf>
    <xf numFmtId="9" fontId="39" fillId="21" borderId="1" xfId="3" applyFont="1" applyFill="1" applyBorder="1" applyAlignment="1">
      <alignment vertical="top" wrapText="1"/>
    </xf>
    <xf numFmtId="9" fontId="39" fillId="21" borderId="1" xfId="3" applyFont="1" applyFill="1" applyBorder="1" applyAlignment="1">
      <alignment horizontal="right" vertical="top" wrapText="1"/>
    </xf>
    <xf numFmtId="0" fontId="24" fillId="21" borderId="1" xfId="0" applyFont="1" applyFill="1" applyBorder="1" applyAlignment="1">
      <alignment horizontal="left" vertical="top" wrapText="1"/>
    </xf>
    <xf numFmtId="0" fontId="24" fillId="21" borderId="1" xfId="0" quotePrefix="1" applyFont="1" applyFill="1" applyBorder="1" applyAlignment="1">
      <alignment horizontal="center" vertical="top" wrapText="1"/>
    </xf>
    <xf numFmtId="0" fontId="24" fillId="21" borderId="1" xfId="0" applyFont="1" applyFill="1" applyBorder="1" applyAlignment="1">
      <alignment horizontal="center" vertical="top" wrapText="1"/>
    </xf>
    <xf numFmtId="164" fontId="39" fillId="21" borderId="1" xfId="6" applyNumberFormat="1" applyFont="1" applyFill="1" applyBorder="1" applyAlignment="1">
      <alignment horizontal="right" vertical="top"/>
    </xf>
    <xf numFmtId="41" fontId="17" fillId="21" borderId="1" xfId="6" applyNumberFormat="1" applyFont="1" applyFill="1" applyBorder="1" applyAlignment="1">
      <alignment horizontal="right" vertical="top"/>
    </xf>
    <xf numFmtId="2" fontId="39" fillId="21" borderId="1" xfId="3" applyNumberFormat="1" applyFont="1" applyFill="1" applyBorder="1" applyAlignment="1">
      <alignment horizontal="right" vertical="top" wrapText="1"/>
    </xf>
    <xf numFmtId="0" fontId="24" fillId="21" borderId="1" xfId="0" applyFont="1" applyFill="1" applyBorder="1" applyAlignment="1">
      <alignment vertical="top" wrapText="1"/>
    </xf>
    <xf numFmtId="41" fontId="39" fillId="21" borderId="1" xfId="0" applyNumberFormat="1" applyFont="1" applyFill="1" applyBorder="1" applyAlignment="1">
      <alignment vertical="top"/>
    </xf>
    <xf numFmtId="2" fontId="24" fillId="21" borderId="1" xfId="6" applyNumberFormat="1" applyFont="1" applyFill="1" applyBorder="1" applyAlignment="1">
      <alignment vertical="top" wrapText="1"/>
    </xf>
    <xf numFmtId="41" fontId="24" fillId="21" borderId="1" xfId="6" applyFont="1" applyFill="1" applyBorder="1" applyAlignment="1">
      <alignment horizontal="center" vertical="top" wrapText="1"/>
    </xf>
    <xf numFmtId="2" fontId="24" fillId="21" borderId="1" xfId="3" applyNumberFormat="1" applyFont="1" applyFill="1" applyBorder="1" applyAlignment="1">
      <alignment horizontal="right" vertical="top" wrapText="1"/>
    </xf>
    <xf numFmtId="2" fontId="24" fillId="21" borderId="1" xfId="6" applyNumberFormat="1" applyFont="1" applyFill="1" applyBorder="1" applyAlignment="1">
      <alignment horizontal="right" vertical="top" wrapText="1"/>
    </xf>
    <xf numFmtId="1" fontId="39" fillId="21" borderId="1" xfId="3" applyNumberFormat="1" applyFont="1" applyFill="1" applyBorder="1" applyAlignment="1">
      <alignment horizontal="right" vertical="top" wrapText="1"/>
    </xf>
    <xf numFmtId="1" fontId="39" fillId="21" borderId="1" xfId="3" applyNumberFormat="1" applyFont="1" applyFill="1" applyBorder="1" applyAlignment="1">
      <alignment vertical="top" wrapText="1"/>
    </xf>
    <xf numFmtId="0" fontId="24" fillId="21" borderId="0" xfId="0" applyFont="1" applyFill="1" applyAlignment="1">
      <alignment vertical="top"/>
    </xf>
    <xf numFmtId="41" fontId="39" fillId="21" borderId="1" xfId="0" applyNumberFormat="1" applyFont="1" applyFill="1" applyBorder="1" applyAlignment="1">
      <alignment vertical="top" wrapText="1"/>
    </xf>
    <xf numFmtId="37" fontId="39" fillId="21" borderId="1" xfId="6" applyNumberFormat="1" applyFont="1" applyFill="1" applyBorder="1" applyAlignment="1">
      <alignment horizontal="right" vertical="top" wrapText="1"/>
    </xf>
    <xf numFmtId="9" fontId="8" fillId="0" borderId="1" xfId="3" applyFont="1" applyFill="1" applyBorder="1" applyAlignment="1">
      <alignment vertical="top"/>
    </xf>
    <xf numFmtId="9" fontId="17" fillId="21" borderId="1" xfId="0" applyNumberFormat="1" applyFont="1" applyFill="1" applyBorder="1" applyAlignment="1">
      <alignment horizontal="right" vertical="top" wrapText="1"/>
    </xf>
    <xf numFmtId="9" fontId="17" fillId="21" borderId="1" xfId="0" quotePrefix="1" applyNumberFormat="1" applyFont="1" applyFill="1" applyBorder="1" applyAlignment="1">
      <alignment horizontal="right" vertical="top" wrapText="1"/>
    </xf>
    <xf numFmtId="166" fontId="40" fillId="21" borderId="1" xfId="1" quotePrefix="1" applyNumberFormat="1" applyFont="1" applyFill="1" applyBorder="1" applyAlignment="1">
      <alignment horizontal="right" vertical="top"/>
    </xf>
    <xf numFmtId="0" fontId="39" fillId="21" borderId="1" xfId="0" applyFont="1" applyFill="1" applyBorder="1" applyAlignment="1">
      <alignment vertical="top"/>
    </xf>
    <xf numFmtId="0" fontId="39" fillId="21" borderId="1" xfId="0" quotePrefix="1" applyFont="1" applyFill="1" applyBorder="1" applyAlignment="1">
      <alignment horizontal="center" vertical="top"/>
    </xf>
    <xf numFmtId="0" fontId="58" fillId="21" borderId="1" xfId="0" applyFont="1" applyFill="1" applyBorder="1" applyAlignment="1">
      <alignment horizontal="left" vertical="top" wrapText="1"/>
    </xf>
    <xf numFmtId="164" fontId="58" fillId="21" borderId="1" xfId="2" applyNumberFormat="1" applyFont="1" applyFill="1" applyBorder="1" applyAlignment="1">
      <alignment horizontal="right" vertical="top"/>
    </xf>
    <xf numFmtId="41" fontId="58" fillId="21" borderId="1" xfId="6" applyNumberFormat="1" applyFont="1" applyFill="1" applyBorder="1" applyAlignment="1">
      <alignment horizontal="right" vertical="top"/>
    </xf>
    <xf numFmtId="0" fontId="58" fillId="21" borderId="1" xfId="0" quotePrefix="1" applyFont="1" applyFill="1" applyBorder="1" applyAlignment="1">
      <alignment horizontal="right" vertical="top"/>
    </xf>
    <xf numFmtId="164" fontId="58" fillId="21" borderId="1" xfId="2" quotePrefix="1" applyNumberFormat="1" applyFont="1" applyFill="1" applyBorder="1" applyAlignment="1">
      <alignment horizontal="right" vertical="top"/>
    </xf>
    <xf numFmtId="0" fontId="58" fillId="21" borderId="1" xfId="0" applyFont="1" applyFill="1" applyBorder="1" applyAlignment="1">
      <alignment horizontal="right" vertical="top"/>
    </xf>
    <xf numFmtId="41" fontId="58" fillId="21" borderId="1" xfId="0" applyNumberFormat="1" applyFont="1" applyFill="1" applyBorder="1" applyAlignment="1">
      <alignment horizontal="right" vertical="top"/>
    </xf>
    <xf numFmtId="41" fontId="58" fillId="21" borderId="1" xfId="6" quotePrefix="1" applyFont="1" applyFill="1" applyBorder="1" applyAlignment="1">
      <alignment horizontal="right" vertical="top"/>
    </xf>
    <xf numFmtId="41" fontId="58" fillId="21" borderId="1" xfId="6" applyFont="1" applyFill="1" applyBorder="1" applyAlignment="1">
      <alignment vertical="top"/>
    </xf>
    <xf numFmtId="0" fontId="58" fillId="21" borderId="1" xfId="0" applyFont="1" applyFill="1" applyBorder="1" applyAlignment="1">
      <alignment vertical="top"/>
    </xf>
    <xf numFmtId="41" fontId="58" fillId="21" borderId="1" xfId="0" applyNumberFormat="1" applyFont="1" applyFill="1" applyBorder="1" applyAlignment="1">
      <alignment vertical="top"/>
    </xf>
    <xf numFmtId="164" fontId="58" fillId="21" borderId="1" xfId="2" applyNumberFormat="1" applyFont="1" applyFill="1" applyBorder="1" applyAlignment="1">
      <alignment vertical="top"/>
    </xf>
    <xf numFmtId="172" fontId="58" fillId="21" borderId="1" xfId="0" applyNumberFormat="1" applyFont="1" applyFill="1" applyBorder="1" applyAlignment="1">
      <alignment horizontal="right" vertical="top"/>
    </xf>
    <xf numFmtId="166" fontId="58" fillId="21" borderId="1" xfId="6" applyNumberFormat="1" applyFont="1" applyFill="1" applyBorder="1" applyAlignment="1">
      <alignment horizontal="right" vertical="top"/>
    </xf>
    <xf numFmtId="0" fontId="58" fillId="21" borderId="1" xfId="0" applyFont="1" applyFill="1" applyBorder="1" applyAlignment="1">
      <alignment horizontal="center" vertical="top" wrapText="1"/>
    </xf>
    <xf numFmtId="0" fontId="39" fillId="21" borderId="1" xfId="0" applyFont="1" applyFill="1" applyBorder="1" applyAlignment="1">
      <alignment horizontal="center" vertical="top"/>
    </xf>
    <xf numFmtId="41" fontId="58" fillId="21" borderId="1" xfId="0" quotePrefix="1" applyNumberFormat="1" applyFont="1" applyFill="1" applyBorder="1" applyAlignment="1">
      <alignment horizontal="right" vertical="top"/>
    </xf>
    <xf numFmtId="41" fontId="58" fillId="21" borderId="1" xfId="2" quotePrefix="1" applyNumberFormat="1" applyFont="1" applyFill="1" applyBorder="1" applyAlignment="1">
      <alignment horizontal="right" vertical="top"/>
    </xf>
    <xf numFmtId="41" fontId="58" fillId="21" borderId="1" xfId="6" quotePrefix="1" applyNumberFormat="1" applyFont="1" applyFill="1" applyBorder="1" applyAlignment="1">
      <alignment horizontal="right" vertical="top"/>
    </xf>
    <xf numFmtId="41" fontId="58" fillId="21" borderId="1" xfId="6" applyNumberFormat="1" applyFont="1" applyFill="1" applyBorder="1" applyAlignment="1">
      <alignment vertical="top"/>
    </xf>
    <xf numFmtId="166" fontId="58" fillId="21" borderId="1" xfId="0" applyNumberFormat="1" applyFont="1" applyFill="1" applyBorder="1" applyAlignment="1">
      <alignment vertical="top"/>
    </xf>
    <xf numFmtId="166" fontId="58" fillId="21" borderId="1" xfId="0" applyNumberFormat="1" applyFont="1" applyFill="1" applyBorder="1" applyAlignment="1">
      <alignment horizontal="right" vertical="top"/>
    </xf>
    <xf numFmtId="0" fontId="39" fillId="21" borderId="2" xfId="0" applyFont="1" applyFill="1" applyBorder="1" applyAlignment="1">
      <alignment vertical="top"/>
    </xf>
    <xf numFmtId="0" fontId="39" fillId="21" borderId="2" xfId="0" applyFont="1" applyFill="1" applyBorder="1" applyAlignment="1">
      <alignment vertical="top" wrapText="1"/>
    </xf>
    <xf numFmtId="0" fontId="39" fillId="21" borderId="2" xfId="0" quotePrefix="1" applyFont="1" applyFill="1" applyBorder="1" applyAlignment="1">
      <alignment horizontal="center" vertical="top"/>
    </xf>
    <xf numFmtId="0" fontId="58" fillId="21" borderId="1" xfId="0" quotePrefix="1" applyFont="1" applyFill="1" applyBorder="1" applyAlignment="1">
      <alignment horizontal="left" vertical="top" wrapText="1"/>
    </xf>
    <xf numFmtId="164" fontId="58" fillId="21" borderId="1" xfId="6" applyNumberFormat="1" applyFont="1" applyFill="1" applyBorder="1" applyAlignment="1">
      <alignment horizontal="right" vertical="top"/>
    </xf>
    <xf numFmtId="41" fontId="58" fillId="21" borderId="1" xfId="6" applyFont="1" applyFill="1" applyBorder="1" applyAlignment="1">
      <alignment horizontal="right" vertical="top"/>
    </xf>
    <xf numFmtId="0" fontId="63" fillId="21" borderId="1" xfId="0" applyFont="1" applyFill="1" applyBorder="1" applyAlignment="1">
      <alignment vertical="top"/>
    </xf>
    <xf numFmtId="0" fontId="63" fillId="21" borderId="1" xfId="0" applyFont="1" applyFill="1" applyBorder="1" applyAlignment="1">
      <alignment horizontal="center" vertical="top" wrapText="1"/>
    </xf>
    <xf numFmtId="0" fontId="58" fillId="21" borderId="1" xfId="0" applyFont="1" applyFill="1" applyBorder="1" applyAlignment="1">
      <alignment vertical="top" wrapText="1"/>
    </xf>
    <xf numFmtId="0" fontId="58" fillId="21" borderId="1" xfId="0" applyFont="1" applyFill="1" applyBorder="1" applyAlignment="1">
      <alignment horizontal="right" vertical="top" wrapText="1"/>
    </xf>
    <xf numFmtId="41" fontId="58" fillId="21" borderId="1" xfId="6" applyNumberFormat="1" applyFont="1" applyFill="1" applyBorder="1" applyAlignment="1">
      <alignment horizontal="right" vertical="top" wrapText="1"/>
    </xf>
    <xf numFmtId="0" fontId="61" fillId="21" borderId="1" xfId="0" applyFont="1" applyFill="1" applyBorder="1" applyAlignment="1">
      <alignment vertical="top"/>
    </xf>
    <xf numFmtId="0" fontId="61" fillId="21" borderId="1" xfId="0" applyFont="1" applyFill="1" applyBorder="1" applyAlignment="1">
      <alignment vertical="top" wrapText="1"/>
    </xf>
    <xf numFmtId="0" fontId="61" fillId="21" borderId="1" xfId="0" quotePrefix="1" applyFont="1" applyFill="1" applyBorder="1" applyAlignment="1">
      <alignment horizontal="center" vertical="top"/>
    </xf>
    <xf numFmtId="164" fontId="58" fillId="21" borderId="1" xfId="0" applyNumberFormat="1" applyFont="1" applyFill="1" applyBorder="1" applyAlignment="1">
      <alignment horizontal="right" vertical="top"/>
    </xf>
    <xf numFmtId="41" fontId="63" fillId="21" borderId="1" xfId="6" applyNumberFormat="1" applyFont="1" applyFill="1" applyBorder="1" applyAlignment="1">
      <alignment vertical="top"/>
    </xf>
    <xf numFmtId="0" fontId="62" fillId="21" borderId="1" xfId="0" applyFont="1" applyFill="1" applyBorder="1" applyAlignment="1">
      <alignment vertical="top" wrapText="1"/>
    </xf>
    <xf numFmtId="164" fontId="58" fillId="21" borderId="1" xfId="0" applyNumberFormat="1" applyFont="1" applyFill="1" applyBorder="1" applyAlignment="1">
      <alignment horizontal="right" vertical="top" wrapText="1"/>
    </xf>
    <xf numFmtId="166" fontId="63" fillId="21" borderId="1" xfId="6" applyNumberFormat="1" applyFont="1" applyFill="1" applyBorder="1" applyAlignment="1">
      <alignment vertical="top"/>
    </xf>
    <xf numFmtId="164" fontId="58" fillId="21" borderId="1" xfId="6" applyNumberFormat="1" applyFont="1" applyFill="1" applyBorder="1" applyAlignment="1">
      <alignment horizontal="right" vertical="top" wrapText="1"/>
    </xf>
    <xf numFmtId="41" fontId="39" fillId="0" borderId="0" xfId="0" applyNumberFormat="1" applyFont="1" applyFill="1" applyAlignment="1">
      <alignment vertical="top"/>
    </xf>
    <xf numFmtId="164" fontId="39" fillId="0" borderId="0" xfId="0" applyNumberFormat="1" applyFont="1" applyFill="1" applyAlignment="1">
      <alignment vertical="top"/>
    </xf>
    <xf numFmtId="0" fontId="39" fillId="0" borderId="0" xfId="0" applyFont="1" applyAlignment="1">
      <alignment vertical="top"/>
    </xf>
    <xf numFmtId="164" fontId="24" fillId="0" borderId="0" xfId="0" applyNumberFormat="1" applyFont="1" applyFill="1" applyAlignment="1">
      <alignment vertical="top"/>
    </xf>
    <xf numFmtId="0" fontId="24" fillId="0" borderId="0" xfId="0" applyFont="1" applyAlignment="1">
      <alignment vertical="top"/>
    </xf>
    <xf numFmtId="41" fontId="24" fillId="0" borderId="1" xfId="6" quotePrefix="1" applyFont="1" applyBorder="1" applyAlignment="1">
      <alignment horizontal="right" vertical="top"/>
    </xf>
    <xf numFmtId="164" fontId="24" fillId="0" borderId="1" xfId="2" applyNumberFormat="1" applyFont="1" applyBorder="1" applyAlignment="1">
      <alignment vertical="top"/>
    </xf>
    <xf numFmtId="172" fontId="24" fillId="0" borderId="1" xfId="0" applyNumberFormat="1" applyFont="1" applyBorder="1" applyAlignment="1">
      <alignment horizontal="right" vertical="top"/>
    </xf>
    <xf numFmtId="166" fontId="24" fillId="0" borderId="1" xfId="6" applyNumberFormat="1" applyFont="1" applyBorder="1" applyAlignment="1">
      <alignment horizontal="right" vertical="top"/>
    </xf>
    <xf numFmtId="41" fontId="24" fillId="0" borderId="1" xfId="6" quotePrefix="1" applyNumberFormat="1" applyFont="1" applyBorder="1" applyAlignment="1">
      <alignment horizontal="right" vertical="top"/>
    </xf>
    <xf numFmtId="0" fontId="39" fillId="21" borderId="3" xfId="0" applyFont="1" applyFill="1" applyBorder="1" applyAlignment="1">
      <alignment vertical="top"/>
    </xf>
    <xf numFmtId="0" fontId="39" fillId="21" borderId="3" xfId="0" applyFont="1" applyFill="1" applyBorder="1" applyAlignment="1">
      <alignment vertical="top" wrapText="1"/>
    </xf>
    <xf numFmtId="0" fontId="39" fillId="21" borderId="3" xfId="0" quotePrefix="1" applyFont="1" applyFill="1" applyBorder="1" applyAlignment="1">
      <alignment horizontal="center" vertical="top"/>
    </xf>
    <xf numFmtId="0" fontId="39" fillId="21" borderId="4" xfId="0" applyFont="1" applyFill="1" applyBorder="1" applyAlignment="1">
      <alignment vertical="top"/>
    </xf>
    <xf numFmtId="0" fontId="39" fillId="21" borderId="4" xfId="0" applyFont="1" applyFill="1" applyBorder="1" applyAlignment="1">
      <alignment vertical="top" wrapText="1"/>
    </xf>
    <xf numFmtId="0" fontId="39" fillId="21" borderId="4" xfId="0" quotePrefix="1" applyFont="1" applyFill="1" applyBorder="1" applyAlignment="1">
      <alignment horizontal="center" vertical="top"/>
    </xf>
    <xf numFmtId="164" fontId="39" fillId="21" borderId="1" xfId="2" applyNumberFormat="1" applyFont="1" applyFill="1" applyBorder="1" applyAlignment="1">
      <alignment horizontal="right" vertical="top"/>
    </xf>
    <xf numFmtId="41" fontId="39" fillId="21" borderId="1" xfId="0" applyNumberFormat="1" applyFont="1" applyFill="1" applyBorder="1" applyAlignment="1">
      <alignment horizontal="right" vertical="top"/>
    </xf>
    <xf numFmtId="0" fontId="39" fillId="21" borderId="1" xfId="0" quotePrefix="1" applyFont="1" applyFill="1" applyBorder="1" applyAlignment="1">
      <alignment horizontal="right" vertical="top"/>
    </xf>
    <xf numFmtId="3" fontId="39" fillId="21" borderId="1" xfId="0" applyNumberFormat="1" applyFont="1" applyFill="1" applyBorder="1" applyAlignment="1">
      <alignment horizontal="right" vertical="top"/>
    </xf>
    <xf numFmtId="0" fontId="39" fillId="21" borderId="1" xfId="0" applyFont="1" applyFill="1" applyBorder="1" applyAlignment="1">
      <alignment horizontal="right" vertical="top"/>
    </xf>
    <xf numFmtId="166" fontId="39" fillId="21" borderId="1" xfId="0" applyNumberFormat="1" applyFont="1" applyFill="1" applyBorder="1" applyAlignment="1">
      <alignment horizontal="right" vertical="top"/>
    </xf>
    <xf numFmtId="41" fontId="39" fillId="21" borderId="1" xfId="6" quotePrefix="1" applyFont="1" applyFill="1" applyBorder="1" applyAlignment="1">
      <alignment horizontal="right" vertical="top"/>
    </xf>
    <xf numFmtId="166" fontId="39" fillId="21" borderId="1" xfId="6" applyNumberFormat="1" applyFont="1" applyFill="1" applyBorder="1" applyAlignment="1">
      <alignment vertical="top"/>
    </xf>
    <xf numFmtId="166" fontId="39" fillId="21" borderId="1" xfId="0" applyNumberFormat="1" applyFont="1" applyFill="1" applyBorder="1" applyAlignment="1">
      <alignment vertical="top"/>
    </xf>
    <xf numFmtId="164" fontId="39" fillId="21" borderId="1" xfId="0" applyNumberFormat="1" applyFont="1" applyFill="1" applyBorder="1" applyAlignment="1">
      <alignment vertical="top"/>
    </xf>
    <xf numFmtId="164" fontId="39" fillId="21" borderId="1" xfId="2" applyNumberFormat="1" applyFont="1" applyFill="1" applyBorder="1" applyAlignment="1">
      <alignment vertical="top"/>
    </xf>
    <xf numFmtId="2" fontId="39" fillId="21" borderId="1" xfId="0" applyNumberFormat="1" applyFont="1" applyFill="1" applyBorder="1" applyAlignment="1">
      <alignment horizontal="right" vertical="top"/>
    </xf>
    <xf numFmtId="166" fontId="39" fillId="21" borderId="1" xfId="6" applyNumberFormat="1" applyFont="1" applyFill="1" applyBorder="1" applyAlignment="1">
      <alignment horizontal="right" vertical="top"/>
    </xf>
    <xf numFmtId="0" fontId="39" fillId="21" borderId="1" xfId="0" quotePrefix="1" applyFont="1" applyFill="1" applyBorder="1" applyAlignment="1">
      <alignment horizontal="left" vertical="top" wrapText="1"/>
    </xf>
    <xf numFmtId="41" fontId="39" fillId="21" borderId="1" xfId="6" applyFont="1" applyFill="1" applyBorder="1" applyAlignment="1">
      <alignment horizontal="right" vertical="top"/>
    </xf>
    <xf numFmtId="164" fontId="39" fillId="21" borderId="1" xfId="2" quotePrefix="1" applyNumberFormat="1" applyFont="1" applyFill="1" applyBorder="1" applyAlignment="1">
      <alignment horizontal="right" vertical="top"/>
    </xf>
    <xf numFmtId="41" fontId="39" fillId="21" borderId="1" xfId="6" applyFont="1" applyFill="1" applyBorder="1" applyAlignment="1">
      <alignment vertical="top"/>
    </xf>
    <xf numFmtId="41" fontId="39" fillId="21" borderId="1" xfId="1" applyFont="1" applyFill="1" applyBorder="1" applyAlignment="1">
      <alignment horizontal="right" vertical="top"/>
    </xf>
    <xf numFmtId="43" fontId="39" fillId="21" borderId="1" xfId="6" applyNumberFormat="1" applyFont="1" applyFill="1" applyBorder="1" applyAlignment="1">
      <alignment horizontal="right" vertical="top"/>
    </xf>
    <xf numFmtId="172" fontId="17" fillId="21" borderId="1" xfId="6" applyNumberFormat="1" applyFont="1" applyFill="1" applyBorder="1" applyAlignment="1">
      <alignment horizontal="right" vertical="top"/>
    </xf>
    <xf numFmtId="41" fontId="17" fillId="21" borderId="1" xfId="6" applyFont="1" applyFill="1" applyBorder="1" applyAlignment="1">
      <alignment horizontal="right" vertical="top"/>
    </xf>
    <xf numFmtId="0" fontId="58" fillId="0" borderId="0" xfId="0" applyFont="1" applyFill="1" applyAlignment="1">
      <alignment vertical="top"/>
    </xf>
    <xf numFmtId="41" fontId="58" fillId="0" borderId="0" xfId="0" applyNumberFormat="1" applyFont="1" applyFill="1" applyAlignment="1">
      <alignment vertical="top"/>
    </xf>
    <xf numFmtId="164" fontId="58" fillId="0" borderId="0" xfId="0" applyNumberFormat="1" applyFont="1" applyFill="1" applyAlignment="1">
      <alignment vertical="top"/>
    </xf>
    <xf numFmtId="0" fontId="58" fillId="0" borderId="0" xfId="0" applyFont="1" applyAlignment="1">
      <alignment vertical="top"/>
    </xf>
    <xf numFmtId="0" fontId="58" fillId="21" borderId="1" xfId="0" quotePrefix="1" applyFont="1" applyFill="1" applyBorder="1" applyAlignment="1">
      <alignment horizontal="center" vertical="top"/>
    </xf>
    <xf numFmtId="164" fontId="58" fillId="21" borderId="1" xfId="6" quotePrefix="1" applyNumberFormat="1" applyFont="1" applyFill="1" applyBorder="1" applyAlignment="1">
      <alignment horizontal="right" vertical="top"/>
    </xf>
    <xf numFmtId="164" fontId="58" fillId="21" borderId="1" xfId="6" applyNumberFormat="1" applyFont="1" applyFill="1" applyBorder="1" applyAlignment="1">
      <alignment vertical="top"/>
    </xf>
    <xf numFmtId="175" fontId="24" fillId="15" borderId="1" xfId="6" applyNumberFormat="1" applyFont="1" applyFill="1" applyBorder="1" applyAlignment="1">
      <alignment horizontal="right" vertical="top"/>
    </xf>
    <xf numFmtId="164" fontId="24" fillId="15" borderId="1" xfId="6" applyNumberFormat="1" applyFont="1" applyFill="1" applyBorder="1" applyAlignment="1">
      <alignment horizontal="right" vertical="top"/>
    </xf>
    <xf numFmtId="164" fontId="24" fillId="15" borderId="1" xfId="6" applyNumberFormat="1" applyFont="1" applyFill="1" applyBorder="1" applyAlignment="1">
      <alignment horizontal="right" vertical="top" wrapText="1"/>
    </xf>
    <xf numFmtId="164" fontId="24" fillId="0" borderId="1" xfId="0" applyNumberFormat="1" applyFont="1" applyBorder="1" applyAlignment="1">
      <alignment horizontal="right" vertical="top"/>
    </xf>
    <xf numFmtId="164" fontId="24" fillId="0" borderId="1" xfId="6" quotePrefix="1" applyNumberFormat="1" applyFont="1" applyBorder="1" applyAlignment="1">
      <alignment horizontal="right" vertical="top"/>
    </xf>
    <xf numFmtId="164" fontId="24" fillId="0" borderId="1" xfId="6" applyNumberFormat="1" applyFont="1" applyBorder="1" applyAlignment="1">
      <alignment horizontal="right" vertical="top"/>
    </xf>
    <xf numFmtId="166" fontId="7" fillId="0" borderId="1" xfId="1" applyNumberFormat="1" applyFont="1" applyBorder="1" applyAlignment="1">
      <alignment horizontal="right" vertical="top"/>
    </xf>
    <xf numFmtId="3" fontId="1" fillId="0" borderId="1" xfId="0" applyNumberFormat="1" applyFont="1" applyBorder="1" applyAlignment="1">
      <alignment vertical="top"/>
    </xf>
    <xf numFmtId="0" fontId="8" fillId="0" borderId="2" xfId="0" applyFont="1" applyFill="1" applyBorder="1" applyAlignment="1">
      <alignment horizontal="center" vertical="top" wrapText="1"/>
    </xf>
    <xf numFmtId="0" fontId="8" fillId="0" borderId="4" xfId="0" applyFont="1" applyFill="1" applyBorder="1" applyAlignment="1">
      <alignment horizontal="center" vertical="top" wrapText="1"/>
    </xf>
    <xf numFmtId="0" fontId="7" fillId="21" borderId="1" xfId="0" applyFont="1" applyFill="1" applyBorder="1" applyAlignment="1">
      <alignment horizontal="center" vertical="top" wrapText="1"/>
    </xf>
    <xf numFmtId="0" fontId="7" fillId="21" borderId="2" xfId="0" applyFont="1" applyFill="1" applyBorder="1" applyAlignment="1">
      <alignment horizontal="left" vertical="top" wrapText="1"/>
    </xf>
    <xf numFmtId="0" fontId="7" fillId="21" borderId="4" xfId="0" applyFont="1" applyFill="1" applyBorder="1" applyAlignment="1">
      <alignment horizontal="left" vertical="top" wrapText="1"/>
    </xf>
    <xf numFmtId="0" fontId="17" fillId="9" borderId="1" xfId="0" applyFont="1" applyFill="1" applyBorder="1" applyAlignment="1">
      <alignment horizontal="right" vertical="top"/>
    </xf>
    <xf numFmtId="0" fontId="7" fillId="0" borderId="1" xfId="0" applyFont="1" applyBorder="1" applyAlignment="1">
      <alignment horizontal="right" vertical="top"/>
    </xf>
    <xf numFmtId="0" fontId="8" fillId="0" borderId="1" xfId="0" applyFont="1" applyBorder="1" applyAlignment="1">
      <alignment horizontal="right" vertical="top"/>
    </xf>
    <xf numFmtId="0" fontId="8" fillId="0" borderId="2" xfId="0" quotePrefix="1" applyFont="1" applyFill="1" applyBorder="1" applyAlignment="1">
      <alignment horizontal="center" vertical="top"/>
    </xf>
    <xf numFmtId="0" fontId="8" fillId="0" borderId="4" xfId="0" quotePrefix="1" applyFont="1" applyFill="1" applyBorder="1" applyAlignment="1">
      <alignment horizontal="center" vertical="top"/>
    </xf>
    <xf numFmtId="0" fontId="8" fillId="0" borderId="2" xfId="0" applyFont="1" applyFill="1" applyBorder="1" applyAlignment="1">
      <alignment horizontal="left" vertical="top" wrapText="1"/>
    </xf>
    <xf numFmtId="0" fontId="8" fillId="0" borderId="4" xfId="0" applyFont="1" applyFill="1" applyBorder="1" applyAlignment="1">
      <alignment horizontal="left" vertical="top" wrapText="1"/>
    </xf>
    <xf numFmtId="41" fontId="8" fillId="0" borderId="2" xfId="1" applyFont="1" applyFill="1" applyBorder="1" applyAlignment="1">
      <alignment horizontal="right" vertical="top"/>
    </xf>
    <xf numFmtId="41" fontId="8" fillId="0" borderId="4" xfId="1" applyFont="1" applyFill="1" applyBorder="1" applyAlignment="1">
      <alignment horizontal="right" vertical="top"/>
    </xf>
    <xf numFmtId="0" fontId="8" fillId="0" borderId="1" xfId="0" quotePrefix="1" applyFont="1" applyFill="1" applyBorder="1" applyAlignment="1">
      <alignment horizontal="center" vertical="top"/>
    </xf>
    <xf numFmtId="0" fontId="8" fillId="0" borderId="1" xfId="0" applyFont="1" applyFill="1" applyBorder="1" applyAlignment="1">
      <alignment horizontal="center" vertical="top"/>
    </xf>
    <xf numFmtId="2" fontId="8" fillId="0" borderId="1" xfId="0" applyNumberFormat="1" applyFont="1" applyFill="1" applyBorder="1" applyAlignment="1">
      <alignment horizontal="right" vertical="top"/>
    </xf>
    <xf numFmtId="0" fontId="8" fillId="0" borderId="1" xfId="0" applyFont="1" applyFill="1" applyBorder="1" applyAlignment="1">
      <alignment horizontal="center" vertical="top" wrapText="1"/>
    </xf>
    <xf numFmtId="0" fontId="8" fillId="0" borderId="1" xfId="0" applyFont="1" applyFill="1" applyBorder="1" applyAlignment="1">
      <alignment horizontal="right" vertical="top"/>
    </xf>
    <xf numFmtId="41" fontId="8" fillId="0" borderId="1" xfId="1" applyFont="1" applyFill="1" applyBorder="1" applyAlignment="1">
      <alignment horizontal="right" vertical="top"/>
    </xf>
    <xf numFmtId="0" fontId="8" fillId="0" borderId="1" xfId="0" quotePrefix="1" applyFont="1" applyFill="1" applyBorder="1" applyAlignment="1">
      <alignment horizontal="right" vertical="top"/>
    </xf>
    <xf numFmtId="164" fontId="8" fillId="0" borderId="1" xfId="2" applyNumberFormat="1" applyFont="1" applyFill="1" applyBorder="1" applyAlignment="1">
      <alignment horizontal="right" vertical="top"/>
    </xf>
    <xf numFmtId="0" fontId="24" fillId="0" borderId="1" xfId="0" applyFont="1" applyFill="1" applyBorder="1" applyAlignment="1">
      <alignment horizontal="right" vertical="top"/>
    </xf>
    <xf numFmtId="0" fontId="17" fillId="21" borderId="2" xfId="0" applyFont="1" applyFill="1" applyBorder="1" applyAlignment="1">
      <alignment horizontal="left" vertical="top" wrapText="1"/>
    </xf>
    <xf numFmtId="0" fontId="17" fillId="21" borderId="3" xfId="0" applyFont="1" applyFill="1" applyBorder="1" applyAlignment="1">
      <alignment horizontal="left" vertical="top" wrapText="1"/>
    </xf>
    <xf numFmtId="43" fontId="7" fillId="21" borderId="1" xfId="0" applyNumberFormat="1" applyFont="1" applyFill="1" applyBorder="1" applyAlignment="1">
      <alignment horizontal="right" vertical="top" wrapText="1"/>
    </xf>
    <xf numFmtId="0" fontId="66" fillId="0" borderId="1" xfId="0" applyFont="1" applyBorder="1" applyAlignment="1">
      <alignment horizontal="right" vertical="top"/>
    </xf>
    <xf numFmtId="0" fontId="0" fillId="0" borderId="1" xfId="0" applyBorder="1" applyAlignment="1">
      <alignment horizontal="right" vertical="top"/>
    </xf>
    <xf numFmtId="164" fontId="7" fillId="21" borderId="1" xfId="2" applyNumberFormat="1" applyFont="1" applyFill="1" applyBorder="1" applyAlignment="1">
      <alignment horizontal="center" vertical="top" wrapText="1"/>
    </xf>
    <xf numFmtId="164" fontId="7" fillId="21" borderId="1" xfId="1" applyNumberFormat="1" applyFont="1" applyFill="1" applyBorder="1" applyAlignment="1">
      <alignment horizontal="center" vertical="top"/>
    </xf>
    <xf numFmtId="41" fontId="7" fillId="21" borderId="1" xfId="1" applyNumberFormat="1" applyFont="1" applyFill="1" applyBorder="1" applyAlignment="1">
      <alignment horizontal="center" vertical="top"/>
    </xf>
    <xf numFmtId="164" fontId="7" fillId="21" borderId="1" xfId="2" applyNumberFormat="1" applyFont="1" applyFill="1" applyBorder="1" applyAlignment="1">
      <alignment horizontal="center" vertical="top"/>
    </xf>
    <xf numFmtId="164" fontId="55" fillId="0" borderId="0" xfId="2" applyNumberFormat="1" applyFont="1" applyAlignment="1">
      <alignment horizontal="center" vertical="top"/>
    </xf>
    <xf numFmtId="0" fontId="7" fillId="5" borderId="1" xfId="0" applyFont="1" applyFill="1" applyBorder="1" applyAlignment="1">
      <alignment horizontal="center" vertical="top"/>
    </xf>
    <xf numFmtId="0" fontId="52" fillId="0" borderId="1" xfId="0" applyFont="1" applyBorder="1" applyAlignment="1">
      <alignment horizontal="left" vertical="top"/>
    </xf>
    <xf numFmtId="164" fontId="54" fillId="0" borderId="0" xfId="2" applyNumberFormat="1" applyFont="1" applyAlignment="1">
      <alignment horizontal="center" vertical="top"/>
    </xf>
    <xf numFmtId="0" fontId="54" fillId="0" borderId="0" xfId="0" applyFont="1" applyAlignment="1">
      <alignment horizontal="center" vertical="top"/>
    </xf>
    <xf numFmtId="0" fontId="7" fillId="0" borderId="11" xfId="0" applyFont="1" applyBorder="1" applyAlignment="1">
      <alignment horizontal="center" vertical="top"/>
    </xf>
    <xf numFmtId="0" fontId="7" fillId="0" borderId="13" xfId="0" applyFont="1" applyBorder="1" applyAlignment="1">
      <alignment horizontal="center" vertical="top"/>
    </xf>
    <xf numFmtId="0" fontId="7" fillId="0" borderId="12" xfId="0" applyFont="1" applyBorder="1" applyAlignment="1">
      <alignment horizontal="center" vertical="top"/>
    </xf>
    <xf numFmtId="0" fontId="49" fillId="0" borderId="1" xfId="0" applyFont="1" applyBorder="1" applyAlignment="1">
      <alignment horizontal="right" vertical="top"/>
    </xf>
    <xf numFmtId="0" fontId="52" fillId="0" borderId="1" xfId="0" applyFont="1" applyBorder="1" applyAlignment="1">
      <alignment horizontal="right" vertical="top"/>
    </xf>
    <xf numFmtId="0" fontId="4" fillId="0" borderId="1" xfId="0" applyFont="1" applyBorder="1" applyAlignment="1">
      <alignment horizontal="right" vertical="top"/>
    </xf>
    <xf numFmtId="0" fontId="55" fillId="0" borderId="0" xfId="0" applyFont="1" applyBorder="1" applyAlignment="1">
      <alignment horizontal="center" vertical="top"/>
    </xf>
    <xf numFmtId="0" fontId="7" fillId="5" borderId="1" xfId="0" applyFont="1" applyFill="1" applyBorder="1" applyAlignment="1">
      <alignment horizontal="center" vertical="top" wrapText="1"/>
    </xf>
    <xf numFmtId="0" fontId="7" fillId="5" borderId="1" xfId="0" applyFont="1" applyFill="1" applyBorder="1" applyAlignment="1">
      <alignment horizontal="right" vertical="top" wrapText="1"/>
    </xf>
    <xf numFmtId="0" fontId="21" fillId="9" borderId="1" xfId="0" applyFont="1" applyFill="1" applyBorder="1" applyAlignment="1">
      <alignment horizontal="center" vertical="top"/>
    </xf>
    <xf numFmtId="0" fontId="8" fillId="0" borderId="3" xfId="0" quotePrefix="1" applyFont="1" applyFill="1" applyBorder="1" applyAlignment="1">
      <alignment horizontal="center" vertical="top"/>
    </xf>
    <xf numFmtId="0" fontId="7" fillId="0" borderId="1" xfId="0" applyFont="1" applyFill="1" applyBorder="1" applyAlignment="1">
      <alignment horizontal="center" vertical="top"/>
    </xf>
    <xf numFmtId="0" fontId="7" fillId="5" borderId="1" xfId="0" applyFont="1" applyFill="1" applyBorder="1" applyAlignment="1">
      <alignment horizontal="right" vertical="top"/>
    </xf>
    <xf numFmtId="0" fontId="17" fillId="21" borderId="1" xfId="0" applyFont="1" applyFill="1" applyBorder="1" applyAlignment="1">
      <alignment horizontal="center" vertical="top" wrapText="1"/>
    </xf>
    <xf numFmtId="0" fontId="49" fillId="0" borderId="1" xfId="0" applyFont="1" applyFill="1" applyBorder="1" applyAlignment="1">
      <alignment horizontal="center" vertical="top"/>
    </xf>
    <xf numFmtId="0" fontId="7" fillId="5" borderId="1" xfId="0" quotePrefix="1" applyFont="1" applyFill="1" applyBorder="1" applyAlignment="1">
      <alignment horizontal="center" vertical="top" wrapText="1"/>
    </xf>
    <xf numFmtId="0" fontId="7" fillId="21" borderId="1" xfId="0" applyFont="1" applyFill="1" applyBorder="1" applyAlignment="1">
      <alignment horizontal="center" vertical="top"/>
    </xf>
    <xf numFmtId="0" fontId="7" fillId="21" borderId="1" xfId="0" applyFont="1" applyFill="1" applyBorder="1" applyAlignment="1">
      <alignment horizontal="left" vertical="top" wrapText="1"/>
    </xf>
    <xf numFmtId="0" fontId="17" fillId="0" borderId="11" xfId="0" applyFont="1" applyBorder="1" applyAlignment="1">
      <alignment horizontal="right" vertical="top"/>
    </xf>
    <xf numFmtId="0" fontId="17" fillId="0" borderId="13" xfId="0" applyFont="1" applyBorder="1" applyAlignment="1">
      <alignment horizontal="right" vertical="top"/>
    </xf>
    <xf numFmtId="0" fontId="17" fillId="0" borderId="12" xfId="0" applyFont="1" applyBorder="1" applyAlignment="1">
      <alignment horizontal="right" vertical="top"/>
    </xf>
    <xf numFmtId="0" fontId="8" fillId="0" borderId="2" xfId="0" applyFont="1" applyFill="1" applyBorder="1" applyAlignment="1">
      <alignment horizontal="center" vertical="top"/>
    </xf>
    <xf numFmtId="0" fontId="8" fillId="0" borderId="4" xfId="0" applyFont="1" applyFill="1" applyBorder="1" applyAlignment="1">
      <alignment horizontal="center" vertical="top"/>
    </xf>
    <xf numFmtId="0" fontId="7" fillId="0" borderId="4" xfId="0" applyFont="1" applyBorder="1" applyAlignment="1">
      <alignment horizontal="right" vertical="top"/>
    </xf>
    <xf numFmtId="0" fontId="8" fillId="0" borderId="4" xfId="0" applyFont="1" applyBorder="1" applyAlignment="1">
      <alignment horizontal="right" vertical="top"/>
    </xf>
    <xf numFmtId="0" fontId="8" fillId="0" borderId="1" xfId="0" applyFont="1" applyFill="1" applyBorder="1" applyAlignment="1">
      <alignment horizontal="left" vertical="top"/>
    </xf>
    <xf numFmtId="41" fontId="65" fillId="0" borderId="1" xfId="1" applyFont="1" applyBorder="1" applyAlignment="1" applyProtection="1">
      <alignment vertical="top"/>
      <protection locked="0"/>
    </xf>
    <xf numFmtId="0" fontId="8" fillId="0" borderId="1" xfId="0" applyFont="1" applyFill="1" applyBorder="1" applyAlignment="1">
      <alignment horizontal="left" vertical="top" wrapText="1"/>
    </xf>
    <xf numFmtId="164" fontId="7" fillId="21" borderId="1" xfId="0" applyNumberFormat="1" applyFont="1" applyFill="1" applyBorder="1" applyAlignment="1">
      <alignment horizontal="right" vertical="top" wrapText="1"/>
    </xf>
    <xf numFmtId="0" fontId="7" fillId="21" borderId="1" xfId="0" applyFont="1" applyFill="1" applyBorder="1" applyAlignment="1">
      <alignment horizontal="right" vertical="top" wrapText="1"/>
    </xf>
    <xf numFmtId="41" fontId="7" fillId="21" borderId="1" xfId="0" applyNumberFormat="1" applyFont="1" applyFill="1" applyBorder="1" applyAlignment="1">
      <alignment horizontal="center" vertical="top" wrapText="1"/>
    </xf>
    <xf numFmtId="0" fontId="55" fillId="0" borderId="0" xfId="0" applyFont="1" applyAlignment="1">
      <alignment horizontal="center" vertical="top"/>
    </xf>
    <xf numFmtId="0" fontId="56" fillId="0" borderId="0" xfId="0" applyFont="1" applyAlignment="1">
      <alignment horizontal="center" vertical="top"/>
    </xf>
    <xf numFmtId="0" fontId="40" fillId="0" borderId="1" xfId="0" applyFont="1" applyBorder="1" applyAlignment="1">
      <alignment horizontal="right" vertical="top"/>
    </xf>
    <xf numFmtId="0" fontId="44" fillId="0" borderId="1" xfId="0" applyFont="1" applyBorder="1" applyAlignment="1">
      <alignment horizontal="right" vertical="top"/>
    </xf>
    <xf numFmtId="0" fontId="8" fillId="0" borderId="1" xfId="0" applyFont="1" applyBorder="1" applyAlignment="1">
      <alignment horizontal="center" vertical="top" wrapText="1"/>
    </xf>
    <xf numFmtId="0" fontId="17" fillId="0" borderId="1" xfId="0" applyFont="1" applyBorder="1" applyAlignment="1">
      <alignment horizontal="right" vertical="top"/>
    </xf>
    <xf numFmtId="0" fontId="21" fillId="0" borderId="1" xfId="0" applyFont="1" applyBorder="1" applyAlignment="1">
      <alignment horizontal="right" vertical="top"/>
    </xf>
    <xf numFmtId="41" fontId="7" fillId="21" borderId="1" xfId="1" applyFont="1" applyFill="1" applyBorder="1" applyAlignment="1">
      <alignment horizontal="center" vertical="top" wrapText="1"/>
    </xf>
    <xf numFmtId="0" fontId="7" fillId="5" borderId="9" xfId="0" applyFont="1" applyFill="1" applyBorder="1" applyAlignment="1">
      <alignment horizontal="center" vertical="center" wrapText="1"/>
    </xf>
    <xf numFmtId="0" fontId="7" fillId="5" borderId="10" xfId="0" applyFont="1" applyFill="1" applyBorder="1" applyAlignment="1">
      <alignment horizontal="center" vertical="center" wrapText="1"/>
    </xf>
    <xf numFmtId="0" fontId="7" fillId="5" borderId="7" xfId="0" applyFont="1" applyFill="1" applyBorder="1" applyAlignment="1">
      <alignment horizontal="center" vertical="center" wrapText="1"/>
    </xf>
    <xf numFmtId="0" fontId="7" fillId="5" borderId="8" xfId="0" applyFont="1" applyFill="1" applyBorder="1" applyAlignment="1">
      <alignment horizontal="center" vertical="center" wrapText="1"/>
    </xf>
    <xf numFmtId="0" fontId="7" fillId="5" borderId="9" xfId="0" applyFont="1" applyFill="1" applyBorder="1" applyAlignment="1">
      <alignment horizontal="center" vertical="center"/>
    </xf>
    <xf numFmtId="0" fontId="7" fillId="5" borderId="14" xfId="0" applyFont="1" applyFill="1" applyBorder="1" applyAlignment="1">
      <alignment horizontal="center" vertical="center"/>
    </xf>
    <xf numFmtId="0" fontId="7" fillId="5" borderId="10" xfId="0" applyFont="1" applyFill="1" applyBorder="1" applyAlignment="1">
      <alignment horizontal="center" vertical="center"/>
    </xf>
    <xf numFmtId="0" fontId="7" fillId="5" borderId="2"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5" borderId="11" xfId="0" applyFont="1" applyFill="1" applyBorder="1" applyAlignment="1">
      <alignment horizontal="center" vertical="center"/>
    </xf>
    <xf numFmtId="0" fontId="7" fillId="5" borderId="12" xfId="0" applyFont="1" applyFill="1" applyBorder="1" applyAlignment="1">
      <alignment horizontal="center" vertical="center"/>
    </xf>
    <xf numFmtId="0" fontId="7" fillId="0" borderId="0" xfId="0" applyFont="1" applyAlignment="1">
      <alignment horizontal="center" vertical="top"/>
    </xf>
    <xf numFmtId="0" fontId="7" fillId="5" borderId="2" xfId="0" applyFont="1" applyFill="1" applyBorder="1" applyAlignment="1">
      <alignment horizontal="center" vertical="center"/>
    </xf>
    <xf numFmtId="0" fontId="7" fillId="5" borderId="4" xfId="0" applyFont="1" applyFill="1" applyBorder="1" applyAlignment="1">
      <alignment horizontal="center" vertical="center"/>
    </xf>
    <xf numFmtId="0" fontId="7" fillId="5" borderId="7" xfId="0" applyFont="1" applyFill="1" applyBorder="1" applyAlignment="1">
      <alignment horizontal="center" vertical="center"/>
    </xf>
    <xf numFmtId="0" fontId="7" fillId="5" borderId="15" xfId="0" applyFont="1" applyFill="1" applyBorder="1" applyAlignment="1">
      <alignment horizontal="center" vertical="center"/>
    </xf>
    <xf numFmtId="0" fontId="7" fillId="5" borderId="8" xfId="0" applyFont="1" applyFill="1" applyBorder="1" applyAlignment="1">
      <alignment horizontal="center" vertical="center"/>
    </xf>
    <xf numFmtId="0" fontId="8" fillId="0" borderId="81" xfId="0" applyFont="1" applyBorder="1" applyAlignment="1">
      <alignment horizontal="right"/>
    </xf>
    <xf numFmtId="0" fontId="8" fillId="0" borderId="82" xfId="0" applyFont="1" applyBorder="1" applyAlignment="1">
      <alignment horizontal="right"/>
    </xf>
    <xf numFmtId="0" fontId="8" fillId="0" borderId="77" xfId="0" applyFont="1" applyBorder="1" applyAlignment="1">
      <alignment horizontal="right"/>
    </xf>
    <xf numFmtId="0" fontId="8" fillId="0" borderId="126" xfId="0" applyFont="1" applyBorder="1" applyAlignment="1">
      <alignment horizontal="right"/>
    </xf>
    <xf numFmtId="0" fontId="7" fillId="0" borderId="1" xfId="0" applyFont="1" applyFill="1" applyBorder="1" applyAlignment="1">
      <alignment horizontal="right" vertical="top"/>
    </xf>
    <xf numFmtId="0" fontId="21" fillId="9" borderId="11" xfId="0" applyFont="1" applyFill="1" applyBorder="1" applyAlignment="1">
      <alignment horizontal="center" vertical="top"/>
    </xf>
    <xf numFmtId="0" fontId="21" fillId="9" borderId="13" xfId="0" applyFont="1" applyFill="1" applyBorder="1" applyAlignment="1">
      <alignment horizontal="center" vertical="top"/>
    </xf>
    <xf numFmtId="0" fontId="21" fillId="9" borderId="12" xfId="0" applyFont="1" applyFill="1" applyBorder="1" applyAlignment="1">
      <alignment horizontal="center" vertical="top"/>
    </xf>
    <xf numFmtId="0" fontId="17" fillId="9" borderId="2" xfId="0" applyFont="1" applyFill="1" applyBorder="1" applyAlignment="1">
      <alignment horizontal="left" vertical="top" wrapText="1"/>
    </xf>
    <xf numFmtId="0" fontId="17" fillId="9" borderId="3" xfId="0" applyFont="1" applyFill="1" applyBorder="1" applyAlignment="1">
      <alignment horizontal="left" vertical="top" wrapText="1"/>
    </xf>
    <xf numFmtId="0" fontId="23" fillId="0" borderId="56" xfId="0" applyFont="1" applyBorder="1" applyAlignment="1">
      <alignment horizontal="left" vertical="top" wrapText="1"/>
    </xf>
    <xf numFmtId="0" fontId="23" fillId="0" borderId="68" xfId="0" applyFont="1" applyBorder="1" applyAlignment="1">
      <alignment horizontal="left" vertical="top" wrapText="1"/>
    </xf>
    <xf numFmtId="0" fontId="23" fillId="0" borderId="79" xfId="0" applyFont="1" applyBorder="1" applyAlignment="1">
      <alignment horizontal="left" vertical="top" wrapText="1"/>
    </xf>
    <xf numFmtId="0" fontId="7" fillId="5" borderId="9" xfId="0" applyFont="1" applyFill="1" applyBorder="1" applyAlignment="1">
      <alignment horizontal="center" vertical="top"/>
    </xf>
    <xf numFmtId="0" fontId="7" fillId="5" borderId="10" xfId="0" applyFont="1" applyFill="1" applyBorder="1" applyAlignment="1">
      <alignment horizontal="center" vertical="top"/>
    </xf>
    <xf numFmtId="0" fontId="7" fillId="5" borderId="2" xfId="0" quotePrefix="1" applyFont="1" applyFill="1" applyBorder="1" applyAlignment="1">
      <alignment horizontal="center" vertical="top"/>
    </xf>
    <xf numFmtId="0" fontId="7" fillId="5" borderId="4" xfId="0" quotePrefix="1" applyFont="1" applyFill="1" applyBorder="1" applyAlignment="1">
      <alignment horizontal="center" vertical="top"/>
    </xf>
    <xf numFmtId="0" fontId="17" fillId="0" borderId="2" xfId="0" applyFont="1" applyFill="1" applyBorder="1" applyAlignment="1">
      <alignment horizontal="left" vertical="top" wrapText="1"/>
    </xf>
    <xf numFmtId="0" fontId="17" fillId="0" borderId="3" xfId="0" applyFont="1" applyFill="1" applyBorder="1" applyAlignment="1">
      <alignment horizontal="left" vertical="top" wrapText="1"/>
    </xf>
    <xf numFmtId="0" fontId="17" fillId="9" borderId="11" xfId="0" applyFont="1" applyFill="1" applyBorder="1" applyAlignment="1">
      <alignment horizontal="center" vertical="top"/>
    </xf>
    <xf numFmtId="0" fontId="17" fillId="9" borderId="13" xfId="0" applyFont="1" applyFill="1" applyBorder="1" applyAlignment="1">
      <alignment horizontal="center" vertical="top"/>
    </xf>
    <xf numFmtId="0" fontId="17" fillId="9" borderId="12" xfId="0" applyFont="1" applyFill="1" applyBorder="1" applyAlignment="1">
      <alignment horizontal="center" vertical="top"/>
    </xf>
    <xf numFmtId="0" fontId="7" fillId="5" borderId="2" xfId="0" applyFont="1" applyFill="1" applyBorder="1" applyAlignment="1">
      <alignment horizontal="center" vertical="top"/>
    </xf>
    <xf numFmtId="0" fontId="7" fillId="5" borderId="4" xfId="0" applyFont="1" applyFill="1" applyBorder="1" applyAlignment="1">
      <alignment horizontal="center" vertical="top"/>
    </xf>
    <xf numFmtId="0" fontId="7" fillId="5" borderId="14" xfId="0" applyFont="1" applyFill="1" applyBorder="1" applyAlignment="1">
      <alignment horizontal="center" vertical="top"/>
    </xf>
    <xf numFmtId="0" fontId="7" fillId="5" borderId="7" xfId="0" applyFont="1" applyFill="1" applyBorder="1" applyAlignment="1">
      <alignment horizontal="center" vertical="top"/>
    </xf>
    <xf numFmtId="0" fontId="7" fillId="5" borderId="15" xfId="0" applyFont="1" applyFill="1" applyBorder="1" applyAlignment="1">
      <alignment horizontal="center" vertical="top"/>
    </xf>
    <xf numFmtId="0" fontId="7" fillId="5" borderId="8" xfId="0" applyFont="1" applyFill="1" applyBorder="1" applyAlignment="1">
      <alignment horizontal="center" vertical="top"/>
    </xf>
    <xf numFmtId="0" fontId="8" fillId="0" borderId="89" xfId="0" applyNumberFormat="1" applyFont="1" applyFill="1" applyBorder="1" applyAlignment="1">
      <alignment horizontal="center" vertical="center" wrapText="1"/>
    </xf>
    <xf numFmtId="3" fontId="8" fillId="0" borderId="89" xfId="0" applyNumberFormat="1" applyFont="1" applyFill="1" applyBorder="1" applyAlignment="1">
      <alignment horizontal="center" vertical="center" wrapText="1"/>
    </xf>
    <xf numFmtId="0" fontId="7" fillId="0" borderId="11" xfId="0" applyFont="1" applyFill="1" applyBorder="1" applyAlignment="1">
      <alignment horizontal="right" vertical="top"/>
    </xf>
    <xf numFmtId="0" fontId="7" fillId="0" borderId="13" xfId="0" applyFont="1" applyFill="1" applyBorder="1" applyAlignment="1">
      <alignment horizontal="right" vertical="top"/>
    </xf>
    <xf numFmtId="0" fontId="7" fillId="0" borderId="12" xfId="0" applyFont="1" applyFill="1" applyBorder="1" applyAlignment="1">
      <alignment horizontal="right" vertical="top"/>
    </xf>
    <xf numFmtId="3" fontId="8" fillId="0" borderId="89" xfId="1" applyNumberFormat="1" applyFont="1" applyFill="1" applyBorder="1" applyAlignment="1">
      <alignment horizontal="center" vertical="center" wrapText="1"/>
    </xf>
    <xf numFmtId="0" fontId="8" fillId="0" borderId="89" xfId="0" applyFont="1" applyFill="1" applyBorder="1" applyAlignment="1">
      <alignment horizontal="center" vertical="center" wrapText="1"/>
    </xf>
    <xf numFmtId="0" fontId="15" fillId="0" borderId="80" xfId="0" applyFont="1" applyFill="1" applyBorder="1" applyAlignment="1">
      <alignment horizontal="left" vertical="top" wrapText="1"/>
    </xf>
    <xf numFmtId="0" fontId="15" fillId="0" borderId="82" xfId="0" applyFont="1" applyFill="1" applyBorder="1" applyAlignment="1">
      <alignment horizontal="left" vertical="top" wrapText="1"/>
    </xf>
    <xf numFmtId="3" fontId="8" fillId="0" borderId="89" xfId="4" applyNumberFormat="1" applyFont="1" applyFill="1" applyBorder="1" applyAlignment="1">
      <alignment horizontal="center" vertical="center" wrapText="1"/>
    </xf>
    <xf numFmtId="0" fontId="7" fillId="0" borderId="14" xfId="0" applyFont="1" applyFill="1" applyBorder="1" applyAlignment="1">
      <alignment horizontal="right" vertical="top"/>
    </xf>
    <xf numFmtId="0" fontId="7" fillId="0" borderId="10" xfId="0" applyFont="1" applyFill="1" applyBorder="1" applyAlignment="1">
      <alignment horizontal="right" vertical="top"/>
    </xf>
    <xf numFmtId="0" fontId="15" fillId="0" borderId="80" xfId="0" applyFont="1" applyFill="1" applyBorder="1" applyAlignment="1">
      <alignment horizontal="center" vertical="top" wrapText="1"/>
    </xf>
    <xf numFmtId="0" fontId="15" fillId="0" borderId="82" xfId="0" applyFont="1" applyFill="1" applyBorder="1" applyAlignment="1">
      <alignment horizontal="center" vertical="top" wrapText="1"/>
    </xf>
    <xf numFmtId="0" fontId="15" fillId="0" borderId="81" xfId="0" applyFont="1" applyFill="1" applyBorder="1" applyAlignment="1">
      <alignment horizontal="left" vertical="top" wrapText="1"/>
    </xf>
    <xf numFmtId="10" fontId="8" fillId="0" borderId="89" xfId="0" applyNumberFormat="1" applyFont="1" applyFill="1" applyBorder="1" applyAlignment="1">
      <alignment horizontal="center" vertical="center" wrapText="1"/>
    </xf>
    <xf numFmtId="0" fontId="8" fillId="0" borderId="89" xfId="3" applyNumberFormat="1" applyFont="1" applyFill="1" applyBorder="1" applyAlignment="1">
      <alignment horizontal="center" vertical="center" wrapText="1"/>
    </xf>
    <xf numFmtId="3" fontId="8" fillId="9" borderId="89" xfId="1" applyNumberFormat="1" applyFont="1" applyFill="1" applyBorder="1" applyAlignment="1">
      <alignment horizontal="center" vertical="center" wrapText="1"/>
    </xf>
    <xf numFmtId="3" fontId="8" fillId="0" borderId="89" xfId="2" applyNumberFormat="1" applyFont="1" applyFill="1" applyBorder="1" applyAlignment="1">
      <alignment horizontal="center" vertical="center" wrapText="1"/>
    </xf>
    <xf numFmtId="0" fontId="15" fillId="0" borderId="89" xfId="0" applyFont="1" applyFill="1" applyBorder="1" applyAlignment="1">
      <alignment horizontal="left" vertical="center" wrapText="1"/>
    </xf>
    <xf numFmtId="46" fontId="8" fillId="0" borderId="89" xfId="0" applyNumberFormat="1" applyFont="1" applyFill="1" applyBorder="1" applyAlignment="1">
      <alignment horizontal="center" vertical="center" wrapText="1"/>
    </xf>
    <xf numFmtId="10" fontId="8" fillId="9" borderId="89" xfId="0" applyNumberFormat="1" applyFont="1" applyFill="1" applyBorder="1" applyAlignment="1">
      <alignment horizontal="center" vertical="center" wrapText="1"/>
    </xf>
    <xf numFmtId="0" fontId="8" fillId="9" borderId="89" xfId="0" applyFont="1" applyFill="1" applyBorder="1" applyAlignment="1">
      <alignment horizontal="center" vertical="center" wrapText="1"/>
    </xf>
    <xf numFmtId="9" fontId="8" fillId="0" borderId="89" xfId="0" applyNumberFormat="1" applyFont="1" applyFill="1" applyBorder="1" applyAlignment="1">
      <alignment horizontal="center" vertical="center" wrapText="1"/>
    </xf>
    <xf numFmtId="9" fontId="8" fillId="0" borderId="89" xfId="3" applyFont="1" applyFill="1" applyBorder="1" applyAlignment="1">
      <alignment horizontal="center" vertical="center" wrapText="1"/>
    </xf>
    <xf numFmtId="3" fontId="8" fillId="0" borderId="89" xfId="4" applyNumberFormat="1" applyFont="1" applyFill="1" applyBorder="1" applyAlignment="1">
      <alignment horizontal="center" vertical="center"/>
    </xf>
    <xf numFmtId="0" fontId="15" fillId="0" borderId="89" xfId="0" applyFont="1" applyFill="1" applyBorder="1" applyAlignment="1">
      <alignment vertical="center" wrapText="1"/>
    </xf>
    <xf numFmtId="3" fontId="8" fillId="9" borderId="89" xfId="1" applyNumberFormat="1" applyFont="1" applyFill="1" applyBorder="1" applyAlignment="1">
      <alignment horizontal="center" vertical="center"/>
    </xf>
    <xf numFmtId="3" fontId="8" fillId="0" borderId="89" xfId="1" applyNumberFormat="1" applyFont="1" applyFill="1" applyBorder="1" applyAlignment="1">
      <alignment horizontal="center" vertical="center"/>
    </xf>
    <xf numFmtId="20" fontId="8" fillId="0" borderId="89" xfId="0" applyNumberFormat="1" applyFont="1" applyFill="1" applyBorder="1" applyAlignment="1">
      <alignment horizontal="center" vertical="center" wrapText="1"/>
    </xf>
    <xf numFmtId="0" fontId="8" fillId="0" borderId="89" xfId="0" applyFont="1" applyFill="1" applyBorder="1" applyAlignment="1">
      <alignment horizontal="center" vertical="top" wrapText="1"/>
    </xf>
    <xf numFmtId="0" fontId="8" fillId="0" borderId="89" xfId="0" applyFont="1" applyFill="1" applyBorder="1" applyAlignment="1">
      <alignment horizontal="left" vertical="center" wrapText="1"/>
    </xf>
    <xf numFmtId="0" fontId="21" fillId="0" borderId="89" xfId="0" applyFont="1" applyFill="1" applyBorder="1" applyAlignment="1">
      <alignment vertical="center" wrapText="1"/>
    </xf>
    <xf numFmtId="0" fontId="7" fillId="0" borderId="89" xfId="0" applyNumberFormat="1" applyFont="1" applyFill="1" applyBorder="1" applyAlignment="1">
      <alignment horizontal="center" vertical="center" wrapText="1"/>
    </xf>
    <xf numFmtId="3" fontId="8" fillId="0" borderId="89" xfId="1" applyNumberFormat="1" applyFont="1" applyFill="1" applyBorder="1" applyAlignment="1">
      <alignment horizontal="right" vertical="center" wrapText="1"/>
    </xf>
    <xf numFmtId="0" fontId="8" fillId="0" borderId="89" xfId="1" applyNumberFormat="1" applyFont="1" applyFill="1" applyBorder="1" applyAlignment="1">
      <alignment horizontal="center" vertical="center" wrapText="1"/>
    </xf>
    <xf numFmtId="0" fontId="21" fillId="0" borderId="89" xfId="0" applyFont="1" applyFill="1" applyBorder="1" applyAlignment="1">
      <alignment horizontal="left" vertical="center" wrapText="1"/>
    </xf>
    <xf numFmtId="3" fontId="7" fillId="0" borderId="89" xfId="1" applyNumberFormat="1" applyFont="1" applyFill="1" applyBorder="1" applyAlignment="1">
      <alignment horizontal="center" vertical="center" wrapText="1"/>
    </xf>
    <xf numFmtId="3" fontId="7" fillId="0" borderId="89" xfId="0" applyNumberFormat="1" applyFont="1" applyFill="1" applyBorder="1" applyAlignment="1">
      <alignment horizontal="center" vertical="center" wrapText="1"/>
    </xf>
    <xf numFmtId="0" fontId="15" fillId="0" borderId="89" xfId="0" applyFont="1" applyFill="1" applyBorder="1" applyAlignment="1">
      <alignment horizontal="left" vertical="top" wrapText="1"/>
    </xf>
    <xf numFmtId="0" fontId="8" fillId="0" borderId="89" xfId="0" applyFont="1" applyFill="1" applyBorder="1" applyAlignment="1">
      <alignment horizontal="left" vertical="top" wrapText="1"/>
    </xf>
    <xf numFmtId="0" fontId="23" fillId="0" borderId="89" xfId="0" applyFont="1" applyFill="1" applyBorder="1" applyAlignment="1">
      <alignment horizontal="center" vertical="top" wrapText="1"/>
    </xf>
    <xf numFmtId="169" fontId="23" fillId="0" borderId="89" xfId="0" applyNumberFormat="1" applyFont="1" applyFill="1" applyBorder="1" applyAlignment="1">
      <alignment horizontal="center" vertical="top" wrapText="1"/>
    </xf>
    <xf numFmtId="41" fontId="23" fillId="0" borderId="89" xfId="0" applyNumberFormat="1" applyFont="1" applyFill="1" applyBorder="1" applyAlignment="1">
      <alignment horizontal="center" vertical="top" wrapText="1"/>
    </xf>
    <xf numFmtId="164" fontId="7" fillId="0" borderId="89" xfId="0" applyNumberFormat="1" applyFont="1" applyFill="1" applyBorder="1" applyAlignment="1">
      <alignment horizontal="center" vertical="top" wrapText="1"/>
    </xf>
    <xf numFmtId="0" fontId="7" fillId="0" borderId="89" xfId="0" applyFont="1" applyFill="1" applyBorder="1" applyAlignment="1">
      <alignment horizontal="center" vertical="top" wrapText="1"/>
    </xf>
    <xf numFmtId="0" fontId="8" fillId="0" borderId="3" xfId="0" applyFont="1" applyFill="1" applyBorder="1" applyAlignment="1">
      <alignment horizontal="left" vertical="top" wrapText="1"/>
    </xf>
    <xf numFmtId="0" fontId="8" fillId="0" borderId="20" xfId="0" applyFont="1" applyFill="1" applyBorder="1" applyAlignment="1">
      <alignment horizontal="left" vertical="top" wrapText="1"/>
    </xf>
    <xf numFmtId="0" fontId="8" fillId="0" borderId="21" xfId="0" applyFont="1" applyFill="1" applyBorder="1" applyAlignment="1">
      <alignment horizontal="left" vertical="top" wrapText="1"/>
    </xf>
    <xf numFmtId="0" fontId="8" fillId="0" borderId="20" xfId="0" applyFont="1" applyFill="1" applyBorder="1" applyAlignment="1">
      <alignment horizontal="center" vertical="top" wrapText="1"/>
    </xf>
    <xf numFmtId="0" fontId="8" fillId="0" borderId="21" xfId="0" applyFont="1" applyFill="1" applyBorder="1" applyAlignment="1">
      <alignment horizontal="center" vertical="top" wrapText="1"/>
    </xf>
    <xf numFmtId="164" fontId="7" fillId="9" borderId="89" xfId="0" applyNumberFormat="1" applyFont="1" applyFill="1" applyBorder="1" applyAlignment="1">
      <alignment horizontal="center" vertical="center" wrapText="1"/>
    </xf>
    <xf numFmtId="0" fontId="7" fillId="9" borderId="89" xfId="0" applyNumberFormat="1" applyFont="1" applyFill="1" applyBorder="1" applyAlignment="1">
      <alignment horizontal="center" vertical="center" wrapText="1"/>
    </xf>
    <xf numFmtId="0" fontId="8" fillId="0" borderId="20" xfId="0" applyFont="1" applyFill="1" applyBorder="1" applyAlignment="1">
      <alignment horizontal="center" vertical="top"/>
    </xf>
    <xf numFmtId="0" fontId="8" fillId="0" borderId="27" xfId="0" applyFont="1" applyFill="1" applyBorder="1" applyAlignment="1">
      <alignment horizontal="center" vertical="top"/>
    </xf>
    <xf numFmtId="0" fontId="8" fillId="0" borderId="27" xfId="0" applyFont="1" applyFill="1" applyBorder="1" applyAlignment="1">
      <alignment horizontal="left" vertical="top" wrapText="1"/>
    </xf>
    <xf numFmtId="164" fontId="7" fillId="0" borderId="89" xfId="0" applyNumberFormat="1" applyFont="1" applyFill="1" applyBorder="1" applyAlignment="1">
      <alignment horizontal="center" vertical="center" wrapText="1"/>
    </xf>
    <xf numFmtId="0" fontId="7" fillId="0" borderId="89" xfId="0" applyFont="1" applyFill="1" applyBorder="1" applyAlignment="1">
      <alignment horizontal="center" vertical="center" wrapText="1"/>
    </xf>
    <xf numFmtId="3" fontId="7" fillId="0" borderId="89" xfId="0" applyNumberFormat="1" applyFont="1" applyFill="1" applyBorder="1" applyAlignment="1">
      <alignment vertical="center" wrapText="1"/>
    </xf>
    <xf numFmtId="0" fontId="7" fillId="0" borderId="89" xfId="0" applyFont="1" applyFill="1" applyBorder="1" applyAlignment="1">
      <alignment vertical="center" wrapText="1"/>
    </xf>
    <xf numFmtId="41" fontId="7" fillId="0" borderId="89" xfId="0" applyNumberFormat="1" applyFont="1" applyFill="1" applyBorder="1" applyAlignment="1">
      <alignment horizontal="center" vertical="center" wrapText="1"/>
    </xf>
    <xf numFmtId="41" fontId="7" fillId="9" borderId="89" xfId="0" applyNumberFormat="1" applyFont="1" applyFill="1" applyBorder="1" applyAlignment="1">
      <alignment horizontal="center" vertical="center" wrapText="1"/>
    </xf>
    <xf numFmtId="3" fontId="7" fillId="0" borderId="89" xfId="0" applyNumberFormat="1" applyFont="1" applyFill="1" applyBorder="1" applyAlignment="1">
      <alignment horizontal="center" vertical="top" wrapText="1"/>
    </xf>
    <xf numFmtId="43" fontId="7" fillId="0" borderId="89" xfId="2" applyFont="1" applyFill="1" applyBorder="1" applyAlignment="1">
      <alignment horizontal="center" vertical="center" wrapText="1"/>
    </xf>
    <xf numFmtId="0" fontId="21" fillId="0" borderId="2" xfId="0" applyFont="1" applyBorder="1" applyAlignment="1">
      <alignment vertical="top" wrapText="1"/>
    </xf>
    <xf numFmtId="0" fontId="21" fillId="0" borderId="4" xfId="0" applyFont="1" applyBorder="1" applyAlignment="1">
      <alignment vertical="top" wrapText="1"/>
    </xf>
    <xf numFmtId="0" fontId="17" fillId="4" borderId="1" xfId="0" applyFont="1" applyFill="1" applyBorder="1" applyAlignment="1">
      <alignment horizontal="right"/>
    </xf>
    <xf numFmtId="0" fontId="21" fillId="4" borderId="1" xfId="0" applyFont="1" applyFill="1" applyBorder="1" applyAlignment="1">
      <alignment horizontal="center"/>
    </xf>
    <xf numFmtId="0" fontId="7" fillId="0" borderId="1" xfId="0" applyFont="1" applyFill="1" applyBorder="1" applyAlignment="1">
      <alignment horizontal="right"/>
    </xf>
    <xf numFmtId="0" fontId="8" fillId="0" borderId="1" xfId="0" applyFont="1" applyFill="1" applyBorder="1" applyAlignment="1">
      <alignment horizontal="center"/>
    </xf>
    <xf numFmtId="0" fontId="8" fillId="9" borderId="63" xfId="0" applyFont="1" applyFill="1" applyBorder="1" applyAlignment="1">
      <alignment vertical="top" wrapText="1"/>
    </xf>
    <xf numFmtId="0" fontId="8" fillId="9" borderId="83" xfId="0" applyFont="1" applyFill="1" applyBorder="1" applyAlignment="1">
      <alignment vertical="top" wrapText="1"/>
    </xf>
    <xf numFmtId="41" fontId="8" fillId="0" borderId="2" xfId="1" applyFont="1" applyFill="1" applyBorder="1" applyAlignment="1">
      <alignment horizontal="center" vertical="top"/>
    </xf>
    <xf numFmtId="41" fontId="8" fillId="0" borderId="4" xfId="1" applyFont="1" applyFill="1" applyBorder="1" applyAlignment="1">
      <alignment horizontal="center" vertical="top"/>
    </xf>
    <xf numFmtId="2" fontId="8" fillId="0" borderId="2" xfId="0" applyNumberFormat="1" applyFont="1" applyFill="1" applyBorder="1" applyAlignment="1">
      <alignment horizontal="center" vertical="top"/>
    </xf>
    <xf numFmtId="2" fontId="8" fillId="0" borderId="4" xfId="0" applyNumberFormat="1" applyFont="1" applyFill="1" applyBorder="1" applyAlignment="1">
      <alignment horizontal="center" vertical="top"/>
    </xf>
    <xf numFmtId="0" fontId="8" fillId="0" borderId="2" xfId="0" applyFont="1" applyFill="1" applyBorder="1" applyAlignment="1">
      <alignment horizontal="center" vertical="center" wrapText="1"/>
    </xf>
    <xf numFmtId="0" fontId="8" fillId="0" borderId="4" xfId="0" applyFont="1" applyFill="1" applyBorder="1" applyAlignment="1">
      <alignment horizontal="center" vertical="center" wrapText="1"/>
    </xf>
    <xf numFmtId="2" fontId="8" fillId="0" borderId="2" xfId="0" applyNumberFormat="1" applyFont="1" applyFill="1" applyBorder="1" applyAlignment="1">
      <alignment horizontal="right" vertical="top"/>
    </xf>
    <xf numFmtId="2" fontId="8" fillId="0" borderId="3" xfId="0" applyNumberFormat="1" applyFont="1" applyFill="1" applyBorder="1" applyAlignment="1">
      <alignment horizontal="right" vertical="top"/>
    </xf>
    <xf numFmtId="2" fontId="8" fillId="0" borderId="4" xfId="0" applyNumberFormat="1" applyFont="1" applyFill="1" applyBorder="1" applyAlignment="1">
      <alignment horizontal="right" vertical="top"/>
    </xf>
    <xf numFmtId="41" fontId="8" fillId="0" borderId="3" xfId="1" applyFont="1" applyFill="1" applyBorder="1" applyAlignment="1">
      <alignment horizontal="center" vertical="top"/>
    </xf>
    <xf numFmtId="0" fontId="8" fillId="0" borderId="3" xfId="0" applyFont="1" applyFill="1" applyBorder="1" applyAlignment="1">
      <alignment horizontal="center" vertical="top"/>
    </xf>
    <xf numFmtId="0" fontId="8" fillId="0" borderId="3" xfId="0" applyFont="1" applyFill="1" applyBorder="1" applyAlignment="1">
      <alignment horizontal="center" vertical="center" wrapText="1"/>
    </xf>
    <xf numFmtId="41" fontId="8" fillId="0" borderId="1" xfId="1" applyFont="1" applyFill="1" applyBorder="1" applyAlignment="1">
      <alignment horizontal="center" vertical="top"/>
    </xf>
    <xf numFmtId="41" fontId="8" fillId="0" borderId="1" xfId="1" quotePrefix="1" applyFont="1" applyFill="1" applyBorder="1" applyAlignment="1">
      <alignment horizontal="center" vertical="top"/>
    </xf>
    <xf numFmtId="0" fontId="7" fillId="0" borderId="2" xfId="0" applyFont="1" applyFill="1" applyBorder="1" applyAlignment="1">
      <alignment horizontal="center" vertical="top"/>
    </xf>
    <xf numFmtId="0" fontId="7" fillId="0" borderId="3" xfId="0" applyFont="1" applyFill="1" applyBorder="1" applyAlignment="1">
      <alignment horizontal="center" vertical="top"/>
    </xf>
    <xf numFmtId="0" fontId="7" fillId="0" borderId="4" xfId="0" applyFont="1" applyFill="1" applyBorder="1" applyAlignment="1">
      <alignment horizontal="center" vertical="top"/>
    </xf>
    <xf numFmtId="2" fontId="8" fillId="0" borderId="3" xfId="0" applyNumberFormat="1" applyFont="1" applyFill="1" applyBorder="1" applyAlignment="1">
      <alignment horizontal="center" vertical="top"/>
    </xf>
    <xf numFmtId="41" fontId="8" fillId="0" borderId="2" xfId="1" quotePrefix="1" applyFont="1" applyFill="1" applyBorder="1" applyAlignment="1">
      <alignment horizontal="center" vertical="top"/>
    </xf>
    <xf numFmtId="41" fontId="8" fillId="0" borderId="3" xfId="1" quotePrefix="1" applyFont="1" applyFill="1" applyBorder="1" applyAlignment="1">
      <alignment horizontal="center" vertical="top"/>
    </xf>
    <xf numFmtId="41" fontId="8" fillId="0" borderId="4" xfId="1" quotePrefix="1" applyFont="1" applyFill="1" applyBorder="1" applyAlignment="1">
      <alignment horizontal="center" vertical="top"/>
    </xf>
    <xf numFmtId="2" fontId="8" fillId="0" borderId="1" xfId="0" applyNumberFormat="1" applyFont="1" applyFill="1" applyBorder="1" applyAlignment="1">
      <alignment horizontal="center" vertical="top"/>
    </xf>
    <xf numFmtId="0" fontId="8" fillId="0" borderId="7" xfId="0" applyFont="1" applyBorder="1" applyAlignment="1">
      <alignment horizontal="center" vertical="top"/>
    </xf>
    <xf numFmtId="0" fontId="8" fillId="0" borderId="15" xfId="0" applyFont="1" applyBorder="1" applyAlignment="1">
      <alignment horizontal="center" vertical="top"/>
    </xf>
    <xf numFmtId="0" fontId="8" fillId="0" borderId="8" xfId="0" applyFont="1" applyBorder="1" applyAlignment="1">
      <alignment horizontal="center" vertical="top"/>
    </xf>
    <xf numFmtId="0" fontId="7" fillId="9" borderId="1" xfId="0" applyFont="1" applyFill="1" applyBorder="1" applyAlignment="1">
      <alignment horizontal="right" vertical="top"/>
    </xf>
    <xf numFmtId="0" fontId="8" fillId="9" borderId="1" xfId="0" applyFont="1" applyFill="1" applyBorder="1" applyAlignment="1">
      <alignment horizontal="right" vertical="top"/>
    </xf>
    <xf numFmtId="0" fontId="8" fillId="0" borderId="3" xfId="0" applyFont="1" applyFill="1" applyBorder="1" applyAlignment="1">
      <alignment horizontal="left" wrapText="1"/>
    </xf>
    <xf numFmtId="0" fontId="8" fillId="0" borderId="4" xfId="0" applyFont="1" applyFill="1" applyBorder="1" applyAlignment="1">
      <alignment horizontal="left" wrapText="1"/>
    </xf>
    <xf numFmtId="0" fontId="8" fillId="0" borderId="3" xfId="0" applyFont="1" applyFill="1" applyBorder="1" applyAlignment="1">
      <alignment horizontal="center" vertical="top" wrapText="1"/>
    </xf>
    <xf numFmtId="0" fontId="8" fillId="0" borderId="11" xfId="0" applyFont="1" applyBorder="1" applyAlignment="1">
      <alignment horizontal="center" vertical="top"/>
    </xf>
    <xf numFmtId="0" fontId="8" fillId="0" borderId="13" xfId="0" applyFont="1" applyBorder="1" applyAlignment="1">
      <alignment horizontal="center" vertical="top"/>
    </xf>
    <xf numFmtId="0" fontId="8" fillId="0" borderId="12" xfId="0" applyFont="1" applyBorder="1" applyAlignment="1">
      <alignment horizontal="center" vertical="top"/>
    </xf>
    <xf numFmtId="0" fontId="15" fillId="0" borderId="49" xfId="0" applyFont="1" applyBorder="1" applyAlignment="1">
      <alignment horizontal="left" vertical="top" wrapText="1" indent="15"/>
    </xf>
    <xf numFmtId="0" fontId="8" fillId="0" borderId="49" xfId="0" applyFont="1" applyBorder="1" applyAlignment="1">
      <alignment vertical="top" wrapText="1"/>
    </xf>
    <xf numFmtId="0" fontId="8" fillId="0" borderId="51" xfId="0" applyFont="1" applyBorder="1" applyAlignment="1">
      <alignment horizontal="center" vertical="top"/>
    </xf>
    <xf numFmtId="0" fontId="8" fillId="0" borderId="52" xfId="0" applyFont="1" applyBorder="1" applyAlignment="1">
      <alignment horizontal="center" vertical="top"/>
    </xf>
    <xf numFmtId="0" fontId="8" fillId="0" borderId="53" xfId="0" applyFont="1" applyBorder="1" applyAlignment="1">
      <alignment horizontal="center" vertical="top"/>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33" xfId="0" applyFont="1" applyBorder="1" applyAlignment="1">
      <alignment horizontal="center" vertical="top"/>
    </xf>
    <xf numFmtId="0" fontId="8" fillId="0" borderId="34" xfId="0" applyFont="1" applyBorder="1" applyAlignment="1">
      <alignment horizontal="center" vertical="top"/>
    </xf>
    <xf numFmtId="0" fontId="8" fillId="0" borderId="35" xfId="0" applyFont="1" applyBorder="1" applyAlignment="1">
      <alignment horizontal="center" vertical="top"/>
    </xf>
    <xf numFmtId="0" fontId="7" fillId="0" borderId="11" xfId="0" applyFont="1" applyFill="1" applyBorder="1" applyAlignment="1">
      <alignment horizontal="left" vertical="center"/>
    </xf>
    <xf numFmtId="0" fontId="7" fillId="0" borderId="13" xfId="0" applyFont="1" applyFill="1" applyBorder="1" applyAlignment="1">
      <alignment horizontal="left" vertical="center"/>
    </xf>
    <xf numFmtId="0" fontId="7" fillId="0" borderId="12" xfId="0" applyFont="1" applyFill="1" applyBorder="1" applyAlignment="1">
      <alignment horizontal="left" vertical="center"/>
    </xf>
    <xf numFmtId="164" fontId="7" fillId="0" borderId="2" xfId="0" applyNumberFormat="1" applyFont="1" applyBorder="1" applyAlignment="1">
      <alignment horizontal="center" vertical="top" wrapText="1"/>
    </xf>
    <xf numFmtId="0" fontId="7" fillId="0" borderId="85" xfId="0" applyFont="1" applyBorder="1" applyAlignment="1">
      <alignment horizontal="center" vertical="top" wrapText="1"/>
    </xf>
    <xf numFmtId="41" fontId="7" fillId="0" borderId="2" xfId="0" applyNumberFormat="1" applyFont="1" applyBorder="1" applyAlignment="1">
      <alignment horizontal="center" vertical="top" wrapText="1"/>
    </xf>
    <xf numFmtId="41" fontId="7" fillId="0" borderId="85" xfId="0" applyNumberFormat="1" applyFont="1" applyBorder="1" applyAlignment="1">
      <alignment horizontal="center" vertical="top" wrapText="1"/>
    </xf>
    <xf numFmtId="41" fontId="8" fillId="0" borderId="2" xfId="1" applyFont="1" applyBorder="1" applyAlignment="1">
      <alignment horizontal="center" vertical="top" wrapText="1"/>
    </xf>
    <xf numFmtId="41" fontId="8" fillId="0" borderId="85" xfId="1" applyFont="1" applyBorder="1" applyAlignment="1">
      <alignment horizontal="center" vertical="top" wrapText="1"/>
    </xf>
    <xf numFmtId="0" fontId="17" fillId="16" borderId="11" xfId="0" applyFont="1" applyFill="1" applyBorder="1" applyAlignment="1">
      <alignment horizontal="left" vertical="top" wrapText="1"/>
    </xf>
    <xf numFmtId="0" fontId="17" fillId="16" borderId="12" xfId="0" applyFont="1" applyFill="1" applyBorder="1" applyAlignment="1">
      <alignment horizontal="left" vertical="top" wrapText="1"/>
    </xf>
    <xf numFmtId="0" fontId="7" fillId="9" borderId="1" xfId="0" applyFont="1" applyFill="1" applyBorder="1" applyAlignment="1">
      <alignment horizontal="right"/>
    </xf>
    <xf numFmtId="41" fontId="7" fillId="9" borderId="11" xfId="0" applyNumberFormat="1" applyFont="1" applyFill="1" applyBorder="1" applyAlignment="1">
      <alignment horizontal="center"/>
    </xf>
    <xf numFmtId="0" fontId="8" fillId="0" borderId="13" xfId="0" applyFont="1" applyBorder="1"/>
    <xf numFmtId="0" fontId="8" fillId="0" borderId="12" xfId="0" applyFont="1" applyBorder="1"/>
    <xf numFmtId="0" fontId="15" fillId="0" borderId="83" xfId="0" applyFont="1" applyBorder="1" applyAlignment="1">
      <alignment vertical="top" wrapText="1"/>
    </xf>
    <xf numFmtId="164" fontId="7" fillId="0" borderId="47" xfId="0" applyNumberFormat="1" applyFont="1" applyBorder="1" applyAlignment="1">
      <alignment horizontal="center" vertical="top" wrapText="1"/>
    </xf>
    <xf numFmtId="164" fontId="7" fillId="0" borderId="3" xfId="0" applyNumberFormat="1" applyFont="1" applyBorder="1" applyAlignment="1">
      <alignment horizontal="center" vertical="top" wrapText="1"/>
    </xf>
    <xf numFmtId="164" fontId="7" fillId="0" borderId="85" xfId="0" applyNumberFormat="1" applyFont="1" applyBorder="1" applyAlignment="1">
      <alignment horizontal="center" vertical="top" wrapText="1"/>
    </xf>
    <xf numFmtId="43" fontId="7" fillId="0" borderId="47" xfId="0" applyNumberFormat="1" applyFont="1" applyBorder="1" applyAlignment="1">
      <alignment horizontal="center" vertical="top" wrapText="1"/>
    </xf>
    <xf numFmtId="43" fontId="7" fillId="0" borderId="3" xfId="0" applyNumberFormat="1" applyFont="1" applyBorder="1" applyAlignment="1">
      <alignment horizontal="center" vertical="top" wrapText="1"/>
    </xf>
    <xf numFmtId="43" fontId="7" fillId="0" borderId="85" xfId="0" applyNumberFormat="1" applyFont="1" applyBorder="1" applyAlignment="1">
      <alignment horizontal="center" vertical="top" wrapText="1"/>
    </xf>
    <xf numFmtId="0" fontId="8" fillId="0" borderId="11" xfId="0" applyFont="1" applyBorder="1" applyAlignment="1">
      <alignment horizontal="right" vertical="top"/>
    </xf>
    <xf numFmtId="0" fontId="8" fillId="0" borderId="13" xfId="0" applyFont="1" applyBorder="1" applyAlignment="1">
      <alignment horizontal="right" vertical="top"/>
    </xf>
    <xf numFmtId="0" fontId="8" fillId="0" borderId="12" xfId="0" applyFont="1" applyBorder="1" applyAlignment="1">
      <alignment horizontal="right" vertical="top"/>
    </xf>
    <xf numFmtId="41" fontId="8" fillId="0" borderId="2" xfId="0" applyNumberFormat="1" applyFont="1" applyBorder="1" applyAlignment="1">
      <alignment horizontal="center" vertical="top" wrapText="1"/>
    </xf>
    <xf numFmtId="41" fontId="8" fillId="0" borderId="85" xfId="0" applyNumberFormat="1" applyFont="1" applyBorder="1" applyAlignment="1">
      <alignment horizontal="center" vertical="top" wrapText="1"/>
    </xf>
    <xf numFmtId="164" fontId="8" fillId="0" borderId="2" xfId="0" applyNumberFormat="1" applyFont="1" applyBorder="1" applyAlignment="1">
      <alignment horizontal="center" vertical="top" wrapText="1"/>
    </xf>
    <xf numFmtId="164" fontId="8" fillId="0" borderId="85" xfId="0" applyNumberFormat="1" applyFont="1" applyBorder="1" applyAlignment="1">
      <alignment horizontal="center" vertical="top" wrapText="1"/>
    </xf>
    <xf numFmtId="166" fontId="8" fillId="0" borderId="2" xfId="0" applyNumberFormat="1" applyFont="1" applyBorder="1" applyAlignment="1">
      <alignment horizontal="center" vertical="top" wrapText="1"/>
    </xf>
    <xf numFmtId="166" fontId="8" fillId="0" borderId="85" xfId="0" applyNumberFormat="1" applyFont="1" applyBorder="1" applyAlignment="1">
      <alignment horizontal="center" vertical="top" wrapText="1"/>
    </xf>
    <xf numFmtId="0" fontId="8" fillId="0" borderId="2" xfId="0" applyFont="1" applyBorder="1" applyAlignment="1">
      <alignment horizontal="left" vertical="top" wrapText="1"/>
    </xf>
    <xf numFmtId="0" fontId="8" fillId="0" borderId="3" xfId="0" applyFont="1" applyBorder="1" applyAlignment="1">
      <alignment horizontal="left" vertical="top" wrapText="1"/>
    </xf>
    <xf numFmtId="0" fontId="8" fillId="0" borderId="86" xfId="0" applyFont="1" applyBorder="1" applyAlignment="1">
      <alignment horizontal="left" vertical="top" wrapText="1"/>
    </xf>
    <xf numFmtId="41" fontId="7" fillId="0" borderId="47" xfId="0" applyNumberFormat="1" applyFont="1" applyBorder="1" applyAlignment="1">
      <alignment horizontal="center" vertical="top" wrapText="1"/>
    </xf>
    <xf numFmtId="41" fontId="7" fillId="0" borderId="3" xfId="0" applyNumberFormat="1" applyFont="1" applyBorder="1" applyAlignment="1">
      <alignment horizontal="center" vertical="top" wrapText="1"/>
    </xf>
    <xf numFmtId="164" fontId="8" fillId="0" borderId="47" xfId="1" applyNumberFormat="1" applyFont="1" applyFill="1" applyBorder="1" applyAlignment="1">
      <alignment horizontal="center" vertical="top"/>
    </xf>
    <xf numFmtId="164" fontId="8" fillId="0" borderId="85" xfId="1" applyNumberFormat="1" applyFont="1" applyFill="1" applyBorder="1" applyAlignment="1">
      <alignment horizontal="center" vertical="top"/>
    </xf>
    <xf numFmtId="164" fontId="8" fillId="0" borderId="3" xfId="1" applyNumberFormat="1" applyFont="1" applyFill="1" applyBorder="1" applyAlignment="1">
      <alignment horizontal="center" vertical="top"/>
    </xf>
    <xf numFmtId="41" fontId="8" fillId="0" borderId="47" xfId="0" applyNumberFormat="1" applyFont="1" applyBorder="1" applyAlignment="1">
      <alignment horizontal="center" vertical="top" wrapText="1"/>
    </xf>
    <xf numFmtId="41" fontId="8" fillId="0" borderId="3" xfId="0" applyNumberFormat="1" applyFont="1" applyBorder="1" applyAlignment="1">
      <alignment horizontal="center" vertical="top" wrapText="1"/>
    </xf>
    <xf numFmtId="0" fontId="7" fillId="4" borderId="11" xfId="0" applyFont="1" applyFill="1" applyBorder="1" applyAlignment="1">
      <alignment horizontal="center"/>
    </xf>
    <xf numFmtId="0" fontId="7" fillId="4" borderId="13" xfId="0" applyFont="1" applyFill="1" applyBorder="1" applyAlignment="1">
      <alignment horizontal="center"/>
    </xf>
    <xf numFmtId="0" fontId="7" fillId="4" borderId="12" xfId="0" applyFont="1" applyFill="1" applyBorder="1" applyAlignment="1">
      <alignment horizontal="center"/>
    </xf>
    <xf numFmtId="0" fontId="8" fillId="4" borderId="1" xfId="0" applyFont="1" applyFill="1" applyBorder="1" applyAlignment="1">
      <alignment horizontal="center"/>
    </xf>
    <xf numFmtId="0" fontId="7" fillId="18" borderId="11" xfId="0" applyFont="1" applyFill="1" applyBorder="1" applyAlignment="1">
      <alignment horizontal="right"/>
    </xf>
    <xf numFmtId="0" fontId="8" fillId="18" borderId="13" xfId="0" applyFont="1" applyFill="1" applyBorder="1" applyAlignment="1">
      <alignment horizontal="right"/>
    </xf>
    <xf numFmtId="0" fontId="8" fillId="18" borderId="12" xfId="0" applyFont="1" applyFill="1" applyBorder="1" applyAlignment="1">
      <alignment horizontal="right"/>
    </xf>
    <xf numFmtId="0" fontId="8" fillId="0" borderId="13" xfId="0" applyFont="1" applyBorder="1" applyAlignment="1">
      <alignment horizontal="left" vertical="center"/>
    </xf>
    <xf numFmtId="0" fontId="8" fillId="0" borderId="12" xfId="0" applyFont="1" applyBorder="1" applyAlignment="1">
      <alignment horizontal="left" vertical="center"/>
    </xf>
    <xf numFmtId="0" fontId="7" fillId="0" borderId="2" xfId="0" applyFont="1" applyFill="1" applyBorder="1" applyAlignment="1">
      <alignment horizontal="left" vertical="top" wrapText="1"/>
    </xf>
    <xf numFmtId="0" fontId="7" fillId="0" borderId="3" xfId="0" applyFont="1" applyFill="1" applyBorder="1" applyAlignment="1">
      <alignment horizontal="left" vertical="top" wrapText="1"/>
    </xf>
    <xf numFmtId="164" fontId="8" fillId="0" borderId="47" xfId="0" applyNumberFormat="1" applyFont="1" applyBorder="1" applyAlignment="1">
      <alignment horizontal="center" vertical="top" wrapText="1"/>
    </xf>
    <xf numFmtId="164" fontId="8" fillId="0" borderId="3" xfId="0" applyNumberFormat="1" applyFont="1" applyBorder="1" applyAlignment="1">
      <alignment horizontal="center" vertical="top" wrapText="1"/>
    </xf>
    <xf numFmtId="0" fontId="7" fillId="4" borderId="1" xfId="0" applyFont="1" applyFill="1" applyBorder="1" applyAlignment="1">
      <alignment horizontal="right"/>
    </xf>
    <xf numFmtId="41" fontId="8" fillId="0" borderId="1" xfId="1" applyNumberFormat="1" applyFont="1" applyBorder="1" applyAlignment="1">
      <alignment horizontal="left" vertical="top" wrapText="1"/>
    </xf>
    <xf numFmtId="41" fontId="8" fillId="0" borderId="1" xfId="1" applyFont="1" applyBorder="1" applyAlignment="1">
      <alignment horizontal="left" vertical="top" wrapText="1"/>
    </xf>
    <xf numFmtId="41" fontId="7" fillId="0" borderId="2" xfId="0" applyNumberFormat="1" applyFont="1" applyFill="1" applyBorder="1" applyAlignment="1">
      <alignment horizontal="left" vertical="center" textRotation="255" wrapText="1"/>
    </xf>
    <xf numFmtId="41" fontId="7" fillId="0" borderId="3" xfId="0" applyNumberFormat="1" applyFont="1" applyFill="1" applyBorder="1" applyAlignment="1">
      <alignment horizontal="left" vertical="center" textRotation="255" wrapText="1"/>
    </xf>
    <xf numFmtId="41" fontId="7" fillId="0" borderId="4" xfId="0" applyNumberFormat="1" applyFont="1" applyFill="1" applyBorder="1" applyAlignment="1">
      <alignment horizontal="left" vertical="center" textRotation="255" wrapText="1"/>
    </xf>
    <xf numFmtId="0" fontId="2" fillId="0" borderId="1" xfId="0" applyFont="1" applyBorder="1" applyAlignment="1">
      <alignment horizontal="right" vertical="top"/>
    </xf>
    <xf numFmtId="0" fontId="4" fillId="4" borderId="1" xfId="0" applyFont="1" applyFill="1" applyBorder="1" applyAlignment="1">
      <alignment horizontal="right"/>
    </xf>
    <xf numFmtId="0" fontId="2" fillId="4" borderId="1" xfId="0" applyFont="1" applyFill="1" applyBorder="1" applyAlignment="1">
      <alignment horizontal="center"/>
    </xf>
    <xf numFmtId="0" fontId="7" fillId="0" borderId="55" xfId="0" applyFont="1" applyFill="1" applyBorder="1" applyAlignment="1">
      <alignment horizontal="left" vertical="top" wrapText="1"/>
    </xf>
    <xf numFmtId="0" fontId="7" fillId="0" borderId="5" xfId="0" applyFont="1" applyFill="1" applyBorder="1" applyAlignment="1">
      <alignment horizontal="left" vertical="top" wrapText="1"/>
    </xf>
    <xf numFmtId="0" fontId="8" fillId="0" borderId="2" xfId="0" applyFont="1" applyFill="1" applyBorder="1" applyAlignment="1">
      <alignment horizontal="left" vertical="center" wrapText="1"/>
    </xf>
    <xf numFmtId="0" fontId="8" fillId="0" borderId="4" xfId="0" applyFont="1" applyFill="1" applyBorder="1" applyAlignment="1">
      <alignment horizontal="left" vertical="center" wrapText="1"/>
    </xf>
    <xf numFmtId="0" fontId="23" fillId="0" borderId="9" xfId="0" applyFont="1" applyFill="1" applyBorder="1" applyAlignment="1">
      <alignment horizontal="left" vertical="top" wrapText="1"/>
    </xf>
    <xf numFmtId="0" fontId="23" fillId="0" borderId="7" xfId="0" applyFont="1" applyFill="1" applyBorder="1" applyAlignment="1">
      <alignment horizontal="left" vertical="top" wrapText="1"/>
    </xf>
    <xf numFmtId="0" fontId="15" fillId="9" borderId="1" xfId="0" applyFont="1" applyFill="1" applyBorder="1" applyAlignment="1">
      <alignment vertical="top" wrapText="1"/>
    </xf>
    <xf numFmtId="0" fontId="7" fillId="0" borderId="11" xfId="0" applyFont="1" applyBorder="1" applyAlignment="1">
      <alignment horizontal="left" vertical="center"/>
    </xf>
    <xf numFmtId="0" fontId="7" fillId="0" borderId="13" xfId="0" applyFont="1" applyBorder="1" applyAlignment="1">
      <alignment horizontal="left" vertical="center"/>
    </xf>
    <xf numFmtId="0" fontId="7" fillId="0" borderId="12" xfId="0" applyFont="1" applyBorder="1" applyAlignment="1">
      <alignment horizontal="left" vertical="center"/>
    </xf>
    <xf numFmtId="0" fontId="8" fillId="0" borderId="2" xfId="0" applyFont="1" applyFill="1" applyBorder="1" applyAlignment="1">
      <alignment horizontal="justify" vertical="top" wrapText="1"/>
    </xf>
    <xf numFmtId="0" fontId="8" fillId="0" borderId="3" xfId="0" applyFont="1" applyFill="1" applyBorder="1" applyAlignment="1">
      <alignment horizontal="justify" vertical="top" wrapText="1"/>
    </xf>
    <xf numFmtId="0" fontId="8" fillId="0" borderId="4" xfId="0" applyFont="1" applyFill="1" applyBorder="1" applyAlignment="1">
      <alignment horizontal="justify" vertical="top" wrapText="1"/>
    </xf>
    <xf numFmtId="0" fontId="7" fillId="9" borderId="1" xfId="0" applyFont="1" applyFill="1" applyBorder="1" applyAlignment="1">
      <alignment horizontal="left" vertical="top" wrapText="1"/>
    </xf>
    <xf numFmtId="0" fontId="15" fillId="9" borderId="1" xfId="0" applyFont="1" applyFill="1" applyBorder="1" applyAlignment="1">
      <alignment horizontal="center" vertical="top" wrapText="1"/>
    </xf>
    <xf numFmtId="0" fontId="15" fillId="9" borderId="1" xfId="0" applyFont="1" applyFill="1" applyBorder="1" applyAlignment="1">
      <alignment horizontal="left" vertical="top" wrapText="1" indent="15"/>
    </xf>
    <xf numFmtId="0" fontId="7" fillId="0" borderId="9" xfId="0" applyFont="1" applyBorder="1" applyAlignment="1">
      <alignment horizontal="left" vertical="center"/>
    </xf>
    <xf numFmtId="0" fontId="7" fillId="0" borderId="14" xfId="0" applyFont="1" applyBorder="1" applyAlignment="1">
      <alignment horizontal="left" vertical="center"/>
    </xf>
    <xf numFmtId="0" fontId="7" fillId="0" borderId="10" xfId="0" applyFont="1" applyBorder="1" applyAlignment="1">
      <alignment horizontal="left" vertical="center"/>
    </xf>
    <xf numFmtId="0" fontId="7" fillId="9" borderId="2" xfId="0" applyFont="1" applyFill="1" applyBorder="1" applyAlignment="1">
      <alignment horizontal="left" vertical="top" wrapText="1"/>
    </xf>
    <xf numFmtId="0" fontId="7" fillId="9" borderId="4" xfId="0" applyFont="1" applyFill="1" applyBorder="1" applyAlignment="1">
      <alignment horizontal="left" vertical="top" wrapText="1"/>
    </xf>
    <xf numFmtId="0" fontId="21" fillId="0" borderId="1" xfId="0" applyFont="1" applyFill="1" applyBorder="1" applyAlignment="1">
      <alignment vertical="top" wrapText="1"/>
    </xf>
    <xf numFmtId="0" fontId="4" fillId="13" borderId="11" xfId="0" applyFont="1" applyFill="1" applyBorder="1" applyAlignment="1">
      <alignment horizontal="right"/>
    </xf>
    <xf numFmtId="0" fontId="4" fillId="13" borderId="13" xfId="0" applyFont="1" applyFill="1" applyBorder="1" applyAlignment="1">
      <alignment horizontal="right"/>
    </xf>
    <xf numFmtId="0" fontId="4" fillId="13" borderId="12" xfId="0" applyFont="1" applyFill="1" applyBorder="1" applyAlignment="1">
      <alignment horizontal="right"/>
    </xf>
    <xf numFmtId="0" fontId="7" fillId="0" borderId="11" xfId="0" applyFont="1" applyBorder="1" applyAlignment="1">
      <alignment horizontal="right" vertical="center"/>
    </xf>
    <xf numFmtId="0" fontId="7" fillId="0" borderId="13" xfId="0" applyFont="1" applyBorder="1" applyAlignment="1">
      <alignment horizontal="right" vertical="center"/>
    </xf>
    <xf numFmtId="0" fontId="7" fillId="0" borderId="12" xfId="0" applyFont="1" applyBorder="1" applyAlignment="1">
      <alignment horizontal="right" vertical="center"/>
    </xf>
    <xf numFmtId="0" fontId="28" fillId="12" borderId="11" xfId="0" applyFont="1" applyFill="1" applyBorder="1" applyAlignment="1">
      <alignment horizontal="left" vertical="center" wrapText="1"/>
    </xf>
    <xf numFmtId="0" fontId="28" fillId="12" borderId="12" xfId="0" applyFont="1" applyFill="1" applyBorder="1" applyAlignment="1">
      <alignment horizontal="left" vertical="center" wrapText="1"/>
    </xf>
    <xf numFmtId="0" fontId="28" fillId="12" borderId="11" xfId="0" applyFont="1" applyFill="1" applyBorder="1" applyAlignment="1">
      <alignment horizontal="left" vertical="top" wrapText="1"/>
    </xf>
    <xf numFmtId="0" fontId="28" fillId="12" borderId="12" xfId="0" applyFont="1" applyFill="1" applyBorder="1" applyAlignment="1">
      <alignment horizontal="left" vertical="top" wrapText="1"/>
    </xf>
    <xf numFmtId="0" fontId="4" fillId="0" borderId="11" xfId="0" applyFont="1" applyBorder="1" applyAlignment="1">
      <alignment horizontal="right" vertical="top"/>
    </xf>
    <xf numFmtId="0" fontId="4" fillId="0" borderId="13" xfId="0" applyFont="1" applyBorder="1" applyAlignment="1">
      <alignment horizontal="right" vertical="top"/>
    </xf>
    <xf numFmtId="0" fontId="4" fillId="0" borderId="12" xfId="0" applyFont="1" applyBorder="1" applyAlignment="1">
      <alignment horizontal="right" vertical="top"/>
    </xf>
    <xf numFmtId="0" fontId="2" fillId="13" borderId="11" xfId="0" applyFont="1" applyFill="1" applyBorder="1" applyAlignment="1">
      <alignment horizontal="center"/>
    </xf>
    <xf numFmtId="0" fontId="2" fillId="13" borderId="13" xfId="0" applyFont="1" applyFill="1" applyBorder="1" applyAlignment="1">
      <alignment horizontal="center"/>
    </xf>
    <xf numFmtId="0" fontId="2" fillId="13" borderId="12" xfId="0" applyFont="1" applyFill="1" applyBorder="1" applyAlignment="1">
      <alignment horizontal="center"/>
    </xf>
    <xf numFmtId="0" fontId="7" fillId="0" borderId="11" xfId="0" applyFont="1" applyFill="1" applyBorder="1" applyAlignment="1">
      <alignment horizontal="right" vertical="center"/>
    </xf>
    <xf numFmtId="0" fontId="7" fillId="0" borderId="13" xfId="0" applyFont="1" applyFill="1" applyBorder="1" applyAlignment="1">
      <alignment horizontal="right" vertical="center"/>
    </xf>
    <xf numFmtId="0" fontId="7" fillId="0" borderId="12" xfId="0" applyFont="1" applyFill="1" applyBorder="1" applyAlignment="1">
      <alignment horizontal="right" vertical="center"/>
    </xf>
    <xf numFmtId="0" fontId="8" fillId="0" borderId="1" xfId="0" applyFont="1" applyBorder="1" applyAlignment="1">
      <alignment horizontal="center"/>
    </xf>
    <xf numFmtId="0" fontId="7" fillId="0" borderId="1" xfId="0" applyFont="1" applyBorder="1" applyAlignment="1">
      <alignment horizontal="right"/>
    </xf>
    <xf numFmtId="0" fontId="0" fillId="5" borderId="9" xfId="0" applyFill="1" applyBorder="1" applyAlignment="1">
      <alignment horizontal="center"/>
    </xf>
    <xf numFmtId="0" fontId="0" fillId="5" borderId="10" xfId="0" applyFill="1" applyBorder="1" applyAlignment="1">
      <alignment horizontal="center"/>
    </xf>
    <xf numFmtId="0" fontId="0" fillId="5" borderId="7" xfId="0" applyFill="1" applyBorder="1" applyAlignment="1">
      <alignment horizontal="center"/>
    </xf>
    <xf numFmtId="0" fontId="0" fillId="5" borderId="8" xfId="0" applyFill="1" applyBorder="1" applyAlignment="1">
      <alignment horizontal="center"/>
    </xf>
    <xf numFmtId="0" fontId="3" fillId="0" borderId="0" xfId="0" applyFont="1" applyAlignment="1">
      <alignment horizontal="center"/>
    </xf>
    <xf numFmtId="0" fontId="0" fillId="5" borderId="2" xfId="0" quotePrefix="1" applyFill="1" applyBorder="1" applyAlignment="1">
      <alignment horizontal="center" vertical="center"/>
    </xf>
    <xf numFmtId="0" fontId="0" fillId="5" borderId="4" xfId="0" quotePrefix="1" applyFill="1" applyBorder="1" applyAlignment="1">
      <alignment horizontal="center" vertical="center"/>
    </xf>
    <xf numFmtId="0" fontId="0" fillId="5" borderId="5" xfId="0" applyFill="1" applyBorder="1" applyAlignment="1">
      <alignment horizontal="center"/>
    </xf>
    <xf numFmtId="0" fontId="0" fillId="5" borderId="6" xfId="0" applyFill="1" applyBorder="1" applyAlignment="1">
      <alignment horizontal="center"/>
    </xf>
    <xf numFmtId="0" fontId="0" fillId="5" borderId="9" xfId="0" applyFill="1" applyBorder="1" applyAlignment="1">
      <alignment horizontal="center" vertical="center"/>
    </xf>
    <xf numFmtId="0" fontId="0" fillId="5" borderId="10" xfId="0" applyFill="1" applyBorder="1" applyAlignment="1">
      <alignment horizontal="center" vertical="center"/>
    </xf>
    <xf numFmtId="0" fontId="0" fillId="5" borderId="5" xfId="0" applyFill="1" applyBorder="1" applyAlignment="1">
      <alignment horizontal="center" vertical="center"/>
    </xf>
    <xf numFmtId="0" fontId="0" fillId="5" borderId="6" xfId="0" applyFill="1" applyBorder="1" applyAlignment="1">
      <alignment horizontal="center" vertical="center"/>
    </xf>
    <xf numFmtId="0" fontId="0" fillId="5" borderId="7" xfId="0" applyFill="1" applyBorder="1" applyAlignment="1">
      <alignment horizontal="center" vertical="center"/>
    </xf>
    <xf numFmtId="0" fontId="0" fillId="5" borderId="8" xfId="0" applyFill="1" applyBorder="1" applyAlignment="1">
      <alignment horizontal="center" vertical="center"/>
    </xf>
    <xf numFmtId="0" fontId="0" fillId="0" borderId="9" xfId="0" applyBorder="1" applyAlignment="1">
      <alignment horizontal="center" vertical="top"/>
    </xf>
    <xf numFmtId="0" fontId="0" fillId="0" borderId="14" xfId="0" applyBorder="1" applyAlignment="1">
      <alignment horizontal="center" vertical="top"/>
    </xf>
    <xf numFmtId="0" fontId="0" fillId="0" borderId="10" xfId="0" applyBorder="1" applyAlignment="1">
      <alignment horizontal="center" vertical="top"/>
    </xf>
    <xf numFmtId="0" fontId="0" fillId="4" borderId="1" xfId="0" applyFill="1" applyBorder="1" applyAlignment="1">
      <alignment horizontal="center"/>
    </xf>
    <xf numFmtId="0" fontId="0" fillId="0" borderId="0" xfId="0" applyAlignment="1">
      <alignment horizontal="center"/>
    </xf>
    <xf numFmtId="0" fontId="0" fillId="5" borderId="14" xfId="0" applyFill="1" applyBorder="1" applyAlignment="1">
      <alignment horizontal="center"/>
    </xf>
    <xf numFmtId="0" fontId="0" fillId="5" borderId="15" xfId="0" applyFill="1" applyBorder="1" applyAlignment="1">
      <alignment horizontal="center"/>
    </xf>
    <xf numFmtId="0" fontId="0" fillId="5" borderId="2" xfId="0" applyFill="1" applyBorder="1" applyAlignment="1">
      <alignment horizontal="center" vertical="center"/>
    </xf>
    <xf numFmtId="0" fontId="0" fillId="5" borderId="3" xfId="0" applyFill="1" applyBorder="1" applyAlignment="1">
      <alignment horizontal="center" vertical="center"/>
    </xf>
    <xf numFmtId="0" fontId="0" fillId="5" borderId="4" xfId="0" applyFill="1" applyBorder="1" applyAlignment="1">
      <alignment horizontal="center" vertical="center"/>
    </xf>
    <xf numFmtId="0" fontId="0" fillId="5" borderId="14" xfId="0" applyFill="1" applyBorder="1" applyAlignment="1">
      <alignment horizontal="center" vertical="center"/>
    </xf>
    <xf numFmtId="0" fontId="0" fillId="5" borderId="0" xfId="0" applyFill="1" applyBorder="1" applyAlignment="1">
      <alignment horizontal="center" vertical="center"/>
    </xf>
    <xf numFmtId="0" fontId="0" fillId="5" borderId="15" xfId="0" applyFill="1" applyBorder="1" applyAlignment="1">
      <alignment horizontal="center" vertical="center"/>
    </xf>
    <xf numFmtId="0" fontId="0" fillId="5" borderId="2" xfId="0" applyFill="1" applyBorder="1" applyAlignment="1">
      <alignment horizontal="center" vertical="center" wrapText="1"/>
    </xf>
    <xf numFmtId="0" fontId="0" fillId="5" borderId="3" xfId="0" applyFill="1" applyBorder="1" applyAlignment="1">
      <alignment horizontal="center" vertical="center" wrapText="1"/>
    </xf>
    <xf numFmtId="0" fontId="0" fillId="5" borderId="4" xfId="0" applyFill="1" applyBorder="1" applyAlignment="1">
      <alignment horizontal="center" vertical="center" wrapText="1"/>
    </xf>
  </cellXfs>
  <cellStyles count="9">
    <cellStyle name="Comma" xfId="2" builtinId="3"/>
    <cellStyle name="Comma [0]" xfId="1" builtinId="6"/>
    <cellStyle name="Comma [0] 2" xfId="4"/>
    <cellStyle name="Comma [0] 4" xfId="6"/>
    <cellStyle name="Comma 2" xfId="7"/>
    <cellStyle name="Currency [0]" xfId="8" builtinId="7"/>
    <cellStyle name="Normal" xfId="0" builtinId="0"/>
    <cellStyle name="Normal 2" xfId="5"/>
    <cellStyle name="Percent" xfId="3"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sharedStrings" Target="sharedStrings.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7/KERJA/EDI%20KUSWANTO/MONEV/BULAN%20DESEMBER%202017.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ATA%20WAHYU/LAPORAN%20PROGRAM%202018/laporan%20bulanan%202018NEW.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LAPORAN%20PROGRAM%202017/laporan%20bulanan.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NSTRA/RENSTRA%20UTK%20APGU%20KOMULATIF.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kap%20capaian%20evaluasi%20RKPD.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NSTRA/RENSTRA%20UTK%20PAGU%20KOMULATI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KERJA/MONEV/BULAN%20MARET%2020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202018/FILE%20EXCEL/BULAN%20DESEMBER%20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LAPORAN%20AP/Laporan%20AP%202018/Laporan%20AP%2020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LAPORAN%20AP/Laporan%20AP%202017/lap%20ap%20mei%2020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nja%202018/Renja%202018/penyusunan%20LKPJ%202016%20Hal%20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Laporan%20AP%202017/lap%20ap%20mei%2020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KPD%20Dinas%20Pariwisata,%20Pemuda%20da%20Olahrag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PERENCANAAN%202017/TENTANG%20KEUANGAN/Perhitungan%20UP.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over"/>
      <sheetName val="KEU "/>
      <sheetName val="FISIK"/>
    </sheetNames>
    <sheetDataSet>
      <sheetData sheetId="0" refreshError="1"/>
      <sheetData sheetId="1" refreshError="1">
        <row r="13">
          <cell r="C13" t="str">
            <v>Penyediaan Jasa Komunikasi, Sumber Daya Air dan Listrik</v>
          </cell>
          <cell r="J13">
            <v>59403032</v>
          </cell>
        </row>
        <row r="16">
          <cell r="J16">
            <v>168089000</v>
          </cell>
        </row>
        <row r="17">
          <cell r="J17">
            <v>88179500</v>
          </cell>
        </row>
        <row r="21">
          <cell r="J21">
            <v>14822500</v>
          </cell>
        </row>
        <row r="23">
          <cell r="J23">
            <v>78476000</v>
          </cell>
        </row>
        <row r="25">
          <cell r="J25">
            <v>53174200</v>
          </cell>
        </row>
        <row r="27">
          <cell r="J27">
            <v>6580500</v>
          </cell>
        </row>
        <row r="29">
          <cell r="J29">
            <v>12125000</v>
          </cell>
        </row>
        <row r="31">
          <cell r="J31">
            <v>20487500</v>
          </cell>
        </row>
        <row r="33">
          <cell r="J33">
            <v>144478710</v>
          </cell>
        </row>
        <row r="35">
          <cell r="J35">
            <v>93023000</v>
          </cell>
        </row>
        <row r="37">
          <cell r="J37">
            <v>20748250</v>
          </cell>
        </row>
        <row r="41">
          <cell r="J41">
            <v>339025500</v>
          </cell>
        </row>
        <row r="49">
          <cell r="J49">
            <v>21800000</v>
          </cell>
        </row>
        <row r="51">
          <cell r="J51">
            <v>20435000</v>
          </cell>
        </row>
        <row r="54">
          <cell r="J54">
            <v>263642400</v>
          </cell>
        </row>
        <row r="57">
          <cell r="J57">
            <v>219341140</v>
          </cell>
        </row>
        <row r="65">
          <cell r="J65">
            <v>47365000</v>
          </cell>
        </row>
      </sheetData>
      <sheetData sheetId="2"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Januari "/>
      <sheetName val="Februari"/>
      <sheetName val="Maret"/>
      <sheetName val="April"/>
      <sheetName val="Pembgian Triwulan"/>
      <sheetName val="UP"/>
      <sheetName val="Fisik"/>
      <sheetName val="rekapbelanjamodal"/>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D3">
            <v>49800000</v>
          </cell>
          <cell r="E3">
            <v>7860525</v>
          </cell>
        </row>
        <row r="6">
          <cell r="D6">
            <v>82800000</v>
          </cell>
          <cell r="E6">
            <v>12950000</v>
          </cell>
        </row>
        <row r="9">
          <cell r="D9">
            <v>57205391</v>
          </cell>
          <cell r="E9">
            <v>12830000</v>
          </cell>
        </row>
        <row r="13">
          <cell r="D13">
            <v>24350000</v>
          </cell>
          <cell r="E13">
            <v>6350000</v>
          </cell>
        </row>
        <row r="16">
          <cell r="D16">
            <v>31655923</v>
          </cell>
          <cell r="E16">
            <v>5240000</v>
          </cell>
        </row>
        <row r="19">
          <cell r="D19">
            <v>22793564</v>
          </cell>
          <cell r="E19">
            <v>3800000</v>
          </cell>
        </row>
        <row r="22">
          <cell r="D22">
            <v>12738000</v>
          </cell>
          <cell r="E22">
            <v>0</v>
          </cell>
        </row>
        <row r="25">
          <cell r="D25">
            <v>6400000</v>
          </cell>
          <cell r="E25">
            <v>720000</v>
          </cell>
        </row>
        <row r="28">
          <cell r="D28">
            <v>43610000</v>
          </cell>
          <cell r="E28">
            <v>11715000</v>
          </cell>
        </row>
        <row r="31">
          <cell r="D31">
            <v>92000000</v>
          </cell>
          <cell r="E31">
            <v>28447800</v>
          </cell>
        </row>
        <row r="34">
          <cell r="D34">
            <v>53325000</v>
          </cell>
          <cell r="E34">
            <v>6000000</v>
          </cell>
        </row>
        <row r="37">
          <cell r="D37">
            <v>35000000</v>
          </cell>
          <cell r="E37">
            <v>0</v>
          </cell>
        </row>
        <row r="42">
          <cell r="D42">
            <v>3000000</v>
          </cell>
          <cell r="E42">
            <v>3000000</v>
          </cell>
        </row>
        <row r="45">
          <cell r="D45">
            <v>9000000</v>
          </cell>
          <cell r="E45">
            <v>9000000</v>
          </cell>
        </row>
        <row r="48">
          <cell r="D48">
            <v>40000000</v>
          </cell>
          <cell r="E48">
            <v>0</v>
          </cell>
        </row>
        <row r="51">
          <cell r="D51">
            <v>225742000</v>
          </cell>
          <cell r="E51">
            <v>37440500</v>
          </cell>
        </row>
        <row r="57">
          <cell r="D57">
            <v>1051610535</v>
          </cell>
          <cell r="E57">
            <v>265681000</v>
          </cell>
        </row>
        <row r="60">
          <cell r="D60">
            <v>632026454</v>
          </cell>
          <cell r="E60">
            <v>169913350</v>
          </cell>
        </row>
        <row r="63">
          <cell r="D63">
            <v>24345000</v>
          </cell>
          <cell r="E63">
            <v>900000</v>
          </cell>
        </row>
        <row r="67">
          <cell r="D67">
            <v>458379450</v>
          </cell>
          <cell r="E67">
            <v>85476000</v>
          </cell>
        </row>
        <row r="70">
          <cell r="D70">
            <v>16986500</v>
          </cell>
          <cell r="E70">
            <v>0</v>
          </cell>
        </row>
        <row r="73">
          <cell r="D73">
            <v>23362500</v>
          </cell>
          <cell r="E73">
            <v>0</v>
          </cell>
        </row>
        <row r="76">
          <cell r="D76">
            <v>21540500</v>
          </cell>
          <cell r="E76">
            <v>0</v>
          </cell>
        </row>
        <row r="81">
          <cell r="D81">
            <v>199785000</v>
          </cell>
          <cell r="E81">
            <v>46313051</v>
          </cell>
        </row>
        <row r="84">
          <cell r="D84">
            <v>28764000</v>
          </cell>
          <cell r="E84">
            <v>0</v>
          </cell>
        </row>
      </sheetData>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Feb 17"/>
      <sheetName val="Januari 17"/>
      <sheetName val="Maret 17 "/>
      <sheetName val="April 17"/>
      <sheetName val="MEI 17"/>
      <sheetName val="juni 17"/>
      <sheetName val="Juli 17"/>
      <sheetName val="Agust 17"/>
      <sheetName val="Sept 17"/>
      <sheetName val="Okt 17"/>
      <sheetName val="NOV 17 "/>
      <sheetName val="DES 17"/>
      <sheetName val="Pembgian Triwulan"/>
      <sheetName val="UP"/>
    </sheetNames>
    <sheetDataSet>
      <sheetData sheetId="0" refreshError="1"/>
      <sheetData sheetId="1" refreshError="1"/>
      <sheetData sheetId="2" refreshError="1">
        <row r="16">
          <cell r="H16">
            <v>12526950</v>
          </cell>
        </row>
        <row r="70">
          <cell r="H70">
            <v>0</v>
          </cell>
        </row>
      </sheetData>
      <sheetData sheetId="3" refreshError="1"/>
      <sheetData sheetId="4" refreshError="1"/>
      <sheetData sheetId="5" refreshError="1">
        <row r="16">
          <cell r="H16">
            <v>26255600</v>
          </cell>
        </row>
        <row r="99">
          <cell r="H99">
            <v>0</v>
          </cell>
        </row>
        <row r="112">
          <cell r="H112">
            <v>0</v>
          </cell>
        </row>
      </sheetData>
      <sheetData sheetId="6" refreshError="1"/>
      <sheetData sheetId="7" refreshError="1"/>
      <sheetData sheetId="8" refreshError="1">
        <row r="16">
          <cell r="H16">
            <v>36781700</v>
          </cell>
        </row>
        <row r="116">
          <cell r="H116">
            <v>0</v>
          </cell>
        </row>
      </sheetData>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14">
          <cell r="T14">
            <v>360676156.80000001</v>
          </cell>
        </row>
        <row r="15">
          <cell r="T15">
            <v>916665187.79999995</v>
          </cell>
        </row>
        <row r="16">
          <cell r="T16">
            <v>69912848.5</v>
          </cell>
        </row>
        <row r="17">
          <cell r="T17">
            <v>191141155.22</v>
          </cell>
        </row>
        <row r="18">
          <cell r="T18">
            <v>139854012</v>
          </cell>
        </row>
        <row r="19">
          <cell r="T19">
            <v>88070025.640000001</v>
          </cell>
        </row>
        <row r="20">
          <cell r="T20">
            <v>43400000</v>
          </cell>
        </row>
        <row r="21">
          <cell r="T21">
            <v>332784200</v>
          </cell>
        </row>
        <row r="22">
          <cell r="T22">
            <v>812554925</v>
          </cell>
        </row>
        <row r="23">
          <cell r="T23">
            <v>470861300</v>
          </cell>
        </row>
        <row r="24">
          <cell r="T24">
            <v>169465771.46000001</v>
          </cell>
        </row>
        <row r="35">
          <cell r="T35">
            <v>66492100</v>
          </cell>
        </row>
        <row r="36">
          <cell r="T36">
            <v>1273397255</v>
          </cell>
        </row>
        <row r="38">
          <cell r="T38">
            <v>243767000</v>
          </cell>
        </row>
        <row r="39">
          <cell r="T39">
            <v>372275000</v>
          </cell>
        </row>
        <row r="40">
          <cell r="T40">
            <v>555488250</v>
          </cell>
        </row>
        <row r="43">
          <cell r="T43">
            <v>380650000</v>
          </cell>
        </row>
        <row r="45">
          <cell r="T45">
            <v>256245000</v>
          </cell>
        </row>
        <row r="47">
          <cell r="T47">
            <v>59781283.799999997</v>
          </cell>
        </row>
        <row r="49">
          <cell r="T49">
            <v>761078432.92299998</v>
          </cell>
        </row>
        <row r="50">
          <cell r="T50">
            <v>340178662.88080001</v>
          </cell>
        </row>
        <row r="51">
          <cell r="T51">
            <v>431617954.80000001</v>
          </cell>
        </row>
        <row r="52">
          <cell r="T52">
            <v>1780479098.8699999</v>
          </cell>
        </row>
        <row r="53">
          <cell r="T53">
            <v>597638000</v>
          </cell>
        </row>
        <row r="54">
          <cell r="T54">
            <v>515247928.80000001</v>
          </cell>
        </row>
        <row r="56">
          <cell r="T56">
            <v>863911760.39999998</v>
          </cell>
        </row>
        <row r="57">
          <cell r="T57">
            <v>739387489.20000005</v>
          </cell>
        </row>
        <row r="58">
          <cell r="T58">
            <v>662667556.00999999</v>
          </cell>
        </row>
        <row r="60">
          <cell r="T60">
            <v>1283069606.1099999</v>
          </cell>
        </row>
        <row r="61">
          <cell r="T61">
            <v>928199725.26999998</v>
          </cell>
        </row>
        <row r="62">
          <cell r="T62">
            <v>1019224804.71</v>
          </cell>
        </row>
        <row r="63">
          <cell r="T63">
            <v>105676820</v>
          </cell>
        </row>
        <row r="64">
          <cell r="T64">
            <v>64596764</v>
          </cell>
        </row>
        <row r="65">
          <cell r="T65">
            <v>86765000</v>
          </cell>
        </row>
        <row r="66">
          <cell r="T66">
            <v>79565000</v>
          </cell>
        </row>
        <row r="67">
          <cell r="T67">
            <v>81365000</v>
          </cell>
        </row>
        <row r="68">
          <cell r="T68">
            <v>47611000</v>
          </cell>
        </row>
        <row r="69">
          <cell r="T69">
            <v>710949800</v>
          </cell>
        </row>
        <row r="72">
          <cell r="T72">
            <v>165000000</v>
          </cell>
        </row>
        <row r="73">
          <cell r="T73">
            <v>79551516</v>
          </cell>
        </row>
        <row r="74">
          <cell r="T74">
            <v>72640284</v>
          </cell>
        </row>
        <row r="75">
          <cell r="T75">
            <v>121040363</v>
          </cell>
        </row>
      </sheetData>
      <sheetData sheetId="1" refreshError="1"/>
      <sheetData sheetId="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ow r="3">
          <cell r="C3">
            <v>55.885580852524733</v>
          </cell>
        </row>
      </sheetData>
      <sheetData sheetId="1"/>
      <sheetData sheetId="2"/>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76">
          <cell r="T76">
            <v>98799888</v>
          </cell>
        </row>
      </sheetData>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over"/>
      <sheetName val="KEU "/>
      <sheetName val="FISIK"/>
    </sheetNames>
    <sheetDataSet>
      <sheetData sheetId="0" refreshError="1"/>
      <sheetData sheetId="1" refreshError="1">
        <row r="12">
          <cell r="E12">
            <v>65700000</v>
          </cell>
        </row>
        <row r="22">
          <cell r="H22">
            <v>0</v>
          </cell>
        </row>
      </sheetData>
      <sheetData sheetId="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over"/>
      <sheetName val="KEU "/>
      <sheetName val="DATA MONEV"/>
      <sheetName val="FISIK"/>
    </sheetNames>
    <sheetDataSet>
      <sheetData sheetId="0" refreshError="1"/>
      <sheetData sheetId="1" refreshError="1">
        <row r="73">
          <cell r="J73">
            <v>78899500</v>
          </cell>
        </row>
        <row r="131">
          <cell r="J131">
            <v>4449081050</v>
          </cell>
        </row>
        <row r="138">
          <cell r="J138">
            <v>85638650</v>
          </cell>
        </row>
      </sheetData>
      <sheetData sheetId="2" refreshError="1"/>
      <sheetData sheetId="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Jan 2018"/>
      <sheetName val="Feb 2018"/>
      <sheetName val="Maret 2018"/>
      <sheetName val="April 2018"/>
    </sheetNames>
    <sheetDataSet>
      <sheetData sheetId="0" refreshError="1"/>
      <sheetData sheetId="1" refreshError="1"/>
      <sheetData sheetId="2" refreshError="1">
        <row r="56">
          <cell r="E56">
            <v>59000000</v>
          </cell>
          <cell r="H56">
            <v>17176000</v>
          </cell>
          <cell r="I56">
            <v>29.111864406779659</v>
          </cell>
        </row>
        <row r="60">
          <cell r="E60">
            <v>235745500</v>
          </cell>
          <cell r="H60">
            <v>60886886</v>
          </cell>
          <cell r="I60">
            <v>25.827379949988437</v>
          </cell>
        </row>
        <row r="63">
          <cell r="E63">
            <v>65540000</v>
          </cell>
        </row>
        <row r="66">
          <cell r="I66">
            <v>3.9562857399818192</v>
          </cell>
        </row>
        <row r="80">
          <cell r="I80" t="str">
            <v>-</v>
          </cell>
        </row>
        <row r="93">
          <cell r="I93">
            <v>6.8371799902495867E-2</v>
          </cell>
        </row>
        <row r="97">
          <cell r="I97">
            <v>33.575572701716609</v>
          </cell>
        </row>
        <row r="105">
          <cell r="I105" t="str">
            <v>-</v>
          </cell>
        </row>
        <row r="123">
          <cell r="I123">
            <v>12.372075457680426</v>
          </cell>
        </row>
        <row r="126">
          <cell r="I126">
            <v>21.784937206550367</v>
          </cell>
        </row>
        <row r="134">
          <cell r="I134">
            <v>2.7142306066071682</v>
          </cell>
        </row>
        <row r="152">
          <cell r="I152">
            <v>2.2447142577208359</v>
          </cell>
        </row>
        <row r="163">
          <cell r="I163">
            <v>7</v>
          </cell>
        </row>
        <row r="174">
          <cell r="I174">
            <v>8.0157109826662971</v>
          </cell>
        </row>
      </sheetData>
      <sheetData sheetId="3" refreshError="1">
        <row r="15">
          <cell r="I15">
            <v>32.228837690913799</v>
          </cell>
        </row>
        <row r="16">
          <cell r="E16">
            <v>11589000</v>
          </cell>
          <cell r="H16">
            <v>3735000</v>
          </cell>
        </row>
        <row r="19">
          <cell r="E19">
            <v>52800000</v>
          </cell>
          <cell r="H19">
            <v>13059151</v>
          </cell>
          <cell r="I19">
            <v>24.733240530303028</v>
          </cell>
        </row>
        <row r="22">
          <cell r="E22">
            <v>79800000</v>
          </cell>
          <cell r="H22">
            <v>21900000</v>
          </cell>
          <cell r="I22">
            <v>27.443609022556391</v>
          </cell>
        </row>
        <row r="24">
          <cell r="E24">
            <v>40229350</v>
          </cell>
          <cell r="H24">
            <v>13075500</v>
          </cell>
          <cell r="I24">
            <v>32.50238942463649</v>
          </cell>
        </row>
        <row r="28">
          <cell r="C28" t="str">
            <v>Penyediaan Jasa Perbaikan Peralatan Kerja</v>
          </cell>
          <cell r="H28">
            <v>2501920</v>
          </cell>
          <cell r="I28">
            <v>13.190215099114297</v>
          </cell>
        </row>
        <row r="29">
          <cell r="E29">
            <v>18968000</v>
          </cell>
        </row>
        <row r="31">
          <cell r="H31">
            <v>8765100</v>
          </cell>
          <cell r="I31">
            <v>28.386483407909207</v>
          </cell>
        </row>
        <row r="32">
          <cell r="E32">
            <v>30877724</v>
          </cell>
        </row>
        <row r="34">
          <cell r="H34">
            <v>6602000</v>
          </cell>
          <cell r="I34">
            <v>25.038589464981246</v>
          </cell>
        </row>
        <row r="35">
          <cell r="E35">
            <v>26367300</v>
          </cell>
        </row>
        <row r="37">
          <cell r="H37">
            <v>2462000</v>
          </cell>
          <cell r="I37">
            <v>22.798356592225371</v>
          </cell>
        </row>
        <row r="38">
          <cell r="E38">
            <v>10799024</v>
          </cell>
        </row>
        <row r="40">
          <cell r="I40">
            <v>14.857142857142858</v>
          </cell>
        </row>
        <row r="41">
          <cell r="E41">
            <v>10500000</v>
          </cell>
          <cell r="H41">
            <v>1560000</v>
          </cell>
        </row>
        <row r="43">
          <cell r="H43">
            <v>10967500</v>
          </cell>
          <cell r="I43">
            <v>33.867033102766797</v>
          </cell>
        </row>
        <row r="46">
          <cell r="E46">
            <v>32384000</v>
          </cell>
        </row>
        <row r="48">
          <cell r="H48">
            <v>37135800</v>
          </cell>
          <cell r="I48">
            <v>36.106757413709282</v>
          </cell>
        </row>
        <row r="49">
          <cell r="E49">
            <v>102850000</v>
          </cell>
        </row>
        <row r="51">
          <cell r="H51">
            <v>37855000</v>
          </cell>
          <cell r="I51">
            <v>65.042955326460486</v>
          </cell>
        </row>
        <row r="52">
          <cell r="E52">
            <v>58200000</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Mei 2017"/>
      <sheetName val="Juni 2017"/>
      <sheetName val="Sheet1"/>
      <sheetName val="Juli 2017"/>
      <sheetName val="Agustus 2017"/>
      <sheetName val="September 2017"/>
      <sheetName val="Oktober 2017"/>
      <sheetName val="Desember 2017"/>
      <sheetName val="November 2017"/>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1">
          <cell r="I31">
            <v>30843000</v>
          </cell>
          <cell r="J31">
            <v>99.926779327147372</v>
          </cell>
        </row>
        <row r="34">
          <cell r="I34">
            <v>34984000</v>
          </cell>
          <cell r="J34">
            <v>99.954285714285717</v>
          </cell>
        </row>
        <row r="44">
          <cell r="J44">
            <v>99.235819829643873</v>
          </cell>
        </row>
        <row r="45">
          <cell r="I45">
            <v>10716500</v>
          </cell>
        </row>
        <row r="48">
          <cell r="I48">
            <v>13825000</v>
          </cell>
          <cell r="J48">
            <v>99.460431654676256</v>
          </cell>
        </row>
        <row r="51">
          <cell r="I51">
            <v>99991400</v>
          </cell>
          <cell r="J51">
            <v>99.991399999999999</v>
          </cell>
        </row>
        <row r="54">
          <cell r="I54">
            <v>138936550</v>
          </cell>
          <cell r="J54">
            <v>99.774901256732491</v>
          </cell>
        </row>
        <row r="56">
          <cell r="I56">
            <v>85225000</v>
          </cell>
          <cell r="J56">
            <v>99.678362573099406</v>
          </cell>
        </row>
        <row r="61">
          <cell r="I61">
            <v>139966000</v>
          </cell>
          <cell r="J61">
            <v>99.97571428571429</v>
          </cell>
        </row>
        <row r="64">
          <cell r="I64">
            <v>175615472</v>
          </cell>
          <cell r="J64">
            <v>99.974651030399627</v>
          </cell>
        </row>
      </sheetData>
      <sheetData sheetId="8" refreshError="1"/>
      <sheetData sheetId="9"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Sheet1"/>
    </sheetNames>
    <sheetDataSet>
      <sheetData sheetId="0" refreshError="1">
        <row r="15">
          <cell r="D15">
            <v>34998000</v>
          </cell>
          <cell r="E15">
            <v>99.99</v>
          </cell>
        </row>
        <row r="16">
          <cell r="D16">
            <v>34999800</v>
          </cell>
          <cell r="E16">
            <v>100</v>
          </cell>
        </row>
        <row r="17">
          <cell r="D17">
            <v>6457500</v>
          </cell>
          <cell r="E17">
            <v>100</v>
          </cell>
        </row>
        <row r="23">
          <cell r="D23">
            <v>23165000</v>
          </cell>
          <cell r="E23">
            <v>99.43</v>
          </cell>
        </row>
        <row r="24">
          <cell r="D24">
            <v>87105000</v>
          </cell>
          <cell r="E24">
            <v>99.88</v>
          </cell>
        </row>
        <row r="25">
          <cell r="D25">
            <v>179034188</v>
          </cell>
          <cell r="E25">
            <v>72.37</v>
          </cell>
        </row>
        <row r="26">
          <cell r="D26">
            <v>111000000</v>
          </cell>
          <cell r="E26">
            <v>100</v>
          </cell>
        </row>
        <row r="29">
          <cell r="D29">
            <v>28720000</v>
          </cell>
          <cell r="E29">
            <v>99.9</v>
          </cell>
        </row>
        <row r="30">
          <cell r="D30">
            <v>180323150</v>
          </cell>
          <cell r="E30">
            <v>99.97</v>
          </cell>
        </row>
      </sheetData>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Mei 2017"/>
      <sheetName val="Juni 2017"/>
      <sheetName val="Sheet1"/>
      <sheetName val="Juli 2017"/>
      <sheetName val="Agustus 2017"/>
      <sheetName val="September 2017"/>
      <sheetName val="Oktober 2017"/>
      <sheetName val="Desember 2017"/>
      <sheetName val="November 20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1">
          <cell r="F41">
            <v>36500000</v>
          </cell>
        </row>
        <row r="150">
          <cell r="I150">
            <v>165984000</v>
          </cell>
          <cell r="J150">
            <v>99.990361445783137</v>
          </cell>
        </row>
        <row r="197">
          <cell r="I197">
            <v>25000000</v>
          </cell>
        </row>
      </sheetData>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triwulan II (2)"/>
      <sheetName val="Sheet1"/>
      <sheetName val="triwulan II"/>
      <sheetName val="triwulan III"/>
      <sheetName val="Sheet2"/>
    </sheetNames>
    <sheetDataSet>
      <sheetData sheetId="0" refreshError="1">
        <row r="53">
          <cell r="AG53">
            <v>99.89</v>
          </cell>
          <cell r="AH53">
            <v>347051059</v>
          </cell>
        </row>
        <row r="74">
          <cell r="AH74">
            <v>585839100</v>
          </cell>
        </row>
        <row r="76">
          <cell r="AG76">
            <v>82.62</v>
          </cell>
          <cell r="AH76">
            <v>447533050</v>
          </cell>
        </row>
        <row r="90">
          <cell r="AG90">
            <v>98.64</v>
          </cell>
          <cell r="AH90">
            <v>495895500</v>
          </cell>
        </row>
        <row r="92">
          <cell r="AG92">
            <v>97.22</v>
          </cell>
          <cell r="AH92">
            <v>80069050</v>
          </cell>
        </row>
        <row r="93">
          <cell r="AG93">
            <v>99.990000000000009</v>
          </cell>
          <cell r="AH93">
            <v>263614800</v>
          </cell>
        </row>
        <row r="120">
          <cell r="AG120">
            <v>100</v>
          </cell>
          <cell r="AH120">
            <v>80022400</v>
          </cell>
        </row>
      </sheetData>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Sheet2"/>
      <sheetName val="Sheet3"/>
      <sheetName val="Sheet1"/>
      <sheetName val="Sheet4"/>
      <sheetName val="UP 2017"/>
      <sheetName val="UP 2018"/>
    </sheetNames>
    <sheetDataSet>
      <sheetData sheetId="0" refreshError="1">
        <row r="10">
          <cell r="D10">
            <v>53760000</v>
          </cell>
        </row>
        <row r="16">
          <cell r="D16">
            <v>6500000</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IV2487"/>
  <sheetViews>
    <sheetView tabSelected="1" topLeftCell="A2444" zoomScale="40" zoomScaleNormal="40" zoomScaleSheetLayoutView="80" workbookViewId="0">
      <selection activeCell="AH2447" sqref="AH2447"/>
    </sheetView>
  </sheetViews>
  <sheetFormatPr defaultRowHeight="12.75"/>
  <cols>
    <col min="1" max="1" width="5" style="54" customWidth="1"/>
    <col min="2" max="2" width="16.7109375" style="54" customWidth="1"/>
    <col min="3" max="8" width="3.5703125" style="149" customWidth="1"/>
    <col min="9" max="9" width="23.85546875" style="54" customWidth="1"/>
    <col min="10" max="10" width="15.5703125" style="54" customWidth="1"/>
    <col min="11" max="11" width="10.140625" style="2375" customWidth="1"/>
    <col min="12" max="12" width="21" style="2375" customWidth="1"/>
    <col min="13" max="13" width="13.28515625" style="2375" customWidth="1"/>
    <col min="14" max="14" width="18" style="2375" customWidth="1"/>
    <col min="15" max="15" width="12.42578125" style="2375" customWidth="1"/>
    <col min="16" max="16" width="21.7109375" style="2375" customWidth="1"/>
    <col min="17" max="17" width="10.7109375" style="2375" customWidth="1"/>
    <col min="18" max="18" width="17.42578125" style="54" customWidth="1"/>
    <col min="19" max="19" width="10.42578125" style="54" customWidth="1"/>
    <col min="20" max="20" width="16.5703125" style="54" customWidth="1"/>
    <col min="21" max="21" width="8.5703125" style="54" customWidth="1"/>
    <col min="22" max="22" width="17.28515625" style="2491" customWidth="1"/>
    <col min="23" max="23" width="3.85546875" style="54" customWidth="1"/>
    <col min="24" max="24" width="4.7109375" style="54" customWidth="1"/>
    <col min="25" max="25" width="8.85546875" style="2375" customWidth="1"/>
    <col min="26" max="26" width="22.5703125" style="2491" customWidth="1"/>
    <col min="27" max="27" width="10.140625" style="2375" customWidth="1"/>
    <col min="28" max="28" width="16.85546875" style="2491" customWidth="1"/>
    <col min="29" max="29" width="10.140625" style="2375" customWidth="1"/>
    <col min="30" max="30" width="10.85546875" style="2375" customWidth="1"/>
    <col min="31" max="31" width="13.5703125" style="3189" customWidth="1"/>
    <col min="32" max="32" width="17.28515625" style="63" bestFit="1" customWidth="1"/>
    <col min="33" max="33" width="17.5703125" style="63" bestFit="1" customWidth="1"/>
    <col min="34" max="34" width="20.140625" style="63" customWidth="1"/>
    <col min="35" max="35" width="15.28515625" style="63" bestFit="1" customWidth="1"/>
    <col min="36" max="36" width="9.140625" style="63"/>
    <col min="37" max="37" width="15.85546875" style="63" customWidth="1"/>
    <col min="38" max="38" width="9.140625" style="63"/>
    <col min="39" max="39" width="15.28515625" style="63" customWidth="1"/>
    <col min="40" max="76" width="9.140625" style="63"/>
    <col min="77" max="16384" width="9.140625" style="54"/>
  </cols>
  <sheetData>
    <row r="1" spans="1:76" ht="23.25">
      <c r="A1" s="4281" t="s">
        <v>111</v>
      </c>
      <c r="B1" s="4281"/>
      <c r="C1" s="4281"/>
      <c r="D1" s="4281"/>
      <c r="E1" s="4281"/>
      <c r="F1" s="4281"/>
      <c r="G1" s="4281"/>
      <c r="H1" s="4281"/>
      <c r="I1" s="4281"/>
      <c r="J1" s="4281"/>
      <c r="K1" s="4281"/>
      <c r="L1" s="4281"/>
      <c r="M1" s="4281"/>
      <c r="N1" s="4281"/>
      <c r="O1" s="4281"/>
      <c r="P1" s="4281"/>
      <c r="Q1" s="4281"/>
      <c r="R1" s="4281"/>
      <c r="S1" s="4281"/>
      <c r="T1" s="4281"/>
      <c r="U1" s="4281"/>
      <c r="V1" s="4281"/>
      <c r="W1" s="4281"/>
      <c r="X1" s="4281"/>
      <c r="Y1" s="4281"/>
      <c r="Z1" s="4281"/>
      <c r="AA1" s="4281"/>
      <c r="AB1" s="4281"/>
      <c r="AC1" s="4281"/>
      <c r="AD1" s="4281"/>
      <c r="AE1" s="4281"/>
    </row>
    <row r="2" spans="1:76" ht="23.25">
      <c r="A2" s="4281" t="s">
        <v>104</v>
      </c>
      <c r="B2" s="4281"/>
      <c r="C2" s="4281"/>
      <c r="D2" s="4281"/>
      <c r="E2" s="4281"/>
      <c r="F2" s="4281"/>
      <c r="G2" s="4281"/>
      <c r="H2" s="4281"/>
      <c r="I2" s="4281"/>
      <c r="J2" s="4281"/>
      <c r="K2" s="4281"/>
      <c r="L2" s="4281"/>
      <c r="M2" s="4281"/>
      <c r="N2" s="4281"/>
      <c r="O2" s="4281"/>
      <c r="P2" s="4281"/>
      <c r="Q2" s="4281"/>
      <c r="R2" s="4281"/>
      <c r="S2" s="4281"/>
      <c r="T2" s="4281"/>
      <c r="U2" s="4281"/>
      <c r="V2" s="4281"/>
      <c r="W2" s="4281"/>
      <c r="X2" s="4281"/>
      <c r="Y2" s="4281"/>
      <c r="Z2" s="4281"/>
      <c r="AA2" s="4281"/>
      <c r="AB2" s="4281"/>
      <c r="AC2" s="4281"/>
      <c r="AD2" s="4281"/>
      <c r="AE2" s="4281"/>
    </row>
    <row r="3" spans="1:76" ht="23.25">
      <c r="A3" s="4281" t="s">
        <v>4141</v>
      </c>
      <c r="B3" s="4281"/>
      <c r="C3" s="4281"/>
      <c r="D3" s="4281"/>
      <c r="E3" s="4281"/>
      <c r="F3" s="4281"/>
      <c r="G3" s="4281"/>
      <c r="H3" s="4281"/>
      <c r="I3" s="4281"/>
      <c r="J3" s="4281"/>
      <c r="K3" s="4281"/>
      <c r="L3" s="4281"/>
      <c r="M3" s="4281"/>
      <c r="N3" s="4281"/>
      <c r="O3" s="4281"/>
      <c r="P3" s="4281"/>
      <c r="Q3" s="4281"/>
      <c r="R3" s="4281"/>
      <c r="S3" s="4281"/>
      <c r="T3" s="4281"/>
      <c r="U3" s="4281"/>
      <c r="V3" s="4281"/>
      <c r="W3" s="4281"/>
      <c r="X3" s="4281"/>
      <c r="Y3" s="4281"/>
      <c r="Z3" s="4281"/>
      <c r="AA3" s="4281"/>
      <c r="AB3" s="4281"/>
      <c r="AC3" s="4281"/>
      <c r="AD3" s="4281"/>
      <c r="AE3" s="4281"/>
    </row>
    <row r="4" spans="1:76" ht="18">
      <c r="A4" s="3150"/>
      <c r="B4" s="3150"/>
      <c r="C4" s="3798"/>
      <c r="D4" s="3798"/>
      <c r="E4" s="3798"/>
      <c r="F4" s="3798"/>
      <c r="G4" s="3798"/>
      <c r="H4" s="3798"/>
      <c r="I4" s="3150"/>
      <c r="J4" s="3150"/>
      <c r="K4" s="3150"/>
      <c r="L4" s="3150"/>
      <c r="M4" s="3150"/>
      <c r="N4" s="3150"/>
      <c r="O4" s="3150"/>
      <c r="P4" s="3150"/>
      <c r="Q4" s="3150"/>
      <c r="R4" s="3150"/>
      <c r="S4" s="3090"/>
      <c r="T4" s="3090"/>
      <c r="U4" s="3150"/>
      <c r="V4" s="3251"/>
      <c r="W4" s="3150"/>
      <c r="X4" s="3150"/>
      <c r="Y4" s="3150"/>
      <c r="Z4" s="3150"/>
      <c r="AA4" s="3150"/>
      <c r="AB4" s="3150"/>
      <c r="AC4" s="3150"/>
      <c r="AD4" s="3150"/>
      <c r="AE4" s="3179"/>
    </row>
    <row r="5" spans="1:76" ht="15.75" customHeight="1">
      <c r="A5" s="3091"/>
      <c r="B5" s="3091"/>
      <c r="C5" s="3801"/>
      <c r="D5" s="3801"/>
      <c r="E5" s="3801"/>
      <c r="F5" s="3801"/>
      <c r="G5" s="3801"/>
      <c r="H5" s="3801"/>
      <c r="I5" s="3091"/>
      <c r="J5" s="3091"/>
      <c r="K5" s="3092"/>
      <c r="L5" s="3092"/>
      <c r="M5" s="3092"/>
      <c r="N5" s="3092"/>
      <c r="O5" s="3092"/>
      <c r="P5" s="3092"/>
      <c r="Q5" s="3092"/>
      <c r="R5" s="3091"/>
      <c r="S5" s="3091"/>
      <c r="T5" s="3091"/>
      <c r="U5" s="3091"/>
      <c r="V5" s="3093"/>
      <c r="W5" s="3091"/>
      <c r="X5" s="3091"/>
      <c r="Y5" s="3092"/>
      <c r="Z5" s="3093"/>
      <c r="AA5" s="3092"/>
      <c r="AB5" s="3093"/>
      <c r="AC5" s="3092"/>
      <c r="AD5" s="3092"/>
      <c r="AE5" s="3180"/>
    </row>
    <row r="6" spans="1:76" ht="83.25" customHeight="1">
      <c r="A6" s="4271" t="s">
        <v>1</v>
      </c>
      <c r="B6" s="4271" t="s">
        <v>2</v>
      </c>
      <c r="C6" s="4271" t="s">
        <v>60</v>
      </c>
      <c r="D6" s="4271"/>
      <c r="E6" s="4271"/>
      <c r="F6" s="4271"/>
      <c r="G6" s="4271"/>
      <c r="H6" s="4271"/>
      <c r="I6" s="4282" t="s">
        <v>3609</v>
      </c>
      <c r="J6" s="4282" t="s">
        <v>118</v>
      </c>
      <c r="K6" s="4282" t="s">
        <v>121</v>
      </c>
      <c r="L6" s="4282"/>
      <c r="M6" s="4282" t="s">
        <v>127</v>
      </c>
      <c r="N6" s="4282"/>
      <c r="O6" s="4282" t="s">
        <v>119</v>
      </c>
      <c r="P6" s="4282"/>
      <c r="Q6" s="4271" t="s">
        <v>120</v>
      </c>
      <c r="R6" s="4271"/>
      <c r="S6" s="4271"/>
      <c r="T6" s="4271"/>
      <c r="U6" s="4271"/>
      <c r="V6" s="4271"/>
      <c r="W6" s="4271"/>
      <c r="X6" s="4271"/>
      <c r="Y6" s="4282" t="s">
        <v>3118</v>
      </c>
      <c r="Z6" s="4282"/>
      <c r="AA6" s="4282" t="s">
        <v>128</v>
      </c>
      <c r="AB6" s="4282"/>
      <c r="AC6" s="4283" t="s">
        <v>125</v>
      </c>
      <c r="AD6" s="4283"/>
      <c r="AE6" s="4282" t="s">
        <v>126</v>
      </c>
    </row>
    <row r="7" spans="1:76" ht="13.5" customHeight="1">
      <c r="A7" s="4271"/>
      <c r="B7" s="4271"/>
      <c r="C7" s="4271"/>
      <c r="D7" s="4271"/>
      <c r="E7" s="4271"/>
      <c r="F7" s="4271"/>
      <c r="G7" s="4271"/>
      <c r="H7" s="4271"/>
      <c r="I7" s="4282"/>
      <c r="J7" s="4282"/>
      <c r="K7" s="4282"/>
      <c r="L7" s="4282"/>
      <c r="M7" s="4282"/>
      <c r="N7" s="4282"/>
      <c r="O7" s="4282"/>
      <c r="P7" s="4282"/>
      <c r="Q7" s="4271" t="s">
        <v>30</v>
      </c>
      <c r="R7" s="4271"/>
      <c r="S7" s="4271" t="s">
        <v>31</v>
      </c>
      <c r="T7" s="4271"/>
      <c r="U7" s="4271" t="s">
        <v>122</v>
      </c>
      <c r="V7" s="4271"/>
      <c r="W7" s="4271" t="s">
        <v>123</v>
      </c>
      <c r="X7" s="4271"/>
      <c r="Y7" s="4282"/>
      <c r="Z7" s="4282"/>
      <c r="AA7" s="4282"/>
      <c r="AB7" s="4282"/>
      <c r="AC7" s="4283"/>
      <c r="AD7" s="4283"/>
      <c r="AE7" s="4282"/>
    </row>
    <row r="8" spans="1:76" s="55" customFormat="1" ht="18" customHeight="1">
      <c r="A8" s="4271">
        <v>1</v>
      </c>
      <c r="B8" s="4271">
        <v>2</v>
      </c>
      <c r="C8" s="4271">
        <v>3</v>
      </c>
      <c r="D8" s="4271"/>
      <c r="E8" s="4271"/>
      <c r="F8" s="4271"/>
      <c r="G8" s="4271"/>
      <c r="H8" s="4271"/>
      <c r="I8" s="4271">
        <v>4</v>
      </c>
      <c r="J8" s="4271">
        <v>5</v>
      </c>
      <c r="K8" s="4271">
        <v>6</v>
      </c>
      <c r="L8" s="4271"/>
      <c r="M8" s="4271">
        <v>7</v>
      </c>
      <c r="N8" s="4271"/>
      <c r="O8" s="4271">
        <v>8</v>
      </c>
      <c r="P8" s="4271"/>
      <c r="Q8" s="4271">
        <v>9</v>
      </c>
      <c r="R8" s="4271"/>
      <c r="S8" s="4271">
        <v>10</v>
      </c>
      <c r="T8" s="4271"/>
      <c r="U8" s="4271">
        <v>11</v>
      </c>
      <c r="V8" s="4271"/>
      <c r="W8" s="4271">
        <v>12</v>
      </c>
      <c r="X8" s="4271"/>
      <c r="Y8" s="4271">
        <v>13</v>
      </c>
      <c r="Z8" s="4271"/>
      <c r="AA8" s="4271" t="s">
        <v>61</v>
      </c>
      <c r="AB8" s="4271"/>
      <c r="AC8" s="4287" t="s">
        <v>62</v>
      </c>
      <c r="AD8" s="4287"/>
      <c r="AE8" s="4290">
        <v>16</v>
      </c>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row>
    <row r="9" spans="1:76" s="3163" customFormat="1" ht="18.75" customHeight="1">
      <c r="A9" s="4271"/>
      <c r="B9" s="4271"/>
      <c r="C9" s="4271"/>
      <c r="D9" s="4271"/>
      <c r="E9" s="4271"/>
      <c r="F9" s="4271"/>
      <c r="G9" s="4271"/>
      <c r="H9" s="4271"/>
      <c r="I9" s="4271"/>
      <c r="J9" s="4271"/>
      <c r="K9" s="3151" t="s">
        <v>51</v>
      </c>
      <c r="L9" s="3151" t="s">
        <v>81</v>
      </c>
      <c r="M9" s="3151" t="s">
        <v>51</v>
      </c>
      <c r="N9" s="3151" t="s">
        <v>81</v>
      </c>
      <c r="O9" s="3151" t="s">
        <v>51</v>
      </c>
      <c r="P9" s="3151" t="s">
        <v>3117</v>
      </c>
      <c r="Q9" s="3151" t="s">
        <v>51</v>
      </c>
      <c r="R9" s="3151" t="s">
        <v>81</v>
      </c>
      <c r="S9" s="3151" t="s">
        <v>51</v>
      </c>
      <c r="T9" s="3151" t="s">
        <v>3117</v>
      </c>
      <c r="U9" s="3151" t="s">
        <v>51</v>
      </c>
      <c r="V9" s="2492" t="s">
        <v>3117</v>
      </c>
      <c r="W9" s="3151" t="s">
        <v>51</v>
      </c>
      <c r="X9" s="3151" t="s">
        <v>81</v>
      </c>
      <c r="Y9" s="3151" t="s">
        <v>51</v>
      </c>
      <c r="Z9" s="2492" t="s">
        <v>81</v>
      </c>
      <c r="AA9" s="3151" t="s">
        <v>51</v>
      </c>
      <c r="AB9" s="2492" t="s">
        <v>81</v>
      </c>
      <c r="AC9" s="3151" t="s">
        <v>51</v>
      </c>
      <c r="AD9" s="3151" t="s">
        <v>81</v>
      </c>
      <c r="AE9" s="4290"/>
      <c r="AF9" s="2803"/>
      <c r="AG9" s="2803"/>
      <c r="AH9" s="2803"/>
      <c r="AI9" s="2803"/>
      <c r="AJ9" s="2803"/>
      <c r="AK9" s="2803"/>
      <c r="AL9" s="2803"/>
      <c r="AM9" s="2803"/>
      <c r="AN9" s="2803"/>
      <c r="AO9" s="2803"/>
      <c r="AP9" s="2803"/>
      <c r="AQ9" s="2803"/>
      <c r="AR9" s="2803"/>
      <c r="AS9" s="2803"/>
      <c r="AT9" s="2803"/>
      <c r="AU9" s="2803"/>
      <c r="AV9" s="2803"/>
      <c r="AW9" s="2803"/>
      <c r="AX9" s="2803"/>
      <c r="AY9" s="2803"/>
      <c r="AZ9" s="2803"/>
      <c r="BA9" s="2803"/>
      <c r="BB9" s="2803"/>
      <c r="BC9" s="2803"/>
      <c r="BD9" s="2803"/>
      <c r="BE9" s="2803"/>
      <c r="BF9" s="2803"/>
      <c r="BG9" s="2803"/>
      <c r="BH9" s="2803"/>
      <c r="BI9" s="2803"/>
      <c r="BJ9" s="2803"/>
      <c r="BK9" s="2803"/>
      <c r="BL9" s="2803"/>
      <c r="BM9" s="2803"/>
      <c r="BN9" s="2803"/>
      <c r="BO9" s="2803"/>
      <c r="BP9" s="2803"/>
      <c r="BQ9" s="2803"/>
      <c r="BR9" s="2803"/>
      <c r="BS9" s="2803"/>
      <c r="BT9" s="2803"/>
      <c r="BU9" s="2803"/>
      <c r="BV9" s="2803"/>
      <c r="BW9" s="2803"/>
      <c r="BX9" s="2803"/>
    </row>
    <row r="10" spans="1:76" ht="30" customHeight="1">
      <c r="A10" s="3967"/>
      <c r="B10" s="3967"/>
      <c r="C10" s="3968"/>
      <c r="D10" s="3968"/>
      <c r="E10" s="3968"/>
      <c r="F10" s="3968"/>
      <c r="G10" s="3968"/>
      <c r="H10" s="3968"/>
      <c r="I10" s="3969" t="s">
        <v>113</v>
      </c>
      <c r="J10" s="3967"/>
      <c r="K10" s="3970"/>
      <c r="L10" s="3970"/>
      <c r="M10" s="3970"/>
      <c r="N10" s="3970"/>
      <c r="O10" s="3970"/>
      <c r="P10" s="3970"/>
      <c r="Q10" s="3970"/>
      <c r="R10" s="3967"/>
      <c r="S10" s="3967"/>
      <c r="T10" s="3967"/>
      <c r="U10" s="3967"/>
      <c r="V10" s="3972"/>
      <c r="W10" s="3967"/>
      <c r="X10" s="3967"/>
      <c r="Y10" s="3970"/>
      <c r="Z10" s="3972"/>
      <c r="AA10" s="3970"/>
      <c r="AB10" s="3972"/>
      <c r="AC10" s="3970"/>
      <c r="AD10" s="3970"/>
      <c r="AE10" s="3973"/>
    </row>
    <row r="11" spans="1:76" ht="38.25" customHeight="1">
      <c r="A11" s="2914"/>
      <c r="B11" s="2914"/>
      <c r="C11" s="2474"/>
      <c r="D11" s="2474"/>
      <c r="E11" s="2474"/>
      <c r="F11" s="2474"/>
      <c r="G11" s="2474"/>
      <c r="H11" s="2474"/>
      <c r="I11" s="3191" t="s">
        <v>114</v>
      </c>
      <c r="J11" s="2914"/>
      <c r="K11" s="2473"/>
      <c r="L11" s="2473"/>
      <c r="M11" s="2473"/>
      <c r="N11" s="2473"/>
      <c r="O11" s="2473"/>
      <c r="P11" s="2473"/>
      <c r="Q11" s="2473"/>
      <c r="R11" s="2914"/>
      <c r="S11" s="2914"/>
      <c r="T11" s="2914"/>
      <c r="U11" s="2914"/>
      <c r="V11" s="3192"/>
      <c r="W11" s="2914"/>
      <c r="X11" s="2914"/>
      <c r="Y11" s="2473"/>
      <c r="Z11" s="3192"/>
      <c r="AA11" s="2473"/>
      <c r="AB11" s="3192"/>
      <c r="AC11" s="2473"/>
      <c r="AD11" s="2473"/>
      <c r="AE11" s="3182"/>
    </row>
    <row r="12" spans="1:76" ht="27" customHeight="1">
      <c r="A12" s="3193" t="s">
        <v>30</v>
      </c>
      <c r="B12" s="2915"/>
      <c r="C12" s="3193"/>
      <c r="D12" s="3193"/>
      <c r="E12" s="3193"/>
      <c r="F12" s="3193"/>
      <c r="G12" s="3193"/>
      <c r="H12" s="3193"/>
      <c r="I12" s="2515" t="s">
        <v>115</v>
      </c>
      <c r="J12" s="2915"/>
      <c r="K12" s="2917"/>
      <c r="L12" s="3194">
        <f>L13+L30+L34+L37+L67+L72+L81+L98</f>
        <v>229369342080</v>
      </c>
      <c r="M12" s="2917"/>
      <c r="N12" s="3195">
        <f>N13+N30+N34+N37+N67+N72+N81+N98</f>
        <v>50448169760</v>
      </c>
      <c r="O12" s="2917"/>
      <c r="P12" s="3195">
        <f>P13+P30+P34+P37+P67+P72+P81+P98</f>
        <v>42312711930</v>
      </c>
      <c r="Q12" s="2917"/>
      <c r="R12" s="2916">
        <f>R13+R30+R34+R37+R67+R72+R81+R98</f>
        <v>1629105600</v>
      </c>
      <c r="S12" s="2915"/>
      <c r="T12" s="2916">
        <f>T13+T30+T34+T37+T67+T72+T81+T98</f>
        <v>4085615621</v>
      </c>
      <c r="U12" s="2915"/>
      <c r="V12" s="3252">
        <f>SUM(V13+V30+V34+V37+V67+V72+V81+V98)</f>
        <v>17762446053</v>
      </c>
      <c r="W12" s="2915"/>
      <c r="X12" s="2915"/>
      <c r="Y12" s="2917"/>
      <c r="Z12" s="2916">
        <f>R12+T12+V12</f>
        <v>23477167274</v>
      </c>
      <c r="AA12" s="2917"/>
      <c r="AB12" s="2916">
        <f>AB13+AB30+AB34+AB37+AB67+AB72+AB81+AB98</f>
        <v>62822091798</v>
      </c>
      <c r="AC12" s="2917"/>
      <c r="AD12" s="2917"/>
      <c r="AE12" s="3196"/>
    </row>
    <row r="13" spans="1:76" s="295" customFormat="1" ht="63" customHeight="1">
      <c r="A13" s="2575">
        <v>1</v>
      </c>
      <c r="B13" s="2575"/>
      <c r="C13" s="2576" t="s">
        <v>66</v>
      </c>
      <c r="D13" s="2576" t="s">
        <v>66</v>
      </c>
      <c r="E13" s="2576" t="s">
        <v>66</v>
      </c>
      <c r="F13" s="2576" t="s">
        <v>66</v>
      </c>
      <c r="G13" s="2576" t="s">
        <v>66</v>
      </c>
      <c r="H13" s="2880"/>
      <c r="I13" s="2501" t="s">
        <v>221</v>
      </c>
      <c r="J13" s="2501" t="s">
        <v>3630</v>
      </c>
      <c r="K13" s="2884">
        <f>O13*6</f>
        <v>72</v>
      </c>
      <c r="L13" s="2886">
        <f t="shared" ref="L13:R13" si="0">SUM(L14:L29)</f>
        <v>15672819000</v>
      </c>
      <c r="M13" s="2884">
        <v>24</v>
      </c>
      <c r="N13" s="2886">
        <f t="shared" si="0"/>
        <v>5600401000</v>
      </c>
      <c r="O13" s="2884">
        <v>12</v>
      </c>
      <c r="P13" s="2886">
        <f t="shared" si="0"/>
        <v>2573167000</v>
      </c>
      <c r="Q13" s="2884">
        <f>O13/4</f>
        <v>3</v>
      </c>
      <c r="R13" s="2886">
        <f t="shared" si="0"/>
        <v>474602250</v>
      </c>
      <c r="S13" s="2891">
        <v>3</v>
      </c>
      <c r="T13" s="2892">
        <f>SUM(T14:T29)</f>
        <v>885082387</v>
      </c>
      <c r="U13" s="2893">
        <v>9</v>
      </c>
      <c r="V13" s="2892">
        <f>SUM(V14:V29)</f>
        <v>951357392</v>
      </c>
      <c r="W13" s="2893"/>
      <c r="X13" s="2893"/>
      <c r="Y13" s="2747">
        <f>Q13+S13+U13+W13</f>
        <v>15</v>
      </c>
      <c r="Z13" s="2581">
        <f>R13+T13+V13+X13</f>
        <v>2311042029</v>
      </c>
      <c r="AA13" s="2747">
        <f>M13+Y13</f>
        <v>39</v>
      </c>
      <c r="AB13" s="2581">
        <f>SUM(AB14:AB29)</f>
        <v>7911443029</v>
      </c>
      <c r="AC13" s="2584">
        <f>(AA13/K13)*100</f>
        <v>54.166666666666664</v>
      </c>
      <c r="AD13" s="2584">
        <f t="shared" ref="AD13:AD29" si="1">(AB13/L13)*100</f>
        <v>50.478749413235747</v>
      </c>
      <c r="AE13" s="3135" t="s">
        <v>175</v>
      </c>
      <c r="AF13" s="3197"/>
      <c r="AG13" s="353"/>
      <c r="AH13" s="353"/>
      <c r="AI13" s="353"/>
      <c r="AJ13" s="353"/>
      <c r="AK13" s="353"/>
      <c r="AL13" s="353"/>
      <c r="AM13" s="353"/>
      <c r="AN13" s="353"/>
      <c r="AO13" s="353"/>
      <c r="AP13" s="353"/>
      <c r="AQ13" s="353"/>
      <c r="AR13" s="353"/>
      <c r="AS13" s="353"/>
      <c r="AT13" s="353"/>
      <c r="AU13" s="353"/>
      <c r="AV13" s="353"/>
      <c r="AW13" s="353"/>
      <c r="AX13" s="353"/>
      <c r="AY13" s="353"/>
      <c r="AZ13" s="353"/>
      <c r="BA13" s="353"/>
      <c r="BB13" s="353"/>
      <c r="BC13" s="353"/>
      <c r="BD13" s="353"/>
      <c r="BE13" s="353"/>
      <c r="BF13" s="353"/>
      <c r="BG13" s="353"/>
      <c r="BH13" s="353"/>
      <c r="BI13" s="353"/>
      <c r="BJ13" s="353"/>
      <c r="BK13" s="353"/>
      <c r="BL13" s="353"/>
      <c r="BM13" s="353"/>
      <c r="BN13" s="353"/>
      <c r="BO13" s="353"/>
      <c r="BP13" s="353"/>
      <c r="BQ13" s="353"/>
      <c r="BR13" s="353"/>
      <c r="BS13" s="353"/>
      <c r="BT13" s="353"/>
      <c r="BU13" s="353"/>
      <c r="BV13" s="353"/>
      <c r="BW13" s="353"/>
      <c r="BX13" s="353"/>
    </row>
    <row r="14" spans="1:76" s="295" customFormat="1" ht="58.5" customHeight="1">
      <c r="A14" s="3139"/>
      <c r="B14" s="233"/>
      <c r="C14" s="238" t="s">
        <v>66</v>
      </c>
      <c r="D14" s="238" t="s">
        <v>66</v>
      </c>
      <c r="E14" s="238" t="s">
        <v>66</v>
      </c>
      <c r="F14" s="238" t="s">
        <v>66</v>
      </c>
      <c r="G14" s="238" t="s">
        <v>66</v>
      </c>
      <c r="H14" s="238" t="s">
        <v>65</v>
      </c>
      <c r="I14" s="233" t="s">
        <v>147</v>
      </c>
      <c r="J14" s="233" t="s">
        <v>229</v>
      </c>
      <c r="K14" s="310">
        <v>72</v>
      </c>
      <c r="L14" s="237">
        <v>657600000</v>
      </c>
      <c r="M14" s="310">
        <v>24</v>
      </c>
      <c r="N14" s="2985">
        <v>273600000</v>
      </c>
      <c r="O14" s="310">
        <v>12</v>
      </c>
      <c r="P14" s="240">
        <v>96000000</v>
      </c>
      <c r="Q14" s="310">
        <f>O14/4</f>
        <v>3</v>
      </c>
      <c r="R14" s="237">
        <v>15928000</v>
      </c>
      <c r="S14" s="310">
        <v>3</v>
      </c>
      <c r="T14" s="2826">
        <v>18163000</v>
      </c>
      <c r="U14" s="2267">
        <v>3</v>
      </c>
      <c r="V14" s="2986">
        <v>56862127</v>
      </c>
      <c r="W14" s="2267"/>
      <c r="X14" s="2267"/>
      <c r="Y14" s="310">
        <f>Q14+S14+U14+W14</f>
        <v>9</v>
      </c>
      <c r="Z14" s="2986">
        <f t="shared" ref="Z14:Z37" si="2">R14+T14+V14+X14</f>
        <v>90953127</v>
      </c>
      <c r="AA14" s="310">
        <f>M14+Y14</f>
        <v>33</v>
      </c>
      <c r="AB14" s="2986">
        <f>N14+Z14</f>
        <v>364553127</v>
      </c>
      <c r="AC14" s="298">
        <f>(AA14/K14)*100</f>
        <v>45.833333333333329</v>
      </c>
      <c r="AD14" s="298">
        <f t="shared" si="1"/>
        <v>55.436911040145986</v>
      </c>
      <c r="AE14" s="245"/>
      <c r="AF14" s="353"/>
      <c r="AG14" s="353"/>
      <c r="AH14" s="353"/>
      <c r="AI14" s="353"/>
      <c r="AJ14" s="353"/>
      <c r="AK14" s="353"/>
      <c r="AL14" s="353"/>
      <c r="AM14" s="353"/>
      <c r="AN14" s="353"/>
      <c r="AO14" s="353"/>
      <c r="AP14" s="353"/>
      <c r="AQ14" s="353"/>
      <c r="AR14" s="353"/>
      <c r="AS14" s="353"/>
      <c r="AT14" s="353"/>
      <c r="AU14" s="353"/>
      <c r="AV14" s="353"/>
      <c r="AW14" s="353"/>
      <c r="AX14" s="353"/>
      <c r="AY14" s="353"/>
      <c r="AZ14" s="353"/>
      <c r="BA14" s="353"/>
      <c r="BB14" s="353"/>
      <c r="BC14" s="353"/>
      <c r="BD14" s="353"/>
      <c r="BE14" s="353"/>
      <c r="BF14" s="353"/>
      <c r="BG14" s="353"/>
      <c r="BH14" s="353"/>
      <c r="BI14" s="353"/>
      <c r="BJ14" s="353"/>
      <c r="BK14" s="353"/>
      <c r="BL14" s="353"/>
      <c r="BM14" s="353"/>
      <c r="BN14" s="353"/>
      <c r="BO14" s="353"/>
      <c r="BP14" s="353"/>
      <c r="BQ14" s="353"/>
      <c r="BR14" s="353"/>
      <c r="BS14" s="353"/>
      <c r="BT14" s="353"/>
      <c r="BU14" s="353"/>
      <c r="BV14" s="353"/>
      <c r="BW14" s="353"/>
      <c r="BX14" s="353"/>
    </row>
    <row r="15" spans="1:76" s="295" customFormat="1" ht="48" customHeight="1">
      <c r="A15" s="3139"/>
      <c r="B15" s="233"/>
      <c r="C15" s="238" t="s">
        <v>66</v>
      </c>
      <c r="D15" s="238" t="s">
        <v>66</v>
      </c>
      <c r="E15" s="238" t="s">
        <v>66</v>
      </c>
      <c r="F15" s="238" t="s">
        <v>66</v>
      </c>
      <c r="G15" s="238" t="s">
        <v>66</v>
      </c>
      <c r="H15" s="238" t="s">
        <v>198</v>
      </c>
      <c r="I15" s="233" t="s">
        <v>230</v>
      </c>
      <c r="J15" s="233" t="s">
        <v>231</v>
      </c>
      <c r="K15" s="2328">
        <v>72</v>
      </c>
      <c r="L15" s="237">
        <f>P15*6</f>
        <v>890100000</v>
      </c>
      <c r="M15" s="310">
        <v>24</v>
      </c>
      <c r="N15" s="2317">
        <f>2*173498000</f>
        <v>346996000</v>
      </c>
      <c r="O15" s="2328">
        <v>12</v>
      </c>
      <c r="P15" s="2317">
        <v>148350000</v>
      </c>
      <c r="Q15" s="310">
        <f>O15/4</f>
        <v>3</v>
      </c>
      <c r="R15" s="237">
        <f>P15/4</f>
        <v>37087500</v>
      </c>
      <c r="S15" s="310">
        <v>3</v>
      </c>
      <c r="T15" s="2826">
        <v>92750000</v>
      </c>
      <c r="U15" s="2267">
        <v>3</v>
      </c>
      <c r="V15" s="2986">
        <v>13180000</v>
      </c>
      <c r="W15" s="2267"/>
      <c r="X15" s="2267"/>
      <c r="Y15" s="310">
        <f t="shared" ref="Y15:Y77" si="3">Q15+S15+U15+W15</f>
        <v>9</v>
      </c>
      <c r="Z15" s="2986">
        <f t="shared" si="2"/>
        <v>143017500</v>
      </c>
      <c r="AA15" s="310">
        <f t="shared" ref="AA15:AB29" si="4">M15+Y15</f>
        <v>33</v>
      </c>
      <c r="AB15" s="2986">
        <f t="shared" si="4"/>
        <v>490013500</v>
      </c>
      <c r="AC15" s="298">
        <f t="shared" ref="AC15:AC29" si="5">(AA15/K15)*100</f>
        <v>45.833333333333329</v>
      </c>
      <c r="AD15" s="298">
        <f t="shared" si="1"/>
        <v>55.051511066172345</v>
      </c>
      <c r="AE15" s="245"/>
      <c r="AF15" s="353"/>
      <c r="AG15" s="353"/>
      <c r="AH15" s="353"/>
      <c r="AI15" s="353"/>
      <c r="AJ15" s="353"/>
      <c r="AK15" s="353"/>
      <c r="AL15" s="353"/>
      <c r="AM15" s="353"/>
      <c r="AN15" s="353"/>
      <c r="AO15" s="353"/>
      <c r="AP15" s="353"/>
      <c r="AQ15" s="353"/>
      <c r="AR15" s="353"/>
      <c r="AS15" s="353"/>
      <c r="AT15" s="353"/>
      <c r="AU15" s="353"/>
      <c r="AV15" s="353"/>
      <c r="AW15" s="353"/>
      <c r="AX15" s="353"/>
      <c r="AY15" s="353"/>
      <c r="AZ15" s="353"/>
      <c r="BA15" s="353"/>
      <c r="BB15" s="353"/>
      <c r="BC15" s="353"/>
      <c r="BD15" s="353"/>
      <c r="BE15" s="353"/>
      <c r="BF15" s="353"/>
      <c r="BG15" s="353"/>
      <c r="BH15" s="353"/>
      <c r="BI15" s="353"/>
      <c r="BJ15" s="353"/>
      <c r="BK15" s="353"/>
      <c r="BL15" s="353"/>
      <c r="BM15" s="353"/>
      <c r="BN15" s="353"/>
      <c r="BO15" s="353"/>
      <c r="BP15" s="353"/>
      <c r="BQ15" s="353"/>
      <c r="BR15" s="353"/>
      <c r="BS15" s="353"/>
      <c r="BT15" s="353"/>
      <c r="BU15" s="353"/>
      <c r="BV15" s="353"/>
      <c r="BW15" s="353"/>
      <c r="BX15" s="353"/>
    </row>
    <row r="16" spans="1:76" s="295" customFormat="1" ht="43.5" customHeight="1">
      <c r="A16" s="3139"/>
      <c r="B16" s="233"/>
      <c r="C16" s="238" t="s">
        <v>66</v>
      </c>
      <c r="D16" s="238" t="s">
        <v>66</v>
      </c>
      <c r="E16" s="238" t="s">
        <v>66</v>
      </c>
      <c r="F16" s="238" t="s">
        <v>66</v>
      </c>
      <c r="G16" s="238" t="s">
        <v>66</v>
      </c>
      <c r="H16" s="238" t="s">
        <v>93</v>
      </c>
      <c r="I16" s="233" t="s">
        <v>232</v>
      </c>
      <c r="J16" s="233" t="s">
        <v>233</v>
      </c>
      <c r="K16" s="2328">
        <v>72</v>
      </c>
      <c r="L16" s="237">
        <f>P16*6</f>
        <v>193224000</v>
      </c>
      <c r="M16" s="310">
        <v>24</v>
      </c>
      <c r="N16" s="2317">
        <f>2*32299000</f>
        <v>64598000</v>
      </c>
      <c r="O16" s="2328">
        <v>12</v>
      </c>
      <c r="P16" s="2317">
        <v>32204000</v>
      </c>
      <c r="Q16" s="310">
        <f t="shared" ref="Q16:R24" si="6">O16/4</f>
        <v>3</v>
      </c>
      <c r="R16" s="237">
        <f t="shared" si="6"/>
        <v>8051000</v>
      </c>
      <c r="S16" s="310">
        <v>3</v>
      </c>
      <c r="T16" s="2826">
        <v>20864000</v>
      </c>
      <c r="U16" s="2267">
        <v>3</v>
      </c>
      <c r="V16" s="2986">
        <v>11339000</v>
      </c>
      <c r="W16" s="2267"/>
      <c r="X16" s="2267"/>
      <c r="Y16" s="310">
        <f t="shared" si="3"/>
        <v>9</v>
      </c>
      <c r="Z16" s="2986">
        <f t="shared" si="2"/>
        <v>40254000</v>
      </c>
      <c r="AA16" s="310">
        <f t="shared" si="4"/>
        <v>33</v>
      </c>
      <c r="AB16" s="2986">
        <f t="shared" si="4"/>
        <v>104852000</v>
      </c>
      <c r="AC16" s="298">
        <f t="shared" si="5"/>
        <v>45.833333333333329</v>
      </c>
      <c r="AD16" s="298">
        <f t="shared" si="1"/>
        <v>54.26448060282366</v>
      </c>
      <c r="AE16" s="245"/>
      <c r="AF16" s="353"/>
      <c r="AG16" s="353"/>
      <c r="AH16" s="353"/>
      <c r="AI16" s="353"/>
      <c r="AJ16" s="353"/>
      <c r="AK16" s="353"/>
      <c r="AL16" s="353"/>
      <c r="AM16" s="353"/>
      <c r="AN16" s="353"/>
      <c r="AO16" s="353"/>
      <c r="AP16" s="353"/>
      <c r="AQ16" s="353"/>
      <c r="AR16" s="353"/>
      <c r="AS16" s="353"/>
      <c r="AT16" s="353"/>
      <c r="AU16" s="353"/>
      <c r="AV16" s="353"/>
      <c r="AW16" s="353"/>
      <c r="AX16" s="353"/>
      <c r="AY16" s="353"/>
      <c r="AZ16" s="353"/>
      <c r="BA16" s="353"/>
      <c r="BB16" s="353"/>
      <c r="BC16" s="353"/>
      <c r="BD16" s="353"/>
      <c r="BE16" s="353"/>
      <c r="BF16" s="353"/>
      <c r="BG16" s="353"/>
      <c r="BH16" s="353"/>
      <c r="BI16" s="353"/>
      <c r="BJ16" s="353"/>
      <c r="BK16" s="353"/>
      <c r="BL16" s="353"/>
      <c r="BM16" s="353"/>
      <c r="BN16" s="353"/>
      <c r="BO16" s="353"/>
      <c r="BP16" s="353"/>
      <c r="BQ16" s="353"/>
      <c r="BR16" s="353"/>
      <c r="BS16" s="353"/>
      <c r="BT16" s="353"/>
      <c r="BU16" s="353"/>
      <c r="BV16" s="353"/>
      <c r="BW16" s="353"/>
      <c r="BX16" s="353"/>
    </row>
    <row r="17" spans="1:76" s="295" customFormat="1" ht="58.5" customHeight="1">
      <c r="A17" s="3139"/>
      <c r="B17" s="233"/>
      <c r="C17" s="238" t="s">
        <v>66</v>
      </c>
      <c r="D17" s="238" t="s">
        <v>66</v>
      </c>
      <c r="E17" s="238" t="s">
        <v>66</v>
      </c>
      <c r="F17" s="238" t="s">
        <v>66</v>
      </c>
      <c r="G17" s="238" t="s">
        <v>66</v>
      </c>
      <c r="H17" s="238" t="s">
        <v>202</v>
      </c>
      <c r="I17" s="233" t="s">
        <v>150</v>
      </c>
      <c r="J17" s="233" t="s">
        <v>234</v>
      </c>
      <c r="K17" s="2328">
        <v>72</v>
      </c>
      <c r="L17" s="237">
        <f>P17*6</f>
        <v>183258000</v>
      </c>
      <c r="M17" s="310">
        <v>24</v>
      </c>
      <c r="N17" s="2317">
        <f>2*78000000</f>
        <v>156000000</v>
      </c>
      <c r="O17" s="2328">
        <v>12</v>
      </c>
      <c r="P17" s="2317">
        <v>30543000</v>
      </c>
      <c r="Q17" s="310">
        <f t="shared" si="6"/>
        <v>3</v>
      </c>
      <c r="R17" s="237">
        <f t="shared" si="6"/>
        <v>7635750</v>
      </c>
      <c r="S17" s="310">
        <v>3</v>
      </c>
      <c r="T17" s="2826">
        <v>27160800</v>
      </c>
      <c r="U17" s="2267">
        <v>3</v>
      </c>
      <c r="V17" s="2986">
        <v>30538800</v>
      </c>
      <c r="W17" s="2267"/>
      <c r="X17" s="2267"/>
      <c r="Y17" s="310">
        <f t="shared" si="3"/>
        <v>9</v>
      </c>
      <c r="Z17" s="2986">
        <f t="shared" si="2"/>
        <v>65335350</v>
      </c>
      <c r="AA17" s="310">
        <f t="shared" si="4"/>
        <v>33</v>
      </c>
      <c r="AB17" s="2986">
        <f t="shared" si="4"/>
        <v>221335350</v>
      </c>
      <c r="AC17" s="298">
        <f t="shared" si="5"/>
        <v>45.833333333333329</v>
      </c>
      <c r="AD17" s="298">
        <f t="shared" si="1"/>
        <v>120.77800150607341</v>
      </c>
      <c r="AE17" s="245"/>
      <c r="AF17" s="353"/>
      <c r="AG17" s="353"/>
      <c r="AH17" s="353"/>
      <c r="AI17" s="353"/>
      <c r="AJ17" s="353"/>
      <c r="AK17" s="353"/>
      <c r="AL17" s="353"/>
      <c r="AM17" s="353"/>
      <c r="AN17" s="353"/>
      <c r="AO17" s="353"/>
      <c r="AP17" s="353"/>
      <c r="AQ17" s="353"/>
      <c r="AR17" s="353"/>
      <c r="AS17" s="353"/>
      <c r="AT17" s="353"/>
      <c r="AU17" s="353"/>
      <c r="AV17" s="353"/>
      <c r="AW17" s="353"/>
      <c r="AX17" s="353"/>
      <c r="AY17" s="353"/>
      <c r="AZ17" s="353"/>
      <c r="BA17" s="353"/>
      <c r="BB17" s="353"/>
      <c r="BC17" s="353"/>
      <c r="BD17" s="353"/>
      <c r="BE17" s="353"/>
      <c r="BF17" s="353"/>
      <c r="BG17" s="353"/>
      <c r="BH17" s="353"/>
      <c r="BI17" s="353"/>
      <c r="BJ17" s="353"/>
      <c r="BK17" s="353"/>
      <c r="BL17" s="353"/>
      <c r="BM17" s="353"/>
      <c r="BN17" s="353"/>
      <c r="BO17" s="353"/>
      <c r="BP17" s="353"/>
      <c r="BQ17" s="353"/>
      <c r="BR17" s="353"/>
      <c r="BS17" s="353"/>
      <c r="BT17" s="353"/>
      <c r="BU17" s="353"/>
      <c r="BV17" s="353"/>
      <c r="BW17" s="353"/>
      <c r="BX17" s="353"/>
    </row>
    <row r="18" spans="1:76" s="295" customFormat="1" ht="73.5" customHeight="1">
      <c r="A18" s="3139"/>
      <c r="B18" s="233"/>
      <c r="C18" s="238" t="s">
        <v>66</v>
      </c>
      <c r="D18" s="238" t="s">
        <v>66</v>
      </c>
      <c r="E18" s="238" t="s">
        <v>66</v>
      </c>
      <c r="F18" s="238" t="s">
        <v>66</v>
      </c>
      <c r="G18" s="238" t="s">
        <v>66</v>
      </c>
      <c r="H18" s="238">
        <v>11</v>
      </c>
      <c r="I18" s="233" t="s">
        <v>235</v>
      </c>
      <c r="J18" s="233" t="s">
        <v>236</v>
      </c>
      <c r="K18" s="2328">
        <v>72</v>
      </c>
      <c r="L18" s="237">
        <f>P18*6</f>
        <v>350190000</v>
      </c>
      <c r="M18" s="310">
        <v>24</v>
      </c>
      <c r="N18" s="2317">
        <f>2*133485000</f>
        <v>266970000</v>
      </c>
      <c r="O18" s="2328">
        <v>12</v>
      </c>
      <c r="P18" s="2317">
        <v>58365000</v>
      </c>
      <c r="Q18" s="310">
        <f t="shared" si="6"/>
        <v>3</v>
      </c>
      <c r="R18" s="237">
        <f t="shared" si="6"/>
        <v>14591250</v>
      </c>
      <c r="S18" s="310">
        <v>3</v>
      </c>
      <c r="T18" s="2826">
        <v>49158000</v>
      </c>
      <c r="U18" s="2267">
        <v>3</v>
      </c>
      <c r="V18" s="2986">
        <v>57674400</v>
      </c>
      <c r="W18" s="2267"/>
      <c r="X18" s="2267"/>
      <c r="Y18" s="310">
        <f t="shared" si="3"/>
        <v>9</v>
      </c>
      <c r="Z18" s="2986">
        <f t="shared" si="2"/>
        <v>121423650</v>
      </c>
      <c r="AA18" s="310">
        <f t="shared" si="4"/>
        <v>33</v>
      </c>
      <c r="AB18" s="2986">
        <f t="shared" si="4"/>
        <v>388393650</v>
      </c>
      <c r="AC18" s="298">
        <f t="shared" si="5"/>
        <v>45.833333333333329</v>
      </c>
      <c r="AD18" s="298">
        <f t="shared" si="1"/>
        <v>110.90940632228219</v>
      </c>
      <c r="AE18" s="245"/>
      <c r="AF18" s="353"/>
      <c r="AG18" s="353"/>
      <c r="AH18" s="353"/>
      <c r="AI18" s="353"/>
      <c r="AJ18" s="353"/>
      <c r="AK18" s="353"/>
      <c r="AL18" s="353"/>
      <c r="AM18" s="353"/>
      <c r="AN18" s="353"/>
      <c r="AO18" s="353"/>
      <c r="AP18" s="353"/>
      <c r="AQ18" s="353"/>
      <c r="AR18" s="353"/>
      <c r="AS18" s="353"/>
      <c r="AT18" s="353"/>
      <c r="AU18" s="353"/>
      <c r="AV18" s="353"/>
      <c r="AW18" s="353"/>
      <c r="AX18" s="353"/>
      <c r="AY18" s="353"/>
      <c r="AZ18" s="353"/>
      <c r="BA18" s="353"/>
      <c r="BB18" s="353"/>
      <c r="BC18" s="353"/>
      <c r="BD18" s="353"/>
      <c r="BE18" s="353"/>
      <c r="BF18" s="353"/>
      <c r="BG18" s="353"/>
      <c r="BH18" s="353"/>
      <c r="BI18" s="353"/>
      <c r="BJ18" s="353"/>
      <c r="BK18" s="353"/>
      <c r="BL18" s="353"/>
      <c r="BM18" s="353"/>
      <c r="BN18" s="353"/>
      <c r="BO18" s="353"/>
      <c r="BP18" s="353"/>
      <c r="BQ18" s="353"/>
      <c r="BR18" s="353"/>
      <c r="BS18" s="353"/>
      <c r="BT18" s="353"/>
      <c r="BU18" s="353"/>
      <c r="BV18" s="353"/>
      <c r="BW18" s="353"/>
      <c r="BX18" s="353"/>
    </row>
    <row r="19" spans="1:76" s="295" customFormat="1" ht="75" customHeight="1">
      <c r="A19" s="3139"/>
      <c r="B19" s="233"/>
      <c r="C19" s="238" t="s">
        <v>66</v>
      </c>
      <c r="D19" s="238" t="s">
        <v>66</v>
      </c>
      <c r="E19" s="238" t="s">
        <v>66</v>
      </c>
      <c r="F19" s="238" t="s">
        <v>66</v>
      </c>
      <c r="G19" s="238" t="s">
        <v>66</v>
      </c>
      <c r="H19" s="238">
        <v>12</v>
      </c>
      <c r="I19" s="233" t="s">
        <v>152</v>
      </c>
      <c r="J19" s="233" t="s">
        <v>237</v>
      </c>
      <c r="K19" s="2328">
        <v>72</v>
      </c>
      <c r="L19" s="237">
        <f>P19*6</f>
        <v>180000000</v>
      </c>
      <c r="M19" s="310">
        <v>24</v>
      </c>
      <c r="N19" s="2317">
        <f>2*43000000</f>
        <v>86000000</v>
      </c>
      <c r="O19" s="2328">
        <v>12</v>
      </c>
      <c r="P19" s="2317">
        <v>30000000</v>
      </c>
      <c r="Q19" s="310">
        <f t="shared" si="6"/>
        <v>3</v>
      </c>
      <c r="R19" s="237">
        <f t="shared" si="6"/>
        <v>7500000</v>
      </c>
      <c r="S19" s="310">
        <v>3</v>
      </c>
      <c r="T19" s="2826">
        <v>4413000</v>
      </c>
      <c r="U19" s="2267">
        <v>3</v>
      </c>
      <c r="V19" s="2986">
        <v>22071000</v>
      </c>
      <c r="W19" s="2267"/>
      <c r="X19" s="2267"/>
      <c r="Y19" s="310">
        <f t="shared" si="3"/>
        <v>9</v>
      </c>
      <c r="Z19" s="2986">
        <f t="shared" si="2"/>
        <v>33984000</v>
      </c>
      <c r="AA19" s="310">
        <f t="shared" si="4"/>
        <v>33</v>
      </c>
      <c r="AB19" s="2986">
        <f t="shared" si="4"/>
        <v>119984000</v>
      </c>
      <c r="AC19" s="298">
        <f t="shared" si="5"/>
        <v>45.833333333333329</v>
      </c>
      <c r="AD19" s="298">
        <f t="shared" si="1"/>
        <v>66.657777777777781</v>
      </c>
      <c r="AE19" s="245"/>
      <c r="AF19" s="353"/>
      <c r="AG19" s="353"/>
      <c r="AH19" s="353"/>
      <c r="AI19" s="353"/>
      <c r="AJ19" s="353"/>
      <c r="AK19" s="353"/>
      <c r="AL19" s="353"/>
      <c r="AM19" s="353"/>
      <c r="AN19" s="353"/>
      <c r="AO19" s="353"/>
      <c r="AP19" s="353"/>
      <c r="AQ19" s="353"/>
      <c r="AR19" s="353"/>
      <c r="AS19" s="353"/>
      <c r="AT19" s="353"/>
      <c r="AU19" s="353"/>
      <c r="AV19" s="353"/>
      <c r="AW19" s="353"/>
      <c r="AX19" s="353"/>
      <c r="AY19" s="353"/>
      <c r="AZ19" s="353"/>
      <c r="BA19" s="353"/>
      <c r="BB19" s="353"/>
      <c r="BC19" s="353"/>
      <c r="BD19" s="353"/>
      <c r="BE19" s="353"/>
      <c r="BF19" s="353"/>
      <c r="BG19" s="353"/>
      <c r="BH19" s="353"/>
      <c r="BI19" s="353"/>
      <c r="BJ19" s="353"/>
      <c r="BK19" s="353"/>
      <c r="BL19" s="353"/>
      <c r="BM19" s="353"/>
      <c r="BN19" s="353"/>
      <c r="BO19" s="353"/>
      <c r="BP19" s="353"/>
      <c r="BQ19" s="353"/>
      <c r="BR19" s="353"/>
      <c r="BS19" s="353"/>
      <c r="BT19" s="353"/>
      <c r="BU19" s="353"/>
      <c r="BV19" s="353"/>
      <c r="BW19" s="353"/>
      <c r="BX19" s="353"/>
    </row>
    <row r="20" spans="1:76" s="295" customFormat="1" ht="147.75" customHeight="1">
      <c r="A20" s="3139"/>
      <c r="B20" s="233"/>
      <c r="C20" s="238" t="s">
        <v>66</v>
      </c>
      <c r="D20" s="238" t="s">
        <v>66</v>
      </c>
      <c r="E20" s="238" t="s">
        <v>66</v>
      </c>
      <c r="F20" s="238" t="s">
        <v>66</v>
      </c>
      <c r="G20" s="238" t="s">
        <v>66</v>
      </c>
      <c r="H20" s="238">
        <v>13</v>
      </c>
      <c r="I20" s="233" t="s">
        <v>238</v>
      </c>
      <c r="J20" s="233" t="s">
        <v>239</v>
      </c>
      <c r="K20" s="252">
        <v>6</v>
      </c>
      <c r="L20" s="256">
        <v>494150000</v>
      </c>
      <c r="M20" s="252">
        <v>2</v>
      </c>
      <c r="N20" s="256">
        <v>314150000</v>
      </c>
      <c r="O20" s="252">
        <v>1</v>
      </c>
      <c r="P20" s="256">
        <v>30000000</v>
      </c>
      <c r="Q20" s="252">
        <v>0</v>
      </c>
      <c r="R20" s="256">
        <v>0</v>
      </c>
      <c r="S20" s="252">
        <v>0</v>
      </c>
      <c r="T20" s="2826">
        <v>0</v>
      </c>
      <c r="U20" s="233"/>
      <c r="V20" s="2716"/>
      <c r="W20" s="233"/>
      <c r="X20" s="233"/>
      <c r="Y20" s="310">
        <f t="shared" si="3"/>
        <v>0</v>
      </c>
      <c r="Z20" s="2986">
        <f t="shared" si="2"/>
        <v>0</v>
      </c>
      <c r="AA20" s="310">
        <f t="shared" si="4"/>
        <v>2</v>
      </c>
      <c r="AB20" s="2986">
        <f t="shared" si="4"/>
        <v>314150000</v>
      </c>
      <c r="AC20" s="298">
        <f t="shared" si="5"/>
        <v>33.333333333333329</v>
      </c>
      <c r="AD20" s="298">
        <f t="shared" si="1"/>
        <v>63.573813619346353</v>
      </c>
      <c r="AE20" s="245"/>
      <c r="AF20" s="353"/>
      <c r="AG20" s="353"/>
      <c r="AH20" s="353"/>
      <c r="AI20" s="353"/>
      <c r="AJ20" s="353"/>
      <c r="AK20" s="353"/>
      <c r="AL20" s="353"/>
      <c r="AM20" s="353"/>
      <c r="AN20" s="353"/>
      <c r="AO20" s="353"/>
      <c r="AP20" s="353"/>
      <c r="AQ20" s="353"/>
      <c r="AR20" s="353"/>
      <c r="AS20" s="353"/>
      <c r="AT20" s="353"/>
      <c r="AU20" s="353"/>
      <c r="AV20" s="353"/>
      <c r="AW20" s="353"/>
      <c r="AX20" s="353"/>
      <c r="AY20" s="353"/>
      <c r="AZ20" s="353"/>
      <c r="BA20" s="353"/>
      <c r="BB20" s="353"/>
      <c r="BC20" s="353"/>
      <c r="BD20" s="353"/>
      <c r="BE20" s="353"/>
      <c r="BF20" s="353"/>
      <c r="BG20" s="353"/>
      <c r="BH20" s="353"/>
      <c r="BI20" s="353"/>
      <c r="BJ20" s="353"/>
      <c r="BK20" s="353"/>
      <c r="BL20" s="353"/>
      <c r="BM20" s="353"/>
      <c r="BN20" s="353"/>
      <c r="BO20" s="353"/>
      <c r="BP20" s="353"/>
      <c r="BQ20" s="353"/>
      <c r="BR20" s="353"/>
      <c r="BS20" s="353"/>
      <c r="BT20" s="353"/>
      <c r="BU20" s="353"/>
      <c r="BV20" s="353"/>
      <c r="BW20" s="353"/>
      <c r="BX20" s="353"/>
    </row>
    <row r="21" spans="1:76" s="295" customFormat="1" ht="53.25" customHeight="1">
      <c r="A21" s="3139"/>
      <c r="B21" s="233"/>
      <c r="C21" s="238" t="s">
        <v>66</v>
      </c>
      <c r="D21" s="238" t="s">
        <v>66</v>
      </c>
      <c r="E21" s="238" t="s">
        <v>66</v>
      </c>
      <c r="F21" s="238" t="s">
        <v>66</v>
      </c>
      <c r="G21" s="238" t="s">
        <v>66</v>
      </c>
      <c r="H21" s="238">
        <v>15</v>
      </c>
      <c r="I21" s="233" t="s">
        <v>240</v>
      </c>
      <c r="J21" s="233" t="s">
        <v>241</v>
      </c>
      <c r="K21" s="2328">
        <f>12*6</f>
        <v>72</v>
      </c>
      <c r="L21" s="237">
        <f>P21*6</f>
        <v>83400000</v>
      </c>
      <c r="M21" s="2328">
        <f>12*2</f>
        <v>24</v>
      </c>
      <c r="N21" s="2317">
        <f>2*15000000</f>
        <v>30000000</v>
      </c>
      <c r="O21" s="2328">
        <v>12</v>
      </c>
      <c r="P21" s="2317">
        <v>13900000</v>
      </c>
      <c r="Q21" s="310">
        <f t="shared" si="6"/>
        <v>3</v>
      </c>
      <c r="R21" s="237">
        <f t="shared" si="6"/>
        <v>3475000</v>
      </c>
      <c r="S21" s="252">
        <v>3</v>
      </c>
      <c r="T21" s="2826">
        <v>3800000</v>
      </c>
      <c r="U21" s="233">
        <v>3</v>
      </c>
      <c r="V21" s="2716">
        <v>9095000</v>
      </c>
      <c r="W21" s="233"/>
      <c r="X21" s="233"/>
      <c r="Y21" s="310">
        <f t="shared" si="3"/>
        <v>9</v>
      </c>
      <c r="Z21" s="2986">
        <f t="shared" si="2"/>
        <v>16370000</v>
      </c>
      <c r="AA21" s="310">
        <f t="shared" si="4"/>
        <v>33</v>
      </c>
      <c r="AB21" s="2986">
        <f t="shared" si="4"/>
        <v>46370000</v>
      </c>
      <c r="AC21" s="298">
        <f t="shared" si="5"/>
        <v>45.833333333333329</v>
      </c>
      <c r="AD21" s="298">
        <f t="shared" si="1"/>
        <v>55.599520383693047</v>
      </c>
      <c r="AE21" s="245"/>
      <c r="AF21" s="353"/>
      <c r="AG21" s="353"/>
      <c r="AH21" s="353"/>
      <c r="AI21" s="353"/>
      <c r="AJ21" s="353"/>
      <c r="AK21" s="353"/>
      <c r="AL21" s="353"/>
      <c r="AM21" s="353"/>
      <c r="AN21" s="353"/>
      <c r="AO21" s="353"/>
      <c r="AP21" s="353"/>
      <c r="AQ21" s="353"/>
      <c r="AR21" s="353"/>
      <c r="AS21" s="353"/>
      <c r="AT21" s="353"/>
      <c r="AU21" s="353"/>
      <c r="AV21" s="353"/>
      <c r="AW21" s="353"/>
      <c r="AX21" s="353"/>
      <c r="AY21" s="353"/>
      <c r="AZ21" s="353"/>
      <c r="BA21" s="353"/>
      <c r="BB21" s="353"/>
      <c r="BC21" s="353"/>
      <c r="BD21" s="353"/>
      <c r="BE21" s="353"/>
      <c r="BF21" s="353"/>
      <c r="BG21" s="353"/>
      <c r="BH21" s="353"/>
      <c r="BI21" s="353"/>
      <c r="BJ21" s="353"/>
      <c r="BK21" s="353"/>
      <c r="BL21" s="353"/>
      <c r="BM21" s="353"/>
      <c r="BN21" s="353"/>
      <c r="BO21" s="353"/>
      <c r="BP21" s="353"/>
      <c r="BQ21" s="353"/>
      <c r="BR21" s="353"/>
      <c r="BS21" s="353"/>
      <c r="BT21" s="353"/>
      <c r="BU21" s="353"/>
      <c r="BV21" s="353"/>
      <c r="BW21" s="353"/>
      <c r="BX21" s="353"/>
    </row>
    <row r="22" spans="1:76" s="295" customFormat="1" ht="49.5" customHeight="1">
      <c r="A22" s="3139"/>
      <c r="B22" s="233"/>
      <c r="C22" s="238" t="s">
        <v>66</v>
      </c>
      <c r="D22" s="238" t="s">
        <v>66</v>
      </c>
      <c r="E22" s="238" t="s">
        <v>66</v>
      </c>
      <c r="F22" s="238" t="s">
        <v>66</v>
      </c>
      <c r="G22" s="238" t="s">
        <v>66</v>
      </c>
      <c r="H22" s="238">
        <v>17</v>
      </c>
      <c r="I22" s="233" t="s">
        <v>242</v>
      </c>
      <c r="J22" s="233" t="s">
        <v>243</v>
      </c>
      <c r="K22" s="2328">
        <f>12*6</f>
        <v>72</v>
      </c>
      <c r="L22" s="237">
        <f>P22*6</f>
        <v>483510000</v>
      </c>
      <c r="M22" s="2328">
        <f>12*2</f>
        <v>24</v>
      </c>
      <c r="N22" s="2317">
        <f>2*115000000</f>
        <v>230000000</v>
      </c>
      <c r="O22" s="2328">
        <v>12</v>
      </c>
      <c r="P22" s="2317">
        <v>80585000</v>
      </c>
      <c r="Q22" s="310">
        <f t="shared" si="6"/>
        <v>3</v>
      </c>
      <c r="R22" s="237">
        <f t="shared" si="6"/>
        <v>20146250</v>
      </c>
      <c r="S22" s="252">
        <v>3</v>
      </c>
      <c r="T22" s="2826">
        <v>25634000</v>
      </c>
      <c r="U22" s="233">
        <v>3</v>
      </c>
      <c r="V22" s="2716">
        <v>30883000</v>
      </c>
      <c r="W22" s="233"/>
      <c r="X22" s="233"/>
      <c r="Y22" s="310">
        <f t="shared" si="3"/>
        <v>9</v>
      </c>
      <c r="Z22" s="2986">
        <f t="shared" si="2"/>
        <v>76663250</v>
      </c>
      <c r="AA22" s="310">
        <f t="shared" si="4"/>
        <v>33</v>
      </c>
      <c r="AB22" s="2986">
        <f t="shared" si="4"/>
        <v>306663250</v>
      </c>
      <c r="AC22" s="298">
        <f t="shared" si="5"/>
        <v>45.833333333333329</v>
      </c>
      <c r="AD22" s="298">
        <f t="shared" si="1"/>
        <v>63.424386258815744</v>
      </c>
      <c r="AE22" s="245"/>
      <c r="AF22" s="353"/>
      <c r="AG22" s="353"/>
      <c r="AH22" s="353"/>
      <c r="AI22" s="353"/>
      <c r="AJ22" s="353"/>
      <c r="AK22" s="353"/>
      <c r="AL22" s="353"/>
      <c r="AM22" s="353"/>
      <c r="AN22" s="353"/>
      <c r="AO22" s="353"/>
      <c r="AP22" s="353"/>
      <c r="AQ22" s="353"/>
      <c r="AR22" s="353"/>
      <c r="AS22" s="353"/>
      <c r="AT22" s="353"/>
      <c r="AU22" s="353"/>
      <c r="AV22" s="353"/>
      <c r="AW22" s="353"/>
      <c r="AX22" s="353"/>
      <c r="AY22" s="353"/>
      <c r="AZ22" s="353"/>
      <c r="BA22" s="353"/>
      <c r="BB22" s="353"/>
      <c r="BC22" s="353"/>
      <c r="BD22" s="353"/>
      <c r="BE22" s="353"/>
      <c r="BF22" s="353"/>
      <c r="BG22" s="353"/>
      <c r="BH22" s="353"/>
      <c r="BI22" s="353"/>
      <c r="BJ22" s="353"/>
      <c r="BK22" s="353"/>
      <c r="BL22" s="353"/>
      <c r="BM22" s="353"/>
      <c r="BN22" s="353"/>
      <c r="BO22" s="353"/>
      <c r="BP22" s="353"/>
      <c r="BQ22" s="353"/>
      <c r="BR22" s="353"/>
      <c r="BS22" s="353"/>
      <c r="BT22" s="353"/>
      <c r="BU22" s="353"/>
      <c r="BV22" s="353"/>
      <c r="BW22" s="353"/>
      <c r="BX22" s="353"/>
    </row>
    <row r="23" spans="1:76" s="295" customFormat="1" ht="41.25" customHeight="1">
      <c r="A23" s="3139"/>
      <c r="B23" s="233"/>
      <c r="C23" s="238" t="s">
        <v>66</v>
      </c>
      <c r="D23" s="238" t="s">
        <v>66</v>
      </c>
      <c r="E23" s="238" t="s">
        <v>66</v>
      </c>
      <c r="F23" s="238" t="s">
        <v>66</v>
      </c>
      <c r="G23" s="238" t="s">
        <v>66</v>
      </c>
      <c r="H23" s="238">
        <v>18</v>
      </c>
      <c r="I23" s="233" t="s">
        <v>244</v>
      </c>
      <c r="J23" s="233" t="s">
        <v>245</v>
      </c>
      <c r="K23" s="2328">
        <v>72</v>
      </c>
      <c r="L23" s="237">
        <f>P23*6</f>
        <v>1212300000</v>
      </c>
      <c r="M23" s="2328">
        <f t="shared" ref="M23:M24" si="7">12*2</f>
        <v>24</v>
      </c>
      <c r="N23" s="2317">
        <f>2*219550000</f>
        <v>439100000</v>
      </c>
      <c r="O23" s="2328">
        <f>M23/2</f>
        <v>12</v>
      </c>
      <c r="P23" s="2317">
        <v>202050000</v>
      </c>
      <c r="Q23" s="4054">
        <f t="shared" si="6"/>
        <v>3</v>
      </c>
      <c r="R23" s="237">
        <f t="shared" si="6"/>
        <v>50512500</v>
      </c>
      <c r="S23" s="252">
        <v>3</v>
      </c>
      <c r="T23" s="2826">
        <v>68306223</v>
      </c>
      <c r="U23" s="233">
        <v>3</v>
      </c>
      <c r="V23" s="2716">
        <v>89322067</v>
      </c>
      <c r="W23" s="233"/>
      <c r="X23" s="233"/>
      <c r="Y23" s="310">
        <f t="shared" si="3"/>
        <v>9</v>
      </c>
      <c r="Z23" s="2986">
        <f t="shared" si="2"/>
        <v>208140790</v>
      </c>
      <c r="AA23" s="310">
        <f t="shared" si="4"/>
        <v>33</v>
      </c>
      <c r="AB23" s="2986">
        <f t="shared" si="4"/>
        <v>647240790</v>
      </c>
      <c r="AC23" s="298">
        <f t="shared" si="5"/>
        <v>45.833333333333329</v>
      </c>
      <c r="AD23" s="298">
        <f t="shared" si="1"/>
        <v>53.389490225191786</v>
      </c>
      <c r="AE23" s="245"/>
      <c r="AF23" s="353"/>
      <c r="AG23" s="353"/>
      <c r="AH23" s="353"/>
      <c r="AI23" s="353"/>
      <c r="AJ23" s="353"/>
      <c r="AK23" s="353"/>
      <c r="AL23" s="353"/>
      <c r="AM23" s="353"/>
      <c r="AN23" s="353"/>
      <c r="AO23" s="353"/>
      <c r="AP23" s="353"/>
      <c r="AQ23" s="353"/>
      <c r="AR23" s="353"/>
      <c r="AS23" s="353"/>
      <c r="AT23" s="353"/>
      <c r="AU23" s="353"/>
      <c r="AV23" s="353"/>
      <c r="AW23" s="353"/>
      <c r="AX23" s="353"/>
      <c r="AY23" s="353"/>
      <c r="AZ23" s="353"/>
      <c r="BA23" s="353"/>
      <c r="BB23" s="353"/>
      <c r="BC23" s="353"/>
      <c r="BD23" s="353"/>
      <c r="BE23" s="353"/>
      <c r="BF23" s="353"/>
      <c r="BG23" s="353"/>
      <c r="BH23" s="353"/>
      <c r="BI23" s="353"/>
      <c r="BJ23" s="353"/>
      <c r="BK23" s="353"/>
      <c r="BL23" s="353"/>
      <c r="BM23" s="353"/>
      <c r="BN23" s="353"/>
      <c r="BO23" s="353"/>
      <c r="BP23" s="353"/>
      <c r="BQ23" s="353"/>
      <c r="BR23" s="353"/>
      <c r="BS23" s="353"/>
      <c r="BT23" s="353"/>
      <c r="BU23" s="353"/>
      <c r="BV23" s="353"/>
      <c r="BW23" s="353"/>
      <c r="BX23" s="353"/>
    </row>
    <row r="24" spans="1:76" s="295" customFormat="1" ht="53.25" customHeight="1">
      <c r="A24" s="3139"/>
      <c r="B24" s="233"/>
      <c r="C24" s="238" t="s">
        <v>66</v>
      </c>
      <c r="D24" s="238" t="s">
        <v>66</v>
      </c>
      <c r="E24" s="238" t="s">
        <v>66</v>
      </c>
      <c r="F24" s="238" t="s">
        <v>66</v>
      </c>
      <c r="G24" s="238" t="s">
        <v>66</v>
      </c>
      <c r="H24" s="238">
        <v>20</v>
      </c>
      <c r="I24" s="233" t="s">
        <v>246</v>
      </c>
      <c r="J24" s="233" t="s">
        <v>247</v>
      </c>
      <c r="K24" s="2993">
        <v>72</v>
      </c>
      <c r="L24" s="237">
        <f>P24*6</f>
        <v>612000000</v>
      </c>
      <c r="M24" s="2328">
        <f t="shared" si="7"/>
        <v>24</v>
      </c>
      <c r="N24" s="2317">
        <f>2*79250000</f>
        <v>158500000</v>
      </c>
      <c r="O24" s="2328">
        <f>M24/2</f>
        <v>12</v>
      </c>
      <c r="P24" s="2317">
        <v>102000000</v>
      </c>
      <c r="Q24" s="4054">
        <f t="shared" si="6"/>
        <v>3</v>
      </c>
      <c r="R24" s="237">
        <f t="shared" si="6"/>
        <v>25500000</v>
      </c>
      <c r="S24" s="310">
        <v>3</v>
      </c>
      <c r="T24" s="2826">
        <v>26560000</v>
      </c>
      <c r="U24" s="2267">
        <v>3</v>
      </c>
      <c r="V24" s="2986">
        <v>26536000</v>
      </c>
      <c r="W24" s="2267"/>
      <c r="X24" s="2267"/>
      <c r="Y24" s="310">
        <f t="shared" si="3"/>
        <v>9</v>
      </c>
      <c r="Z24" s="2986">
        <f t="shared" si="2"/>
        <v>78596000</v>
      </c>
      <c r="AA24" s="310">
        <f t="shared" si="4"/>
        <v>33</v>
      </c>
      <c r="AB24" s="2986">
        <f t="shared" si="4"/>
        <v>237096000</v>
      </c>
      <c r="AC24" s="298">
        <f t="shared" si="5"/>
        <v>45.833333333333329</v>
      </c>
      <c r="AD24" s="298">
        <f t="shared" si="1"/>
        <v>38.741176470588236</v>
      </c>
      <c r="AE24" s="245"/>
      <c r="AF24" s="353"/>
      <c r="AG24" s="353"/>
      <c r="AH24" s="353"/>
      <c r="AI24" s="353"/>
      <c r="AJ24" s="353"/>
      <c r="AK24" s="353"/>
      <c r="AL24" s="353"/>
      <c r="AM24" s="353"/>
      <c r="AN24" s="353"/>
      <c r="AO24" s="353"/>
      <c r="AP24" s="353"/>
      <c r="AQ24" s="353"/>
      <c r="AR24" s="353"/>
      <c r="AS24" s="353"/>
      <c r="AT24" s="353"/>
      <c r="AU24" s="353"/>
      <c r="AV24" s="353"/>
      <c r="AW24" s="353"/>
      <c r="AX24" s="353"/>
      <c r="AY24" s="353"/>
      <c r="AZ24" s="353"/>
      <c r="BA24" s="353"/>
      <c r="BB24" s="353"/>
      <c r="BC24" s="353"/>
      <c r="BD24" s="353"/>
      <c r="BE24" s="353"/>
      <c r="BF24" s="353"/>
      <c r="BG24" s="353"/>
      <c r="BH24" s="353"/>
      <c r="BI24" s="353"/>
      <c r="BJ24" s="353"/>
      <c r="BK24" s="353"/>
      <c r="BL24" s="353"/>
      <c r="BM24" s="353"/>
      <c r="BN24" s="353"/>
      <c r="BO24" s="353"/>
      <c r="BP24" s="353"/>
      <c r="BQ24" s="353"/>
      <c r="BR24" s="353"/>
      <c r="BS24" s="353"/>
      <c r="BT24" s="353"/>
      <c r="BU24" s="353"/>
      <c r="BV24" s="353"/>
      <c r="BW24" s="353"/>
      <c r="BX24" s="353"/>
    </row>
    <row r="25" spans="1:76" s="295" customFormat="1" ht="43.5" customHeight="1">
      <c r="A25" s="3139"/>
      <c r="B25" s="233"/>
      <c r="C25" s="238" t="s">
        <v>66</v>
      </c>
      <c r="D25" s="238" t="s">
        <v>66</v>
      </c>
      <c r="E25" s="238" t="s">
        <v>66</v>
      </c>
      <c r="F25" s="238" t="s">
        <v>66</v>
      </c>
      <c r="G25" s="238" t="s">
        <v>66</v>
      </c>
      <c r="H25" s="238">
        <v>22</v>
      </c>
      <c r="I25" s="235" t="s">
        <v>168</v>
      </c>
      <c r="J25" s="233" t="s">
        <v>248</v>
      </c>
      <c r="K25" s="310">
        <f>15*6</f>
        <v>90</v>
      </c>
      <c r="L25" s="2987">
        <f>6*P25</f>
        <v>462000000</v>
      </c>
      <c r="M25" s="2332">
        <f>15*3</f>
        <v>45</v>
      </c>
      <c r="N25" s="2988">
        <f>2*P25</f>
        <v>154000000</v>
      </c>
      <c r="O25" s="310">
        <v>15</v>
      </c>
      <c r="P25" s="240">
        <v>77000000</v>
      </c>
      <c r="Q25" s="2332">
        <v>7</v>
      </c>
      <c r="R25" s="237">
        <v>0</v>
      </c>
      <c r="S25" s="310">
        <v>35</v>
      </c>
      <c r="T25" s="2826">
        <v>24479000</v>
      </c>
      <c r="U25" s="2267">
        <v>80</v>
      </c>
      <c r="V25" s="2986">
        <v>30729000</v>
      </c>
      <c r="W25" s="2267"/>
      <c r="X25" s="2267"/>
      <c r="Y25" s="310">
        <f t="shared" si="3"/>
        <v>122</v>
      </c>
      <c r="Z25" s="2986">
        <f t="shared" si="2"/>
        <v>55208000</v>
      </c>
      <c r="AA25" s="310">
        <f t="shared" si="4"/>
        <v>167</v>
      </c>
      <c r="AB25" s="2986">
        <f t="shared" si="4"/>
        <v>209208000</v>
      </c>
      <c r="AC25" s="298">
        <f t="shared" si="5"/>
        <v>185.55555555555557</v>
      </c>
      <c r="AD25" s="298">
        <f t="shared" si="1"/>
        <v>45.283116883116882</v>
      </c>
      <c r="AE25" s="245"/>
      <c r="AF25" s="353"/>
      <c r="AG25" s="353"/>
      <c r="AH25" s="353"/>
      <c r="AI25" s="353"/>
      <c r="AJ25" s="353"/>
      <c r="AK25" s="353"/>
      <c r="AL25" s="353"/>
      <c r="AM25" s="353"/>
      <c r="AN25" s="353"/>
      <c r="AO25" s="353"/>
      <c r="AP25" s="353"/>
      <c r="AQ25" s="353"/>
      <c r="AR25" s="353"/>
      <c r="AS25" s="353"/>
      <c r="AT25" s="353"/>
      <c r="AU25" s="353"/>
      <c r="AV25" s="353"/>
      <c r="AW25" s="353"/>
      <c r="AX25" s="353"/>
      <c r="AY25" s="353"/>
      <c r="AZ25" s="353"/>
      <c r="BA25" s="353"/>
      <c r="BB25" s="353"/>
      <c r="BC25" s="353"/>
      <c r="BD25" s="353"/>
      <c r="BE25" s="353"/>
      <c r="BF25" s="353"/>
      <c r="BG25" s="353"/>
      <c r="BH25" s="353"/>
      <c r="BI25" s="353"/>
      <c r="BJ25" s="353"/>
      <c r="BK25" s="353"/>
      <c r="BL25" s="353"/>
      <c r="BM25" s="353"/>
      <c r="BN25" s="353"/>
      <c r="BO25" s="353"/>
      <c r="BP25" s="353"/>
      <c r="BQ25" s="353"/>
      <c r="BR25" s="353"/>
      <c r="BS25" s="353"/>
      <c r="BT25" s="353"/>
      <c r="BU25" s="353"/>
      <c r="BV25" s="353"/>
      <c r="BW25" s="353"/>
      <c r="BX25" s="353"/>
    </row>
    <row r="26" spans="1:76" s="295" customFormat="1" ht="57.75" customHeight="1">
      <c r="A26" s="3139"/>
      <c r="B26" s="233"/>
      <c r="C26" s="238" t="s">
        <v>66</v>
      </c>
      <c r="D26" s="238" t="s">
        <v>66</v>
      </c>
      <c r="E26" s="238" t="s">
        <v>66</v>
      </c>
      <c r="F26" s="238" t="s">
        <v>66</v>
      </c>
      <c r="G26" s="238" t="s">
        <v>66</v>
      </c>
      <c r="H26" s="238">
        <v>23</v>
      </c>
      <c r="I26" s="233" t="s">
        <v>249</v>
      </c>
      <c r="J26" s="233" t="s">
        <v>250</v>
      </c>
      <c r="K26" s="2328">
        <v>72</v>
      </c>
      <c r="L26" s="237">
        <f>P26*6</f>
        <v>1432200000</v>
      </c>
      <c r="M26" s="2328">
        <v>24</v>
      </c>
      <c r="N26" s="2317">
        <f>2*217800000</f>
        <v>435600000</v>
      </c>
      <c r="O26" s="2328">
        <v>12</v>
      </c>
      <c r="P26" s="2317">
        <v>238700000</v>
      </c>
      <c r="Q26" s="2329">
        <v>3</v>
      </c>
      <c r="R26" s="237">
        <f>P26/4</f>
        <v>59675000</v>
      </c>
      <c r="S26" s="310">
        <v>3</v>
      </c>
      <c r="T26" s="2826">
        <v>65844364</v>
      </c>
      <c r="U26" s="2267">
        <v>3</v>
      </c>
      <c r="V26" s="2986">
        <v>116343998</v>
      </c>
      <c r="W26" s="2267"/>
      <c r="X26" s="2267"/>
      <c r="Y26" s="310">
        <f t="shared" si="3"/>
        <v>9</v>
      </c>
      <c r="Z26" s="2986">
        <f t="shared" si="2"/>
        <v>241863362</v>
      </c>
      <c r="AA26" s="310">
        <f t="shared" si="4"/>
        <v>33</v>
      </c>
      <c r="AB26" s="2986">
        <f t="shared" si="4"/>
        <v>677463362</v>
      </c>
      <c r="AC26" s="298">
        <f t="shared" si="5"/>
        <v>45.833333333333329</v>
      </c>
      <c r="AD26" s="298">
        <f t="shared" si="1"/>
        <v>47.302287529674622</v>
      </c>
      <c r="AE26" s="245"/>
      <c r="AF26" s="353"/>
      <c r="AG26" s="353"/>
      <c r="AH26" s="353"/>
      <c r="AI26" s="353"/>
      <c r="AJ26" s="353"/>
      <c r="AK26" s="353"/>
      <c r="AL26" s="353"/>
      <c r="AM26" s="353"/>
      <c r="AN26" s="353"/>
      <c r="AO26" s="353"/>
      <c r="AP26" s="353"/>
      <c r="AQ26" s="353"/>
      <c r="AR26" s="353"/>
      <c r="AS26" s="353"/>
      <c r="AT26" s="353"/>
      <c r="AU26" s="353"/>
      <c r="AV26" s="353"/>
      <c r="AW26" s="353"/>
      <c r="AX26" s="353"/>
      <c r="AY26" s="353"/>
      <c r="AZ26" s="353"/>
      <c r="BA26" s="353"/>
      <c r="BB26" s="353"/>
      <c r="BC26" s="353"/>
      <c r="BD26" s="353"/>
      <c r="BE26" s="353"/>
      <c r="BF26" s="353"/>
      <c r="BG26" s="353"/>
      <c r="BH26" s="353"/>
      <c r="BI26" s="353"/>
      <c r="BJ26" s="353"/>
      <c r="BK26" s="353"/>
      <c r="BL26" s="353"/>
      <c r="BM26" s="353"/>
      <c r="BN26" s="353"/>
      <c r="BO26" s="353"/>
      <c r="BP26" s="353"/>
      <c r="BQ26" s="353"/>
      <c r="BR26" s="353"/>
      <c r="BS26" s="353"/>
      <c r="BT26" s="353"/>
      <c r="BU26" s="353"/>
      <c r="BV26" s="353"/>
      <c r="BW26" s="353"/>
      <c r="BX26" s="353"/>
    </row>
    <row r="27" spans="1:76" s="295" customFormat="1" ht="196.5" customHeight="1">
      <c r="A27" s="3139"/>
      <c r="B27" s="233"/>
      <c r="C27" s="238">
        <v>3</v>
      </c>
      <c r="D27" s="238" t="s">
        <v>107</v>
      </c>
      <c r="E27" s="238" t="s">
        <v>65</v>
      </c>
      <c r="F27" s="238" t="s">
        <v>66</v>
      </c>
      <c r="G27" s="238" t="s">
        <v>67</v>
      </c>
      <c r="H27" s="238">
        <v>27</v>
      </c>
      <c r="I27" s="233" t="s">
        <v>251</v>
      </c>
      <c r="J27" s="233" t="s">
        <v>252</v>
      </c>
      <c r="K27" s="252">
        <v>6</v>
      </c>
      <c r="L27" s="2330">
        <v>8071387000</v>
      </c>
      <c r="M27" s="252">
        <v>2</v>
      </c>
      <c r="N27" s="256">
        <v>2547387000</v>
      </c>
      <c r="O27" s="252">
        <v>1</v>
      </c>
      <c r="P27" s="256">
        <v>1381000000</v>
      </c>
      <c r="Q27" s="252">
        <v>1</v>
      </c>
      <c r="R27" s="256">
        <v>224500000</v>
      </c>
      <c r="S27" s="252">
        <v>0</v>
      </c>
      <c r="T27" s="2826">
        <v>455250000</v>
      </c>
      <c r="U27" s="233">
        <v>0</v>
      </c>
      <c r="V27" s="2716">
        <v>445000000</v>
      </c>
      <c r="W27" s="233"/>
      <c r="X27" s="233"/>
      <c r="Y27" s="310">
        <f t="shared" si="3"/>
        <v>1</v>
      </c>
      <c r="Z27" s="2986">
        <f t="shared" si="2"/>
        <v>1124750000</v>
      </c>
      <c r="AA27" s="310">
        <f t="shared" si="4"/>
        <v>3</v>
      </c>
      <c r="AB27" s="2986">
        <f t="shared" si="4"/>
        <v>3672137000</v>
      </c>
      <c r="AC27" s="298">
        <f t="shared" si="5"/>
        <v>50</v>
      </c>
      <c r="AD27" s="298">
        <f t="shared" si="1"/>
        <v>45.495736978043553</v>
      </c>
      <c r="AE27" s="245"/>
      <c r="AF27" s="353"/>
      <c r="AG27" s="353"/>
      <c r="AH27" s="353"/>
      <c r="AI27" s="353"/>
      <c r="AJ27" s="353"/>
      <c r="AK27" s="353"/>
      <c r="AL27" s="353"/>
      <c r="AM27" s="353"/>
      <c r="AN27" s="353"/>
      <c r="AO27" s="353"/>
      <c r="AP27" s="353"/>
      <c r="AQ27" s="353"/>
      <c r="AR27" s="353"/>
      <c r="AS27" s="353"/>
      <c r="AT27" s="353"/>
      <c r="AU27" s="353"/>
      <c r="AV27" s="353"/>
      <c r="AW27" s="353"/>
      <c r="AX27" s="353"/>
      <c r="AY27" s="353"/>
      <c r="AZ27" s="353"/>
      <c r="BA27" s="353"/>
      <c r="BB27" s="353"/>
      <c r="BC27" s="353"/>
      <c r="BD27" s="353"/>
      <c r="BE27" s="353"/>
      <c r="BF27" s="353"/>
      <c r="BG27" s="353"/>
      <c r="BH27" s="353"/>
      <c r="BI27" s="353"/>
      <c r="BJ27" s="353"/>
      <c r="BK27" s="353"/>
      <c r="BL27" s="353"/>
      <c r="BM27" s="353"/>
      <c r="BN27" s="353"/>
      <c r="BO27" s="353"/>
      <c r="BP27" s="353"/>
      <c r="BQ27" s="353"/>
      <c r="BR27" s="353"/>
      <c r="BS27" s="353"/>
      <c r="BT27" s="353"/>
      <c r="BU27" s="353"/>
      <c r="BV27" s="353"/>
      <c r="BW27" s="353"/>
      <c r="BX27" s="353"/>
    </row>
    <row r="28" spans="1:76" s="295" customFormat="1" ht="90" customHeight="1">
      <c r="A28" s="3139"/>
      <c r="B28" s="273"/>
      <c r="C28" s="238" t="s">
        <v>66</v>
      </c>
      <c r="D28" s="238" t="s">
        <v>66</v>
      </c>
      <c r="E28" s="238" t="s">
        <v>66</v>
      </c>
      <c r="F28" s="238" t="s">
        <v>66</v>
      </c>
      <c r="G28" s="238" t="s">
        <v>66</v>
      </c>
      <c r="H28" s="238">
        <v>33</v>
      </c>
      <c r="I28" s="273" t="s">
        <v>253</v>
      </c>
      <c r="J28" s="273" t="s">
        <v>254</v>
      </c>
      <c r="K28" s="252">
        <v>50</v>
      </c>
      <c r="L28" s="256">
        <f>37500000*5</f>
        <v>187500000</v>
      </c>
      <c r="M28" s="252">
        <v>20</v>
      </c>
      <c r="N28" s="256">
        <v>37500000</v>
      </c>
      <c r="O28" s="252">
        <v>10</v>
      </c>
      <c r="P28" s="256">
        <v>22470000</v>
      </c>
      <c r="Q28" s="252">
        <v>0</v>
      </c>
      <c r="R28" s="256">
        <v>0</v>
      </c>
      <c r="S28" s="245">
        <v>1</v>
      </c>
      <c r="T28" s="2920">
        <v>2700000</v>
      </c>
      <c r="U28" s="273">
        <v>4</v>
      </c>
      <c r="V28" s="2021">
        <v>11783000</v>
      </c>
      <c r="W28" s="273"/>
      <c r="X28" s="273"/>
      <c r="Y28" s="310">
        <f t="shared" si="3"/>
        <v>5</v>
      </c>
      <c r="Z28" s="2986">
        <f t="shared" si="2"/>
        <v>14483000</v>
      </c>
      <c r="AA28" s="310">
        <f t="shared" si="4"/>
        <v>25</v>
      </c>
      <c r="AB28" s="2986">
        <f t="shared" si="4"/>
        <v>51983000</v>
      </c>
      <c r="AC28" s="298">
        <f t="shared" si="5"/>
        <v>50</v>
      </c>
      <c r="AD28" s="298">
        <f t="shared" si="1"/>
        <v>27.724266666666669</v>
      </c>
      <c r="AE28" s="245"/>
      <c r="AF28" s="353"/>
      <c r="AG28" s="353"/>
      <c r="AH28" s="353"/>
      <c r="AI28" s="353"/>
      <c r="AJ28" s="353"/>
      <c r="AK28" s="353"/>
      <c r="AL28" s="353"/>
      <c r="AM28" s="353"/>
      <c r="AN28" s="353"/>
      <c r="AO28" s="353"/>
      <c r="AP28" s="353"/>
      <c r="AQ28" s="353"/>
      <c r="AR28" s="353"/>
      <c r="AS28" s="353"/>
      <c r="AT28" s="353"/>
      <c r="AU28" s="353"/>
      <c r="AV28" s="353"/>
      <c r="AW28" s="353"/>
      <c r="AX28" s="353"/>
      <c r="AY28" s="353"/>
      <c r="AZ28" s="353"/>
      <c r="BA28" s="353"/>
      <c r="BB28" s="353"/>
      <c r="BC28" s="353"/>
      <c r="BD28" s="353"/>
      <c r="BE28" s="353"/>
      <c r="BF28" s="353"/>
      <c r="BG28" s="353"/>
      <c r="BH28" s="353"/>
      <c r="BI28" s="353"/>
      <c r="BJ28" s="353"/>
      <c r="BK28" s="353"/>
      <c r="BL28" s="353"/>
      <c r="BM28" s="353"/>
      <c r="BN28" s="353"/>
      <c r="BO28" s="353"/>
      <c r="BP28" s="353"/>
      <c r="BQ28" s="353"/>
      <c r="BR28" s="353"/>
      <c r="BS28" s="353"/>
      <c r="BT28" s="353"/>
      <c r="BU28" s="353"/>
      <c r="BV28" s="353"/>
      <c r="BW28" s="353"/>
      <c r="BX28" s="353"/>
    </row>
    <row r="29" spans="1:76" s="295" customFormat="1" ht="63.75" customHeight="1">
      <c r="A29" s="3139"/>
      <c r="B29" s="233"/>
      <c r="C29" s="238" t="s">
        <v>66</v>
      </c>
      <c r="D29" s="238" t="s">
        <v>66</v>
      </c>
      <c r="E29" s="238" t="s">
        <v>66</v>
      </c>
      <c r="F29" s="238" t="s">
        <v>66</v>
      </c>
      <c r="G29" s="238" t="s">
        <v>66</v>
      </c>
      <c r="H29" s="238">
        <v>37</v>
      </c>
      <c r="I29" s="233" t="s">
        <v>255</v>
      </c>
      <c r="J29" s="233" t="s">
        <v>256</v>
      </c>
      <c r="K29" s="2328">
        <v>72</v>
      </c>
      <c r="L29" s="237">
        <f>P29*6</f>
        <v>180000000</v>
      </c>
      <c r="M29" s="2328">
        <v>24</v>
      </c>
      <c r="N29" s="2317">
        <f>2*30000000</f>
        <v>60000000</v>
      </c>
      <c r="O29" s="2328">
        <v>12</v>
      </c>
      <c r="P29" s="2317">
        <v>30000000</v>
      </c>
      <c r="Q29" s="252">
        <v>3</v>
      </c>
      <c r="R29" s="256">
        <v>0</v>
      </c>
      <c r="S29" s="3139">
        <v>3</v>
      </c>
      <c r="T29" s="2826">
        <v>0</v>
      </c>
      <c r="U29" s="2267">
        <v>3</v>
      </c>
      <c r="V29" s="2986"/>
      <c r="W29" s="2267"/>
      <c r="X29" s="2267"/>
      <c r="Y29" s="310">
        <f t="shared" si="3"/>
        <v>9</v>
      </c>
      <c r="Z29" s="2986">
        <f t="shared" si="2"/>
        <v>0</v>
      </c>
      <c r="AA29" s="310">
        <f t="shared" si="4"/>
        <v>33</v>
      </c>
      <c r="AB29" s="2986">
        <f t="shared" si="4"/>
        <v>60000000</v>
      </c>
      <c r="AC29" s="298">
        <f t="shared" si="5"/>
        <v>45.833333333333329</v>
      </c>
      <c r="AD29" s="298">
        <f t="shared" si="1"/>
        <v>33.333333333333329</v>
      </c>
      <c r="AE29" s="245"/>
      <c r="AF29" s="353"/>
      <c r="AG29" s="353"/>
      <c r="AH29" s="353"/>
      <c r="AI29" s="353"/>
      <c r="AJ29" s="353"/>
      <c r="AK29" s="353"/>
      <c r="AL29" s="353"/>
      <c r="AM29" s="353"/>
      <c r="AN29" s="353"/>
      <c r="AO29" s="353"/>
      <c r="AP29" s="353"/>
      <c r="AQ29" s="353"/>
      <c r="AR29" s="353"/>
      <c r="AS29" s="353"/>
      <c r="AT29" s="353"/>
      <c r="AU29" s="353"/>
      <c r="AV29" s="353"/>
      <c r="AW29" s="353"/>
      <c r="AX29" s="353"/>
      <c r="AY29" s="353"/>
      <c r="AZ29" s="353"/>
      <c r="BA29" s="353"/>
      <c r="BB29" s="353"/>
      <c r="BC29" s="353"/>
      <c r="BD29" s="353"/>
      <c r="BE29" s="353"/>
      <c r="BF29" s="353"/>
      <c r="BG29" s="353"/>
      <c r="BH29" s="353"/>
      <c r="BI29" s="353"/>
      <c r="BJ29" s="353"/>
      <c r="BK29" s="353"/>
      <c r="BL29" s="353"/>
      <c r="BM29" s="353"/>
      <c r="BN29" s="353"/>
      <c r="BO29" s="353"/>
      <c r="BP29" s="353"/>
      <c r="BQ29" s="353"/>
      <c r="BR29" s="353"/>
      <c r="BS29" s="353"/>
      <c r="BT29" s="353"/>
      <c r="BU29" s="353"/>
      <c r="BV29" s="353"/>
      <c r="BW29" s="353"/>
      <c r="BX29" s="353"/>
    </row>
    <row r="30" spans="1:76" s="295" customFormat="1" ht="62.25" customHeight="1">
      <c r="A30" s="2575">
        <v>2</v>
      </c>
      <c r="B30" s="2501"/>
      <c r="C30" s="2576" t="s">
        <v>66</v>
      </c>
      <c r="D30" s="2576" t="s">
        <v>66</v>
      </c>
      <c r="E30" s="2576" t="s">
        <v>66</v>
      </c>
      <c r="F30" s="2576" t="s">
        <v>66</v>
      </c>
      <c r="G30" s="2576" t="s">
        <v>65</v>
      </c>
      <c r="H30" s="2576"/>
      <c r="I30" s="2443" t="s">
        <v>257</v>
      </c>
      <c r="J30" s="2501" t="s">
        <v>3119</v>
      </c>
      <c r="K30" s="2577">
        <v>100</v>
      </c>
      <c r="L30" s="2989">
        <f t="shared" ref="L30:R30" si="8">SUM(L31:L33)</f>
        <v>1287624000</v>
      </c>
      <c r="M30" s="2577">
        <v>33</v>
      </c>
      <c r="N30" s="2989">
        <f t="shared" si="8"/>
        <v>399418000</v>
      </c>
      <c r="O30" s="2577">
        <v>16.5</v>
      </c>
      <c r="P30" s="2989">
        <f t="shared" si="8"/>
        <v>214604000</v>
      </c>
      <c r="Q30" s="2984">
        <v>4</v>
      </c>
      <c r="R30" s="2545">
        <f t="shared" si="8"/>
        <v>44901000</v>
      </c>
      <c r="S30" s="2575">
        <v>4</v>
      </c>
      <c r="T30" s="2892">
        <f>SUM(T31:T33)</f>
        <v>49850918</v>
      </c>
      <c r="U30" s="2578">
        <v>4</v>
      </c>
      <c r="V30" s="2892">
        <f>SUM(V31:V33)</f>
        <v>41874000</v>
      </c>
      <c r="W30" s="2578"/>
      <c r="X30" s="2578"/>
      <c r="Y30" s="2577">
        <f t="shared" si="3"/>
        <v>12</v>
      </c>
      <c r="Z30" s="2581">
        <f t="shared" si="2"/>
        <v>136625918</v>
      </c>
      <c r="AA30" s="2577">
        <f>M30+Y30</f>
        <v>45</v>
      </c>
      <c r="AB30" s="2581">
        <f>SUM(AB31:AB33)</f>
        <v>536043918</v>
      </c>
      <c r="AC30" s="2584">
        <f t="shared" ref="AC30:AD35" si="9">(AA30/K30)*100</f>
        <v>45</v>
      </c>
      <c r="AD30" s="2584">
        <f t="shared" si="9"/>
        <v>41.630469609140555</v>
      </c>
      <c r="AE30" s="3135" t="s">
        <v>175</v>
      </c>
      <c r="AF30" s="353"/>
      <c r="AG30" s="353"/>
      <c r="AH30" s="353"/>
      <c r="AI30" s="353"/>
      <c r="AJ30" s="353"/>
      <c r="AK30" s="353"/>
      <c r="AL30" s="353"/>
      <c r="AM30" s="353"/>
      <c r="AN30" s="353"/>
      <c r="AO30" s="353"/>
      <c r="AP30" s="353"/>
      <c r="AQ30" s="353"/>
      <c r="AR30" s="353"/>
      <c r="AS30" s="353"/>
      <c r="AT30" s="353"/>
      <c r="AU30" s="353"/>
      <c r="AV30" s="353"/>
      <c r="AW30" s="353"/>
      <c r="AX30" s="353"/>
      <c r="AY30" s="353"/>
      <c r="AZ30" s="353"/>
      <c r="BA30" s="353"/>
      <c r="BB30" s="353"/>
      <c r="BC30" s="353"/>
      <c r="BD30" s="353"/>
      <c r="BE30" s="353"/>
      <c r="BF30" s="353"/>
      <c r="BG30" s="353"/>
      <c r="BH30" s="353"/>
      <c r="BI30" s="353"/>
      <c r="BJ30" s="353"/>
      <c r="BK30" s="353"/>
      <c r="BL30" s="353"/>
      <c r="BM30" s="353"/>
      <c r="BN30" s="353"/>
      <c r="BO30" s="353"/>
      <c r="BP30" s="353"/>
      <c r="BQ30" s="353"/>
      <c r="BR30" s="353"/>
      <c r="BS30" s="353"/>
      <c r="BT30" s="353"/>
      <c r="BU30" s="353"/>
      <c r="BV30" s="353"/>
      <c r="BW30" s="353"/>
      <c r="BX30" s="353"/>
    </row>
    <row r="31" spans="1:76" s="295" customFormat="1" ht="62.25" customHeight="1">
      <c r="A31" s="3139"/>
      <c r="B31" s="233"/>
      <c r="C31" s="238" t="s">
        <v>66</v>
      </c>
      <c r="D31" s="238" t="s">
        <v>66</v>
      </c>
      <c r="E31" s="238" t="s">
        <v>66</v>
      </c>
      <c r="F31" s="238" t="s">
        <v>66</v>
      </c>
      <c r="G31" s="238" t="s">
        <v>65</v>
      </c>
      <c r="H31" s="238">
        <v>22</v>
      </c>
      <c r="I31" s="233" t="s">
        <v>258</v>
      </c>
      <c r="J31" s="233" t="s">
        <v>259</v>
      </c>
      <c r="K31" s="2328">
        <v>100</v>
      </c>
      <c r="L31" s="237">
        <f>P31*6</f>
        <v>210000000</v>
      </c>
      <c r="M31" s="2328">
        <v>33</v>
      </c>
      <c r="N31" s="2317">
        <f>2*50000000</f>
        <v>100000000</v>
      </c>
      <c r="O31" s="2328">
        <f>M31/2</f>
        <v>16.5</v>
      </c>
      <c r="P31" s="2317">
        <v>35000000</v>
      </c>
      <c r="Q31" s="2331">
        <v>0</v>
      </c>
      <c r="R31" s="237">
        <v>0</v>
      </c>
      <c r="S31" s="3139">
        <v>10</v>
      </c>
      <c r="T31" s="2826">
        <v>1748000</v>
      </c>
      <c r="U31" s="2267">
        <v>10</v>
      </c>
      <c r="V31" s="2986">
        <v>1748000</v>
      </c>
      <c r="W31" s="2267"/>
      <c r="X31" s="2267"/>
      <c r="Y31" s="310">
        <f t="shared" si="3"/>
        <v>20</v>
      </c>
      <c r="Z31" s="2986">
        <f t="shared" si="2"/>
        <v>3496000</v>
      </c>
      <c r="AA31" s="310">
        <f>M31+Y31</f>
        <v>53</v>
      </c>
      <c r="AB31" s="2986">
        <f>N31+Z31</f>
        <v>103496000</v>
      </c>
      <c r="AC31" s="298">
        <f t="shared" si="9"/>
        <v>53</v>
      </c>
      <c r="AD31" s="298">
        <f t="shared" si="9"/>
        <v>49.283809523809524</v>
      </c>
      <c r="AE31" s="245"/>
      <c r="AF31" s="353"/>
      <c r="AG31" s="353"/>
      <c r="AH31" s="353"/>
      <c r="AI31" s="353"/>
      <c r="AJ31" s="353"/>
      <c r="AK31" s="353"/>
      <c r="AL31" s="353"/>
      <c r="AM31" s="353"/>
      <c r="AN31" s="353"/>
      <c r="AO31" s="353"/>
      <c r="AP31" s="353"/>
      <c r="AQ31" s="353"/>
      <c r="AR31" s="353"/>
      <c r="AS31" s="353"/>
      <c r="AT31" s="353"/>
      <c r="AU31" s="353"/>
      <c r="AV31" s="353"/>
      <c r="AW31" s="353"/>
      <c r="AX31" s="353"/>
      <c r="AY31" s="353"/>
      <c r="AZ31" s="353"/>
      <c r="BA31" s="353"/>
      <c r="BB31" s="353"/>
      <c r="BC31" s="353"/>
      <c r="BD31" s="353"/>
      <c r="BE31" s="353"/>
      <c r="BF31" s="353"/>
      <c r="BG31" s="353"/>
      <c r="BH31" s="353"/>
      <c r="BI31" s="353"/>
      <c r="BJ31" s="353"/>
      <c r="BK31" s="353"/>
      <c r="BL31" s="353"/>
      <c r="BM31" s="353"/>
      <c r="BN31" s="353"/>
      <c r="BO31" s="353"/>
      <c r="BP31" s="353"/>
      <c r="BQ31" s="353"/>
      <c r="BR31" s="353"/>
      <c r="BS31" s="353"/>
      <c r="BT31" s="353"/>
      <c r="BU31" s="353"/>
      <c r="BV31" s="353"/>
      <c r="BW31" s="353"/>
      <c r="BX31" s="353"/>
    </row>
    <row r="32" spans="1:76" s="295" customFormat="1" ht="62.25" customHeight="1">
      <c r="A32" s="3139"/>
      <c r="B32" s="233"/>
      <c r="C32" s="238" t="s">
        <v>66</v>
      </c>
      <c r="D32" s="238" t="s">
        <v>66</v>
      </c>
      <c r="E32" s="238" t="s">
        <v>66</v>
      </c>
      <c r="F32" s="238" t="s">
        <v>66</v>
      </c>
      <c r="G32" s="238" t="s">
        <v>65</v>
      </c>
      <c r="H32" s="238">
        <v>24</v>
      </c>
      <c r="I32" s="233" t="s">
        <v>260</v>
      </c>
      <c r="J32" s="233" t="s">
        <v>261</v>
      </c>
      <c r="K32" s="2328">
        <v>100</v>
      </c>
      <c r="L32" s="237">
        <f>P32*6</f>
        <v>825624000</v>
      </c>
      <c r="M32" s="2328">
        <v>33</v>
      </c>
      <c r="N32" s="2317">
        <f>2*107709000</f>
        <v>215418000</v>
      </c>
      <c r="O32" s="2328">
        <f>M32/2</f>
        <v>16.5</v>
      </c>
      <c r="P32" s="2317">
        <v>137604000</v>
      </c>
      <c r="Q32" s="2329">
        <f>O32/4</f>
        <v>4.125</v>
      </c>
      <c r="R32" s="237">
        <f>P32/4</f>
        <v>34401000</v>
      </c>
      <c r="S32" s="3139">
        <v>25</v>
      </c>
      <c r="T32" s="2826">
        <v>32797918</v>
      </c>
      <c r="U32" s="2267">
        <v>25</v>
      </c>
      <c r="V32" s="2986">
        <v>34401000</v>
      </c>
      <c r="W32" s="2267"/>
      <c r="X32" s="2267"/>
      <c r="Y32" s="310">
        <f t="shared" si="3"/>
        <v>54.125</v>
      </c>
      <c r="Z32" s="2986">
        <f t="shared" si="2"/>
        <v>101599918</v>
      </c>
      <c r="AA32" s="310">
        <f>M32+Y32</f>
        <v>87.125</v>
      </c>
      <c r="AB32" s="2986">
        <f>N32+Z32</f>
        <v>317017918</v>
      </c>
      <c r="AC32" s="298">
        <f t="shared" si="9"/>
        <v>87.125</v>
      </c>
      <c r="AD32" s="298">
        <f t="shared" si="9"/>
        <v>38.397371927172657</v>
      </c>
      <c r="AE32" s="245"/>
      <c r="AF32" s="353"/>
      <c r="AG32" s="353"/>
      <c r="AH32" s="353"/>
      <c r="AI32" s="353"/>
      <c r="AJ32" s="353"/>
      <c r="AK32" s="353"/>
      <c r="AL32" s="353"/>
      <c r="AM32" s="353"/>
      <c r="AN32" s="353"/>
      <c r="AO32" s="353"/>
      <c r="AP32" s="353"/>
      <c r="AQ32" s="353"/>
      <c r="AR32" s="353"/>
      <c r="AS32" s="353"/>
      <c r="AT32" s="353"/>
      <c r="AU32" s="353"/>
      <c r="AV32" s="353"/>
      <c r="AW32" s="353"/>
      <c r="AX32" s="353"/>
      <c r="AY32" s="353"/>
      <c r="AZ32" s="353"/>
      <c r="BA32" s="353"/>
      <c r="BB32" s="353"/>
      <c r="BC32" s="353"/>
      <c r="BD32" s="353"/>
      <c r="BE32" s="353"/>
      <c r="BF32" s="353"/>
      <c r="BG32" s="353"/>
      <c r="BH32" s="353"/>
      <c r="BI32" s="353"/>
      <c r="BJ32" s="353"/>
      <c r="BK32" s="353"/>
      <c r="BL32" s="353"/>
      <c r="BM32" s="353"/>
      <c r="BN32" s="353"/>
      <c r="BO32" s="353"/>
      <c r="BP32" s="353"/>
      <c r="BQ32" s="353"/>
      <c r="BR32" s="353"/>
      <c r="BS32" s="353"/>
      <c r="BT32" s="353"/>
      <c r="BU32" s="353"/>
      <c r="BV32" s="353"/>
      <c r="BW32" s="353"/>
      <c r="BX32" s="353"/>
    </row>
    <row r="33" spans="1:76" s="295" customFormat="1" ht="41.25" customHeight="1">
      <c r="A33" s="3139"/>
      <c r="B33" s="233"/>
      <c r="C33" s="238" t="s">
        <v>66</v>
      </c>
      <c r="D33" s="238" t="s">
        <v>66</v>
      </c>
      <c r="E33" s="238" t="s">
        <v>66</v>
      </c>
      <c r="F33" s="238" t="s">
        <v>66</v>
      </c>
      <c r="G33" s="238" t="s">
        <v>65</v>
      </c>
      <c r="H33" s="238">
        <v>30</v>
      </c>
      <c r="I33" s="233" t="s">
        <v>262</v>
      </c>
      <c r="J33" s="233" t="s">
        <v>263</v>
      </c>
      <c r="K33" s="2328">
        <v>100</v>
      </c>
      <c r="L33" s="237">
        <f>P33*6</f>
        <v>252000000</v>
      </c>
      <c r="M33" s="2328">
        <v>33</v>
      </c>
      <c r="N33" s="2317">
        <f>2*42000000</f>
        <v>84000000</v>
      </c>
      <c r="O33" s="2328">
        <f>M33/2</f>
        <v>16.5</v>
      </c>
      <c r="P33" s="2317">
        <v>42000000</v>
      </c>
      <c r="Q33" s="2329">
        <f>O33/4</f>
        <v>4.125</v>
      </c>
      <c r="R33" s="237">
        <f>P33/4</f>
        <v>10500000</v>
      </c>
      <c r="S33" s="3139">
        <v>30</v>
      </c>
      <c r="T33" s="2826">
        <v>15305000</v>
      </c>
      <c r="U33" s="2267">
        <v>30</v>
      </c>
      <c r="V33" s="2986">
        <v>5725000</v>
      </c>
      <c r="W33" s="2267"/>
      <c r="X33" s="2267"/>
      <c r="Y33" s="310">
        <f t="shared" si="3"/>
        <v>64.125</v>
      </c>
      <c r="Z33" s="2986">
        <f t="shared" si="2"/>
        <v>31530000</v>
      </c>
      <c r="AA33" s="310">
        <f>M33+Y33</f>
        <v>97.125</v>
      </c>
      <c r="AB33" s="2986">
        <f>N33+Z33</f>
        <v>115530000</v>
      </c>
      <c r="AC33" s="298">
        <f t="shared" si="9"/>
        <v>97.125</v>
      </c>
      <c r="AD33" s="298">
        <f t="shared" si="9"/>
        <v>45.845238095238095</v>
      </c>
      <c r="AE33" s="245"/>
      <c r="AF33" s="353"/>
      <c r="AG33" s="353"/>
      <c r="AH33" s="353"/>
      <c r="AI33" s="353"/>
      <c r="AJ33" s="353"/>
      <c r="AK33" s="353"/>
      <c r="AL33" s="353"/>
      <c r="AM33" s="353"/>
      <c r="AN33" s="353"/>
      <c r="AO33" s="353"/>
      <c r="AP33" s="353"/>
      <c r="AQ33" s="353"/>
      <c r="AR33" s="353"/>
      <c r="AS33" s="353"/>
      <c r="AT33" s="353"/>
      <c r="AU33" s="353"/>
      <c r="AV33" s="353"/>
      <c r="AW33" s="353"/>
      <c r="AX33" s="353"/>
      <c r="AY33" s="353"/>
      <c r="AZ33" s="353"/>
      <c r="BA33" s="353"/>
      <c r="BB33" s="353"/>
      <c r="BC33" s="353"/>
      <c r="BD33" s="353"/>
      <c r="BE33" s="353"/>
      <c r="BF33" s="353"/>
      <c r="BG33" s="353"/>
      <c r="BH33" s="353"/>
      <c r="BI33" s="353"/>
      <c r="BJ33" s="353"/>
      <c r="BK33" s="353"/>
      <c r="BL33" s="353"/>
      <c r="BM33" s="353"/>
      <c r="BN33" s="353"/>
      <c r="BO33" s="353"/>
      <c r="BP33" s="353"/>
      <c r="BQ33" s="353"/>
      <c r="BR33" s="353"/>
      <c r="BS33" s="353"/>
      <c r="BT33" s="353"/>
      <c r="BU33" s="353"/>
      <c r="BV33" s="353"/>
      <c r="BW33" s="353"/>
      <c r="BX33" s="353"/>
    </row>
    <row r="34" spans="1:76" s="295" customFormat="1" ht="51.75" customHeight="1">
      <c r="A34" s="3135">
        <v>3</v>
      </c>
      <c r="B34" s="2501"/>
      <c r="C34" s="2576" t="s">
        <v>66</v>
      </c>
      <c r="D34" s="2576" t="s">
        <v>66</v>
      </c>
      <c r="E34" s="2576" t="s">
        <v>66</v>
      </c>
      <c r="F34" s="2576" t="s">
        <v>66</v>
      </c>
      <c r="G34" s="2576" t="s">
        <v>161</v>
      </c>
      <c r="H34" s="2880"/>
      <c r="I34" s="2501" t="s">
        <v>264</v>
      </c>
      <c r="J34" s="2501" t="s">
        <v>3120</v>
      </c>
      <c r="K34" s="2502">
        <v>100</v>
      </c>
      <c r="L34" s="2890">
        <f>SUM(L35:L35)</f>
        <v>449211000</v>
      </c>
      <c r="M34" s="2751">
        <f>O34*2</f>
        <v>40</v>
      </c>
      <c r="N34" s="2636">
        <f>SUM(N35:N35)</f>
        <v>149547000</v>
      </c>
      <c r="O34" s="2751">
        <v>20</v>
      </c>
      <c r="P34" s="2636">
        <f>SUM(P35:P36)</f>
        <v>223598000</v>
      </c>
      <c r="Q34" s="2751">
        <f>O34/3</f>
        <v>6.666666666666667</v>
      </c>
      <c r="R34" s="2636">
        <f>SUM(R35)</f>
        <v>59102000</v>
      </c>
      <c r="S34" s="2501"/>
      <c r="T34" s="2664">
        <f>SUM(T35:T36)</f>
        <v>130709000</v>
      </c>
      <c r="U34" s="2501"/>
      <c r="V34" s="2664">
        <f>SUM(V35:V36)</f>
        <v>15452000</v>
      </c>
      <c r="W34" s="2501"/>
      <c r="X34" s="2501"/>
      <c r="Y34" s="2584">
        <f t="shared" si="3"/>
        <v>6.666666666666667</v>
      </c>
      <c r="Z34" s="2581">
        <f t="shared" si="2"/>
        <v>205263000</v>
      </c>
      <c r="AA34" s="2577">
        <v>46</v>
      </c>
      <c r="AB34" s="2581">
        <f>SUM(AB35:AB35)</f>
        <v>213649000</v>
      </c>
      <c r="AC34" s="2584">
        <f t="shared" si="9"/>
        <v>46</v>
      </c>
      <c r="AD34" s="2584">
        <f t="shared" si="9"/>
        <v>47.560945747098806</v>
      </c>
      <c r="AE34" s="3135" t="s">
        <v>175</v>
      </c>
      <c r="AF34" s="353"/>
      <c r="AG34" s="353"/>
      <c r="AH34" s="353"/>
      <c r="AI34" s="353"/>
      <c r="AJ34" s="353"/>
      <c r="AK34" s="353"/>
      <c r="AL34" s="353"/>
      <c r="AM34" s="353"/>
      <c r="AN34" s="353"/>
      <c r="AO34" s="353"/>
      <c r="AP34" s="353"/>
      <c r="AQ34" s="353"/>
      <c r="AR34" s="353"/>
      <c r="AS34" s="353"/>
      <c r="AT34" s="353"/>
      <c r="AU34" s="353"/>
      <c r="AV34" s="353"/>
      <c r="AW34" s="353"/>
      <c r="AX34" s="353"/>
      <c r="AY34" s="353"/>
      <c r="AZ34" s="353"/>
      <c r="BA34" s="353"/>
      <c r="BB34" s="353"/>
      <c r="BC34" s="353"/>
      <c r="BD34" s="353"/>
      <c r="BE34" s="353"/>
      <c r="BF34" s="353"/>
      <c r="BG34" s="353"/>
      <c r="BH34" s="353"/>
      <c r="BI34" s="353"/>
      <c r="BJ34" s="353"/>
      <c r="BK34" s="353"/>
      <c r="BL34" s="353"/>
      <c r="BM34" s="353"/>
      <c r="BN34" s="353"/>
      <c r="BO34" s="353"/>
      <c r="BP34" s="353"/>
      <c r="BQ34" s="353"/>
      <c r="BR34" s="353"/>
      <c r="BS34" s="353"/>
      <c r="BT34" s="353"/>
      <c r="BU34" s="353"/>
      <c r="BV34" s="353"/>
      <c r="BW34" s="353"/>
      <c r="BX34" s="353"/>
    </row>
    <row r="35" spans="1:76" s="295" customFormat="1" ht="41.25" customHeight="1">
      <c r="A35" s="245"/>
      <c r="B35" s="233"/>
      <c r="C35" s="238" t="s">
        <v>66</v>
      </c>
      <c r="D35" s="238" t="s">
        <v>66</v>
      </c>
      <c r="E35" s="238" t="s">
        <v>66</v>
      </c>
      <c r="F35" s="238" t="s">
        <v>66</v>
      </c>
      <c r="G35" s="238" t="s">
        <v>161</v>
      </c>
      <c r="H35" s="238" t="s">
        <v>196</v>
      </c>
      <c r="I35" s="235" t="s">
        <v>266</v>
      </c>
      <c r="J35" s="233" t="s">
        <v>267</v>
      </c>
      <c r="K35" s="310">
        <f>150*6</f>
        <v>900</v>
      </c>
      <c r="L35" s="237">
        <f>(74631+(5*74916))*1000</f>
        <v>449211000</v>
      </c>
      <c r="M35" s="2332">
        <v>300</v>
      </c>
      <c r="N35" s="309">
        <f>(74631+74916)*1000</f>
        <v>149547000</v>
      </c>
      <c r="O35" s="310">
        <v>150</v>
      </c>
      <c r="P35" s="268">
        <v>74916000</v>
      </c>
      <c r="Q35" s="2332">
        <v>150</v>
      </c>
      <c r="R35" s="268">
        <v>59102000</v>
      </c>
      <c r="S35" s="2267">
        <v>0</v>
      </c>
      <c r="T35" s="280">
        <v>2500000</v>
      </c>
      <c r="U35" s="2267">
        <v>150</v>
      </c>
      <c r="V35" s="2986">
        <v>2500000</v>
      </c>
      <c r="W35" s="2267"/>
      <c r="X35" s="2267"/>
      <c r="Y35" s="2328">
        <f t="shared" si="3"/>
        <v>300</v>
      </c>
      <c r="Z35" s="2493">
        <f t="shared" si="2"/>
        <v>64102000</v>
      </c>
      <c r="AA35" s="310">
        <f>M35+Y35</f>
        <v>600</v>
      </c>
      <c r="AB35" s="2493">
        <f>N35+Z35</f>
        <v>213649000</v>
      </c>
      <c r="AC35" s="298">
        <f t="shared" si="9"/>
        <v>66.666666666666657</v>
      </c>
      <c r="AD35" s="298">
        <f t="shared" si="9"/>
        <v>47.560945747098806</v>
      </c>
      <c r="AE35" s="245"/>
      <c r="AF35" s="353"/>
      <c r="AG35" s="353"/>
      <c r="AH35" s="353"/>
      <c r="AI35" s="353"/>
      <c r="AJ35" s="353"/>
      <c r="AK35" s="353"/>
      <c r="AL35" s="353"/>
      <c r="AM35" s="353"/>
      <c r="AN35" s="353"/>
      <c r="AO35" s="353"/>
      <c r="AP35" s="353"/>
      <c r="AQ35" s="353"/>
      <c r="AR35" s="353"/>
      <c r="AS35" s="353"/>
      <c r="AT35" s="353"/>
      <c r="AU35" s="353"/>
      <c r="AV35" s="353"/>
      <c r="AW35" s="353"/>
      <c r="AX35" s="353"/>
      <c r="AY35" s="353"/>
      <c r="AZ35" s="353"/>
      <c r="BA35" s="353"/>
      <c r="BB35" s="353"/>
      <c r="BC35" s="353"/>
      <c r="BD35" s="353"/>
      <c r="BE35" s="353"/>
      <c r="BF35" s="353"/>
      <c r="BG35" s="353"/>
      <c r="BH35" s="353"/>
      <c r="BI35" s="353"/>
      <c r="BJ35" s="353"/>
      <c r="BK35" s="353"/>
      <c r="BL35" s="353"/>
      <c r="BM35" s="353"/>
      <c r="BN35" s="353"/>
      <c r="BO35" s="353"/>
      <c r="BP35" s="353"/>
      <c r="BQ35" s="353"/>
      <c r="BR35" s="353"/>
      <c r="BS35" s="353"/>
      <c r="BT35" s="353"/>
      <c r="BU35" s="353"/>
      <c r="BV35" s="353"/>
      <c r="BW35" s="353"/>
      <c r="BX35" s="353"/>
    </row>
    <row r="36" spans="1:76" s="295" customFormat="1" ht="41.25" customHeight="1">
      <c r="A36" s="245"/>
      <c r="B36" s="233"/>
      <c r="C36" s="238"/>
      <c r="D36" s="238"/>
      <c r="E36" s="238"/>
      <c r="F36" s="238"/>
      <c r="G36" s="238"/>
      <c r="H36" s="238"/>
      <c r="I36" s="235" t="s">
        <v>268</v>
      </c>
      <c r="J36" s="233" t="s">
        <v>3628</v>
      </c>
      <c r="K36" s="310">
        <v>1</v>
      </c>
      <c r="L36" s="237">
        <v>892092000</v>
      </c>
      <c r="M36" s="2332">
        <v>1</v>
      </c>
      <c r="N36" s="309">
        <v>296952</v>
      </c>
      <c r="O36" s="310">
        <v>1</v>
      </c>
      <c r="P36" s="268">
        <v>148682000</v>
      </c>
      <c r="Q36" s="2332" t="s">
        <v>2034</v>
      </c>
      <c r="R36" s="309">
        <v>0</v>
      </c>
      <c r="S36" s="2267"/>
      <c r="T36" s="280">
        <v>128209000</v>
      </c>
      <c r="U36" s="2267">
        <v>1</v>
      </c>
      <c r="V36" s="2986">
        <v>12952000</v>
      </c>
      <c r="W36" s="2267"/>
      <c r="X36" s="2267"/>
      <c r="Y36" s="2328">
        <f t="shared" si="3"/>
        <v>1</v>
      </c>
      <c r="Z36" s="2493">
        <f t="shared" si="2"/>
        <v>141161000</v>
      </c>
      <c r="AA36" s="310"/>
      <c r="AB36" s="2493"/>
      <c r="AC36" s="298"/>
      <c r="AD36" s="298"/>
      <c r="AE36" s="245"/>
      <c r="AF36" s="353"/>
      <c r="AG36" s="353"/>
      <c r="AH36" s="353"/>
      <c r="AI36" s="353"/>
      <c r="AJ36" s="353"/>
      <c r="AK36" s="353"/>
      <c r="AL36" s="353"/>
      <c r="AM36" s="353"/>
      <c r="AN36" s="353"/>
      <c r="AO36" s="353"/>
      <c r="AP36" s="353"/>
      <c r="AQ36" s="353"/>
      <c r="AR36" s="353"/>
      <c r="AS36" s="353"/>
      <c r="AT36" s="353"/>
      <c r="AU36" s="353"/>
      <c r="AV36" s="353"/>
      <c r="AW36" s="353"/>
      <c r="AX36" s="353"/>
      <c r="AY36" s="353"/>
      <c r="AZ36" s="353"/>
      <c r="BA36" s="353"/>
      <c r="BB36" s="353"/>
      <c r="BC36" s="353"/>
      <c r="BD36" s="353"/>
      <c r="BE36" s="353"/>
      <c r="BF36" s="353"/>
      <c r="BG36" s="353"/>
      <c r="BH36" s="353"/>
      <c r="BI36" s="353"/>
      <c r="BJ36" s="353"/>
      <c r="BK36" s="353"/>
      <c r="BL36" s="353"/>
      <c r="BM36" s="353"/>
      <c r="BN36" s="353"/>
      <c r="BO36" s="353"/>
      <c r="BP36" s="353"/>
      <c r="BQ36" s="353"/>
      <c r="BR36" s="353"/>
      <c r="BS36" s="353"/>
      <c r="BT36" s="353"/>
      <c r="BU36" s="353"/>
      <c r="BV36" s="353"/>
      <c r="BW36" s="353"/>
      <c r="BX36" s="353"/>
    </row>
    <row r="37" spans="1:76" s="353" customFormat="1" ht="26.25" customHeight="1">
      <c r="A37" s="4055">
        <v>4</v>
      </c>
      <c r="B37" s="4055"/>
      <c r="C37" s="4056" t="s">
        <v>146</v>
      </c>
      <c r="D37" s="4056" t="s">
        <v>66</v>
      </c>
      <c r="E37" s="4056" t="s">
        <v>66</v>
      </c>
      <c r="F37" s="4056" t="s">
        <v>66</v>
      </c>
      <c r="G37" s="4056" t="s">
        <v>166</v>
      </c>
      <c r="H37" s="4057"/>
      <c r="I37" s="4261" t="s">
        <v>270</v>
      </c>
      <c r="J37" s="2501" t="s">
        <v>271</v>
      </c>
      <c r="K37" s="2883">
        <f>115-114.22</f>
        <v>0.78000000000000114</v>
      </c>
      <c r="L37" s="2884">
        <f>SUM(L41:L66)</f>
        <v>111407938000</v>
      </c>
      <c r="M37" s="2885">
        <f>O37*2</f>
        <v>0.26</v>
      </c>
      <c r="N37" s="2886">
        <f>SUM(N41:N66)</f>
        <v>19692321000</v>
      </c>
      <c r="O37" s="2885">
        <v>0.13</v>
      </c>
      <c r="P37" s="2886">
        <f>SUM(P41:P66)</f>
        <v>21913531000</v>
      </c>
      <c r="Q37" s="2584">
        <f>O37/4</f>
        <v>3.2500000000000001E-2</v>
      </c>
      <c r="R37" s="2709">
        <f>SUM(R41:R66)</f>
        <v>384164350</v>
      </c>
      <c r="S37" s="2584">
        <v>3.2500000000000001E-2</v>
      </c>
      <c r="T37" s="2718">
        <f>SUM(T38:T63)</f>
        <v>1636873650</v>
      </c>
      <c r="U37" s="3258">
        <v>3.2500000000000001E-2</v>
      </c>
      <c r="V37" s="2718">
        <f>SUM(V38:V63)</f>
        <v>14475202417</v>
      </c>
      <c r="W37" s="2575"/>
      <c r="X37" s="2709"/>
      <c r="Y37" s="2584">
        <f t="shared" si="3"/>
        <v>9.7500000000000003E-2</v>
      </c>
      <c r="Z37" s="2638">
        <f t="shared" si="2"/>
        <v>16496240417</v>
      </c>
      <c r="AA37" s="2584">
        <f>M37+Y37</f>
        <v>0.35750000000000004</v>
      </c>
      <c r="AB37" s="2638">
        <f>SUM(AB41:AB66)</f>
        <v>38387873581</v>
      </c>
      <c r="AC37" s="2584">
        <f>(AA37/K37)*100</f>
        <v>45.833333333333272</v>
      </c>
      <c r="AD37" s="2584">
        <f>(AB37/L37)*100</f>
        <v>34.457036249068715</v>
      </c>
      <c r="AE37" s="3135" t="s">
        <v>175</v>
      </c>
    </row>
    <row r="38" spans="1:76" s="353" customFormat="1" ht="25.5">
      <c r="A38" s="4058"/>
      <c r="B38" s="4058"/>
      <c r="C38" s="4059"/>
      <c r="D38" s="4059"/>
      <c r="E38" s="4059"/>
      <c r="F38" s="4059"/>
      <c r="G38" s="4059"/>
      <c r="H38" s="4060"/>
      <c r="I38" s="4262"/>
      <c r="J38" s="2501" t="s">
        <v>272</v>
      </c>
      <c r="K38" s="2883">
        <f>99.9-99.12</f>
        <v>0.78000000000000114</v>
      </c>
      <c r="L38" s="2884"/>
      <c r="M38" s="2885">
        <v>0.26</v>
      </c>
      <c r="N38" s="2883"/>
      <c r="O38" s="2885">
        <v>0.13</v>
      </c>
      <c r="P38" s="2886"/>
      <c r="Q38" s="2584">
        <f>O38/4</f>
        <v>3.2500000000000001E-2</v>
      </c>
      <c r="R38" s="2709"/>
      <c r="S38" s="2584">
        <v>3.2500000000000001E-2</v>
      </c>
      <c r="T38" s="2881"/>
      <c r="U38" s="3258">
        <v>3.2500000000000001E-2</v>
      </c>
      <c r="V38" s="2638"/>
      <c r="W38" s="2575"/>
      <c r="X38" s="2709"/>
      <c r="Y38" s="2584">
        <f t="shared" si="3"/>
        <v>9.7500000000000003E-2</v>
      </c>
      <c r="Z38" s="2638"/>
      <c r="AA38" s="2584">
        <f>M38+Y38</f>
        <v>0.35750000000000004</v>
      </c>
      <c r="AB38" s="2638"/>
      <c r="AC38" s="2584">
        <f>(AA38/K38)*100</f>
        <v>45.833333333333272</v>
      </c>
      <c r="AD38" s="2584"/>
      <c r="AE38" s="3135"/>
    </row>
    <row r="39" spans="1:76" s="353" customFormat="1" ht="25.5">
      <c r="A39" s="4058"/>
      <c r="B39" s="4058"/>
      <c r="C39" s="4059"/>
      <c r="D39" s="4059"/>
      <c r="E39" s="4059"/>
      <c r="F39" s="4059"/>
      <c r="G39" s="4059"/>
      <c r="H39" s="4060"/>
      <c r="I39" s="4262"/>
      <c r="J39" s="2501" t="s">
        <v>273</v>
      </c>
      <c r="K39" s="2883">
        <f>105.77-101.61</f>
        <v>4.1599999999999966</v>
      </c>
      <c r="L39" s="2884"/>
      <c r="M39" s="2887">
        <f>O39*2</f>
        <v>1.4</v>
      </c>
      <c r="N39" s="2886"/>
      <c r="O39" s="2888">
        <v>0.7</v>
      </c>
      <c r="P39" s="2886"/>
      <c r="Q39" s="2584">
        <f>O39/4</f>
        <v>0.17499999999999999</v>
      </c>
      <c r="R39" s="2709"/>
      <c r="S39" s="2584">
        <v>0.17499999999999999</v>
      </c>
      <c r="T39" s="2889"/>
      <c r="U39" s="3258">
        <v>0.17499999999999999</v>
      </c>
      <c r="V39" s="2638"/>
      <c r="W39" s="2575"/>
      <c r="X39" s="2709"/>
      <c r="Y39" s="2584">
        <f t="shared" si="3"/>
        <v>0.52499999999999991</v>
      </c>
      <c r="Z39" s="2638"/>
      <c r="AA39" s="2584">
        <f>M39+Y39</f>
        <v>1.9249999999999998</v>
      </c>
      <c r="AB39" s="2638"/>
      <c r="AC39" s="2584">
        <f>(AA39/K39)*100</f>
        <v>46.274038461538495</v>
      </c>
      <c r="AD39" s="2584"/>
      <c r="AE39" s="3135"/>
    </row>
    <row r="40" spans="1:76" s="353" customFormat="1" ht="38.25">
      <c r="A40" s="4061"/>
      <c r="B40" s="4061"/>
      <c r="C40" s="4062"/>
      <c r="D40" s="4062"/>
      <c r="E40" s="4062"/>
      <c r="F40" s="4062"/>
      <c r="G40" s="4062"/>
      <c r="H40" s="4063"/>
      <c r="I40" s="4064"/>
      <c r="J40" s="2501" t="s">
        <v>274</v>
      </c>
      <c r="K40" s="2883">
        <f>90.72-89.9</f>
        <v>0.81999999999999318</v>
      </c>
      <c r="L40" s="2884"/>
      <c r="M40" s="2887">
        <f>O40*2</f>
        <v>0.2</v>
      </c>
      <c r="N40" s="2886"/>
      <c r="O40" s="2888">
        <v>0.1</v>
      </c>
      <c r="P40" s="2886"/>
      <c r="Q40" s="2584">
        <f>O40/4</f>
        <v>2.5000000000000001E-2</v>
      </c>
      <c r="R40" s="2709"/>
      <c r="S40" s="2584">
        <v>2.5000000000000001E-2</v>
      </c>
      <c r="T40" s="2881"/>
      <c r="U40" s="3258">
        <v>2.5000000000000001E-2</v>
      </c>
      <c r="V40" s="2638"/>
      <c r="W40" s="2575"/>
      <c r="X40" s="2709"/>
      <c r="Y40" s="2584">
        <f t="shared" si="3"/>
        <v>7.5000000000000011E-2</v>
      </c>
      <c r="Z40" s="2638"/>
      <c r="AA40" s="2584">
        <f>M40+Y40</f>
        <v>0.27500000000000002</v>
      </c>
      <c r="AB40" s="2638"/>
      <c r="AC40" s="2584">
        <f>(AA40/K40)*100</f>
        <v>33.536585365853938</v>
      </c>
      <c r="AD40" s="2584"/>
      <c r="AE40" s="3135"/>
    </row>
    <row r="41" spans="1:76" s="244" customFormat="1" ht="51" customHeight="1">
      <c r="A41" s="3139"/>
      <c r="B41" s="233"/>
      <c r="C41" s="234" t="s">
        <v>146</v>
      </c>
      <c r="D41" s="234" t="s">
        <v>66</v>
      </c>
      <c r="E41" s="234" t="s">
        <v>66</v>
      </c>
      <c r="F41" s="234" t="s">
        <v>66</v>
      </c>
      <c r="G41" s="234" t="s">
        <v>166</v>
      </c>
      <c r="H41" s="234" t="s">
        <v>201</v>
      </c>
      <c r="I41" s="235" t="s">
        <v>275</v>
      </c>
      <c r="J41" s="233" t="s">
        <v>276</v>
      </c>
      <c r="K41" s="310">
        <v>1</v>
      </c>
      <c r="L41" s="237">
        <v>1000000000</v>
      </c>
      <c r="M41" s="2332">
        <v>0</v>
      </c>
      <c r="N41" s="239">
        <v>0</v>
      </c>
      <c r="O41" s="310">
        <v>1</v>
      </c>
      <c r="P41" s="240">
        <v>75000000</v>
      </c>
      <c r="Q41" s="2332">
        <v>0</v>
      </c>
      <c r="R41" s="237">
        <v>0</v>
      </c>
      <c r="S41" s="245">
        <v>1</v>
      </c>
      <c r="T41" s="2824">
        <v>74289000</v>
      </c>
      <c r="U41" s="3139">
        <v>0</v>
      </c>
      <c r="V41" s="2493">
        <v>0</v>
      </c>
      <c r="W41" s="3139"/>
      <c r="X41" s="310"/>
      <c r="Y41" s="2417">
        <f t="shared" si="3"/>
        <v>1</v>
      </c>
      <c r="Z41" s="2493">
        <f t="shared" ref="Z41:Z66" si="10">R41+T41+V41+X41</f>
        <v>74289000</v>
      </c>
      <c r="AA41" s="310">
        <f>M41+Y41</f>
        <v>1</v>
      </c>
      <c r="AB41" s="2493">
        <f>N41+Z41</f>
        <v>74289000</v>
      </c>
      <c r="AC41" s="298">
        <f>(AA41/K41)*100</f>
        <v>100</v>
      </c>
      <c r="AD41" s="298">
        <f>(AB41/L41)*100</f>
        <v>7.4288999999999996</v>
      </c>
      <c r="AE41" s="245"/>
      <c r="AF41" s="2266"/>
      <c r="AG41" s="2266"/>
      <c r="AH41" s="2266"/>
      <c r="AI41" s="2266"/>
      <c r="AJ41" s="2266"/>
      <c r="AK41" s="2266"/>
      <c r="AL41" s="2266"/>
      <c r="AM41" s="2266"/>
      <c r="AN41" s="2266"/>
      <c r="AO41" s="2266"/>
      <c r="AP41" s="2266"/>
      <c r="AQ41" s="2266"/>
      <c r="AR41" s="2266"/>
      <c r="AS41" s="2266"/>
      <c r="AT41" s="2266"/>
      <c r="AU41" s="2266"/>
      <c r="AV41" s="2266"/>
      <c r="AW41" s="2266"/>
      <c r="AX41" s="2266"/>
      <c r="AY41" s="2266"/>
      <c r="AZ41" s="2266"/>
      <c r="BA41" s="2266"/>
      <c r="BB41" s="2266"/>
      <c r="BC41" s="2266"/>
      <c r="BD41" s="2266"/>
      <c r="BE41" s="2266"/>
      <c r="BF41" s="2266"/>
      <c r="BG41" s="2266"/>
      <c r="BH41" s="2266"/>
      <c r="BI41" s="2266"/>
      <c r="BJ41" s="2266"/>
      <c r="BK41" s="2266"/>
      <c r="BL41" s="2266"/>
      <c r="BM41" s="2266"/>
      <c r="BN41" s="2266"/>
      <c r="BO41" s="2266"/>
      <c r="BP41" s="2266"/>
      <c r="BQ41" s="2266"/>
      <c r="BR41" s="2266"/>
      <c r="BS41" s="2266"/>
      <c r="BT41" s="2266"/>
      <c r="BU41" s="2266"/>
      <c r="BV41" s="2266"/>
      <c r="BW41" s="2266"/>
      <c r="BX41" s="2266"/>
    </row>
    <row r="42" spans="1:76" s="255" customFormat="1" ht="63" customHeight="1">
      <c r="A42" s="245"/>
      <c r="B42" s="233"/>
      <c r="C42" s="238">
        <v>1</v>
      </c>
      <c r="D42" s="238" t="s">
        <v>66</v>
      </c>
      <c r="E42" s="238" t="s">
        <v>66</v>
      </c>
      <c r="F42" s="238" t="s">
        <v>66</v>
      </c>
      <c r="G42" s="238">
        <v>16</v>
      </c>
      <c r="H42" s="238" t="s">
        <v>277</v>
      </c>
      <c r="I42" s="233" t="s">
        <v>278</v>
      </c>
      <c r="J42" s="233" t="s">
        <v>279</v>
      </c>
      <c r="K42" s="310">
        <f>6*O42</f>
        <v>288</v>
      </c>
      <c r="L42" s="237">
        <f>6*P42</f>
        <v>37774200000</v>
      </c>
      <c r="M42" s="2332">
        <v>22</v>
      </c>
      <c r="N42" s="256">
        <f>3767000000</f>
        <v>3767000000</v>
      </c>
      <c r="O42" s="310">
        <v>48</v>
      </c>
      <c r="P42" s="240">
        <v>6295700000</v>
      </c>
      <c r="Q42" s="2332">
        <v>1</v>
      </c>
      <c r="R42" s="237">
        <v>3266000</v>
      </c>
      <c r="S42" s="245">
        <v>1</v>
      </c>
      <c r="T42" s="2824">
        <v>25808500</v>
      </c>
      <c r="U42" s="245">
        <v>44</v>
      </c>
      <c r="V42" s="2403">
        <v>4643836250</v>
      </c>
      <c r="W42" s="245"/>
      <c r="X42" s="252"/>
      <c r="Y42" s="2417">
        <f t="shared" si="3"/>
        <v>46</v>
      </c>
      <c r="Z42" s="2493">
        <f t="shared" si="10"/>
        <v>4672910750</v>
      </c>
      <c r="AA42" s="310">
        <f t="shared" ref="AA42:AB58" si="11">M42+Y42</f>
        <v>68</v>
      </c>
      <c r="AB42" s="2493">
        <f t="shared" si="11"/>
        <v>8439910750</v>
      </c>
      <c r="AC42" s="253">
        <f>(AA42/K42)*100</f>
        <v>23.611111111111111</v>
      </c>
      <c r="AD42" s="253">
        <f>(AB42/L42)*100</f>
        <v>22.343056239443854</v>
      </c>
      <c r="AE42" s="245"/>
      <c r="AF42" s="2729"/>
      <c r="AG42" s="2729"/>
      <c r="AH42" s="2729"/>
      <c r="AI42" s="2729"/>
      <c r="AJ42" s="2729"/>
      <c r="AK42" s="2729"/>
      <c r="AL42" s="2729"/>
      <c r="AM42" s="2729"/>
      <c r="AN42" s="2729"/>
      <c r="AO42" s="2729"/>
      <c r="AP42" s="2729"/>
      <c r="AQ42" s="2729"/>
      <c r="AR42" s="2729"/>
      <c r="AS42" s="2729"/>
      <c r="AT42" s="2729"/>
      <c r="AU42" s="2729"/>
      <c r="AV42" s="2729"/>
      <c r="AW42" s="2729"/>
      <c r="AX42" s="2729"/>
      <c r="AY42" s="2729"/>
      <c r="AZ42" s="2729"/>
      <c r="BA42" s="2729"/>
      <c r="BB42" s="2729"/>
      <c r="BC42" s="2729"/>
      <c r="BD42" s="2729"/>
      <c r="BE42" s="2729"/>
      <c r="BF42" s="2729"/>
      <c r="BG42" s="2729"/>
      <c r="BH42" s="2729"/>
      <c r="BI42" s="2729"/>
      <c r="BJ42" s="2729"/>
      <c r="BK42" s="2729"/>
      <c r="BL42" s="2729"/>
      <c r="BM42" s="2729"/>
      <c r="BN42" s="2729"/>
      <c r="BO42" s="2729"/>
      <c r="BP42" s="2729"/>
      <c r="BQ42" s="2729"/>
      <c r="BR42" s="2729"/>
      <c r="BS42" s="2729"/>
      <c r="BT42" s="2729"/>
      <c r="BU42" s="2729"/>
      <c r="BV42" s="2729"/>
      <c r="BW42" s="2729"/>
      <c r="BX42" s="2729"/>
    </row>
    <row r="43" spans="1:76" s="244" customFormat="1" ht="75" customHeight="1">
      <c r="A43" s="3139"/>
      <c r="B43" s="233"/>
      <c r="C43" s="238">
        <v>1</v>
      </c>
      <c r="D43" s="238" t="s">
        <v>66</v>
      </c>
      <c r="E43" s="238" t="s">
        <v>66</v>
      </c>
      <c r="F43" s="238" t="s">
        <v>66</v>
      </c>
      <c r="G43" s="238">
        <v>16</v>
      </c>
      <c r="H43" s="238">
        <v>101</v>
      </c>
      <c r="I43" s="235" t="s">
        <v>280</v>
      </c>
      <c r="J43" s="233" t="s">
        <v>281</v>
      </c>
      <c r="K43" s="252">
        <v>32</v>
      </c>
      <c r="L43" s="256">
        <v>1942500000</v>
      </c>
      <c r="M43" s="252">
        <v>7</v>
      </c>
      <c r="N43" s="256">
        <v>498962000</v>
      </c>
      <c r="O43" s="252">
        <v>10</v>
      </c>
      <c r="P43" s="256">
        <v>647500000</v>
      </c>
      <c r="Q43" s="252">
        <v>1</v>
      </c>
      <c r="R43" s="256">
        <v>52580000</v>
      </c>
      <c r="S43" s="245">
        <v>0</v>
      </c>
      <c r="T43" s="2824">
        <v>0</v>
      </c>
      <c r="U43" s="245">
        <v>7</v>
      </c>
      <c r="V43" s="2403">
        <v>323266500</v>
      </c>
      <c r="W43" s="245"/>
      <c r="X43" s="252"/>
      <c r="Y43" s="2417">
        <f t="shared" si="3"/>
        <v>8</v>
      </c>
      <c r="Z43" s="2493">
        <f t="shared" si="10"/>
        <v>375846500</v>
      </c>
      <c r="AA43" s="310">
        <f t="shared" si="11"/>
        <v>15</v>
      </c>
      <c r="AB43" s="2493">
        <f t="shared" si="11"/>
        <v>874808500</v>
      </c>
      <c r="AC43" s="253">
        <f t="shared" ref="AC43:AD59" si="12">(AA43/K43)*100</f>
        <v>46.875</v>
      </c>
      <c r="AD43" s="253">
        <f t="shared" si="12"/>
        <v>45.035186615186618</v>
      </c>
      <c r="AE43" s="245"/>
      <c r="AF43" s="2266"/>
      <c r="AG43" s="2266"/>
      <c r="AH43" s="2266"/>
      <c r="AI43" s="2266"/>
      <c r="AJ43" s="2266"/>
      <c r="AK43" s="2266"/>
      <c r="AL43" s="2266"/>
      <c r="AM43" s="2266"/>
      <c r="AN43" s="2266"/>
      <c r="AO43" s="2266"/>
      <c r="AP43" s="2266"/>
      <c r="AQ43" s="2266"/>
      <c r="AR43" s="2266"/>
      <c r="AS43" s="2266"/>
      <c r="AT43" s="2266"/>
      <c r="AU43" s="2266"/>
      <c r="AV43" s="2266"/>
      <c r="AW43" s="2266"/>
      <c r="AX43" s="2266"/>
      <c r="AY43" s="2266"/>
      <c r="AZ43" s="2266"/>
      <c r="BA43" s="2266"/>
      <c r="BB43" s="2266"/>
      <c r="BC43" s="2266"/>
      <c r="BD43" s="2266"/>
      <c r="BE43" s="2266"/>
      <c r="BF43" s="2266"/>
      <c r="BG43" s="2266"/>
      <c r="BH43" s="2266"/>
      <c r="BI43" s="2266"/>
      <c r="BJ43" s="2266"/>
      <c r="BK43" s="2266"/>
      <c r="BL43" s="2266"/>
      <c r="BM43" s="2266"/>
      <c r="BN43" s="2266"/>
      <c r="BO43" s="2266"/>
      <c r="BP43" s="2266"/>
      <c r="BQ43" s="2266"/>
      <c r="BR43" s="2266"/>
      <c r="BS43" s="2266"/>
      <c r="BT43" s="2266"/>
      <c r="BU43" s="2266"/>
      <c r="BV43" s="2266"/>
      <c r="BW43" s="2266"/>
      <c r="BX43" s="2266"/>
    </row>
    <row r="44" spans="1:76" s="244" customFormat="1" ht="66.75" customHeight="1">
      <c r="A44" s="245"/>
      <c r="B44" s="233"/>
      <c r="C44" s="258" t="s">
        <v>66</v>
      </c>
      <c r="D44" s="234" t="s">
        <v>66</v>
      </c>
      <c r="E44" s="234" t="s">
        <v>66</v>
      </c>
      <c r="F44" s="234" t="s">
        <v>66</v>
      </c>
      <c r="G44" s="234">
        <v>16</v>
      </c>
      <c r="H44" s="234" t="s">
        <v>282</v>
      </c>
      <c r="I44" s="235" t="s">
        <v>283</v>
      </c>
      <c r="J44" s="233" t="s">
        <v>284</v>
      </c>
      <c r="K44" s="252">
        <v>6</v>
      </c>
      <c r="L44" s="256">
        <f>6*P44</f>
        <v>1129950000</v>
      </c>
      <c r="M44" s="252">
        <v>2</v>
      </c>
      <c r="N44" s="256">
        <f>2*P44</f>
        <v>376650000</v>
      </c>
      <c r="O44" s="252">
        <v>1</v>
      </c>
      <c r="P44" s="256">
        <v>188325000</v>
      </c>
      <c r="Q44" s="2289">
        <v>0.1</v>
      </c>
      <c r="R44" s="256">
        <v>3266000</v>
      </c>
      <c r="S44" s="245">
        <v>0</v>
      </c>
      <c r="T44" s="2825">
        <v>0</v>
      </c>
      <c r="U44" s="245">
        <v>1</v>
      </c>
      <c r="V44" s="2403">
        <v>133102877</v>
      </c>
      <c r="W44" s="245"/>
      <c r="X44" s="252"/>
      <c r="Y44" s="2417">
        <f t="shared" si="3"/>
        <v>1.1000000000000001</v>
      </c>
      <c r="Z44" s="2493">
        <f t="shared" si="10"/>
        <v>136368877</v>
      </c>
      <c r="AA44" s="310">
        <f t="shared" si="11"/>
        <v>3.1</v>
      </c>
      <c r="AB44" s="2493">
        <f t="shared" si="11"/>
        <v>513018877</v>
      </c>
      <c r="AC44" s="253">
        <f t="shared" si="12"/>
        <v>51.666666666666671</v>
      </c>
      <c r="AD44" s="253">
        <f t="shared" si="12"/>
        <v>45.401909553520063</v>
      </c>
      <c r="AE44" s="245"/>
      <c r="AF44" s="2266"/>
      <c r="AG44" s="2266"/>
      <c r="AH44" s="2266"/>
      <c r="AI44" s="2266"/>
      <c r="AJ44" s="2266"/>
      <c r="AK44" s="2266"/>
      <c r="AL44" s="2266"/>
      <c r="AM44" s="2266"/>
      <c r="AN44" s="2266"/>
      <c r="AO44" s="2266"/>
      <c r="AP44" s="2266"/>
      <c r="AQ44" s="2266"/>
      <c r="AR44" s="2266"/>
      <c r="AS44" s="2266"/>
      <c r="AT44" s="2266"/>
      <c r="AU44" s="2266"/>
      <c r="AV44" s="2266"/>
      <c r="AW44" s="2266"/>
      <c r="AX44" s="2266"/>
      <c r="AY44" s="2266"/>
      <c r="AZ44" s="2266"/>
      <c r="BA44" s="2266"/>
      <c r="BB44" s="2266"/>
      <c r="BC44" s="2266"/>
      <c r="BD44" s="2266"/>
      <c r="BE44" s="2266"/>
      <c r="BF44" s="2266"/>
      <c r="BG44" s="2266"/>
      <c r="BH44" s="2266"/>
      <c r="BI44" s="2266"/>
      <c r="BJ44" s="2266"/>
      <c r="BK44" s="2266"/>
      <c r="BL44" s="2266"/>
      <c r="BM44" s="2266"/>
      <c r="BN44" s="2266"/>
      <c r="BO44" s="2266"/>
      <c r="BP44" s="2266"/>
      <c r="BQ44" s="2266"/>
      <c r="BR44" s="2266"/>
      <c r="BS44" s="2266"/>
      <c r="BT44" s="2266"/>
      <c r="BU44" s="2266"/>
      <c r="BV44" s="2266"/>
      <c r="BW44" s="2266"/>
      <c r="BX44" s="2266"/>
    </row>
    <row r="45" spans="1:76" s="244" customFormat="1" ht="58.5" customHeight="1">
      <c r="A45" s="3139"/>
      <c r="B45" s="233"/>
      <c r="C45" s="238" t="s">
        <v>66</v>
      </c>
      <c r="D45" s="238" t="s">
        <v>66</v>
      </c>
      <c r="E45" s="238" t="s">
        <v>66</v>
      </c>
      <c r="F45" s="238" t="s">
        <v>66</v>
      </c>
      <c r="G45" s="238" t="s">
        <v>166</v>
      </c>
      <c r="H45" s="238" t="s">
        <v>285</v>
      </c>
      <c r="I45" s="233" t="s">
        <v>286</v>
      </c>
      <c r="J45" s="233" t="s">
        <v>287</v>
      </c>
      <c r="K45" s="310">
        <f>4*4</f>
        <v>16</v>
      </c>
      <c r="L45" s="237">
        <f>4*40000000</f>
        <v>160000000</v>
      </c>
      <c r="M45" s="2332">
        <v>0</v>
      </c>
      <c r="N45" s="309">
        <v>0</v>
      </c>
      <c r="O45" s="310">
        <v>4</v>
      </c>
      <c r="P45" s="268">
        <v>40000000</v>
      </c>
      <c r="Q45" s="2332">
        <v>1</v>
      </c>
      <c r="R45" s="268">
        <f>(505+700)*1000</f>
        <v>1205000</v>
      </c>
      <c r="S45" s="245">
        <v>3</v>
      </c>
      <c r="T45" s="2824">
        <v>24603500</v>
      </c>
      <c r="U45" s="245">
        <v>2</v>
      </c>
      <c r="V45" s="2403">
        <v>12278500</v>
      </c>
      <c r="W45" s="245"/>
      <c r="X45" s="252"/>
      <c r="Y45" s="2417">
        <f t="shared" si="3"/>
        <v>6</v>
      </c>
      <c r="Z45" s="2493">
        <f t="shared" si="10"/>
        <v>38087000</v>
      </c>
      <c r="AA45" s="310">
        <f t="shared" si="11"/>
        <v>6</v>
      </c>
      <c r="AB45" s="2493">
        <f t="shared" si="11"/>
        <v>38087000</v>
      </c>
      <c r="AC45" s="253">
        <f t="shared" si="12"/>
        <v>37.5</v>
      </c>
      <c r="AD45" s="253">
        <f t="shared" si="12"/>
        <v>23.804375</v>
      </c>
      <c r="AE45" s="245"/>
      <c r="AF45" s="2266"/>
      <c r="AG45" s="2266"/>
      <c r="AH45" s="2266"/>
      <c r="AI45" s="2266"/>
      <c r="AJ45" s="2266"/>
      <c r="AK45" s="2266"/>
      <c r="AL45" s="2266"/>
      <c r="AM45" s="2266"/>
      <c r="AN45" s="2266"/>
      <c r="AO45" s="2266"/>
      <c r="AP45" s="2266"/>
      <c r="AQ45" s="2266"/>
      <c r="AR45" s="2266"/>
      <c r="AS45" s="2266"/>
      <c r="AT45" s="2266"/>
      <c r="AU45" s="2266"/>
      <c r="AV45" s="2266"/>
      <c r="AW45" s="2266"/>
      <c r="AX45" s="2266"/>
      <c r="AY45" s="2266"/>
      <c r="AZ45" s="2266"/>
      <c r="BA45" s="2266"/>
      <c r="BB45" s="2266"/>
      <c r="BC45" s="2266"/>
      <c r="BD45" s="2266"/>
      <c r="BE45" s="2266"/>
      <c r="BF45" s="2266"/>
      <c r="BG45" s="2266"/>
      <c r="BH45" s="2266"/>
      <c r="BI45" s="2266"/>
      <c r="BJ45" s="2266"/>
      <c r="BK45" s="2266"/>
      <c r="BL45" s="2266"/>
      <c r="BM45" s="2266"/>
      <c r="BN45" s="2266"/>
      <c r="BO45" s="2266"/>
      <c r="BP45" s="2266"/>
      <c r="BQ45" s="2266"/>
      <c r="BR45" s="2266"/>
      <c r="BS45" s="2266"/>
      <c r="BT45" s="2266"/>
      <c r="BU45" s="2266"/>
      <c r="BV45" s="2266"/>
      <c r="BW45" s="2266"/>
      <c r="BX45" s="2266"/>
    </row>
    <row r="46" spans="1:76" s="244" customFormat="1" ht="45.75" customHeight="1">
      <c r="A46" s="245"/>
      <c r="B46" s="233"/>
      <c r="C46" s="238">
        <v>1</v>
      </c>
      <c r="D46" s="238" t="s">
        <v>66</v>
      </c>
      <c r="E46" s="238" t="s">
        <v>66</v>
      </c>
      <c r="F46" s="238" t="s">
        <v>66</v>
      </c>
      <c r="G46" s="238" t="s">
        <v>166</v>
      </c>
      <c r="H46" s="238" t="s">
        <v>288</v>
      </c>
      <c r="I46" s="233" t="s">
        <v>289</v>
      </c>
      <c r="J46" s="233" t="s">
        <v>289</v>
      </c>
      <c r="K46" s="252">
        <f>6*O46</f>
        <v>102</v>
      </c>
      <c r="L46" s="256">
        <f>6*P46</f>
        <v>4500000000</v>
      </c>
      <c r="M46" s="252">
        <v>17</v>
      </c>
      <c r="N46" s="256">
        <v>1467355000</v>
      </c>
      <c r="O46" s="252">
        <v>17</v>
      </c>
      <c r="P46" s="256">
        <v>750000000</v>
      </c>
      <c r="Q46" s="252">
        <v>0</v>
      </c>
      <c r="R46" s="256">
        <v>0</v>
      </c>
      <c r="S46" s="245">
        <v>1</v>
      </c>
      <c r="T46" s="2824">
        <v>2100000</v>
      </c>
      <c r="U46" s="245">
        <v>16</v>
      </c>
      <c r="V46" s="2403">
        <v>746589890</v>
      </c>
      <c r="W46" s="245"/>
      <c r="X46" s="252"/>
      <c r="Y46" s="2417">
        <f t="shared" si="3"/>
        <v>17</v>
      </c>
      <c r="Z46" s="2493">
        <f t="shared" si="10"/>
        <v>748689890</v>
      </c>
      <c r="AA46" s="310">
        <f t="shared" si="11"/>
        <v>34</v>
      </c>
      <c r="AB46" s="2493">
        <f t="shared" si="11"/>
        <v>2216044890</v>
      </c>
      <c r="AC46" s="253">
        <f t="shared" si="12"/>
        <v>33.333333333333329</v>
      </c>
      <c r="AD46" s="253">
        <f t="shared" si="12"/>
        <v>49.245441999999997</v>
      </c>
      <c r="AE46" s="245"/>
      <c r="AF46" s="2266"/>
      <c r="AG46" s="2266"/>
      <c r="AH46" s="2266"/>
      <c r="AI46" s="2266"/>
      <c r="AJ46" s="2266"/>
      <c r="AK46" s="2266"/>
      <c r="AL46" s="2266"/>
      <c r="AM46" s="2266"/>
      <c r="AN46" s="2266"/>
      <c r="AO46" s="2266"/>
      <c r="AP46" s="2266"/>
      <c r="AQ46" s="2266"/>
      <c r="AR46" s="2266"/>
      <c r="AS46" s="2266"/>
      <c r="AT46" s="2266"/>
      <c r="AU46" s="2266"/>
      <c r="AV46" s="2266"/>
      <c r="AW46" s="2266"/>
      <c r="AX46" s="2266"/>
      <c r="AY46" s="2266"/>
      <c r="AZ46" s="2266"/>
      <c r="BA46" s="2266"/>
      <c r="BB46" s="2266"/>
      <c r="BC46" s="2266"/>
      <c r="BD46" s="2266"/>
      <c r="BE46" s="2266"/>
      <c r="BF46" s="2266"/>
      <c r="BG46" s="2266"/>
      <c r="BH46" s="2266"/>
      <c r="BI46" s="2266"/>
      <c r="BJ46" s="2266"/>
      <c r="BK46" s="2266"/>
      <c r="BL46" s="2266"/>
      <c r="BM46" s="2266"/>
      <c r="BN46" s="2266"/>
      <c r="BO46" s="2266"/>
      <c r="BP46" s="2266"/>
      <c r="BQ46" s="2266"/>
      <c r="BR46" s="2266"/>
      <c r="BS46" s="2266"/>
      <c r="BT46" s="2266"/>
      <c r="BU46" s="2266"/>
      <c r="BV46" s="2266"/>
      <c r="BW46" s="2266"/>
      <c r="BX46" s="2266"/>
    </row>
    <row r="47" spans="1:76" s="244" customFormat="1" ht="46.5" customHeight="1">
      <c r="A47" s="3139"/>
      <c r="B47" s="233"/>
      <c r="C47" s="238">
        <v>1</v>
      </c>
      <c r="D47" s="238" t="s">
        <v>66</v>
      </c>
      <c r="E47" s="238" t="s">
        <v>66</v>
      </c>
      <c r="F47" s="238" t="s">
        <v>66</v>
      </c>
      <c r="G47" s="238">
        <v>16</v>
      </c>
      <c r="H47" s="238" t="s">
        <v>290</v>
      </c>
      <c r="I47" s="233" t="s">
        <v>291</v>
      </c>
      <c r="J47" s="233" t="s">
        <v>292</v>
      </c>
      <c r="K47" s="252">
        <f>6*O47</f>
        <v>6</v>
      </c>
      <c r="L47" s="256">
        <f>6*P47</f>
        <v>471216000</v>
      </c>
      <c r="M47" s="252">
        <v>1</v>
      </c>
      <c r="N47" s="256">
        <v>0</v>
      </c>
      <c r="O47" s="252">
        <v>1</v>
      </c>
      <c r="P47" s="256">
        <f>78536000</f>
        <v>78536000</v>
      </c>
      <c r="Q47" s="252">
        <v>0</v>
      </c>
      <c r="R47" s="256">
        <v>0</v>
      </c>
      <c r="S47" s="245">
        <v>4</v>
      </c>
      <c r="T47" s="2824">
        <v>0</v>
      </c>
      <c r="U47" s="245">
        <v>0</v>
      </c>
      <c r="V47" s="2403">
        <v>0</v>
      </c>
      <c r="W47" s="245"/>
      <c r="X47" s="252"/>
      <c r="Y47" s="2417">
        <f t="shared" si="3"/>
        <v>4</v>
      </c>
      <c r="Z47" s="2493">
        <f t="shared" si="10"/>
        <v>0</v>
      </c>
      <c r="AA47" s="310">
        <f t="shared" si="11"/>
        <v>5</v>
      </c>
      <c r="AB47" s="2493">
        <f t="shared" si="11"/>
        <v>0</v>
      </c>
      <c r="AC47" s="253">
        <f t="shared" si="12"/>
        <v>83.333333333333343</v>
      </c>
      <c r="AD47" s="253">
        <f t="shared" si="12"/>
        <v>0</v>
      </c>
      <c r="AE47" s="245"/>
      <c r="AF47" s="2266"/>
      <c r="AG47" s="2266"/>
      <c r="AH47" s="2266"/>
      <c r="AI47" s="2266"/>
      <c r="AJ47" s="2266"/>
      <c r="AK47" s="2266"/>
      <c r="AL47" s="2266"/>
      <c r="AM47" s="2266"/>
      <c r="AN47" s="2266"/>
      <c r="AO47" s="2266"/>
      <c r="AP47" s="2266"/>
      <c r="AQ47" s="2266"/>
      <c r="AR47" s="2266"/>
      <c r="AS47" s="2266"/>
      <c r="AT47" s="2266"/>
      <c r="AU47" s="2266"/>
      <c r="AV47" s="2266"/>
      <c r="AW47" s="2266"/>
      <c r="AX47" s="2266"/>
      <c r="AY47" s="2266"/>
      <c r="AZ47" s="2266"/>
      <c r="BA47" s="2266"/>
      <c r="BB47" s="2266"/>
      <c r="BC47" s="2266"/>
      <c r="BD47" s="2266"/>
      <c r="BE47" s="2266"/>
      <c r="BF47" s="2266"/>
      <c r="BG47" s="2266"/>
      <c r="BH47" s="2266"/>
      <c r="BI47" s="2266"/>
      <c r="BJ47" s="2266"/>
      <c r="BK47" s="2266"/>
      <c r="BL47" s="2266"/>
      <c r="BM47" s="2266"/>
      <c r="BN47" s="2266"/>
      <c r="BO47" s="2266"/>
      <c r="BP47" s="2266"/>
      <c r="BQ47" s="2266"/>
      <c r="BR47" s="2266"/>
      <c r="BS47" s="2266"/>
      <c r="BT47" s="2266"/>
      <c r="BU47" s="2266"/>
      <c r="BV47" s="2266"/>
      <c r="BW47" s="2266"/>
      <c r="BX47" s="2266"/>
    </row>
    <row r="48" spans="1:76" s="244" customFormat="1" ht="99.75" customHeight="1">
      <c r="A48" s="245"/>
      <c r="B48" s="233"/>
      <c r="C48" s="238" t="s">
        <v>66</v>
      </c>
      <c r="D48" s="238" t="s">
        <v>66</v>
      </c>
      <c r="E48" s="238" t="s">
        <v>66</v>
      </c>
      <c r="F48" s="238" t="s">
        <v>66</v>
      </c>
      <c r="G48" s="238">
        <v>16</v>
      </c>
      <c r="H48" s="238" t="s">
        <v>293</v>
      </c>
      <c r="I48" s="273" t="s">
        <v>294</v>
      </c>
      <c r="J48" s="273" t="s">
        <v>295</v>
      </c>
      <c r="K48" s="310">
        <v>6</v>
      </c>
      <c r="L48" s="237">
        <f>((4*700000)+(480000*2))*1000</f>
        <v>3760000000</v>
      </c>
      <c r="M48" s="2332">
        <v>2</v>
      </c>
      <c r="N48" s="2990">
        <f>2*480000000</f>
        <v>960000000</v>
      </c>
      <c r="O48" s="310">
        <v>1</v>
      </c>
      <c r="P48" s="240">
        <f>O48*700000000</f>
        <v>700000000</v>
      </c>
      <c r="Q48" s="310" t="s">
        <v>4647</v>
      </c>
      <c r="R48" s="237">
        <v>119161000</v>
      </c>
      <c r="S48" s="245"/>
      <c r="T48" s="2824">
        <v>505214000</v>
      </c>
      <c r="U48" s="245">
        <v>0</v>
      </c>
      <c r="V48" s="2403">
        <v>150089000</v>
      </c>
      <c r="W48" s="245"/>
      <c r="X48" s="252"/>
      <c r="Y48" s="2417" t="e">
        <f t="shared" si="3"/>
        <v>#VALUE!</v>
      </c>
      <c r="Z48" s="2493">
        <f t="shared" si="10"/>
        <v>774464000</v>
      </c>
      <c r="AA48" s="310" t="e">
        <f t="shared" si="11"/>
        <v>#VALUE!</v>
      </c>
      <c r="AB48" s="2493">
        <f t="shared" si="11"/>
        <v>1734464000</v>
      </c>
      <c r="AC48" s="253" t="e">
        <f t="shared" si="12"/>
        <v>#VALUE!</v>
      </c>
      <c r="AD48" s="253">
        <f t="shared" si="12"/>
        <v>46.12936170212766</v>
      </c>
      <c r="AE48" s="245"/>
      <c r="AF48" s="2266"/>
      <c r="AG48" s="2266"/>
      <c r="AH48" s="2266"/>
      <c r="AI48" s="2266"/>
      <c r="AJ48" s="2266"/>
      <c r="AK48" s="2266"/>
      <c r="AL48" s="2266"/>
      <c r="AM48" s="2266"/>
      <c r="AN48" s="2266"/>
      <c r="AO48" s="2266"/>
      <c r="AP48" s="2266"/>
      <c r="AQ48" s="2266"/>
      <c r="AR48" s="2266"/>
      <c r="AS48" s="2266"/>
      <c r="AT48" s="2266"/>
      <c r="AU48" s="2266"/>
      <c r="AV48" s="2266"/>
      <c r="AW48" s="2266"/>
      <c r="AX48" s="2266"/>
      <c r="AY48" s="2266"/>
      <c r="AZ48" s="2266"/>
      <c r="BA48" s="2266"/>
      <c r="BB48" s="2266"/>
      <c r="BC48" s="2266"/>
      <c r="BD48" s="2266"/>
      <c r="BE48" s="2266"/>
      <c r="BF48" s="2266"/>
      <c r="BG48" s="2266"/>
      <c r="BH48" s="2266"/>
      <c r="BI48" s="2266"/>
      <c r="BJ48" s="2266"/>
      <c r="BK48" s="2266"/>
      <c r="BL48" s="2266"/>
      <c r="BM48" s="2266"/>
      <c r="BN48" s="2266"/>
      <c r="BO48" s="2266"/>
      <c r="BP48" s="2266"/>
      <c r="BQ48" s="2266"/>
      <c r="BR48" s="2266"/>
      <c r="BS48" s="2266"/>
      <c r="BT48" s="2266"/>
      <c r="BU48" s="2266"/>
      <c r="BV48" s="2266"/>
      <c r="BW48" s="2266"/>
      <c r="BX48" s="2266"/>
    </row>
    <row r="49" spans="1:76" s="244" customFormat="1" ht="73.5" customHeight="1">
      <c r="A49" s="3139"/>
      <c r="B49" s="233"/>
      <c r="C49" s="234" t="s">
        <v>146</v>
      </c>
      <c r="D49" s="234" t="s">
        <v>66</v>
      </c>
      <c r="E49" s="234" t="s">
        <v>66</v>
      </c>
      <c r="F49" s="234" t="s">
        <v>66</v>
      </c>
      <c r="G49" s="234" t="s">
        <v>166</v>
      </c>
      <c r="H49" s="234" t="s">
        <v>296</v>
      </c>
      <c r="I49" s="235" t="s">
        <v>297</v>
      </c>
      <c r="J49" s="233" t="s">
        <v>298</v>
      </c>
      <c r="K49" s="310">
        <v>6</v>
      </c>
      <c r="L49" s="237">
        <v>9000000000</v>
      </c>
      <c r="M49" s="2332">
        <v>1</v>
      </c>
      <c r="N49" s="2990">
        <v>532800000</v>
      </c>
      <c r="O49" s="310">
        <v>1</v>
      </c>
      <c r="P49" s="240">
        <v>1500000000</v>
      </c>
      <c r="Q49" s="2332">
        <v>0</v>
      </c>
      <c r="R49" s="237">
        <v>2100000</v>
      </c>
      <c r="S49" s="245">
        <v>0</v>
      </c>
      <c r="T49" s="2824">
        <v>37400000</v>
      </c>
      <c r="U49" s="245">
        <v>1</v>
      </c>
      <c r="V49" s="2403">
        <v>1450452500</v>
      </c>
      <c r="W49" s="245"/>
      <c r="X49" s="252"/>
      <c r="Y49" s="2417">
        <f t="shared" si="3"/>
        <v>1</v>
      </c>
      <c r="Z49" s="2493">
        <f t="shared" si="10"/>
        <v>1489952500</v>
      </c>
      <c r="AA49" s="310">
        <f t="shared" si="11"/>
        <v>2</v>
      </c>
      <c r="AB49" s="2493">
        <f t="shared" si="11"/>
        <v>2022752500</v>
      </c>
      <c r="AC49" s="253">
        <f t="shared" si="12"/>
        <v>33.333333333333329</v>
      </c>
      <c r="AD49" s="253">
        <f t="shared" si="12"/>
        <v>22.475027777777779</v>
      </c>
      <c r="AE49" s="245"/>
      <c r="AF49" s="2266"/>
      <c r="AG49" s="2266"/>
      <c r="AH49" s="2266"/>
      <c r="AI49" s="2266"/>
      <c r="AJ49" s="2266"/>
      <c r="AK49" s="2266"/>
      <c r="AL49" s="2266"/>
      <c r="AM49" s="2266"/>
      <c r="AN49" s="2266"/>
      <c r="AO49" s="2266"/>
      <c r="AP49" s="2266"/>
      <c r="AQ49" s="2266"/>
      <c r="AR49" s="2266"/>
      <c r="AS49" s="2266"/>
      <c r="AT49" s="2266"/>
      <c r="AU49" s="2266"/>
      <c r="AV49" s="2266"/>
      <c r="AW49" s="2266"/>
      <c r="AX49" s="2266"/>
      <c r="AY49" s="2266"/>
      <c r="AZ49" s="2266"/>
      <c r="BA49" s="2266"/>
      <c r="BB49" s="2266"/>
      <c r="BC49" s="2266"/>
      <c r="BD49" s="2266"/>
      <c r="BE49" s="2266"/>
      <c r="BF49" s="2266"/>
      <c r="BG49" s="2266"/>
      <c r="BH49" s="2266"/>
      <c r="BI49" s="2266"/>
      <c r="BJ49" s="2266"/>
      <c r="BK49" s="2266"/>
      <c r="BL49" s="2266"/>
      <c r="BM49" s="2266"/>
      <c r="BN49" s="2266"/>
      <c r="BO49" s="2266"/>
      <c r="BP49" s="2266"/>
      <c r="BQ49" s="2266"/>
      <c r="BR49" s="2266"/>
      <c r="BS49" s="2266"/>
      <c r="BT49" s="2266"/>
      <c r="BU49" s="2266"/>
      <c r="BV49" s="2266"/>
      <c r="BW49" s="2266"/>
      <c r="BX49" s="2266"/>
    </row>
    <row r="50" spans="1:76" s="244" customFormat="1" ht="61.5" customHeight="1">
      <c r="A50" s="3139"/>
      <c r="B50" s="233"/>
      <c r="C50" s="238">
        <v>1</v>
      </c>
      <c r="D50" s="238" t="s">
        <v>66</v>
      </c>
      <c r="E50" s="238" t="s">
        <v>66</v>
      </c>
      <c r="F50" s="238" t="s">
        <v>66</v>
      </c>
      <c r="G50" s="238">
        <v>16</v>
      </c>
      <c r="H50" s="238" t="s">
        <v>299</v>
      </c>
      <c r="I50" s="233" t="s">
        <v>300</v>
      </c>
      <c r="J50" s="233" t="s">
        <v>301</v>
      </c>
      <c r="K50" s="252">
        <f>6*O50</f>
        <v>24</v>
      </c>
      <c r="L50" s="256">
        <f>6*P50</f>
        <v>3231270000</v>
      </c>
      <c r="M50" s="252">
        <v>0</v>
      </c>
      <c r="N50" s="256">
        <v>0</v>
      </c>
      <c r="O50" s="252">
        <v>4</v>
      </c>
      <c r="P50" s="256">
        <f>538545000</f>
        <v>538545000</v>
      </c>
      <c r="Q50" s="252">
        <v>0</v>
      </c>
      <c r="R50" s="256">
        <v>0</v>
      </c>
      <c r="S50" s="245">
        <v>0</v>
      </c>
      <c r="T50" s="2825">
        <v>0</v>
      </c>
      <c r="U50" s="245">
        <v>4</v>
      </c>
      <c r="V50" s="2403">
        <v>376945000</v>
      </c>
      <c r="W50" s="245"/>
      <c r="X50" s="252"/>
      <c r="Y50" s="2417">
        <f t="shared" si="3"/>
        <v>4</v>
      </c>
      <c r="Z50" s="2493">
        <f t="shared" si="10"/>
        <v>376945000</v>
      </c>
      <c r="AA50" s="310">
        <f t="shared" si="11"/>
        <v>4</v>
      </c>
      <c r="AB50" s="2493">
        <f t="shared" si="11"/>
        <v>376945000</v>
      </c>
      <c r="AC50" s="253">
        <f t="shared" si="12"/>
        <v>16.666666666666664</v>
      </c>
      <c r="AD50" s="253">
        <f t="shared" si="12"/>
        <v>11.66553707984786</v>
      </c>
      <c r="AE50" s="245"/>
      <c r="AF50" s="2266"/>
      <c r="AG50" s="2266"/>
      <c r="AH50" s="2266"/>
      <c r="AI50" s="2266"/>
      <c r="AJ50" s="2266"/>
      <c r="AK50" s="2266"/>
      <c r="AL50" s="2266"/>
      <c r="AM50" s="2266"/>
      <c r="AN50" s="2266"/>
      <c r="AO50" s="2266"/>
      <c r="AP50" s="2266"/>
      <c r="AQ50" s="2266"/>
      <c r="AR50" s="2266"/>
      <c r="AS50" s="2266"/>
      <c r="AT50" s="2266"/>
      <c r="AU50" s="2266"/>
      <c r="AV50" s="2266"/>
      <c r="AW50" s="2266"/>
      <c r="AX50" s="2266"/>
      <c r="AY50" s="2266"/>
      <c r="AZ50" s="2266"/>
      <c r="BA50" s="2266"/>
      <c r="BB50" s="2266"/>
      <c r="BC50" s="2266"/>
      <c r="BD50" s="2266"/>
      <c r="BE50" s="2266"/>
      <c r="BF50" s="2266"/>
      <c r="BG50" s="2266"/>
      <c r="BH50" s="2266"/>
      <c r="BI50" s="2266"/>
      <c r="BJ50" s="2266"/>
      <c r="BK50" s="2266"/>
      <c r="BL50" s="2266"/>
      <c r="BM50" s="2266"/>
      <c r="BN50" s="2266"/>
      <c r="BO50" s="2266"/>
      <c r="BP50" s="2266"/>
      <c r="BQ50" s="2266"/>
      <c r="BR50" s="2266"/>
      <c r="BS50" s="2266"/>
      <c r="BT50" s="2266"/>
      <c r="BU50" s="2266"/>
      <c r="BV50" s="2266"/>
      <c r="BW50" s="2266"/>
      <c r="BX50" s="2266"/>
    </row>
    <row r="51" spans="1:76" s="244" customFormat="1" ht="73.5" customHeight="1">
      <c r="A51" s="245"/>
      <c r="B51" s="233"/>
      <c r="C51" s="234" t="s">
        <v>146</v>
      </c>
      <c r="D51" s="234" t="s">
        <v>66</v>
      </c>
      <c r="E51" s="234" t="s">
        <v>66</v>
      </c>
      <c r="F51" s="234" t="s">
        <v>66</v>
      </c>
      <c r="G51" s="234" t="s">
        <v>166</v>
      </c>
      <c r="H51" s="234" t="s">
        <v>302</v>
      </c>
      <c r="I51" s="233" t="s">
        <v>303</v>
      </c>
      <c r="J51" s="233" t="s">
        <v>304</v>
      </c>
      <c r="K51" s="310">
        <v>7</v>
      </c>
      <c r="L51" s="237">
        <v>25000000000</v>
      </c>
      <c r="M51" s="2332">
        <v>5</v>
      </c>
      <c r="N51" s="2990">
        <v>6500000000</v>
      </c>
      <c r="O51" s="310">
        <v>6</v>
      </c>
      <c r="P51" s="240">
        <v>6338000000</v>
      </c>
      <c r="Q51" s="2332">
        <v>1</v>
      </c>
      <c r="R51" s="237">
        <v>7220000</v>
      </c>
      <c r="S51" s="245">
        <v>1</v>
      </c>
      <c r="T51" s="2825">
        <v>54485000</v>
      </c>
      <c r="U51" s="245">
        <v>6</v>
      </c>
      <c r="V51" s="2403">
        <v>4685854300</v>
      </c>
      <c r="W51" s="245"/>
      <c r="X51" s="252"/>
      <c r="Y51" s="2417">
        <f t="shared" si="3"/>
        <v>8</v>
      </c>
      <c r="Z51" s="2493">
        <f t="shared" si="10"/>
        <v>4747559300</v>
      </c>
      <c r="AA51" s="310">
        <f t="shared" si="11"/>
        <v>13</v>
      </c>
      <c r="AB51" s="2493">
        <f t="shared" si="11"/>
        <v>11247559300</v>
      </c>
      <c r="AC51" s="253">
        <f t="shared" si="12"/>
        <v>185.71428571428572</v>
      </c>
      <c r="AD51" s="253">
        <f t="shared" si="12"/>
        <v>44.990237200000003</v>
      </c>
      <c r="AE51" s="245"/>
      <c r="AF51" s="2266"/>
      <c r="AG51" s="2266"/>
      <c r="AH51" s="2266"/>
      <c r="AI51" s="2266"/>
      <c r="AJ51" s="2266"/>
      <c r="AK51" s="2266"/>
      <c r="AL51" s="2266"/>
      <c r="AM51" s="2266"/>
      <c r="AN51" s="2266"/>
      <c r="AO51" s="2266"/>
      <c r="AP51" s="2266"/>
      <c r="AQ51" s="2266"/>
      <c r="AR51" s="2266"/>
      <c r="AS51" s="2266"/>
      <c r="AT51" s="2266"/>
      <c r="AU51" s="2266"/>
      <c r="AV51" s="2266"/>
      <c r="AW51" s="2266"/>
      <c r="AX51" s="2266"/>
      <c r="AY51" s="2266"/>
      <c r="AZ51" s="2266"/>
      <c r="BA51" s="2266"/>
      <c r="BB51" s="2266"/>
      <c r="BC51" s="2266"/>
      <c r="BD51" s="2266"/>
      <c r="BE51" s="2266"/>
      <c r="BF51" s="2266"/>
      <c r="BG51" s="2266"/>
      <c r="BH51" s="2266"/>
      <c r="BI51" s="2266"/>
      <c r="BJ51" s="2266"/>
      <c r="BK51" s="2266"/>
      <c r="BL51" s="2266"/>
      <c r="BM51" s="2266"/>
      <c r="BN51" s="2266"/>
      <c r="BO51" s="2266"/>
      <c r="BP51" s="2266"/>
      <c r="BQ51" s="2266"/>
      <c r="BR51" s="2266"/>
      <c r="BS51" s="2266"/>
      <c r="BT51" s="2266"/>
      <c r="BU51" s="2266"/>
      <c r="BV51" s="2266"/>
      <c r="BW51" s="2266"/>
      <c r="BX51" s="2266"/>
    </row>
    <row r="52" spans="1:76" s="244" customFormat="1" ht="50.25" customHeight="1">
      <c r="A52" s="3139"/>
      <c r="B52" s="233"/>
      <c r="C52" s="234" t="s">
        <v>146</v>
      </c>
      <c r="D52" s="234" t="s">
        <v>66</v>
      </c>
      <c r="E52" s="234" t="s">
        <v>66</v>
      </c>
      <c r="F52" s="234" t="s">
        <v>66</v>
      </c>
      <c r="G52" s="234" t="s">
        <v>166</v>
      </c>
      <c r="H52" s="234" t="s">
        <v>305</v>
      </c>
      <c r="I52" s="233" t="s">
        <v>306</v>
      </c>
      <c r="J52" s="233" t="s">
        <v>307</v>
      </c>
      <c r="K52" s="252">
        <v>1</v>
      </c>
      <c r="L52" s="256">
        <f>4*175000000</f>
        <v>700000000</v>
      </c>
      <c r="M52" s="252">
        <v>0</v>
      </c>
      <c r="N52" s="256">
        <v>0</v>
      </c>
      <c r="O52" s="252">
        <v>1</v>
      </c>
      <c r="P52" s="256">
        <v>158000000</v>
      </c>
      <c r="Q52" s="252">
        <v>1</v>
      </c>
      <c r="R52" s="256">
        <v>0</v>
      </c>
      <c r="S52" s="245">
        <v>2</v>
      </c>
      <c r="T52" s="2825">
        <v>6600000</v>
      </c>
      <c r="U52" s="245">
        <v>1</v>
      </c>
      <c r="V52" s="2403">
        <v>104000000</v>
      </c>
      <c r="W52" s="245"/>
      <c r="X52" s="252"/>
      <c r="Y52" s="2417">
        <f t="shared" si="3"/>
        <v>4</v>
      </c>
      <c r="Z52" s="2493">
        <f t="shared" si="10"/>
        <v>110600000</v>
      </c>
      <c r="AA52" s="310">
        <f t="shared" si="11"/>
        <v>4</v>
      </c>
      <c r="AB52" s="2493">
        <f t="shared" si="11"/>
        <v>110600000</v>
      </c>
      <c r="AC52" s="3109">
        <f t="shared" si="12"/>
        <v>400</v>
      </c>
      <c r="AD52" s="253">
        <f t="shared" si="12"/>
        <v>15.8</v>
      </c>
      <c r="AE52" s="245"/>
      <c r="AF52" s="2266"/>
      <c r="AG52" s="2266"/>
      <c r="AH52" s="2266"/>
      <c r="AI52" s="2266"/>
      <c r="AJ52" s="2266"/>
      <c r="AK52" s="2266"/>
      <c r="AL52" s="2266"/>
      <c r="AM52" s="2266"/>
      <c r="AN52" s="2266"/>
      <c r="AO52" s="2266"/>
      <c r="AP52" s="2266"/>
      <c r="AQ52" s="2266"/>
      <c r="AR52" s="2266"/>
      <c r="AS52" s="2266"/>
      <c r="AT52" s="2266"/>
      <c r="AU52" s="2266"/>
      <c r="AV52" s="2266"/>
      <c r="AW52" s="2266"/>
      <c r="AX52" s="2266"/>
      <c r="AY52" s="2266"/>
      <c r="AZ52" s="2266"/>
      <c r="BA52" s="2266"/>
      <c r="BB52" s="2266"/>
      <c r="BC52" s="2266"/>
      <c r="BD52" s="2266"/>
      <c r="BE52" s="2266"/>
      <c r="BF52" s="2266"/>
      <c r="BG52" s="2266"/>
      <c r="BH52" s="2266"/>
      <c r="BI52" s="2266"/>
      <c r="BJ52" s="2266"/>
      <c r="BK52" s="2266"/>
      <c r="BL52" s="2266"/>
      <c r="BM52" s="2266"/>
      <c r="BN52" s="2266"/>
      <c r="BO52" s="2266"/>
      <c r="BP52" s="2266"/>
      <c r="BQ52" s="2266"/>
      <c r="BR52" s="2266"/>
      <c r="BS52" s="2266"/>
      <c r="BT52" s="2266"/>
      <c r="BU52" s="2266"/>
      <c r="BV52" s="2266"/>
      <c r="BW52" s="2266"/>
      <c r="BX52" s="2266"/>
    </row>
    <row r="53" spans="1:76" s="244" customFormat="1" ht="41.25" customHeight="1">
      <c r="A53" s="245"/>
      <c r="B53" s="233"/>
      <c r="C53" s="238">
        <v>1</v>
      </c>
      <c r="D53" s="238" t="s">
        <v>66</v>
      </c>
      <c r="E53" s="238" t="s">
        <v>66</v>
      </c>
      <c r="F53" s="238" t="s">
        <v>66</v>
      </c>
      <c r="G53" s="238" t="s">
        <v>166</v>
      </c>
      <c r="H53" s="238" t="s">
        <v>167</v>
      </c>
      <c r="I53" s="233" t="s">
        <v>308</v>
      </c>
      <c r="J53" s="233" t="s">
        <v>309</v>
      </c>
      <c r="K53" s="252">
        <f t="shared" ref="K53:L55" si="13">6*O53</f>
        <v>18</v>
      </c>
      <c r="L53" s="256">
        <f t="shared" si="13"/>
        <v>750000000</v>
      </c>
      <c r="M53" s="252">
        <v>0</v>
      </c>
      <c r="N53" s="256">
        <v>0</v>
      </c>
      <c r="O53" s="252">
        <v>3</v>
      </c>
      <c r="P53" s="256">
        <f>125000000</f>
        <v>125000000</v>
      </c>
      <c r="Q53" s="252">
        <v>0</v>
      </c>
      <c r="R53" s="256">
        <v>0</v>
      </c>
      <c r="S53" s="245">
        <v>0</v>
      </c>
      <c r="T53" s="2824">
        <v>0</v>
      </c>
      <c r="U53" s="245">
        <v>3</v>
      </c>
      <c r="V53" s="2403">
        <v>117406200</v>
      </c>
      <c r="W53" s="245"/>
      <c r="X53" s="252"/>
      <c r="Y53" s="2417">
        <f t="shared" si="3"/>
        <v>3</v>
      </c>
      <c r="Z53" s="2493">
        <f t="shared" si="10"/>
        <v>117406200</v>
      </c>
      <c r="AA53" s="310">
        <f t="shared" si="11"/>
        <v>3</v>
      </c>
      <c r="AB53" s="2493">
        <f t="shared" si="11"/>
        <v>117406200</v>
      </c>
      <c r="AC53" s="253">
        <f t="shared" si="12"/>
        <v>16.666666666666664</v>
      </c>
      <c r="AD53" s="253">
        <f t="shared" si="12"/>
        <v>15.654160000000001</v>
      </c>
      <c r="AE53" s="245"/>
      <c r="AF53" s="2266"/>
      <c r="AG53" s="2266"/>
      <c r="AH53" s="2266"/>
      <c r="AI53" s="2266"/>
      <c r="AJ53" s="2266"/>
      <c r="AK53" s="2266"/>
      <c r="AL53" s="2266"/>
      <c r="AM53" s="2266"/>
      <c r="AN53" s="2266"/>
      <c r="AO53" s="2266"/>
      <c r="AP53" s="2266"/>
      <c r="AQ53" s="2266"/>
      <c r="AR53" s="2266"/>
      <c r="AS53" s="2266"/>
      <c r="AT53" s="2266"/>
      <c r="AU53" s="2266"/>
      <c r="AV53" s="2266"/>
      <c r="AW53" s="2266"/>
      <c r="AX53" s="2266"/>
      <c r="AY53" s="2266"/>
      <c r="AZ53" s="2266"/>
      <c r="BA53" s="2266"/>
      <c r="BB53" s="2266"/>
      <c r="BC53" s="2266"/>
      <c r="BD53" s="2266"/>
      <c r="BE53" s="2266"/>
      <c r="BF53" s="2266"/>
      <c r="BG53" s="2266"/>
      <c r="BH53" s="2266"/>
      <c r="BI53" s="2266"/>
      <c r="BJ53" s="2266"/>
      <c r="BK53" s="2266"/>
      <c r="BL53" s="2266"/>
      <c r="BM53" s="2266"/>
      <c r="BN53" s="2266"/>
      <c r="BO53" s="2266"/>
      <c r="BP53" s="2266"/>
      <c r="BQ53" s="2266"/>
      <c r="BR53" s="2266"/>
      <c r="BS53" s="2266"/>
      <c r="BT53" s="2266"/>
      <c r="BU53" s="2266"/>
      <c r="BV53" s="2266"/>
      <c r="BW53" s="2266"/>
      <c r="BX53" s="2266"/>
    </row>
    <row r="54" spans="1:76" s="244" customFormat="1" ht="41.25" customHeight="1">
      <c r="A54" s="245"/>
      <c r="B54" s="233"/>
      <c r="C54" s="238">
        <v>1</v>
      </c>
      <c r="D54" s="238" t="s">
        <v>66</v>
      </c>
      <c r="E54" s="238" t="s">
        <v>66</v>
      </c>
      <c r="F54" s="238" t="s">
        <v>66</v>
      </c>
      <c r="G54" s="238" t="s">
        <v>166</v>
      </c>
      <c r="H54" s="238">
        <v>41</v>
      </c>
      <c r="I54" s="233" t="s">
        <v>3610</v>
      </c>
      <c r="J54" s="233" t="s">
        <v>3611</v>
      </c>
      <c r="K54" s="252">
        <v>6</v>
      </c>
      <c r="L54" s="256">
        <v>600000000</v>
      </c>
      <c r="M54" s="2629" t="s">
        <v>2034</v>
      </c>
      <c r="N54" s="256"/>
      <c r="O54" s="252"/>
      <c r="P54" s="256">
        <v>100000000</v>
      </c>
      <c r="Q54" s="252"/>
      <c r="R54" s="256"/>
      <c r="S54" s="2828"/>
      <c r="T54" s="2825" t="s">
        <v>2034</v>
      </c>
      <c r="U54" s="245"/>
      <c r="V54" s="2403"/>
      <c r="W54" s="245"/>
      <c r="X54" s="252"/>
      <c r="Y54" s="2417">
        <f t="shared" si="3"/>
        <v>0</v>
      </c>
      <c r="Z54" s="2493">
        <f t="shared" si="10"/>
        <v>0</v>
      </c>
      <c r="AA54" s="310"/>
      <c r="AB54" s="2493"/>
      <c r="AC54" s="253"/>
      <c r="AD54" s="253"/>
      <c r="AE54" s="245"/>
      <c r="AF54" s="2266"/>
      <c r="AG54" s="2266"/>
      <c r="AH54" s="2266"/>
      <c r="AI54" s="2266"/>
      <c r="AJ54" s="2266"/>
      <c r="AK54" s="2266"/>
      <c r="AL54" s="2266"/>
      <c r="AM54" s="2266"/>
      <c r="AN54" s="2266"/>
      <c r="AO54" s="2266"/>
      <c r="AP54" s="2266"/>
      <c r="AQ54" s="2266"/>
      <c r="AR54" s="2266"/>
      <c r="AS54" s="2266"/>
      <c r="AT54" s="2266"/>
      <c r="AU54" s="2266"/>
      <c r="AV54" s="2266"/>
      <c r="AW54" s="2266"/>
      <c r="AX54" s="2266"/>
      <c r="AY54" s="2266"/>
      <c r="AZ54" s="2266"/>
      <c r="BA54" s="2266"/>
      <c r="BB54" s="2266"/>
      <c r="BC54" s="2266"/>
      <c r="BD54" s="2266"/>
      <c r="BE54" s="2266"/>
      <c r="BF54" s="2266"/>
      <c r="BG54" s="2266"/>
      <c r="BH54" s="2266"/>
      <c r="BI54" s="2266"/>
      <c r="BJ54" s="2266"/>
      <c r="BK54" s="2266"/>
      <c r="BL54" s="2266"/>
      <c r="BM54" s="2266"/>
      <c r="BN54" s="2266"/>
      <c r="BO54" s="2266"/>
      <c r="BP54" s="2266"/>
      <c r="BQ54" s="2266"/>
      <c r="BR54" s="2266"/>
      <c r="BS54" s="2266"/>
      <c r="BT54" s="2266"/>
      <c r="BU54" s="2266"/>
      <c r="BV54" s="2266"/>
      <c r="BW54" s="2266"/>
      <c r="BX54" s="2266"/>
    </row>
    <row r="55" spans="1:76" s="244" customFormat="1" ht="63" customHeight="1">
      <c r="A55" s="3139"/>
      <c r="B55" s="233"/>
      <c r="C55" s="238">
        <v>1</v>
      </c>
      <c r="D55" s="238" t="s">
        <v>66</v>
      </c>
      <c r="E55" s="238" t="s">
        <v>66</v>
      </c>
      <c r="F55" s="238" t="s">
        <v>66</v>
      </c>
      <c r="G55" s="238" t="s">
        <v>166</v>
      </c>
      <c r="H55" s="238" t="s">
        <v>68</v>
      </c>
      <c r="I55" s="233" t="s">
        <v>311</v>
      </c>
      <c r="J55" s="233" t="s">
        <v>312</v>
      </c>
      <c r="K55" s="252">
        <f t="shared" si="13"/>
        <v>6</v>
      </c>
      <c r="L55" s="256">
        <f t="shared" si="13"/>
        <v>600000000</v>
      </c>
      <c r="M55" s="252">
        <v>0</v>
      </c>
      <c r="N55" s="256">
        <v>0</v>
      </c>
      <c r="O55" s="252">
        <v>1</v>
      </c>
      <c r="P55" s="256">
        <v>100000000</v>
      </c>
      <c r="Q55" s="252">
        <v>0</v>
      </c>
      <c r="R55" s="256">
        <v>0</v>
      </c>
      <c r="S55" s="245">
        <v>0</v>
      </c>
      <c r="T55" s="2825">
        <v>0</v>
      </c>
      <c r="U55" s="245">
        <v>1</v>
      </c>
      <c r="V55" s="2403">
        <v>177402500</v>
      </c>
      <c r="W55" s="245"/>
      <c r="X55" s="252"/>
      <c r="Y55" s="2417">
        <f t="shared" si="3"/>
        <v>1</v>
      </c>
      <c r="Z55" s="2493">
        <f t="shared" si="10"/>
        <v>177402500</v>
      </c>
      <c r="AA55" s="310">
        <f t="shared" si="11"/>
        <v>1</v>
      </c>
      <c r="AB55" s="2493">
        <f t="shared" si="11"/>
        <v>177402500</v>
      </c>
      <c r="AC55" s="253">
        <f t="shared" si="12"/>
        <v>16.666666666666664</v>
      </c>
      <c r="AD55" s="253">
        <f t="shared" si="12"/>
        <v>29.567083333333333</v>
      </c>
      <c r="AE55" s="245"/>
      <c r="AF55" s="2266"/>
      <c r="AG55" s="2266"/>
      <c r="AH55" s="2266"/>
      <c r="AI55" s="2266"/>
      <c r="AJ55" s="2266"/>
      <c r="AK55" s="2266"/>
      <c r="AL55" s="2266"/>
      <c r="AM55" s="2266"/>
      <c r="AN55" s="2266"/>
      <c r="AO55" s="2266"/>
      <c r="AP55" s="2266"/>
      <c r="AQ55" s="2266"/>
      <c r="AR55" s="2266"/>
      <c r="AS55" s="2266"/>
      <c r="AT55" s="2266"/>
      <c r="AU55" s="2266"/>
      <c r="AV55" s="2266"/>
      <c r="AW55" s="2266"/>
      <c r="AX55" s="2266"/>
      <c r="AY55" s="2266"/>
      <c r="AZ55" s="2266"/>
      <c r="BA55" s="2266"/>
      <c r="BB55" s="2266"/>
      <c r="BC55" s="2266"/>
      <c r="BD55" s="2266"/>
      <c r="BE55" s="2266"/>
      <c r="BF55" s="2266"/>
      <c r="BG55" s="2266"/>
      <c r="BH55" s="2266"/>
      <c r="BI55" s="2266"/>
      <c r="BJ55" s="2266"/>
      <c r="BK55" s="2266"/>
      <c r="BL55" s="2266"/>
      <c r="BM55" s="2266"/>
      <c r="BN55" s="2266"/>
      <c r="BO55" s="2266"/>
      <c r="BP55" s="2266"/>
      <c r="BQ55" s="2266"/>
      <c r="BR55" s="2266"/>
      <c r="BS55" s="2266"/>
      <c r="BT55" s="2266"/>
      <c r="BU55" s="2266"/>
      <c r="BV55" s="2266"/>
      <c r="BW55" s="2266"/>
      <c r="BX55" s="2266"/>
    </row>
    <row r="56" spans="1:76" s="244" customFormat="1" ht="112.5" customHeight="1">
      <c r="A56" s="245"/>
      <c r="B56" s="233"/>
      <c r="C56" s="238" t="s">
        <v>66</v>
      </c>
      <c r="D56" s="238" t="s">
        <v>66</v>
      </c>
      <c r="E56" s="238" t="s">
        <v>66</v>
      </c>
      <c r="F56" s="238" t="s">
        <v>66</v>
      </c>
      <c r="G56" s="238">
        <v>16</v>
      </c>
      <c r="H56" s="238" t="s">
        <v>313</v>
      </c>
      <c r="I56" s="273" t="s">
        <v>314</v>
      </c>
      <c r="J56" s="273" t="s">
        <v>315</v>
      </c>
      <c r="K56" s="310">
        <v>6</v>
      </c>
      <c r="L56" s="237">
        <f>6*229855000</f>
        <v>1379130000</v>
      </c>
      <c r="M56" s="2332">
        <v>2</v>
      </c>
      <c r="N56" s="2990">
        <f>M56*229855000</f>
        <v>459710000</v>
      </c>
      <c r="O56" s="310">
        <v>1</v>
      </c>
      <c r="P56" s="240">
        <f>O56*229855000</f>
        <v>229855000</v>
      </c>
      <c r="Q56" s="2332">
        <v>0</v>
      </c>
      <c r="R56" s="237">
        <v>0</v>
      </c>
      <c r="S56" s="245">
        <v>1</v>
      </c>
      <c r="T56" s="2824">
        <v>6600000</v>
      </c>
      <c r="U56" s="245">
        <v>2</v>
      </c>
      <c r="V56" s="2403">
        <v>207085000</v>
      </c>
      <c r="W56" s="245"/>
      <c r="X56" s="252"/>
      <c r="Y56" s="2417">
        <f t="shared" si="3"/>
        <v>3</v>
      </c>
      <c r="Z56" s="2493">
        <f t="shared" si="10"/>
        <v>213685000</v>
      </c>
      <c r="AA56" s="310">
        <f t="shared" si="11"/>
        <v>5</v>
      </c>
      <c r="AB56" s="2493">
        <f t="shared" si="11"/>
        <v>673395000</v>
      </c>
      <c r="AC56" s="253">
        <f t="shared" si="12"/>
        <v>83.333333333333343</v>
      </c>
      <c r="AD56" s="253">
        <f t="shared" si="12"/>
        <v>48.827521698462071</v>
      </c>
      <c r="AE56" s="245"/>
      <c r="AF56" s="2266"/>
      <c r="AG56" s="2266"/>
      <c r="AH56" s="2266"/>
      <c r="AI56" s="2266"/>
      <c r="AJ56" s="2266"/>
      <c r="AK56" s="2266"/>
      <c r="AL56" s="2266"/>
      <c r="AM56" s="2266"/>
      <c r="AN56" s="2266"/>
      <c r="AO56" s="2266"/>
      <c r="AP56" s="2266"/>
      <c r="AQ56" s="2266"/>
      <c r="AR56" s="2266"/>
      <c r="AS56" s="2266"/>
      <c r="AT56" s="2266"/>
      <c r="AU56" s="2266"/>
      <c r="AV56" s="2266"/>
      <c r="AW56" s="2266"/>
      <c r="AX56" s="2266"/>
      <c r="AY56" s="2266"/>
      <c r="AZ56" s="2266"/>
      <c r="BA56" s="2266"/>
      <c r="BB56" s="2266"/>
      <c r="BC56" s="2266"/>
      <c r="BD56" s="2266"/>
      <c r="BE56" s="2266"/>
      <c r="BF56" s="2266"/>
      <c r="BG56" s="2266"/>
      <c r="BH56" s="2266"/>
      <c r="BI56" s="2266"/>
      <c r="BJ56" s="2266"/>
      <c r="BK56" s="2266"/>
      <c r="BL56" s="2266"/>
      <c r="BM56" s="2266"/>
      <c r="BN56" s="2266"/>
      <c r="BO56" s="2266"/>
      <c r="BP56" s="2266"/>
      <c r="BQ56" s="2266"/>
      <c r="BR56" s="2266"/>
      <c r="BS56" s="2266"/>
      <c r="BT56" s="2266"/>
      <c r="BU56" s="2266"/>
      <c r="BV56" s="2266"/>
      <c r="BW56" s="2266"/>
      <c r="BX56" s="2266"/>
    </row>
    <row r="57" spans="1:76" s="244" customFormat="1" ht="36.75" customHeight="1">
      <c r="A57" s="3139"/>
      <c r="B57" s="233"/>
      <c r="C57" s="238">
        <v>1</v>
      </c>
      <c r="D57" s="238" t="s">
        <v>66</v>
      </c>
      <c r="E57" s="238" t="s">
        <v>66</v>
      </c>
      <c r="F57" s="238" t="s">
        <v>66</v>
      </c>
      <c r="G57" s="238" t="s">
        <v>166</v>
      </c>
      <c r="H57" s="238" t="s">
        <v>316</v>
      </c>
      <c r="I57" s="233" t="s">
        <v>317</v>
      </c>
      <c r="J57" s="233" t="s">
        <v>318</v>
      </c>
      <c r="K57" s="310">
        <v>6</v>
      </c>
      <c r="L57" s="237">
        <f>(P57*6)+(P57*20%)</f>
        <v>1954202800</v>
      </c>
      <c r="M57" s="310">
        <v>2</v>
      </c>
      <c r="N57" s="237">
        <f>P57*2</f>
        <v>630388000</v>
      </c>
      <c r="O57" s="310">
        <v>1</v>
      </c>
      <c r="P57" s="237">
        <v>315194000</v>
      </c>
      <c r="Q57" s="2332">
        <v>0</v>
      </c>
      <c r="R57" s="237">
        <v>0</v>
      </c>
      <c r="S57" s="245">
        <v>1</v>
      </c>
      <c r="T57" s="2824">
        <v>203251500</v>
      </c>
      <c r="U57" s="245">
        <v>2</v>
      </c>
      <c r="V57" s="2403">
        <v>72804500</v>
      </c>
      <c r="W57" s="245"/>
      <c r="X57" s="252"/>
      <c r="Y57" s="2417">
        <f t="shared" si="3"/>
        <v>3</v>
      </c>
      <c r="Z57" s="2493">
        <f t="shared" si="10"/>
        <v>276056000</v>
      </c>
      <c r="AA57" s="310">
        <f t="shared" si="11"/>
        <v>5</v>
      </c>
      <c r="AB57" s="2493">
        <f t="shared" si="11"/>
        <v>906444000</v>
      </c>
      <c r="AC57" s="253">
        <f t="shared" si="12"/>
        <v>83.333333333333343</v>
      </c>
      <c r="AD57" s="253">
        <f t="shared" si="12"/>
        <v>46.384336364680266</v>
      </c>
      <c r="AE57" s="245"/>
      <c r="AF57" s="2266"/>
      <c r="AG57" s="2266"/>
      <c r="AH57" s="2266"/>
      <c r="AI57" s="2266"/>
      <c r="AJ57" s="2266"/>
      <c r="AK57" s="2266"/>
      <c r="AL57" s="2266"/>
      <c r="AM57" s="2266"/>
      <c r="AN57" s="2266"/>
      <c r="AO57" s="2266"/>
      <c r="AP57" s="2266"/>
      <c r="AQ57" s="2266"/>
      <c r="AR57" s="2266"/>
      <c r="AS57" s="2266"/>
      <c r="AT57" s="2266"/>
      <c r="AU57" s="2266"/>
      <c r="AV57" s="2266"/>
      <c r="AW57" s="2266"/>
      <c r="AX57" s="2266"/>
      <c r="AY57" s="2266"/>
      <c r="AZ57" s="2266"/>
      <c r="BA57" s="2266"/>
      <c r="BB57" s="2266"/>
      <c r="BC57" s="2266"/>
      <c r="BD57" s="2266"/>
      <c r="BE57" s="2266"/>
      <c r="BF57" s="2266"/>
      <c r="BG57" s="2266"/>
      <c r="BH57" s="2266"/>
      <c r="BI57" s="2266"/>
      <c r="BJ57" s="2266"/>
      <c r="BK57" s="2266"/>
      <c r="BL57" s="2266"/>
      <c r="BM57" s="2266"/>
      <c r="BN57" s="2266"/>
      <c r="BO57" s="2266"/>
      <c r="BP57" s="2266"/>
      <c r="BQ57" s="2266"/>
      <c r="BR57" s="2266"/>
      <c r="BS57" s="2266"/>
      <c r="BT57" s="2266"/>
      <c r="BU57" s="2266"/>
      <c r="BV57" s="2266"/>
      <c r="BW57" s="2266"/>
      <c r="BX57" s="2266"/>
    </row>
    <row r="58" spans="1:76" s="244" customFormat="1" ht="45.75" customHeight="1">
      <c r="A58" s="245"/>
      <c r="B58" s="233"/>
      <c r="C58" s="238">
        <v>1</v>
      </c>
      <c r="D58" s="238" t="s">
        <v>66</v>
      </c>
      <c r="E58" s="238" t="s">
        <v>66</v>
      </c>
      <c r="F58" s="238" t="s">
        <v>66</v>
      </c>
      <c r="G58" s="238" t="s">
        <v>166</v>
      </c>
      <c r="H58" s="238">
        <v>76</v>
      </c>
      <c r="I58" s="235" t="s">
        <v>319</v>
      </c>
      <c r="J58" s="233" t="s">
        <v>320</v>
      </c>
      <c r="K58" s="252">
        <v>75</v>
      </c>
      <c r="L58" s="256">
        <v>390388000</v>
      </c>
      <c r="M58" s="252">
        <v>24</v>
      </c>
      <c r="N58" s="256">
        <v>149963000</v>
      </c>
      <c r="O58" s="252">
        <v>25</v>
      </c>
      <c r="P58" s="256">
        <v>130000000</v>
      </c>
      <c r="Q58" s="252">
        <v>0</v>
      </c>
      <c r="R58" s="256">
        <v>0</v>
      </c>
      <c r="S58" s="3139">
        <v>1</v>
      </c>
      <c r="T58" s="2826">
        <v>54453350</v>
      </c>
      <c r="U58" s="245">
        <v>0</v>
      </c>
      <c r="V58" s="2403">
        <v>0</v>
      </c>
      <c r="W58" s="245"/>
      <c r="X58" s="252"/>
      <c r="Y58" s="2417">
        <f t="shared" si="3"/>
        <v>1</v>
      </c>
      <c r="Z58" s="2493">
        <f t="shared" si="10"/>
        <v>54453350</v>
      </c>
      <c r="AA58" s="310">
        <f t="shared" si="11"/>
        <v>25</v>
      </c>
      <c r="AB58" s="2493">
        <f t="shared" si="11"/>
        <v>204416350</v>
      </c>
      <c r="AC58" s="253">
        <f t="shared" si="12"/>
        <v>33.333333333333329</v>
      </c>
      <c r="AD58" s="253">
        <f t="shared" si="12"/>
        <v>52.362354887957622</v>
      </c>
      <c r="AE58" s="245"/>
      <c r="AF58" s="2266"/>
      <c r="AG58" s="2266"/>
      <c r="AH58" s="2266"/>
      <c r="AI58" s="2266"/>
      <c r="AJ58" s="2266"/>
      <c r="AK58" s="2266"/>
      <c r="AL58" s="2266"/>
      <c r="AM58" s="2266"/>
      <c r="AN58" s="2266"/>
      <c r="AO58" s="2266"/>
      <c r="AP58" s="2266"/>
      <c r="AQ58" s="2266"/>
      <c r="AR58" s="2266"/>
      <c r="AS58" s="2266"/>
      <c r="AT58" s="2266"/>
      <c r="AU58" s="2266"/>
      <c r="AV58" s="2266"/>
      <c r="AW58" s="2266"/>
      <c r="AX58" s="2266"/>
      <c r="AY58" s="2266"/>
      <c r="AZ58" s="2266"/>
      <c r="BA58" s="2266"/>
      <c r="BB58" s="2266"/>
      <c r="BC58" s="2266"/>
      <c r="BD58" s="2266"/>
      <c r="BE58" s="2266"/>
      <c r="BF58" s="2266"/>
      <c r="BG58" s="2266"/>
      <c r="BH58" s="2266"/>
      <c r="BI58" s="2266"/>
      <c r="BJ58" s="2266"/>
      <c r="BK58" s="2266"/>
      <c r="BL58" s="2266"/>
      <c r="BM58" s="2266"/>
      <c r="BN58" s="2266"/>
      <c r="BO58" s="2266"/>
      <c r="BP58" s="2266"/>
      <c r="BQ58" s="2266"/>
      <c r="BR58" s="2266"/>
      <c r="BS58" s="2266"/>
      <c r="BT58" s="2266"/>
      <c r="BU58" s="2266"/>
      <c r="BV58" s="2266"/>
      <c r="BW58" s="2266"/>
      <c r="BX58" s="2266"/>
    </row>
    <row r="59" spans="1:76" s="244" customFormat="1" ht="49.5" customHeight="1">
      <c r="A59" s="3139"/>
      <c r="B59" s="233"/>
      <c r="C59" s="238">
        <v>1</v>
      </c>
      <c r="D59" s="238" t="s">
        <v>66</v>
      </c>
      <c r="E59" s="238" t="s">
        <v>66</v>
      </c>
      <c r="F59" s="238" t="s">
        <v>66</v>
      </c>
      <c r="G59" s="238" t="s">
        <v>166</v>
      </c>
      <c r="H59" s="238" t="s">
        <v>321</v>
      </c>
      <c r="I59" s="233" t="s">
        <v>322</v>
      </c>
      <c r="J59" s="233" t="s">
        <v>323</v>
      </c>
      <c r="K59" s="310">
        <v>6</v>
      </c>
      <c r="L59" s="237">
        <f>(P59*20%)+P59</f>
        <v>1067059200</v>
      </c>
      <c r="M59" s="2332">
        <v>1</v>
      </c>
      <c r="N59" s="2991">
        <v>889216000</v>
      </c>
      <c r="O59" s="310">
        <v>1</v>
      </c>
      <c r="P59" s="240">
        <f>N59</f>
        <v>889216000</v>
      </c>
      <c r="Q59" s="2332">
        <v>0</v>
      </c>
      <c r="R59" s="237">
        <v>40460000</v>
      </c>
      <c r="S59" s="245">
        <v>0</v>
      </c>
      <c r="T59" s="2824">
        <v>92601000</v>
      </c>
      <c r="U59" s="245">
        <v>1</v>
      </c>
      <c r="V59" s="2403">
        <v>727592100</v>
      </c>
      <c r="W59" s="245"/>
      <c r="X59" s="252"/>
      <c r="Y59" s="2417">
        <f t="shared" si="3"/>
        <v>1</v>
      </c>
      <c r="Z59" s="2493">
        <f t="shared" si="10"/>
        <v>860653100</v>
      </c>
      <c r="AA59" s="310">
        <f t="shared" ref="AA59:AB66" si="14">M59+Y59</f>
        <v>2</v>
      </c>
      <c r="AB59" s="2493">
        <f t="shared" si="14"/>
        <v>1749869100</v>
      </c>
      <c r="AC59" s="253">
        <f t="shared" si="12"/>
        <v>33.333333333333329</v>
      </c>
      <c r="AD59" s="253">
        <f t="shared" si="12"/>
        <v>163.9898798492155</v>
      </c>
      <c r="AE59" s="245"/>
      <c r="AF59" s="2266"/>
      <c r="AG59" s="2266"/>
      <c r="AH59" s="2266"/>
      <c r="AI59" s="2266"/>
      <c r="AJ59" s="2266"/>
      <c r="AK59" s="2266"/>
      <c r="AL59" s="2266"/>
      <c r="AM59" s="2266"/>
      <c r="AN59" s="2266"/>
      <c r="AO59" s="2266"/>
      <c r="AP59" s="2266"/>
      <c r="AQ59" s="2266"/>
      <c r="AR59" s="2266"/>
      <c r="AS59" s="2266"/>
      <c r="AT59" s="2266"/>
      <c r="AU59" s="2266"/>
      <c r="AV59" s="2266"/>
      <c r="AW59" s="2266"/>
      <c r="AX59" s="2266"/>
      <c r="AY59" s="2266"/>
      <c r="AZ59" s="2266"/>
      <c r="BA59" s="2266"/>
      <c r="BB59" s="2266"/>
      <c r="BC59" s="2266"/>
      <c r="BD59" s="2266"/>
      <c r="BE59" s="2266"/>
      <c r="BF59" s="2266"/>
      <c r="BG59" s="2266"/>
      <c r="BH59" s="2266"/>
      <c r="BI59" s="2266"/>
      <c r="BJ59" s="2266"/>
      <c r="BK59" s="2266"/>
      <c r="BL59" s="2266"/>
      <c r="BM59" s="2266"/>
      <c r="BN59" s="2266"/>
      <c r="BO59" s="2266"/>
      <c r="BP59" s="2266"/>
      <c r="BQ59" s="2266"/>
      <c r="BR59" s="2266"/>
      <c r="BS59" s="2266"/>
      <c r="BT59" s="2266"/>
      <c r="BU59" s="2266"/>
      <c r="BV59" s="2266"/>
      <c r="BW59" s="2266"/>
      <c r="BX59" s="2266"/>
    </row>
    <row r="60" spans="1:76" s="244" customFormat="1" ht="39" customHeight="1">
      <c r="A60" s="245"/>
      <c r="B60" s="233"/>
      <c r="C60" s="238">
        <v>1</v>
      </c>
      <c r="D60" s="238" t="s">
        <v>66</v>
      </c>
      <c r="E60" s="238" t="s">
        <v>66</v>
      </c>
      <c r="F60" s="238" t="s">
        <v>66</v>
      </c>
      <c r="G60" s="238" t="s">
        <v>166</v>
      </c>
      <c r="H60" s="238" t="s">
        <v>324</v>
      </c>
      <c r="I60" s="233" t="s">
        <v>325</v>
      </c>
      <c r="J60" s="233" t="s">
        <v>326</v>
      </c>
      <c r="K60" s="310">
        <v>6</v>
      </c>
      <c r="L60" s="237">
        <f>(P60*6)+(P60*20%)</f>
        <v>496000000</v>
      </c>
      <c r="M60" s="310">
        <v>2</v>
      </c>
      <c r="N60" s="2493">
        <f>2*P60</f>
        <v>160000000</v>
      </c>
      <c r="O60" s="310">
        <v>1</v>
      </c>
      <c r="P60" s="240">
        <v>80000000</v>
      </c>
      <c r="Q60" s="2332">
        <v>1</v>
      </c>
      <c r="R60" s="237">
        <v>35453000</v>
      </c>
      <c r="S60" s="245">
        <v>0</v>
      </c>
      <c r="T60" s="2825">
        <v>0</v>
      </c>
      <c r="U60" s="245">
        <v>1</v>
      </c>
      <c r="V60" s="2403">
        <v>26990500</v>
      </c>
      <c r="W60" s="245"/>
      <c r="X60" s="252"/>
      <c r="Y60" s="2417">
        <f t="shared" si="3"/>
        <v>2</v>
      </c>
      <c r="Z60" s="2493">
        <f t="shared" si="10"/>
        <v>62443500</v>
      </c>
      <c r="AA60" s="310">
        <f t="shared" si="14"/>
        <v>4</v>
      </c>
      <c r="AB60" s="2493">
        <f t="shared" si="14"/>
        <v>222443500</v>
      </c>
      <c r="AC60" s="253">
        <f t="shared" ref="AC60:AD66" si="15">(AA60/K60)*100</f>
        <v>66.666666666666657</v>
      </c>
      <c r="AD60" s="253">
        <f t="shared" si="15"/>
        <v>44.847479838709674</v>
      </c>
      <c r="AE60" s="245"/>
      <c r="AF60" s="2266"/>
      <c r="AG60" s="2266"/>
      <c r="AH60" s="2266"/>
      <c r="AI60" s="2266"/>
      <c r="AJ60" s="2266"/>
      <c r="AK60" s="2266"/>
      <c r="AL60" s="2266"/>
      <c r="AM60" s="2266"/>
      <c r="AN60" s="2266"/>
      <c r="AO60" s="2266"/>
      <c r="AP60" s="2266"/>
      <c r="AQ60" s="2266"/>
      <c r="AR60" s="2266"/>
      <c r="AS60" s="2266"/>
      <c r="AT60" s="2266"/>
      <c r="AU60" s="2266"/>
      <c r="AV60" s="2266"/>
      <c r="AW60" s="2266"/>
      <c r="AX60" s="2266"/>
      <c r="AY60" s="2266"/>
      <c r="AZ60" s="2266"/>
      <c r="BA60" s="2266"/>
      <c r="BB60" s="2266"/>
      <c r="BC60" s="2266"/>
      <c r="BD60" s="2266"/>
      <c r="BE60" s="2266"/>
      <c r="BF60" s="2266"/>
      <c r="BG60" s="2266"/>
      <c r="BH60" s="2266"/>
      <c r="BI60" s="2266"/>
      <c r="BJ60" s="2266"/>
      <c r="BK60" s="2266"/>
      <c r="BL60" s="2266"/>
      <c r="BM60" s="2266"/>
      <c r="BN60" s="2266"/>
      <c r="BO60" s="2266"/>
      <c r="BP60" s="2266"/>
      <c r="BQ60" s="2266"/>
      <c r="BR60" s="2266"/>
      <c r="BS60" s="2266"/>
      <c r="BT60" s="2266"/>
      <c r="BU60" s="2266"/>
      <c r="BV60" s="2266"/>
      <c r="BW60" s="2266"/>
      <c r="BX60" s="2266"/>
    </row>
    <row r="61" spans="1:76" s="244" customFormat="1" ht="60.75" customHeight="1">
      <c r="A61" s="3139"/>
      <c r="B61" s="233"/>
      <c r="C61" s="238" t="s">
        <v>66</v>
      </c>
      <c r="D61" s="238" t="s">
        <v>66</v>
      </c>
      <c r="E61" s="238" t="s">
        <v>66</v>
      </c>
      <c r="F61" s="238" t="s">
        <v>66</v>
      </c>
      <c r="G61" s="238" t="s">
        <v>166</v>
      </c>
      <c r="H61" s="238" t="s">
        <v>327</v>
      </c>
      <c r="I61" s="233" t="s">
        <v>328</v>
      </c>
      <c r="J61" s="233" t="s">
        <v>329</v>
      </c>
      <c r="K61" s="310">
        <f>4*4</f>
        <v>16</v>
      </c>
      <c r="L61" s="237">
        <f>4*82400000</f>
        <v>329600000</v>
      </c>
      <c r="M61" s="2332">
        <v>0</v>
      </c>
      <c r="N61" s="309">
        <v>0</v>
      </c>
      <c r="O61" s="310">
        <v>4</v>
      </c>
      <c r="P61" s="268">
        <v>82400000</v>
      </c>
      <c r="Q61" s="2332">
        <v>1</v>
      </c>
      <c r="R61" s="268">
        <v>14017000</v>
      </c>
      <c r="S61" s="245">
        <v>2</v>
      </c>
      <c r="T61" s="2824">
        <v>40418000</v>
      </c>
      <c r="U61" s="2267">
        <v>2</v>
      </c>
      <c r="V61" s="2986">
        <v>27965000</v>
      </c>
      <c r="W61" s="2267"/>
      <c r="X61" s="2267"/>
      <c r="Y61" s="2417">
        <f t="shared" si="3"/>
        <v>5</v>
      </c>
      <c r="Z61" s="2986">
        <f t="shared" si="10"/>
        <v>82400000</v>
      </c>
      <c r="AA61" s="310">
        <f t="shared" si="14"/>
        <v>5</v>
      </c>
      <c r="AB61" s="2493">
        <f t="shared" si="14"/>
        <v>82400000</v>
      </c>
      <c r="AC61" s="253">
        <f t="shared" si="15"/>
        <v>31.25</v>
      </c>
      <c r="AD61" s="253">
        <f t="shared" si="15"/>
        <v>25</v>
      </c>
      <c r="AE61" s="245"/>
      <c r="AF61" s="2266"/>
      <c r="AG61" s="2266"/>
      <c r="AH61" s="2266"/>
      <c r="AI61" s="2266"/>
      <c r="AJ61" s="2266"/>
      <c r="AK61" s="2266"/>
      <c r="AL61" s="2266"/>
      <c r="AM61" s="2266"/>
      <c r="AN61" s="2266"/>
      <c r="AO61" s="2266"/>
      <c r="AP61" s="2266"/>
      <c r="AQ61" s="2266"/>
      <c r="AR61" s="2266"/>
      <c r="AS61" s="2266"/>
      <c r="AT61" s="2266"/>
      <c r="AU61" s="2266"/>
      <c r="AV61" s="2266"/>
      <c r="AW61" s="2266"/>
      <c r="AX61" s="2266"/>
      <c r="AY61" s="2266"/>
      <c r="AZ61" s="2266"/>
      <c r="BA61" s="2266"/>
      <c r="BB61" s="2266"/>
      <c r="BC61" s="2266"/>
      <c r="BD61" s="2266"/>
      <c r="BE61" s="2266"/>
      <c r="BF61" s="2266"/>
      <c r="BG61" s="2266"/>
      <c r="BH61" s="2266"/>
      <c r="BI61" s="2266"/>
      <c r="BJ61" s="2266"/>
      <c r="BK61" s="2266"/>
      <c r="BL61" s="2266"/>
      <c r="BM61" s="2266"/>
      <c r="BN61" s="2266"/>
      <c r="BO61" s="2266"/>
      <c r="BP61" s="2266"/>
      <c r="BQ61" s="2266"/>
      <c r="BR61" s="2266"/>
      <c r="BS61" s="2266"/>
      <c r="BT61" s="2266"/>
      <c r="BU61" s="2266"/>
      <c r="BV61" s="2266"/>
      <c r="BW61" s="2266"/>
      <c r="BX61" s="2266"/>
    </row>
    <row r="62" spans="1:76" s="244" customFormat="1" ht="63.75" customHeight="1">
      <c r="A62" s="245"/>
      <c r="B62" s="233"/>
      <c r="C62" s="238" t="s">
        <v>66</v>
      </c>
      <c r="D62" s="238" t="s">
        <v>66</v>
      </c>
      <c r="E62" s="238" t="s">
        <v>66</v>
      </c>
      <c r="F62" s="238" t="s">
        <v>66</v>
      </c>
      <c r="G62" s="238" t="s">
        <v>166</v>
      </c>
      <c r="H62" s="238" t="s">
        <v>68</v>
      </c>
      <c r="I62" s="233" t="s">
        <v>330</v>
      </c>
      <c r="J62" s="233" t="s">
        <v>331</v>
      </c>
      <c r="K62" s="310">
        <f>5*944</f>
        <v>4720</v>
      </c>
      <c r="L62" s="237">
        <f>((4*184258)+199978)*1000</f>
        <v>937010000</v>
      </c>
      <c r="M62" s="252">
        <v>944</v>
      </c>
      <c r="N62" s="309">
        <v>199978000</v>
      </c>
      <c r="O62" s="310">
        <v>944</v>
      </c>
      <c r="P62" s="240">
        <v>184258000</v>
      </c>
      <c r="Q62" s="2332">
        <v>465</v>
      </c>
      <c r="R62" s="237">
        <f>(9252+49149+34410)*1000</f>
        <v>92811000</v>
      </c>
      <c r="S62" s="245">
        <v>0</v>
      </c>
      <c r="T62" s="2825">
        <v>0</v>
      </c>
      <c r="U62" s="245">
        <v>465</v>
      </c>
      <c r="V62" s="2403">
        <v>8330000</v>
      </c>
      <c r="W62" s="245"/>
      <c r="X62" s="252"/>
      <c r="Y62" s="2417">
        <f t="shared" si="3"/>
        <v>930</v>
      </c>
      <c r="Z62" s="2493">
        <f t="shared" si="10"/>
        <v>101141000</v>
      </c>
      <c r="AA62" s="310">
        <f t="shared" si="14"/>
        <v>1874</v>
      </c>
      <c r="AB62" s="2493">
        <f t="shared" si="14"/>
        <v>301119000</v>
      </c>
      <c r="AC62" s="253">
        <f t="shared" si="15"/>
        <v>39.70338983050847</v>
      </c>
      <c r="AD62" s="253">
        <f t="shared" si="15"/>
        <v>32.136156497796179</v>
      </c>
      <c r="AE62" s="245"/>
      <c r="AF62" s="2266"/>
      <c r="AG62" s="2266"/>
      <c r="AH62" s="2266"/>
      <c r="AI62" s="2266"/>
      <c r="AJ62" s="2266"/>
      <c r="AK62" s="2266"/>
      <c r="AL62" s="2266"/>
      <c r="AM62" s="2266"/>
      <c r="AN62" s="2266"/>
      <c r="AO62" s="2266"/>
      <c r="AP62" s="2266"/>
      <c r="AQ62" s="2266"/>
      <c r="AR62" s="2266"/>
      <c r="AS62" s="2266"/>
      <c r="AT62" s="2266"/>
      <c r="AU62" s="2266"/>
      <c r="AV62" s="2266"/>
      <c r="AW62" s="2266"/>
      <c r="AX62" s="2266"/>
      <c r="AY62" s="2266"/>
      <c r="AZ62" s="2266"/>
      <c r="BA62" s="2266"/>
      <c r="BB62" s="2266"/>
      <c r="BC62" s="2266"/>
      <c r="BD62" s="2266"/>
      <c r="BE62" s="2266"/>
      <c r="BF62" s="2266"/>
      <c r="BG62" s="2266"/>
      <c r="BH62" s="2266"/>
      <c r="BI62" s="2266"/>
      <c r="BJ62" s="2266"/>
      <c r="BK62" s="2266"/>
      <c r="BL62" s="2266"/>
      <c r="BM62" s="2266"/>
      <c r="BN62" s="2266"/>
      <c r="BO62" s="2266"/>
      <c r="BP62" s="2266"/>
      <c r="BQ62" s="2266"/>
      <c r="BR62" s="2266"/>
      <c r="BS62" s="2266"/>
      <c r="BT62" s="2266"/>
      <c r="BU62" s="2266"/>
      <c r="BV62" s="2266"/>
      <c r="BW62" s="2266"/>
      <c r="BX62" s="2266"/>
    </row>
    <row r="63" spans="1:76" s="244" customFormat="1" ht="42" customHeight="1">
      <c r="A63" s="3139"/>
      <c r="B63" s="233"/>
      <c r="C63" s="238">
        <v>1</v>
      </c>
      <c r="D63" s="238" t="s">
        <v>66</v>
      </c>
      <c r="E63" s="238" t="s">
        <v>66</v>
      </c>
      <c r="F63" s="238" t="s">
        <v>66</v>
      </c>
      <c r="G63" s="238" t="s">
        <v>166</v>
      </c>
      <c r="H63" s="238" t="s">
        <v>333</v>
      </c>
      <c r="I63" s="233" t="s">
        <v>334</v>
      </c>
      <c r="J63" s="233" t="s">
        <v>335</v>
      </c>
      <c r="K63" s="310">
        <v>6</v>
      </c>
      <c r="L63" s="237">
        <f>(P63*6)+(P63*20%)</f>
        <v>849400000</v>
      </c>
      <c r="M63" s="310">
        <v>2</v>
      </c>
      <c r="N63" s="256">
        <f>P63*2</f>
        <v>274000000</v>
      </c>
      <c r="O63" s="310">
        <v>1</v>
      </c>
      <c r="P63" s="256">
        <v>137000000</v>
      </c>
      <c r="Q63" s="252">
        <v>0</v>
      </c>
      <c r="R63" s="256">
        <v>0</v>
      </c>
      <c r="S63" s="245">
        <v>1</v>
      </c>
      <c r="T63" s="2824">
        <v>509049800</v>
      </c>
      <c r="U63" s="245">
        <v>0</v>
      </c>
      <c r="V63" s="2403">
        <v>483211800</v>
      </c>
      <c r="W63" s="245"/>
      <c r="X63" s="252"/>
      <c r="Y63" s="2417">
        <f t="shared" si="3"/>
        <v>1</v>
      </c>
      <c r="Z63" s="2493">
        <f t="shared" si="10"/>
        <v>992261600</v>
      </c>
      <c r="AA63" s="310">
        <f t="shared" si="14"/>
        <v>3</v>
      </c>
      <c r="AB63" s="2493">
        <f t="shared" si="14"/>
        <v>1266261600</v>
      </c>
      <c r="AC63" s="253">
        <f t="shared" si="15"/>
        <v>50</v>
      </c>
      <c r="AD63" s="253">
        <f t="shared" si="15"/>
        <v>149.07718389451375</v>
      </c>
      <c r="AE63" s="245"/>
      <c r="AF63" s="2266"/>
      <c r="AG63" s="2266"/>
      <c r="AH63" s="2266"/>
      <c r="AI63" s="2266"/>
      <c r="AJ63" s="2266"/>
      <c r="AK63" s="2266"/>
      <c r="AL63" s="2266"/>
      <c r="AM63" s="2266"/>
      <c r="AN63" s="2266"/>
      <c r="AO63" s="2266"/>
      <c r="AP63" s="2266"/>
      <c r="AQ63" s="2266"/>
      <c r="AR63" s="2266"/>
      <c r="AS63" s="2266"/>
      <c r="AT63" s="2266"/>
      <c r="AU63" s="2266"/>
      <c r="AV63" s="2266"/>
      <c r="AW63" s="2266"/>
      <c r="AX63" s="2266"/>
      <c r="AY63" s="2266"/>
      <c r="AZ63" s="2266"/>
      <c r="BA63" s="2266"/>
      <c r="BB63" s="2266"/>
      <c r="BC63" s="2266"/>
      <c r="BD63" s="2266"/>
      <c r="BE63" s="2266"/>
      <c r="BF63" s="2266"/>
      <c r="BG63" s="2266"/>
      <c r="BH63" s="2266"/>
      <c r="BI63" s="2266"/>
      <c r="BJ63" s="2266"/>
      <c r="BK63" s="2266"/>
      <c r="BL63" s="2266"/>
      <c r="BM63" s="2266"/>
      <c r="BN63" s="2266"/>
      <c r="BO63" s="2266"/>
      <c r="BP63" s="2266"/>
      <c r="BQ63" s="2266"/>
      <c r="BR63" s="2266"/>
      <c r="BS63" s="2266"/>
      <c r="BT63" s="2266"/>
      <c r="BU63" s="2266"/>
      <c r="BV63" s="2266"/>
      <c r="BW63" s="2266"/>
      <c r="BX63" s="2266"/>
    </row>
    <row r="64" spans="1:76" s="244" customFormat="1" ht="39" customHeight="1">
      <c r="A64" s="245"/>
      <c r="B64" s="233"/>
      <c r="C64" s="238">
        <v>1</v>
      </c>
      <c r="D64" s="238" t="s">
        <v>66</v>
      </c>
      <c r="E64" s="238" t="s">
        <v>66</v>
      </c>
      <c r="F64" s="238" t="s">
        <v>66</v>
      </c>
      <c r="G64" s="238">
        <v>16</v>
      </c>
      <c r="H64" s="238" t="s">
        <v>336</v>
      </c>
      <c r="I64" s="233" t="s">
        <v>337</v>
      </c>
      <c r="J64" s="233" t="s">
        <v>337</v>
      </c>
      <c r="K64" s="252">
        <f t="shared" ref="K64:L66" si="16">6*O64</f>
        <v>18</v>
      </c>
      <c r="L64" s="256">
        <f t="shared" si="16"/>
        <v>3240000000</v>
      </c>
      <c r="M64" s="252">
        <v>2</v>
      </c>
      <c r="N64" s="256">
        <v>300000000</v>
      </c>
      <c r="O64" s="252">
        <v>3</v>
      </c>
      <c r="P64" s="256">
        <f>540000000</f>
        <v>540000000</v>
      </c>
      <c r="Q64" s="252">
        <v>1</v>
      </c>
      <c r="R64" s="256">
        <f>12600000</f>
        <v>12600000</v>
      </c>
      <c r="S64" s="245"/>
      <c r="T64" s="240"/>
      <c r="U64" s="245">
        <v>3</v>
      </c>
      <c r="V64" s="2403">
        <v>517937500</v>
      </c>
      <c r="W64" s="245"/>
      <c r="X64" s="252"/>
      <c r="Y64" s="2417">
        <f t="shared" si="3"/>
        <v>4</v>
      </c>
      <c r="Z64" s="2493">
        <f t="shared" si="10"/>
        <v>530537500</v>
      </c>
      <c r="AA64" s="310">
        <f t="shared" si="14"/>
        <v>6</v>
      </c>
      <c r="AB64" s="2493">
        <f t="shared" si="14"/>
        <v>830537500</v>
      </c>
      <c r="AC64" s="253">
        <f t="shared" si="15"/>
        <v>33.333333333333329</v>
      </c>
      <c r="AD64" s="253">
        <f t="shared" si="15"/>
        <v>25.633873456790123</v>
      </c>
      <c r="AE64" s="245"/>
      <c r="AF64" s="2266"/>
      <c r="AG64" s="2266"/>
      <c r="AH64" s="2266"/>
      <c r="AI64" s="2266"/>
      <c r="AJ64" s="2266"/>
      <c r="AK64" s="2266"/>
      <c r="AL64" s="2266"/>
      <c r="AM64" s="2266"/>
      <c r="AN64" s="2266"/>
      <c r="AO64" s="2266"/>
      <c r="AP64" s="2266"/>
      <c r="AQ64" s="2266"/>
      <c r="AR64" s="2266"/>
      <c r="AS64" s="2266"/>
      <c r="AT64" s="2266"/>
      <c r="AU64" s="2266"/>
      <c r="AV64" s="2266"/>
      <c r="AW64" s="2266"/>
      <c r="AX64" s="2266"/>
      <c r="AY64" s="2266"/>
      <c r="AZ64" s="2266"/>
      <c r="BA64" s="2266"/>
      <c r="BB64" s="2266"/>
      <c r="BC64" s="2266"/>
      <c r="BD64" s="2266"/>
      <c r="BE64" s="2266"/>
      <c r="BF64" s="2266"/>
      <c r="BG64" s="2266"/>
      <c r="BH64" s="2266"/>
      <c r="BI64" s="2266"/>
      <c r="BJ64" s="2266"/>
      <c r="BK64" s="2266"/>
      <c r="BL64" s="2266"/>
      <c r="BM64" s="2266"/>
      <c r="BN64" s="2266"/>
      <c r="BO64" s="2266"/>
      <c r="BP64" s="2266"/>
      <c r="BQ64" s="2266"/>
      <c r="BR64" s="2266"/>
      <c r="BS64" s="2266"/>
      <c r="BT64" s="2266"/>
      <c r="BU64" s="2266"/>
      <c r="BV64" s="2266"/>
      <c r="BW64" s="2266"/>
      <c r="BX64" s="2266"/>
    </row>
    <row r="65" spans="1:76" s="244" customFormat="1" ht="39" customHeight="1">
      <c r="A65" s="3139"/>
      <c r="B65" s="233"/>
      <c r="C65" s="238">
        <v>1</v>
      </c>
      <c r="D65" s="238" t="s">
        <v>66</v>
      </c>
      <c r="E65" s="238" t="s">
        <v>66</v>
      </c>
      <c r="F65" s="238" t="s">
        <v>66</v>
      </c>
      <c r="G65" s="238" t="s">
        <v>166</v>
      </c>
      <c r="H65" s="238" t="s">
        <v>338</v>
      </c>
      <c r="I65" s="233" t="s">
        <v>339</v>
      </c>
      <c r="J65" s="233" t="s">
        <v>339</v>
      </c>
      <c r="K65" s="252">
        <f t="shared" si="16"/>
        <v>138</v>
      </c>
      <c r="L65" s="256">
        <f t="shared" si="16"/>
        <v>4500000000</v>
      </c>
      <c r="M65" s="252">
        <v>20</v>
      </c>
      <c r="N65" s="256">
        <v>1726299000</v>
      </c>
      <c r="O65" s="252">
        <v>23</v>
      </c>
      <c r="P65" s="256">
        <v>750000000</v>
      </c>
      <c r="Q65" s="252">
        <v>0</v>
      </c>
      <c r="R65" s="256">
        <v>0</v>
      </c>
      <c r="S65" s="245"/>
      <c r="T65" s="240"/>
      <c r="U65" s="245">
        <v>23</v>
      </c>
      <c r="V65" s="2403">
        <v>748475264</v>
      </c>
      <c r="W65" s="245"/>
      <c r="X65" s="252"/>
      <c r="Y65" s="2417">
        <f t="shared" si="3"/>
        <v>23</v>
      </c>
      <c r="Z65" s="2493">
        <f t="shared" si="10"/>
        <v>748475264</v>
      </c>
      <c r="AA65" s="310">
        <f t="shared" si="14"/>
        <v>43</v>
      </c>
      <c r="AB65" s="2493">
        <f t="shared" si="14"/>
        <v>2474774264</v>
      </c>
      <c r="AC65" s="253">
        <f t="shared" si="15"/>
        <v>31.159420289855071</v>
      </c>
      <c r="AD65" s="253">
        <f t="shared" si="15"/>
        <v>54.994983644444439</v>
      </c>
      <c r="AE65" s="245"/>
      <c r="AF65" s="2266"/>
      <c r="AG65" s="2266"/>
      <c r="AH65" s="2266"/>
      <c r="AI65" s="2266"/>
      <c r="AJ65" s="2266"/>
      <c r="AK65" s="2266"/>
      <c r="AL65" s="2266"/>
      <c r="AM65" s="2266"/>
      <c r="AN65" s="2266"/>
      <c r="AO65" s="2266"/>
      <c r="AP65" s="2266"/>
      <c r="AQ65" s="2266"/>
      <c r="AR65" s="2266"/>
      <c r="AS65" s="2266"/>
      <c r="AT65" s="2266"/>
      <c r="AU65" s="2266"/>
      <c r="AV65" s="2266"/>
      <c r="AW65" s="2266"/>
      <c r="AX65" s="2266"/>
      <c r="AY65" s="2266"/>
      <c r="AZ65" s="2266"/>
      <c r="BA65" s="2266"/>
      <c r="BB65" s="2266"/>
      <c r="BC65" s="2266"/>
      <c r="BD65" s="2266"/>
      <c r="BE65" s="2266"/>
      <c r="BF65" s="2266"/>
      <c r="BG65" s="2266"/>
      <c r="BH65" s="2266"/>
      <c r="BI65" s="2266"/>
      <c r="BJ65" s="2266"/>
      <c r="BK65" s="2266"/>
      <c r="BL65" s="2266"/>
      <c r="BM65" s="2266"/>
      <c r="BN65" s="2266"/>
      <c r="BO65" s="2266"/>
      <c r="BP65" s="2266"/>
      <c r="BQ65" s="2266"/>
      <c r="BR65" s="2266"/>
      <c r="BS65" s="2266"/>
      <c r="BT65" s="2266"/>
      <c r="BU65" s="2266"/>
      <c r="BV65" s="2266"/>
      <c r="BW65" s="2266"/>
      <c r="BX65" s="2266"/>
    </row>
    <row r="66" spans="1:76" s="244" customFormat="1" ht="39" customHeight="1">
      <c r="A66" s="3139"/>
      <c r="B66" s="233"/>
      <c r="C66" s="238">
        <v>1</v>
      </c>
      <c r="D66" s="238" t="s">
        <v>66</v>
      </c>
      <c r="E66" s="238" t="s">
        <v>66</v>
      </c>
      <c r="F66" s="238" t="s">
        <v>66</v>
      </c>
      <c r="G66" s="238">
        <v>16</v>
      </c>
      <c r="H66" s="238" t="s">
        <v>340</v>
      </c>
      <c r="I66" s="233" t="s">
        <v>341</v>
      </c>
      <c r="J66" s="233" t="s">
        <v>342</v>
      </c>
      <c r="K66" s="252">
        <f t="shared" si="16"/>
        <v>48</v>
      </c>
      <c r="L66" s="256">
        <f t="shared" si="16"/>
        <v>5646012000</v>
      </c>
      <c r="M66" s="252">
        <v>5</v>
      </c>
      <c r="N66" s="256">
        <f>(150000+150000+125000+175000+200000)*1000</f>
        <v>800000000</v>
      </c>
      <c r="O66" s="252">
        <v>8</v>
      </c>
      <c r="P66" s="256">
        <f>941002000</f>
        <v>941002000</v>
      </c>
      <c r="Q66" s="252">
        <v>1</v>
      </c>
      <c r="R66" s="256">
        <f>25350</f>
        <v>25350</v>
      </c>
      <c r="S66" s="245"/>
      <c r="T66" s="240"/>
      <c r="U66" s="245">
        <v>12</v>
      </c>
      <c r="V66" s="2403">
        <v>932899400</v>
      </c>
      <c r="W66" s="245"/>
      <c r="X66" s="252"/>
      <c r="Y66" s="2417">
        <f t="shared" si="3"/>
        <v>13</v>
      </c>
      <c r="Z66" s="2493">
        <f t="shared" si="10"/>
        <v>932924750</v>
      </c>
      <c r="AA66" s="310">
        <f t="shared" si="14"/>
        <v>18</v>
      </c>
      <c r="AB66" s="2493">
        <f t="shared" si="14"/>
        <v>1732924750</v>
      </c>
      <c r="AC66" s="253">
        <f t="shared" si="15"/>
        <v>37.5</v>
      </c>
      <c r="AD66" s="253">
        <f t="shared" si="15"/>
        <v>30.692898810700363</v>
      </c>
      <c r="AE66" s="245"/>
      <c r="AF66" s="2266"/>
      <c r="AG66" s="2266"/>
      <c r="AH66" s="2266"/>
      <c r="AI66" s="2266"/>
      <c r="AJ66" s="2266"/>
      <c r="AK66" s="2266"/>
      <c r="AL66" s="2266"/>
      <c r="AM66" s="2266"/>
      <c r="AN66" s="2266"/>
      <c r="AO66" s="2266"/>
      <c r="AP66" s="2266"/>
      <c r="AQ66" s="2266"/>
      <c r="AR66" s="2266"/>
      <c r="AS66" s="2266"/>
      <c r="AT66" s="2266"/>
      <c r="AU66" s="2266"/>
      <c r="AV66" s="2266"/>
      <c r="AW66" s="2266"/>
      <c r="AX66" s="2266"/>
      <c r="AY66" s="2266"/>
      <c r="AZ66" s="2266"/>
      <c r="BA66" s="2266"/>
      <c r="BB66" s="2266"/>
      <c r="BC66" s="2266"/>
      <c r="BD66" s="2266"/>
      <c r="BE66" s="2266"/>
      <c r="BF66" s="2266"/>
      <c r="BG66" s="2266"/>
      <c r="BH66" s="2266"/>
      <c r="BI66" s="2266"/>
      <c r="BJ66" s="2266"/>
      <c r="BK66" s="2266"/>
      <c r="BL66" s="2266"/>
      <c r="BM66" s="2266"/>
      <c r="BN66" s="2266"/>
      <c r="BO66" s="2266"/>
      <c r="BP66" s="2266"/>
      <c r="BQ66" s="2266"/>
      <c r="BR66" s="2266"/>
      <c r="BS66" s="2266"/>
      <c r="BT66" s="2266"/>
      <c r="BU66" s="2266"/>
      <c r="BV66" s="2266"/>
      <c r="BW66" s="2266"/>
      <c r="BX66" s="2266"/>
    </row>
    <row r="67" spans="1:76" s="353" customFormat="1" ht="39.75" customHeight="1">
      <c r="A67" s="2575">
        <v>5</v>
      </c>
      <c r="B67" s="2501"/>
      <c r="C67" s="2576" t="s">
        <v>66</v>
      </c>
      <c r="D67" s="2576" t="s">
        <v>146</v>
      </c>
      <c r="E67" s="2576" t="s">
        <v>66</v>
      </c>
      <c r="F67" s="2576" t="s">
        <v>196</v>
      </c>
      <c r="G67" s="2576" t="s">
        <v>155</v>
      </c>
      <c r="H67" s="2880"/>
      <c r="I67" s="2501" t="s">
        <v>343</v>
      </c>
      <c r="J67" s="2501" t="s">
        <v>344</v>
      </c>
      <c r="K67" s="2636">
        <v>4437</v>
      </c>
      <c r="L67" s="2636">
        <f>SUM(L68:L71)</f>
        <v>2905899000</v>
      </c>
      <c r="M67" s="2636">
        <v>1235</v>
      </c>
      <c r="N67" s="2636">
        <f>SUM(N68:N71)</f>
        <v>588634000</v>
      </c>
      <c r="O67" s="2636">
        <v>915</v>
      </c>
      <c r="P67" s="2636">
        <f>SUM(P68:P71)</f>
        <v>522875000</v>
      </c>
      <c r="Q67" s="2636">
        <v>480</v>
      </c>
      <c r="R67" s="2636">
        <f>SUM(R68:R71)</f>
        <v>74360000</v>
      </c>
      <c r="S67" s="3135">
        <v>774</v>
      </c>
      <c r="T67" s="2667">
        <f>SUM(T68:T71)</f>
        <v>244760500</v>
      </c>
      <c r="U67" s="3135"/>
      <c r="V67" s="2667">
        <f>SUM(V68:V71)</f>
        <v>75965500</v>
      </c>
      <c r="W67" s="3135"/>
      <c r="X67" s="2502"/>
      <c r="Y67" s="2755">
        <f t="shared" si="3"/>
        <v>1254</v>
      </c>
      <c r="Z67" s="2581">
        <f t="shared" ref="Z67:Z83" si="17">R67+T67+V67+X67</f>
        <v>395086000</v>
      </c>
      <c r="AA67" s="2577">
        <f t="shared" ref="AA67:AA73" si="18">M67+Y67</f>
        <v>2489</v>
      </c>
      <c r="AB67" s="2581">
        <f>SUM(AB68:AB71)</f>
        <v>983720000</v>
      </c>
      <c r="AC67" s="2584">
        <f t="shared" ref="AC67:AD71" si="19">(AA67/K67)*100</f>
        <v>56.096461573135002</v>
      </c>
      <c r="AD67" s="2584">
        <f t="shared" si="19"/>
        <v>33.852518618162577</v>
      </c>
      <c r="AE67" s="3135" t="s">
        <v>175</v>
      </c>
    </row>
    <row r="68" spans="1:76" s="244" customFormat="1" ht="92.25" customHeight="1">
      <c r="A68" s="3139"/>
      <c r="B68" s="233"/>
      <c r="C68" s="238" t="s">
        <v>66</v>
      </c>
      <c r="D68" s="238" t="s">
        <v>146</v>
      </c>
      <c r="E68" s="238" t="s">
        <v>66</v>
      </c>
      <c r="F68" s="238" t="s">
        <v>196</v>
      </c>
      <c r="G68" s="238" t="s">
        <v>155</v>
      </c>
      <c r="H68" s="238" t="s">
        <v>345</v>
      </c>
      <c r="I68" s="233" t="s">
        <v>346</v>
      </c>
      <c r="J68" s="233" t="s">
        <v>431</v>
      </c>
      <c r="K68" s="252">
        <f>105*6</f>
        <v>630</v>
      </c>
      <c r="L68" s="256">
        <f>(170824+175000+180000+185000+190000+195000)*1000</f>
        <v>1095824000</v>
      </c>
      <c r="M68" s="252">
        <f>105*2</f>
        <v>210</v>
      </c>
      <c r="N68" s="256">
        <f>(170824+175000)*1000</f>
        <v>345824000</v>
      </c>
      <c r="O68" s="252">
        <f>105+30+15</f>
        <v>150</v>
      </c>
      <c r="P68" s="256">
        <v>180000000</v>
      </c>
      <c r="Q68" s="297">
        <v>105</v>
      </c>
      <c r="R68" s="256">
        <v>45555000</v>
      </c>
      <c r="S68" s="245">
        <v>0</v>
      </c>
      <c r="T68" s="2823">
        <v>45555500</v>
      </c>
      <c r="U68" s="245">
        <v>45</v>
      </c>
      <c r="V68" s="2403">
        <v>60130500</v>
      </c>
      <c r="W68" s="245"/>
      <c r="X68" s="252"/>
      <c r="Y68" s="2328">
        <f t="shared" si="3"/>
        <v>150</v>
      </c>
      <c r="Z68" s="2493">
        <f t="shared" si="17"/>
        <v>151241000</v>
      </c>
      <c r="AA68" s="310">
        <f t="shared" si="18"/>
        <v>360</v>
      </c>
      <c r="AB68" s="2493">
        <f>N68+Z68</f>
        <v>497065000</v>
      </c>
      <c r="AC68" s="298">
        <f t="shared" si="19"/>
        <v>57.142857142857139</v>
      </c>
      <c r="AD68" s="298">
        <f t="shared" si="19"/>
        <v>45.359930061761744</v>
      </c>
      <c r="AE68" s="245"/>
      <c r="AF68" s="2266"/>
      <c r="AG68" s="2266"/>
      <c r="AH68" s="2266"/>
      <c r="AI68" s="2266"/>
      <c r="AJ68" s="2266"/>
      <c r="AK68" s="2266"/>
      <c r="AL68" s="2266"/>
      <c r="AM68" s="2266"/>
      <c r="AN68" s="2266"/>
      <c r="AO68" s="2266"/>
      <c r="AP68" s="2266"/>
      <c r="AQ68" s="2266"/>
      <c r="AR68" s="2266"/>
      <c r="AS68" s="2266"/>
      <c r="AT68" s="2266"/>
      <c r="AU68" s="2266"/>
      <c r="AV68" s="2266"/>
      <c r="AW68" s="2266"/>
      <c r="AX68" s="2266"/>
      <c r="AY68" s="2266"/>
      <c r="AZ68" s="2266"/>
      <c r="BA68" s="2266"/>
      <c r="BB68" s="2266"/>
      <c r="BC68" s="2266"/>
      <c r="BD68" s="2266"/>
      <c r="BE68" s="2266"/>
      <c r="BF68" s="2266"/>
      <c r="BG68" s="2266"/>
      <c r="BH68" s="2266"/>
      <c r="BI68" s="2266"/>
      <c r="BJ68" s="2266"/>
      <c r="BK68" s="2266"/>
      <c r="BL68" s="2266"/>
      <c r="BM68" s="2266"/>
      <c r="BN68" s="2266"/>
      <c r="BO68" s="2266"/>
      <c r="BP68" s="2266"/>
      <c r="BQ68" s="2266"/>
      <c r="BR68" s="2266"/>
      <c r="BS68" s="2266"/>
      <c r="BT68" s="2266"/>
      <c r="BU68" s="2266"/>
      <c r="BV68" s="2266"/>
      <c r="BW68" s="2266"/>
      <c r="BX68" s="2266"/>
    </row>
    <row r="69" spans="1:76" s="244" customFormat="1" ht="54.75" customHeight="1">
      <c r="A69" s="3139"/>
      <c r="B69" s="233" t="s">
        <v>228</v>
      </c>
      <c r="C69" s="238" t="s">
        <v>66</v>
      </c>
      <c r="D69" s="238" t="s">
        <v>146</v>
      </c>
      <c r="E69" s="238" t="s">
        <v>66</v>
      </c>
      <c r="F69" s="238" t="s">
        <v>196</v>
      </c>
      <c r="G69" s="238" t="s">
        <v>155</v>
      </c>
      <c r="H69" s="238" t="s">
        <v>347</v>
      </c>
      <c r="I69" s="233" t="s">
        <v>348</v>
      </c>
      <c r="J69" s="233" t="s">
        <v>430</v>
      </c>
      <c r="K69" s="252">
        <f>275+332+350+350+350</f>
        <v>1657</v>
      </c>
      <c r="L69" s="256">
        <f>(150000+200000+250000+250000+250000)*1000</f>
        <v>1100000000</v>
      </c>
      <c r="M69" s="252">
        <f>275+332</f>
        <v>607</v>
      </c>
      <c r="N69" s="256">
        <f>(64810+98000)*1000</f>
        <v>162810000</v>
      </c>
      <c r="O69" s="252">
        <v>332</v>
      </c>
      <c r="P69" s="256">
        <v>200000000</v>
      </c>
      <c r="Q69" s="252">
        <v>0</v>
      </c>
      <c r="R69" s="256">
        <v>0</v>
      </c>
      <c r="S69" s="245">
        <v>294</v>
      </c>
      <c r="T69" s="2823">
        <v>199205000</v>
      </c>
      <c r="U69" s="245">
        <v>324</v>
      </c>
      <c r="V69" s="2403">
        <v>0</v>
      </c>
      <c r="W69" s="245"/>
      <c r="X69" s="252"/>
      <c r="Y69" s="2328">
        <f t="shared" si="3"/>
        <v>618</v>
      </c>
      <c r="Z69" s="2493">
        <f t="shared" si="17"/>
        <v>199205000</v>
      </c>
      <c r="AA69" s="310">
        <f t="shared" si="18"/>
        <v>1225</v>
      </c>
      <c r="AB69" s="2493">
        <f>N69+Z69</f>
        <v>362015000</v>
      </c>
      <c r="AC69" s="298">
        <f t="shared" si="19"/>
        <v>73.928786964393481</v>
      </c>
      <c r="AD69" s="298">
        <f t="shared" si="19"/>
        <v>32.910454545454542</v>
      </c>
      <c r="AE69" s="245"/>
      <c r="AF69" s="2266"/>
      <c r="AG69" s="2266"/>
      <c r="AH69" s="2266"/>
      <c r="AI69" s="2266"/>
      <c r="AJ69" s="2266"/>
      <c r="AK69" s="2266"/>
      <c r="AL69" s="2266"/>
      <c r="AM69" s="2266"/>
      <c r="AN69" s="2266"/>
      <c r="AO69" s="2266"/>
      <c r="AP69" s="2266"/>
      <c r="AQ69" s="2266"/>
      <c r="AR69" s="2266"/>
      <c r="AS69" s="2266"/>
      <c r="AT69" s="2266"/>
      <c r="AU69" s="2266"/>
      <c r="AV69" s="2266"/>
      <c r="AW69" s="2266"/>
      <c r="AX69" s="2266"/>
      <c r="AY69" s="2266"/>
      <c r="AZ69" s="2266"/>
      <c r="BA69" s="2266"/>
      <c r="BB69" s="2266"/>
      <c r="BC69" s="2266"/>
      <c r="BD69" s="2266"/>
      <c r="BE69" s="2266"/>
      <c r="BF69" s="2266"/>
      <c r="BG69" s="2266"/>
      <c r="BH69" s="2266"/>
      <c r="BI69" s="2266"/>
      <c r="BJ69" s="2266"/>
      <c r="BK69" s="2266"/>
      <c r="BL69" s="2266"/>
      <c r="BM69" s="2266"/>
      <c r="BN69" s="2266"/>
      <c r="BO69" s="2266"/>
      <c r="BP69" s="2266"/>
      <c r="BQ69" s="2266"/>
      <c r="BR69" s="2266"/>
      <c r="BS69" s="2266"/>
      <c r="BT69" s="2266"/>
      <c r="BU69" s="2266"/>
      <c r="BV69" s="2266"/>
      <c r="BW69" s="2266"/>
      <c r="BX69" s="2266"/>
    </row>
    <row r="70" spans="1:76" s="244" customFormat="1" ht="37.5" customHeight="1">
      <c r="A70" s="3139"/>
      <c r="B70" s="233"/>
      <c r="C70" s="238" t="s">
        <v>66</v>
      </c>
      <c r="D70" s="238" t="s">
        <v>146</v>
      </c>
      <c r="E70" s="238" t="s">
        <v>66</v>
      </c>
      <c r="F70" s="238" t="s">
        <v>196</v>
      </c>
      <c r="G70" s="238" t="s">
        <v>155</v>
      </c>
      <c r="H70" s="238" t="s">
        <v>349</v>
      </c>
      <c r="I70" s="233" t="s">
        <v>350</v>
      </c>
      <c r="J70" s="233" t="s">
        <v>432</v>
      </c>
      <c r="K70" s="252">
        <f>15*4</f>
        <v>60</v>
      </c>
      <c r="L70" s="256">
        <f>82400000*4</f>
        <v>329600000</v>
      </c>
      <c r="M70" s="252">
        <v>0</v>
      </c>
      <c r="N70" s="256">
        <v>0</v>
      </c>
      <c r="O70" s="252">
        <v>15</v>
      </c>
      <c r="P70" s="256">
        <f>82400000</f>
        <v>82400000</v>
      </c>
      <c r="Q70" s="252">
        <v>0</v>
      </c>
      <c r="R70" s="256">
        <v>0</v>
      </c>
      <c r="S70" s="245">
        <v>0</v>
      </c>
      <c r="T70" s="2823">
        <v>0</v>
      </c>
      <c r="U70" s="245">
        <v>0</v>
      </c>
      <c r="V70" s="2403">
        <v>0</v>
      </c>
      <c r="W70" s="245"/>
      <c r="X70" s="252"/>
      <c r="Y70" s="2328">
        <f t="shared" si="3"/>
        <v>0</v>
      </c>
      <c r="Z70" s="2493">
        <f t="shared" si="17"/>
        <v>0</v>
      </c>
      <c r="AA70" s="310">
        <f t="shared" si="18"/>
        <v>0</v>
      </c>
      <c r="AB70" s="2493">
        <f>N70+Z70</f>
        <v>0</v>
      </c>
      <c r="AC70" s="298">
        <f t="shared" si="19"/>
        <v>0</v>
      </c>
      <c r="AD70" s="298">
        <f t="shared" si="19"/>
        <v>0</v>
      </c>
      <c r="AE70" s="245"/>
      <c r="AF70" s="2266"/>
      <c r="AG70" s="2266"/>
      <c r="AH70" s="2266"/>
      <c r="AI70" s="2266"/>
      <c r="AJ70" s="2266"/>
      <c r="AK70" s="2266"/>
      <c r="AL70" s="2266"/>
      <c r="AM70" s="2266"/>
      <c r="AN70" s="2266"/>
      <c r="AO70" s="2266"/>
      <c r="AP70" s="2266"/>
      <c r="AQ70" s="2266"/>
      <c r="AR70" s="2266"/>
      <c r="AS70" s="2266"/>
      <c r="AT70" s="2266"/>
      <c r="AU70" s="2266"/>
      <c r="AV70" s="2266"/>
      <c r="AW70" s="2266"/>
      <c r="AX70" s="2266"/>
      <c r="AY70" s="2266"/>
      <c r="AZ70" s="2266"/>
      <c r="BA70" s="2266"/>
      <c r="BB70" s="2266"/>
      <c r="BC70" s="2266"/>
      <c r="BD70" s="2266"/>
      <c r="BE70" s="2266"/>
      <c r="BF70" s="2266"/>
      <c r="BG70" s="2266"/>
      <c r="BH70" s="2266"/>
      <c r="BI70" s="2266"/>
      <c r="BJ70" s="2266"/>
      <c r="BK70" s="2266"/>
      <c r="BL70" s="2266"/>
      <c r="BM70" s="2266"/>
      <c r="BN70" s="2266"/>
      <c r="BO70" s="2266"/>
      <c r="BP70" s="2266"/>
      <c r="BQ70" s="2266"/>
      <c r="BR70" s="2266"/>
      <c r="BS70" s="2266"/>
      <c r="BT70" s="2266"/>
      <c r="BU70" s="2266"/>
      <c r="BV70" s="2266"/>
      <c r="BW70" s="2266"/>
      <c r="BX70" s="2266"/>
    </row>
    <row r="71" spans="1:76" s="244" customFormat="1" ht="39.75" customHeight="1">
      <c r="A71" s="3139"/>
      <c r="B71" s="233"/>
      <c r="C71" s="238" t="s">
        <v>66</v>
      </c>
      <c r="D71" s="238" t="s">
        <v>146</v>
      </c>
      <c r="E71" s="238" t="s">
        <v>66</v>
      </c>
      <c r="F71" s="238" t="s">
        <v>196</v>
      </c>
      <c r="G71" s="238" t="s">
        <v>155</v>
      </c>
      <c r="H71" s="238" t="s">
        <v>351</v>
      </c>
      <c r="I71" s="233" t="s">
        <v>352</v>
      </c>
      <c r="J71" s="233" t="s">
        <v>433</v>
      </c>
      <c r="K71" s="252">
        <f>418*5</f>
        <v>2090</v>
      </c>
      <c r="L71" s="256">
        <f>(80000+60475+70000+80000+90000)*1000</f>
        <v>380475000</v>
      </c>
      <c r="M71" s="252">
        <v>418</v>
      </c>
      <c r="N71" s="256">
        <f>80000000</f>
        <v>80000000</v>
      </c>
      <c r="O71" s="252">
        <v>418</v>
      </c>
      <c r="P71" s="256">
        <v>60475000</v>
      </c>
      <c r="Q71" s="252">
        <v>375</v>
      </c>
      <c r="R71" s="256">
        <v>28805000</v>
      </c>
      <c r="S71" s="245">
        <v>0</v>
      </c>
      <c r="T71" s="2823">
        <v>0</v>
      </c>
      <c r="U71" s="245">
        <v>418</v>
      </c>
      <c r="V71" s="2403">
        <v>15835000</v>
      </c>
      <c r="W71" s="245"/>
      <c r="X71" s="252"/>
      <c r="Y71" s="2328">
        <f t="shared" si="3"/>
        <v>793</v>
      </c>
      <c r="Z71" s="2493">
        <f t="shared" si="17"/>
        <v>44640000</v>
      </c>
      <c r="AA71" s="310">
        <f t="shared" si="18"/>
        <v>1211</v>
      </c>
      <c r="AB71" s="2493">
        <f>N71+Z71</f>
        <v>124640000</v>
      </c>
      <c r="AC71" s="298">
        <f t="shared" si="19"/>
        <v>57.942583732057415</v>
      </c>
      <c r="AD71" s="298">
        <f t="shared" si="19"/>
        <v>32.75905118601748</v>
      </c>
      <c r="AE71" s="245"/>
      <c r="AF71" s="2266"/>
      <c r="AG71" s="2266"/>
      <c r="AH71" s="2266"/>
      <c r="AI71" s="2266"/>
      <c r="AJ71" s="2266"/>
      <c r="AK71" s="2266"/>
      <c r="AL71" s="2266"/>
      <c r="AM71" s="2266"/>
      <c r="AN71" s="2266"/>
      <c r="AO71" s="2266"/>
      <c r="AP71" s="2266"/>
      <c r="AQ71" s="2266"/>
      <c r="AR71" s="2266"/>
      <c r="AS71" s="2266"/>
      <c r="AT71" s="2266"/>
      <c r="AU71" s="2266"/>
      <c r="AV71" s="2266"/>
      <c r="AW71" s="2266"/>
      <c r="AX71" s="2266"/>
      <c r="AY71" s="2266"/>
      <c r="AZ71" s="2266"/>
      <c r="BA71" s="2266"/>
      <c r="BB71" s="2266"/>
      <c r="BC71" s="2266"/>
      <c r="BD71" s="2266"/>
      <c r="BE71" s="2266"/>
      <c r="BF71" s="2266"/>
      <c r="BG71" s="2266"/>
      <c r="BH71" s="2266"/>
      <c r="BI71" s="2266"/>
      <c r="BJ71" s="2266"/>
      <c r="BK71" s="2266"/>
      <c r="BL71" s="2266"/>
      <c r="BM71" s="2266"/>
      <c r="BN71" s="2266"/>
      <c r="BO71" s="2266"/>
      <c r="BP71" s="2266"/>
      <c r="BQ71" s="2266"/>
      <c r="BR71" s="2266"/>
      <c r="BS71" s="2266"/>
      <c r="BT71" s="2266"/>
      <c r="BU71" s="2266"/>
      <c r="BV71" s="2266"/>
      <c r="BW71" s="2266"/>
      <c r="BX71" s="2266"/>
    </row>
    <row r="72" spans="1:76" s="295" customFormat="1" ht="41.25" customHeight="1">
      <c r="A72" s="2575">
        <v>6</v>
      </c>
      <c r="B72" s="2501"/>
      <c r="C72" s="2880">
        <v>1</v>
      </c>
      <c r="D72" s="2576" t="s">
        <v>66</v>
      </c>
      <c r="E72" s="2576" t="s">
        <v>66</v>
      </c>
      <c r="F72" s="2576" t="s">
        <v>66</v>
      </c>
      <c r="G72" s="2576" t="s">
        <v>167</v>
      </c>
      <c r="H72" s="2576"/>
      <c r="I72" s="2501" t="s">
        <v>353</v>
      </c>
      <c r="J72" s="2501" t="s">
        <v>354</v>
      </c>
      <c r="K72" s="2637">
        <f>99.1-98.12</f>
        <v>0.97999999999998977</v>
      </c>
      <c r="L72" s="2636">
        <f>SUM(L73:L80)</f>
        <v>20755617000</v>
      </c>
      <c r="M72" s="2637">
        <f>98.3-98.15</f>
        <v>0.14999999999999147</v>
      </c>
      <c r="N72" s="2636">
        <f>SUM(N73:N80)</f>
        <v>9101282000</v>
      </c>
      <c r="O72" s="2637">
        <f>98.5-98.12</f>
        <v>0.37999999999999545</v>
      </c>
      <c r="P72" s="2636">
        <f>SUM(P73:P80)</f>
        <v>1369800000</v>
      </c>
      <c r="Q72" s="2637">
        <f>O72/4</f>
        <v>9.4999999999998863E-2</v>
      </c>
      <c r="R72" s="2636">
        <f>SUM(R73:R80)</f>
        <v>215870000</v>
      </c>
      <c r="S72" s="3135">
        <v>0.09</v>
      </c>
      <c r="T72" s="2667">
        <f>SUM(T73:T80)</f>
        <v>141907500</v>
      </c>
      <c r="U72" s="3135">
        <v>0.09</v>
      </c>
      <c r="V72" s="2667">
        <f>SUM(V73:V80)</f>
        <v>711362100</v>
      </c>
      <c r="W72" s="3135"/>
      <c r="X72" s="2502"/>
      <c r="Y72" s="2584">
        <f t="shared" si="3"/>
        <v>0.27499999999999886</v>
      </c>
      <c r="Z72" s="2581">
        <f t="shared" si="17"/>
        <v>1069139600</v>
      </c>
      <c r="AA72" s="2577">
        <f t="shared" si="18"/>
        <v>0.42499999999999033</v>
      </c>
      <c r="AB72" s="2581">
        <f>SUM(AB73:AB80)</f>
        <v>10170421600</v>
      </c>
      <c r="AC72" s="2584">
        <v>85</v>
      </c>
      <c r="AD72" s="2584">
        <f t="shared" ref="AD72:AD80" si="20">(AB72/L72)*100</f>
        <v>49.000815538270921</v>
      </c>
      <c r="AE72" s="3135" t="s">
        <v>175</v>
      </c>
      <c r="AF72" s="353"/>
      <c r="AG72" s="353"/>
      <c r="AH72" s="353"/>
      <c r="AI72" s="353"/>
      <c r="AJ72" s="353"/>
      <c r="AK72" s="353"/>
      <c r="AL72" s="353"/>
      <c r="AM72" s="353"/>
      <c r="AN72" s="353"/>
      <c r="AO72" s="353"/>
      <c r="AP72" s="353"/>
      <c r="AQ72" s="353"/>
      <c r="AR72" s="353"/>
      <c r="AS72" s="353"/>
      <c r="AT72" s="353"/>
      <c r="AU72" s="353"/>
      <c r="AV72" s="353"/>
      <c r="AW72" s="353"/>
      <c r="AX72" s="353"/>
      <c r="AY72" s="353"/>
      <c r="AZ72" s="353"/>
      <c r="BA72" s="353"/>
      <c r="BB72" s="353"/>
      <c r="BC72" s="353"/>
      <c r="BD72" s="353"/>
      <c r="BE72" s="353"/>
      <c r="BF72" s="353"/>
      <c r="BG72" s="353"/>
      <c r="BH72" s="353"/>
      <c r="BI72" s="353"/>
      <c r="BJ72" s="353"/>
      <c r="BK72" s="353"/>
      <c r="BL72" s="353"/>
      <c r="BM72" s="353"/>
      <c r="BN72" s="353"/>
      <c r="BO72" s="353"/>
      <c r="BP72" s="353"/>
      <c r="BQ72" s="353"/>
      <c r="BR72" s="353"/>
      <c r="BS72" s="353"/>
      <c r="BT72" s="353"/>
      <c r="BU72" s="353"/>
      <c r="BV72" s="353"/>
      <c r="BW72" s="353"/>
      <c r="BX72" s="353"/>
    </row>
    <row r="73" spans="1:76" s="244" customFormat="1" ht="58.5" customHeight="1">
      <c r="A73" s="3139"/>
      <c r="B73" s="233"/>
      <c r="C73" s="3797">
        <v>1</v>
      </c>
      <c r="D73" s="238" t="s">
        <v>66</v>
      </c>
      <c r="E73" s="238" t="s">
        <v>66</v>
      </c>
      <c r="F73" s="238" t="s">
        <v>66</v>
      </c>
      <c r="G73" s="3797" t="s">
        <v>3629</v>
      </c>
      <c r="H73" s="238" t="s">
        <v>66</v>
      </c>
      <c r="I73" s="233" t="s">
        <v>355</v>
      </c>
      <c r="J73" s="233" t="s">
        <v>356</v>
      </c>
      <c r="K73" s="310">
        <f>35*6</f>
        <v>210</v>
      </c>
      <c r="L73" s="237">
        <f>50000000*6</f>
        <v>300000000</v>
      </c>
      <c r="M73" s="310">
        <v>30</v>
      </c>
      <c r="N73" s="2992">
        <f>45000000</f>
        <v>45000000</v>
      </c>
      <c r="O73" s="310">
        <v>40</v>
      </c>
      <c r="P73" s="240">
        <f>66000000</f>
        <v>66000000</v>
      </c>
      <c r="Q73" s="252">
        <v>0</v>
      </c>
      <c r="R73" s="256">
        <v>0</v>
      </c>
      <c r="S73" s="245">
        <v>40</v>
      </c>
      <c r="T73" s="2823">
        <v>40690000</v>
      </c>
      <c r="U73" s="245">
        <v>0</v>
      </c>
      <c r="V73" s="2403">
        <v>40690000</v>
      </c>
      <c r="W73" s="245"/>
      <c r="X73" s="252"/>
      <c r="Y73" s="2328">
        <f t="shared" si="3"/>
        <v>40</v>
      </c>
      <c r="Z73" s="2493">
        <f t="shared" si="17"/>
        <v>81380000</v>
      </c>
      <c r="AA73" s="310">
        <f t="shared" si="18"/>
        <v>70</v>
      </c>
      <c r="AB73" s="2493">
        <f>N73+Z73</f>
        <v>126380000</v>
      </c>
      <c r="AC73" s="298">
        <f t="shared" ref="AC73:AC84" si="21">(AA73/K73)*100</f>
        <v>33.333333333333329</v>
      </c>
      <c r="AD73" s="298">
        <f t="shared" si="20"/>
        <v>42.126666666666665</v>
      </c>
      <c r="AE73" s="245"/>
      <c r="AF73" s="2266"/>
      <c r="AG73" s="2266"/>
      <c r="AH73" s="2266"/>
      <c r="AI73" s="2266"/>
      <c r="AJ73" s="2266"/>
      <c r="AK73" s="2266"/>
      <c r="AL73" s="2266"/>
      <c r="AM73" s="2266"/>
      <c r="AN73" s="2266"/>
      <c r="AO73" s="2266"/>
      <c r="AP73" s="2266"/>
      <c r="AQ73" s="2266"/>
      <c r="AR73" s="2266"/>
      <c r="AS73" s="2266"/>
      <c r="AT73" s="2266"/>
      <c r="AU73" s="2266"/>
      <c r="AV73" s="2266"/>
      <c r="AW73" s="2266"/>
      <c r="AX73" s="2266"/>
      <c r="AY73" s="2266"/>
      <c r="AZ73" s="2266"/>
      <c r="BA73" s="2266"/>
      <c r="BB73" s="2266"/>
      <c r="BC73" s="2266"/>
      <c r="BD73" s="2266"/>
      <c r="BE73" s="2266"/>
      <c r="BF73" s="2266"/>
      <c r="BG73" s="2266"/>
      <c r="BH73" s="2266"/>
      <c r="BI73" s="2266"/>
      <c r="BJ73" s="2266"/>
      <c r="BK73" s="2266"/>
      <c r="BL73" s="2266"/>
      <c r="BM73" s="2266"/>
      <c r="BN73" s="2266"/>
      <c r="BO73" s="2266"/>
      <c r="BP73" s="2266"/>
      <c r="BQ73" s="2266"/>
      <c r="BR73" s="2266"/>
      <c r="BS73" s="2266"/>
      <c r="BT73" s="2266"/>
      <c r="BU73" s="2266"/>
      <c r="BV73" s="2266"/>
      <c r="BW73" s="2266"/>
      <c r="BX73" s="2266"/>
    </row>
    <row r="74" spans="1:76" s="244" customFormat="1" ht="45.75" customHeight="1">
      <c r="A74" s="3139"/>
      <c r="B74" s="233"/>
      <c r="C74" s="3797">
        <v>1</v>
      </c>
      <c r="D74" s="238" t="s">
        <v>66</v>
      </c>
      <c r="E74" s="238" t="s">
        <v>66</v>
      </c>
      <c r="F74" s="238" t="s">
        <v>66</v>
      </c>
      <c r="G74" s="238" t="s">
        <v>167</v>
      </c>
      <c r="H74" s="238" t="s">
        <v>357</v>
      </c>
      <c r="I74" s="235" t="s">
        <v>358</v>
      </c>
      <c r="J74" s="233" t="s">
        <v>359</v>
      </c>
      <c r="K74" s="310">
        <f>56*6</f>
        <v>336</v>
      </c>
      <c r="L74" s="237">
        <f>150000000*6</f>
        <v>900000000</v>
      </c>
      <c r="M74" s="310">
        <v>56</v>
      </c>
      <c r="N74" s="2992">
        <f>150000000</f>
        <v>150000000</v>
      </c>
      <c r="O74" s="310">
        <v>40</v>
      </c>
      <c r="P74" s="240">
        <v>155000000</v>
      </c>
      <c r="Q74" s="310">
        <v>40</v>
      </c>
      <c r="R74" s="237">
        <v>42805000</v>
      </c>
      <c r="S74" s="245">
        <v>0</v>
      </c>
      <c r="T74" s="2823">
        <v>11217500</v>
      </c>
      <c r="U74" s="245">
        <v>40</v>
      </c>
      <c r="V74" s="2403">
        <v>95384100</v>
      </c>
      <c r="W74" s="245"/>
      <c r="X74" s="252"/>
      <c r="Y74" s="2328">
        <f t="shared" si="3"/>
        <v>80</v>
      </c>
      <c r="Z74" s="2493">
        <f t="shared" si="17"/>
        <v>149406600</v>
      </c>
      <c r="AA74" s="310">
        <f t="shared" ref="AA74:AB77" si="22">M74+Y74</f>
        <v>136</v>
      </c>
      <c r="AB74" s="2493">
        <f t="shared" si="22"/>
        <v>299406600</v>
      </c>
      <c r="AC74" s="298">
        <f t="shared" si="21"/>
        <v>40.476190476190474</v>
      </c>
      <c r="AD74" s="298">
        <f t="shared" si="20"/>
        <v>33.267400000000002</v>
      </c>
      <c r="AE74" s="245"/>
      <c r="AF74" s="2266"/>
      <c r="AG74" s="2266"/>
      <c r="AH74" s="2266"/>
      <c r="AI74" s="2266"/>
      <c r="AJ74" s="2266"/>
      <c r="AK74" s="2266"/>
      <c r="AL74" s="2266"/>
      <c r="AM74" s="2266"/>
      <c r="AN74" s="2266"/>
      <c r="AO74" s="2266"/>
      <c r="AP74" s="2266"/>
      <c r="AQ74" s="2266"/>
      <c r="AR74" s="2266"/>
      <c r="AS74" s="2266"/>
      <c r="AT74" s="2266"/>
      <c r="AU74" s="2266"/>
      <c r="AV74" s="2266"/>
      <c r="AW74" s="2266"/>
      <c r="AX74" s="2266"/>
      <c r="AY74" s="2266"/>
      <c r="AZ74" s="2266"/>
      <c r="BA74" s="2266"/>
      <c r="BB74" s="2266"/>
      <c r="BC74" s="2266"/>
      <c r="BD74" s="2266"/>
      <c r="BE74" s="2266"/>
      <c r="BF74" s="2266"/>
      <c r="BG74" s="2266"/>
      <c r="BH74" s="2266"/>
      <c r="BI74" s="2266"/>
      <c r="BJ74" s="2266"/>
      <c r="BK74" s="2266"/>
      <c r="BL74" s="2266"/>
      <c r="BM74" s="2266"/>
      <c r="BN74" s="2266"/>
      <c r="BO74" s="2266"/>
      <c r="BP74" s="2266"/>
      <c r="BQ74" s="2266"/>
      <c r="BR74" s="2266"/>
      <c r="BS74" s="2266"/>
      <c r="BT74" s="2266"/>
      <c r="BU74" s="2266"/>
      <c r="BV74" s="2266"/>
      <c r="BW74" s="2266"/>
      <c r="BX74" s="2266"/>
    </row>
    <row r="75" spans="1:76" s="244" customFormat="1" ht="46.5" customHeight="1">
      <c r="A75" s="3139"/>
      <c r="B75" s="233"/>
      <c r="C75" s="238" t="s">
        <v>66</v>
      </c>
      <c r="D75" s="238" t="s">
        <v>146</v>
      </c>
      <c r="E75" s="238" t="s">
        <v>66</v>
      </c>
      <c r="F75" s="238" t="s">
        <v>196</v>
      </c>
      <c r="G75" s="238" t="s">
        <v>167</v>
      </c>
      <c r="H75" s="238" t="s">
        <v>360</v>
      </c>
      <c r="I75" s="233" t="s">
        <v>361</v>
      </c>
      <c r="J75" s="233" t="s">
        <v>362</v>
      </c>
      <c r="K75" s="310">
        <v>72</v>
      </c>
      <c r="L75" s="237">
        <v>16009360000</v>
      </c>
      <c r="M75" s="2332">
        <v>24</v>
      </c>
      <c r="N75" s="309">
        <v>8004681000</v>
      </c>
      <c r="O75" s="310">
        <v>12</v>
      </c>
      <c r="P75" s="240">
        <v>470000000</v>
      </c>
      <c r="Q75" s="2332">
        <v>3</v>
      </c>
      <c r="R75" s="237">
        <v>60000000</v>
      </c>
      <c r="S75" s="245">
        <v>3</v>
      </c>
      <c r="T75" s="2823">
        <v>90000000</v>
      </c>
      <c r="U75" s="245">
        <v>3</v>
      </c>
      <c r="V75" s="2403">
        <v>243000000</v>
      </c>
      <c r="W75" s="245"/>
      <c r="X75" s="252"/>
      <c r="Y75" s="2328">
        <f t="shared" si="3"/>
        <v>9</v>
      </c>
      <c r="Z75" s="2493">
        <f t="shared" si="17"/>
        <v>393000000</v>
      </c>
      <c r="AA75" s="310">
        <f t="shared" si="22"/>
        <v>33</v>
      </c>
      <c r="AB75" s="2493">
        <f t="shared" si="22"/>
        <v>8397681000</v>
      </c>
      <c r="AC75" s="298">
        <f t="shared" si="21"/>
        <v>45.833333333333329</v>
      </c>
      <c r="AD75" s="298">
        <f t="shared" si="20"/>
        <v>52.454820180194581</v>
      </c>
      <c r="AE75" s="245"/>
      <c r="AF75" s="2266"/>
      <c r="AG75" s="2266"/>
      <c r="AH75" s="2266"/>
      <c r="AI75" s="2266"/>
      <c r="AJ75" s="2266"/>
      <c r="AK75" s="2266"/>
      <c r="AL75" s="2266"/>
      <c r="AM75" s="2266"/>
      <c r="AN75" s="2266"/>
      <c r="AO75" s="2266"/>
      <c r="AP75" s="2266"/>
      <c r="AQ75" s="2266"/>
      <c r="AR75" s="2266"/>
      <c r="AS75" s="2266"/>
      <c r="AT75" s="2266"/>
      <c r="AU75" s="2266"/>
      <c r="AV75" s="2266"/>
      <c r="AW75" s="2266"/>
      <c r="AX75" s="2266"/>
      <c r="AY75" s="2266"/>
      <c r="AZ75" s="2266"/>
      <c r="BA75" s="2266"/>
      <c r="BB75" s="2266"/>
      <c r="BC75" s="2266"/>
      <c r="BD75" s="2266"/>
      <c r="BE75" s="2266"/>
      <c r="BF75" s="2266"/>
      <c r="BG75" s="2266"/>
      <c r="BH75" s="2266"/>
      <c r="BI75" s="2266"/>
      <c r="BJ75" s="2266"/>
      <c r="BK75" s="2266"/>
      <c r="BL75" s="2266"/>
      <c r="BM75" s="2266"/>
      <c r="BN75" s="2266"/>
      <c r="BO75" s="2266"/>
      <c r="BP75" s="2266"/>
      <c r="BQ75" s="2266"/>
      <c r="BR75" s="2266"/>
      <c r="BS75" s="2266"/>
      <c r="BT75" s="2266"/>
      <c r="BU75" s="2266"/>
      <c r="BV75" s="2266"/>
      <c r="BW75" s="2266"/>
      <c r="BX75" s="2266"/>
    </row>
    <row r="76" spans="1:76" s="244" customFormat="1" ht="58.5" customHeight="1">
      <c r="A76" s="3139"/>
      <c r="B76" s="233"/>
      <c r="C76" s="3797">
        <v>1</v>
      </c>
      <c r="D76" s="238" t="s">
        <v>66</v>
      </c>
      <c r="E76" s="238" t="s">
        <v>66</v>
      </c>
      <c r="F76" s="238" t="s">
        <v>66</v>
      </c>
      <c r="G76" s="238" t="s">
        <v>167</v>
      </c>
      <c r="H76" s="238" t="s">
        <v>363</v>
      </c>
      <c r="I76" s="233" t="s">
        <v>364</v>
      </c>
      <c r="J76" s="233" t="s">
        <v>365</v>
      </c>
      <c r="K76" s="252">
        <v>500</v>
      </c>
      <c r="L76" s="256">
        <f>4*P76</f>
        <v>1048000000</v>
      </c>
      <c r="M76" s="252">
        <v>80</v>
      </c>
      <c r="N76" s="256">
        <f>2*P76</f>
        <v>524000000</v>
      </c>
      <c r="O76" s="252">
        <v>200</v>
      </c>
      <c r="P76" s="256">
        <f>262000000</f>
        <v>262000000</v>
      </c>
      <c r="Q76" s="252">
        <v>0</v>
      </c>
      <c r="R76" s="256">
        <v>0</v>
      </c>
      <c r="S76" s="245">
        <v>0</v>
      </c>
      <c r="T76" s="2827">
        <v>0</v>
      </c>
      <c r="U76" s="245">
        <v>200</v>
      </c>
      <c r="V76" s="2403">
        <v>192980500</v>
      </c>
      <c r="W76" s="245"/>
      <c r="X76" s="252"/>
      <c r="Y76" s="2328">
        <f t="shared" si="3"/>
        <v>200</v>
      </c>
      <c r="Z76" s="2493">
        <f t="shared" si="17"/>
        <v>192980500</v>
      </c>
      <c r="AA76" s="310">
        <f t="shared" si="22"/>
        <v>280</v>
      </c>
      <c r="AB76" s="2493">
        <f t="shared" si="22"/>
        <v>716980500</v>
      </c>
      <c r="AC76" s="298">
        <f t="shared" si="21"/>
        <v>56.000000000000007</v>
      </c>
      <c r="AD76" s="298">
        <f t="shared" si="20"/>
        <v>68.414169847328239</v>
      </c>
      <c r="AE76" s="245"/>
      <c r="AF76" s="2266"/>
      <c r="AG76" s="2266"/>
      <c r="AH76" s="2266"/>
      <c r="AI76" s="2266"/>
      <c r="AJ76" s="2266"/>
      <c r="AK76" s="2266"/>
      <c r="AL76" s="2266"/>
      <c r="AM76" s="2266"/>
      <c r="AN76" s="2266"/>
      <c r="AO76" s="2266"/>
      <c r="AP76" s="2266"/>
      <c r="AQ76" s="2266"/>
      <c r="AR76" s="2266"/>
      <c r="AS76" s="2266"/>
      <c r="AT76" s="2266"/>
      <c r="AU76" s="2266"/>
      <c r="AV76" s="2266"/>
      <c r="AW76" s="2266"/>
      <c r="AX76" s="2266"/>
      <c r="AY76" s="2266"/>
      <c r="AZ76" s="2266"/>
      <c r="BA76" s="2266"/>
      <c r="BB76" s="2266"/>
      <c r="BC76" s="2266"/>
      <c r="BD76" s="2266"/>
      <c r="BE76" s="2266"/>
      <c r="BF76" s="2266"/>
      <c r="BG76" s="2266"/>
      <c r="BH76" s="2266"/>
      <c r="BI76" s="2266"/>
      <c r="BJ76" s="2266"/>
      <c r="BK76" s="2266"/>
      <c r="BL76" s="2266"/>
      <c r="BM76" s="2266"/>
      <c r="BN76" s="2266"/>
      <c r="BO76" s="2266"/>
      <c r="BP76" s="2266"/>
      <c r="BQ76" s="2266"/>
      <c r="BR76" s="2266"/>
      <c r="BS76" s="2266"/>
      <c r="BT76" s="2266"/>
      <c r="BU76" s="2266"/>
      <c r="BV76" s="2266"/>
      <c r="BW76" s="2266"/>
      <c r="BX76" s="2266"/>
    </row>
    <row r="77" spans="1:76" s="244" customFormat="1" ht="44.25" customHeight="1">
      <c r="A77" s="3139"/>
      <c r="B77" s="233"/>
      <c r="C77" s="238" t="s">
        <v>66</v>
      </c>
      <c r="D77" s="238" t="s">
        <v>146</v>
      </c>
      <c r="E77" s="238" t="s">
        <v>66</v>
      </c>
      <c r="F77" s="238" t="s">
        <v>196</v>
      </c>
      <c r="G77" s="238" t="s">
        <v>167</v>
      </c>
      <c r="H77" s="238" t="s">
        <v>178</v>
      </c>
      <c r="I77" s="233" t="s">
        <v>366</v>
      </c>
      <c r="J77" s="233" t="s">
        <v>367</v>
      </c>
      <c r="K77" s="252">
        <v>617</v>
      </c>
      <c r="L77" s="256">
        <v>300000000</v>
      </c>
      <c r="M77" s="252">
        <v>166</v>
      </c>
      <c r="N77" s="256">
        <v>54975000</v>
      </c>
      <c r="O77" s="252"/>
      <c r="P77" s="256">
        <v>66400000</v>
      </c>
      <c r="Q77" s="252">
        <v>0</v>
      </c>
      <c r="R77" s="256">
        <v>0</v>
      </c>
      <c r="S77" s="245">
        <v>0</v>
      </c>
      <c r="T77" s="2823">
        <v>0</v>
      </c>
      <c r="U77" s="245">
        <v>150</v>
      </c>
      <c r="V77" s="2403">
        <v>51580000</v>
      </c>
      <c r="W77" s="245"/>
      <c r="X77" s="252"/>
      <c r="Y77" s="2328">
        <f t="shared" si="3"/>
        <v>150</v>
      </c>
      <c r="Z77" s="2493">
        <f t="shared" si="17"/>
        <v>51580000</v>
      </c>
      <c r="AA77" s="310">
        <f t="shared" si="22"/>
        <v>316</v>
      </c>
      <c r="AB77" s="2493">
        <f t="shared" si="22"/>
        <v>106555000</v>
      </c>
      <c r="AC77" s="298">
        <f t="shared" si="21"/>
        <v>51.215559157212319</v>
      </c>
      <c r="AD77" s="298">
        <f t="shared" si="20"/>
        <v>35.518333333333338</v>
      </c>
      <c r="AE77" s="245"/>
      <c r="AF77" s="2266"/>
      <c r="AG77" s="2266"/>
      <c r="AH77" s="2266"/>
      <c r="AI77" s="2266"/>
      <c r="AJ77" s="2266"/>
      <c r="AK77" s="2266"/>
      <c r="AL77" s="2266"/>
      <c r="AM77" s="2266"/>
      <c r="AN77" s="2266"/>
      <c r="AO77" s="2266"/>
      <c r="AP77" s="2266"/>
      <c r="AQ77" s="2266"/>
      <c r="AR77" s="2266"/>
      <c r="AS77" s="2266"/>
      <c r="AT77" s="2266"/>
      <c r="AU77" s="2266"/>
      <c r="AV77" s="2266"/>
      <c r="AW77" s="2266"/>
      <c r="AX77" s="2266"/>
      <c r="AY77" s="2266"/>
      <c r="AZ77" s="2266"/>
      <c r="BA77" s="2266"/>
      <c r="BB77" s="2266"/>
      <c r="BC77" s="2266"/>
      <c r="BD77" s="2266"/>
      <c r="BE77" s="2266"/>
      <c r="BF77" s="2266"/>
      <c r="BG77" s="2266"/>
      <c r="BH77" s="2266"/>
      <c r="BI77" s="2266"/>
      <c r="BJ77" s="2266"/>
      <c r="BK77" s="2266"/>
      <c r="BL77" s="2266"/>
      <c r="BM77" s="2266"/>
      <c r="BN77" s="2266"/>
      <c r="BO77" s="2266"/>
      <c r="BP77" s="2266"/>
      <c r="BQ77" s="2266"/>
      <c r="BR77" s="2266"/>
      <c r="BS77" s="2266"/>
      <c r="BT77" s="2266"/>
      <c r="BU77" s="2266"/>
      <c r="BV77" s="2266"/>
      <c r="BW77" s="2266"/>
      <c r="BX77" s="2266"/>
    </row>
    <row r="78" spans="1:76" s="244" customFormat="1" ht="44.25" customHeight="1">
      <c r="A78" s="3139"/>
      <c r="B78" s="233"/>
      <c r="C78" s="238" t="s">
        <v>66</v>
      </c>
      <c r="D78" s="238" t="s">
        <v>146</v>
      </c>
      <c r="E78" s="238" t="s">
        <v>66</v>
      </c>
      <c r="F78" s="238" t="s">
        <v>196</v>
      </c>
      <c r="G78" s="238" t="s">
        <v>167</v>
      </c>
      <c r="H78" s="238" t="s">
        <v>368</v>
      </c>
      <c r="I78" s="233" t="s">
        <v>369</v>
      </c>
      <c r="J78" s="233" t="s">
        <v>370</v>
      </c>
      <c r="K78" s="252">
        <v>1097</v>
      </c>
      <c r="L78" s="256">
        <v>350000000</v>
      </c>
      <c r="M78" s="252">
        <v>507</v>
      </c>
      <c r="N78" s="256">
        <v>54975000</v>
      </c>
      <c r="O78" s="252"/>
      <c r="P78" s="256">
        <v>80000000</v>
      </c>
      <c r="Q78" s="252">
        <v>0</v>
      </c>
      <c r="R78" s="256">
        <v>0</v>
      </c>
      <c r="S78" s="3139">
        <v>0</v>
      </c>
      <c r="T78" s="2823">
        <v>0</v>
      </c>
      <c r="U78" s="245">
        <v>250</v>
      </c>
      <c r="V78" s="2403">
        <v>72665000</v>
      </c>
      <c r="W78" s="245"/>
      <c r="X78" s="252"/>
      <c r="Y78" s="2328">
        <f t="shared" ref="Y78:Y106" si="23">Q78+S78+U78+W78</f>
        <v>250</v>
      </c>
      <c r="Z78" s="2493">
        <f t="shared" si="17"/>
        <v>72665000</v>
      </c>
      <c r="AA78" s="310">
        <f t="shared" ref="AA78:AB80" si="24">M78+Y78</f>
        <v>757</v>
      </c>
      <c r="AB78" s="2493">
        <f t="shared" si="24"/>
        <v>127640000</v>
      </c>
      <c r="AC78" s="298">
        <f t="shared" si="21"/>
        <v>69.006381039197819</v>
      </c>
      <c r="AD78" s="298">
        <f t="shared" si="20"/>
        <v>36.46857142857143</v>
      </c>
      <c r="AE78" s="245"/>
      <c r="AF78" s="2266"/>
      <c r="AG78" s="2266"/>
      <c r="AH78" s="2266"/>
      <c r="AI78" s="2266"/>
      <c r="AJ78" s="2266"/>
      <c r="AK78" s="2266"/>
      <c r="AL78" s="2266"/>
      <c r="AM78" s="2266"/>
      <c r="AN78" s="2266"/>
      <c r="AO78" s="2266"/>
      <c r="AP78" s="2266"/>
      <c r="AQ78" s="2266"/>
      <c r="AR78" s="2266"/>
      <c r="AS78" s="2266"/>
      <c r="AT78" s="2266"/>
      <c r="AU78" s="2266"/>
      <c r="AV78" s="2266"/>
      <c r="AW78" s="2266"/>
      <c r="AX78" s="2266"/>
      <c r="AY78" s="2266"/>
      <c r="AZ78" s="2266"/>
      <c r="BA78" s="2266"/>
      <c r="BB78" s="2266"/>
      <c r="BC78" s="2266"/>
      <c r="BD78" s="2266"/>
      <c r="BE78" s="2266"/>
      <c r="BF78" s="2266"/>
      <c r="BG78" s="2266"/>
      <c r="BH78" s="2266"/>
      <c r="BI78" s="2266"/>
      <c r="BJ78" s="2266"/>
      <c r="BK78" s="2266"/>
      <c r="BL78" s="2266"/>
      <c r="BM78" s="2266"/>
      <c r="BN78" s="2266"/>
      <c r="BO78" s="2266"/>
      <c r="BP78" s="2266"/>
      <c r="BQ78" s="2266"/>
      <c r="BR78" s="2266"/>
      <c r="BS78" s="2266"/>
      <c r="BT78" s="2266"/>
      <c r="BU78" s="2266"/>
      <c r="BV78" s="2266"/>
      <c r="BW78" s="2266"/>
      <c r="BX78" s="2266"/>
    </row>
    <row r="79" spans="1:76" s="244" customFormat="1" ht="63" customHeight="1">
      <c r="A79" s="3139"/>
      <c r="B79" s="233"/>
      <c r="C79" s="3797">
        <v>1</v>
      </c>
      <c r="D79" s="238" t="s">
        <v>66</v>
      </c>
      <c r="E79" s="238" t="s">
        <v>66</v>
      </c>
      <c r="F79" s="238" t="s">
        <v>66</v>
      </c>
      <c r="G79" s="238" t="s">
        <v>167</v>
      </c>
      <c r="H79" s="238" t="s">
        <v>160</v>
      </c>
      <c r="I79" s="235" t="s">
        <v>371</v>
      </c>
      <c r="J79" s="233" t="s">
        <v>372</v>
      </c>
      <c r="K79" s="310">
        <f>50*6</f>
        <v>300</v>
      </c>
      <c r="L79" s="237">
        <f>85000000*6</f>
        <v>510000000</v>
      </c>
      <c r="M79" s="310">
        <v>0</v>
      </c>
      <c r="N79" s="310">
        <v>0</v>
      </c>
      <c r="O79" s="310">
        <v>50</v>
      </c>
      <c r="P79" s="240">
        <v>140000000</v>
      </c>
      <c r="Q79" s="252">
        <v>0</v>
      </c>
      <c r="R79" s="256">
        <v>0</v>
      </c>
      <c r="S79" s="245">
        <v>0</v>
      </c>
      <c r="T79" s="2827">
        <v>0</v>
      </c>
      <c r="U79" s="245">
        <v>0</v>
      </c>
      <c r="V79" s="2403">
        <v>3000000</v>
      </c>
      <c r="W79" s="245"/>
      <c r="X79" s="252"/>
      <c r="Y79" s="2328">
        <f t="shared" si="23"/>
        <v>0</v>
      </c>
      <c r="Z79" s="2493">
        <f t="shared" si="17"/>
        <v>3000000</v>
      </c>
      <c r="AA79" s="310">
        <f t="shared" si="24"/>
        <v>0</v>
      </c>
      <c r="AB79" s="2493">
        <f t="shared" si="24"/>
        <v>3000000</v>
      </c>
      <c r="AC79" s="298">
        <f t="shared" si="21"/>
        <v>0</v>
      </c>
      <c r="AD79" s="298">
        <f t="shared" si="20"/>
        <v>0.58823529411764708</v>
      </c>
      <c r="AE79" s="245"/>
      <c r="AF79" s="2266"/>
      <c r="AG79" s="2266"/>
      <c r="AH79" s="2266"/>
      <c r="AI79" s="2266"/>
      <c r="AJ79" s="2266"/>
      <c r="AK79" s="2266"/>
      <c r="AL79" s="2266"/>
      <c r="AM79" s="2266"/>
      <c r="AN79" s="2266"/>
      <c r="AO79" s="2266"/>
      <c r="AP79" s="2266"/>
      <c r="AQ79" s="2266"/>
      <c r="AR79" s="2266"/>
      <c r="AS79" s="2266"/>
      <c r="AT79" s="2266"/>
      <c r="AU79" s="2266"/>
      <c r="AV79" s="2266"/>
      <c r="AW79" s="2266"/>
      <c r="AX79" s="2266"/>
      <c r="AY79" s="2266"/>
      <c r="AZ79" s="2266"/>
      <c r="BA79" s="2266"/>
      <c r="BB79" s="2266"/>
      <c r="BC79" s="2266"/>
      <c r="BD79" s="2266"/>
      <c r="BE79" s="2266"/>
      <c r="BF79" s="2266"/>
      <c r="BG79" s="2266"/>
      <c r="BH79" s="2266"/>
      <c r="BI79" s="2266"/>
      <c r="BJ79" s="2266"/>
      <c r="BK79" s="2266"/>
      <c r="BL79" s="2266"/>
      <c r="BM79" s="2266"/>
      <c r="BN79" s="2266"/>
      <c r="BO79" s="2266"/>
      <c r="BP79" s="2266"/>
      <c r="BQ79" s="2266"/>
      <c r="BR79" s="2266"/>
      <c r="BS79" s="2266"/>
      <c r="BT79" s="2266"/>
      <c r="BU79" s="2266"/>
      <c r="BV79" s="2266"/>
      <c r="BW79" s="2266"/>
      <c r="BX79" s="2266"/>
    </row>
    <row r="80" spans="1:76" s="244" customFormat="1" ht="42.75" customHeight="1">
      <c r="A80" s="3139"/>
      <c r="B80" s="233"/>
      <c r="C80" s="238" t="s">
        <v>66</v>
      </c>
      <c r="D80" s="238" t="s">
        <v>146</v>
      </c>
      <c r="E80" s="238" t="s">
        <v>66</v>
      </c>
      <c r="F80" s="238" t="s">
        <v>196</v>
      </c>
      <c r="G80" s="238" t="s">
        <v>167</v>
      </c>
      <c r="H80" s="238" t="s">
        <v>373</v>
      </c>
      <c r="I80" s="233" t="s">
        <v>374</v>
      </c>
      <c r="J80" s="233" t="s">
        <v>375</v>
      </c>
      <c r="K80" s="252">
        <v>648</v>
      </c>
      <c r="L80" s="256">
        <v>1338257000</v>
      </c>
      <c r="M80" s="252">
        <v>108</v>
      </c>
      <c r="N80" s="256">
        <v>267651000</v>
      </c>
      <c r="O80" s="252">
        <v>108</v>
      </c>
      <c r="P80" s="256">
        <v>130400000</v>
      </c>
      <c r="Q80" s="252">
        <v>108</v>
      </c>
      <c r="R80" s="256">
        <v>113065000</v>
      </c>
      <c r="S80" s="245">
        <v>0</v>
      </c>
      <c r="T80" s="2823">
        <v>0</v>
      </c>
      <c r="U80" s="245">
        <v>108</v>
      </c>
      <c r="V80" s="2403">
        <v>12062500</v>
      </c>
      <c r="W80" s="245"/>
      <c r="X80" s="252"/>
      <c r="Y80" s="2328">
        <f t="shared" si="23"/>
        <v>216</v>
      </c>
      <c r="Z80" s="2493">
        <f t="shared" si="17"/>
        <v>125127500</v>
      </c>
      <c r="AA80" s="310">
        <f t="shared" si="24"/>
        <v>324</v>
      </c>
      <c r="AB80" s="2493">
        <f t="shared" si="24"/>
        <v>392778500</v>
      </c>
      <c r="AC80" s="298">
        <f t="shared" si="21"/>
        <v>50</v>
      </c>
      <c r="AD80" s="298">
        <f t="shared" si="20"/>
        <v>29.35000526804642</v>
      </c>
      <c r="AE80" s="245"/>
      <c r="AF80" s="2266"/>
      <c r="AG80" s="2266"/>
      <c r="AH80" s="2266"/>
      <c r="AI80" s="2266"/>
      <c r="AJ80" s="2266"/>
      <c r="AK80" s="2266"/>
      <c r="AL80" s="2266"/>
      <c r="AM80" s="2266"/>
      <c r="AN80" s="2266"/>
      <c r="AO80" s="2266"/>
      <c r="AP80" s="2266"/>
      <c r="AQ80" s="2266"/>
      <c r="AR80" s="2266"/>
      <c r="AS80" s="2266"/>
      <c r="AT80" s="2266"/>
      <c r="AU80" s="2266"/>
      <c r="AV80" s="2266"/>
      <c r="AW80" s="2266"/>
      <c r="AX80" s="2266"/>
      <c r="AY80" s="2266"/>
      <c r="AZ80" s="2266"/>
      <c r="BA80" s="2266"/>
      <c r="BB80" s="2266"/>
      <c r="BC80" s="2266"/>
      <c r="BD80" s="2266"/>
      <c r="BE80" s="2266"/>
      <c r="BF80" s="2266"/>
      <c r="BG80" s="2266"/>
      <c r="BH80" s="2266"/>
      <c r="BI80" s="2266"/>
      <c r="BJ80" s="2266"/>
      <c r="BK80" s="2266"/>
      <c r="BL80" s="2266"/>
      <c r="BM80" s="2266"/>
      <c r="BN80" s="2266"/>
      <c r="BO80" s="2266"/>
      <c r="BP80" s="2266"/>
      <c r="BQ80" s="2266"/>
      <c r="BR80" s="2266"/>
      <c r="BS80" s="2266"/>
      <c r="BT80" s="2266"/>
      <c r="BU80" s="2266"/>
      <c r="BV80" s="2266"/>
      <c r="BW80" s="2266"/>
      <c r="BX80" s="2266"/>
    </row>
    <row r="81" spans="1:76" s="244" customFormat="1" ht="38.25">
      <c r="A81" s="4055">
        <v>7</v>
      </c>
      <c r="B81" s="4065"/>
      <c r="C81" s="4057">
        <v>1</v>
      </c>
      <c r="D81" s="4066" t="s">
        <v>66</v>
      </c>
      <c r="E81" s="4066" t="s">
        <v>66</v>
      </c>
      <c r="F81" s="4066" t="s">
        <v>66</v>
      </c>
      <c r="G81" s="4066" t="s">
        <v>376</v>
      </c>
      <c r="H81" s="4066"/>
      <c r="I81" s="4261" t="s">
        <v>377</v>
      </c>
      <c r="J81" s="3153" t="s">
        <v>378</v>
      </c>
      <c r="K81" s="2636">
        <f>1955+980</f>
        <v>2935</v>
      </c>
      <c r="L81" s="2636">
        <f t="shared" ref="L81:R81" si="25">SUM(L84:L97)</f>
        <v>70291175000</v>
      </c>
      <c r="M81" s="2636">
        <f>K81/3</f>
        <v>978.33333333333337</v>
      </c>
      <c r="N81" s="2636">
        <f t="shared" si="25"/>
        <v>13078886000</v>
      </c>
      <c r="O81" s="2636">
        <f>K81/6</f>
        <v>489.16666666666669</v>
      </c>
      <c r="P81" s="2636">
        <f t="shared" si="25"/>
        <v>14311192150</v>
      </c>
      <c r="Q81" s="2636">
        <f>O81/4</f>
        <v>122.29166666666667</v>
      </c>
      <c r="R81" s="2636">
        <f t="shared" si="25"/>
        <v>252069000</v>
      </c>
      <c r="S81" s="3135">
        <v>122</v>
      </c>
      <c r="T81" s="2667">
        <f>SUM(T82:T95)</f>
        <v>632411850</v>
      </c>
      <c r="U81" s="3247">
        <v>122</v>
      </c>
      <c r="V81" s="2667">
        <f>SUM(V82:V95)</f>
        <v>1202054200</v>
      </c>
      <c r="W81" s="2640"/>
      <c r="X81" s="2612"/>
      <c r="Y81" s="2747">
        <f t="shared" si="23"/>
        <v>366.29166666666669</v>
      </c>
      <c r="Z81" s="2581">
        <f t="shared" si="17"/>
        <v>2086535050</v>
      </c>
      <c r="AA81" s="2747">
        <v>140</v>
      </c>
      <c r="AB81" s="2581">
        <f>SUM(AB84:AB87)</f>
        <v>1977548850</v>
      </c>
      <c r="AC81" s="2584">
        <f t="shared" si="21"/>
        <v>4.7700170357751279</v>
      </c>
      <c r="AD81" s="2584">
        <f t="shared" ref="AD81:AD97" si="26">(AB81/L81)*100</f>
        <v>2.8133671830069709</v>
      </c>
      <c r="AE81" s="3135" t="s">
        <v>175</v>
      </c>
      <c r="AF81" s="2266"/>
      <c r="AG81" s="2266"/>
      <c r="AH81" s="2266"/>
      <c r="AI81" s="2266"/>
      <c r="AJ81" s="2266"/>
      <c r="AK81" s="2266"/>
      <c r="AL81" s="2266"/>
      <c r="AM81" s="2266"/>
      <c r="AN81" s="2266"/>
      <c r="AO81" s="2266"/>
      <c r="AP81" s="2266"/>
      <c r="AQ81" s="2266"/>
      <c r="AR81" s="2266"/>
      <c r="AS81" s="2266"/>
      <c r="AT81" s="2266"/>
      <c r="AU81" s="2266"/>
      <c r="AV81" s="2266"/>
      <c r="AW81" s="2266"/>
      <c r="AX81" s="2266"/>
      <c r="AY81" s="2266"/>
      <c r="AZ81" s="2266"/>
      <c r="BA81" s="2266"/>
      <c r="BB81" s="2266"/>
      <c r="BC81" s="2266"/>
      <c r="BD81" s="2266"/>
      <c r="BE81" s="2266"/>
      <c r="BF81" s="2266"/>
      <c r="BG81" s="2266"/>
      <c r="BH81" s="2266"/>
      <c r="BI81" s="2266"/>
      <c r="BJ81" s="2266"/>
      <c r="BK81" s="2266"/>
      <c r="BL81" s="2266"/>
      <c r="BM81" s="2266"/>
      <c r="BN81" s="2266"/>
      <c r="BO81" s="2266"/>
      <c r="BP81" s="2266"/>
      <c r="BQ81" s="2266"/>
      <c r="BR81" s="2266"/>
      <c r="BS81" s="2266"/>
      <c r="BT81" s="2266"/>
      <c r="BU81" s="2266"/>
      <c r="BV81" s="2266"/>
      <c r="BW81" s="2266"/>
      <c r="BX81" s="2266"/>
    </row>
    <row r="82" spans="1:76" s="244" customFormat="1" ht="38.25" hidden="1">
      <c r="A82" s="4058"/>
      <c r="B82" s="4067"/>
      <c r="C82" s="4060"/>
      <c r="D82" s="4068"/>
      <c r="E82" s="4068"/>
      <c r="F82" s="4068"/>
      <c r="G82" s="4068"/>
      <c r="H82" s="4068"/>
      <c r="I82" s="4262"/>
      <c r="J82" s="3153" t="s">
        <v>379</v>
      </c>
      <c r="K82" s="2636">
        <f>75+390</f>
        <v>465</v>
      </c>
      <c r="L82" s="2636"/>
      <c r="M82" s="2636">
        <f>75+390</f>
        <v>465</v>
      </c>
      <c r="N82" s="2636"/>
      <c r="O82" s="2636">
        <f>75+390</f>
        <v>465</v>
      </c>
      <c r="P82" s="2636"/>
      <c r="Q82" s="2636">
        <v>0</v>
      </c>
      <c r="R82" s="2636"/>
      <c r="S82" s="2880">
        <v>1</v>
      </c>
      <c r="T82" s="2881">
        <v>0</v>
      </c>
      <c r="U82" s="2640"/>
      <c r="V82" s="3253"/>
      <c r="W82" s="2640"/>
      <c r="X82" s="2612"/>
      <c r="Y82" s="2755">
        <f t="shared" si="23"/>
        <v>1</v>
      </c>
      <c r="Z82" s="2581">
        <f t="shared" si="17"/>
        <v>0</v>
      </c>
      <c r="AA82" s="2577">
        <f>M82+Y82</f>
        <v>466</v>
      </c>
      <c r="AB82" s="2581"/>
      <c r="AC82" s="2747">
        <f t="shared" si="21"/>
        <v>100.21505376344086</v>
      </c>
      <c r="AD82" s="2584"/>
      <c r="AE82" s="3135"/>
      <c r="AF82" s="2266"/>
      <c r="AG82" s="2266"/>
      <c r="AH82" s="2266"/>
      <c r="AI82" s="2266"/>
      <c r="AJ82" s="2266"/>
      <c r="AK82" s="2266"/>
      <c r="AL82" s="2266"/>
      <c r="AM82" s="2266"/>
      <c r="AN82" s="2266"/>
      <c r="AO82" s="2266"/>
      <c r="AP82" s="2266"/>
      <c r="AQ82" s="2266"/>
      <c r="AR82" s="2266"/>
      <c r="AS82" s="2266"/>
      <c r="AT82" s="2266"/>
      <c r="AU82" s="2266"/>
      <c r="AV82" s="2266"/>
      <c r="AW82" s="2266"/>
      <c r="AX82" s="2266"/>
      <c r="AY82" s="2266"/>
      <c r="AZ82" s="2266"/>
      <c r="BA82" s="2266"/>
      <c r="BB82" s="2266"/>
      <c r="BC82" s="2266"/>
      <c r="BD82" s="2266"/>
      <c r="BE82" s="2266"/>
      <c r="BF82" s="2266"/>
      <c r="BG82" s="2266"/>
      <c r="BH82" s="2266"/>
      <c r="BI82" s="2266"/>
      <c r="BJ82" s="2266"/>
      <c r="BK82" s="2266"/>
      <c r="BL82" s="2266"/>
      <c r="BM82" s="2266"/>
      <c r="BN82" s="2266"/>
      <c r="BO82" s="2266"/>
      <c r="BP82" s="2266"/>
      <c r="BQ82" s="2266"/>
      <c r="BR82" s="2266"/>
      <c r="BS82" s="2266"/>
      <c r="BT82" s="2266"/>
      <c r="BU82" s="2266"/>
      <c r="BV82" s="2266"/>
      <c r="BW82" s="2266"/>
      <c r="BX82" s="2266"/>
    </row>
    <row r="83" spans="1:76" s="244" customFormat="1" ht="38.25" hidden="1">
      <c r="A83" s="4061"/>
      <c r="B83" s="4069"/>
      <c r="C83" s="4063"/>
      <c r="D83" s="4070"/>
      <c r="E83" s="4070"/>
      <c r="F83" s="4070"/>
      <c r="G83" s="4070"/>
      <c r="H83" s="4070"/>
      <c r="I83" s="4071"/>
      <c r="J83" s="3153" t="s">
        <v>380</v>
      </c>
      <c r="K83" s="2636">
        <v>14</v>
      </c>
      <c r="L83" s="2636"/>
      <c r="M83" s="2636">
        <v>14</v>
      </c>
      <c r="N83" s="2636"/>
      <c r="O83" s="2636">
        <v>14</v>
      </c>
      <c r="P83" s="2636"/>
      <c r="Q83" s="2636">
        <v>0</v>
      </c>
      <c r="R83" s="2636"/>
      <c r="S83" s="2880">
        <v>0</v>
      </c>
      <c r="T83" s="2882">
        <v>0</v>
      </c>
      <c r="U83" s="2640"/>
      <c r="V83" s="3253"/>
      <c r="W83" s="2640"/>
      <c r="X83" s="2612"/>
      <c r="Y83" s="2755">
        <f t="shared" si="23"/>
        <v>0</v>
      </c>
      <c r="Z83" s="2581">
        <f t="shared" si="17"/>
        <v>0</v>
      </c>
      <c r="AA83" s="2577">
        <f>M83+Y83</f>
        <v>14</v>
      </c>
      <c r="AB83" s="2581"/>
      <c r="AC83" s="2747">
        <f t="shared" si="21"/>
        <v>100</v>
      </c>
      <c r="AD83" s="2584"/>
      <c r="AE83" s="3135"/>
      <c r="AF83" s="2266"/>
      <c r="AG83" s="2266"/>
      <c r="AH83" s="2266"/>
      <c r="AI83" s="2266"/>
      <c r="AJ83" s="2266"/>
      <c r="AK83" s="2266"/>
      <c r="AL83" s="2266"/>
      <c r="AM83" s="2266"/>
      <c r="AN83" s="2266"/>
      <c r="AO83" s="2266"/>
      <c r="AP83" s="2266"/>
      <c r="AQ83" s="2266"/>
      <c r="AR83" s="2266"/>
      <c r="AS83" s="2266"/>
      <c r="AT83" s="2266"/>
      <c r="AU83" s="2266"/>
      <c r="AV83" s="2266"/>
      <c r="AW83" s="2266"/>
      <c r="AX83" s="2266"/>
      <c r="AY83" s="2266"/>
      <c r="AZ83" s="2266"/>
      <c r="BA83" s="2266"/>
      <c r="BB83" s="2266"/>
      <c r="BC83" s="2266"/>
      <c r="BD83" s="2266"/>
      <c r="BE83" s="2266"/>
      <c r="BF83" s="2266"/>
      <c r="BG83" s="2266"/>
      <c r="BH83" s="2266"/>
      <c r="BI83" s="2266"/>
      <c r="BJ83" s="2266"/>
      <c r="BK83" s="2266"/>
      <c r="BL83" s="2266"/>
      <c r="BM83" s="2266"/>
      <c r="BN83" s="2266"/>
      <c r="BO83" s="2266"/>
      <c r="BP83" s="2266"/>
      <c r="BQ83" s="2266"/>
      <c r="BR83" s="2266"/>
      <c r="BS83" s="2266"/>
      <c r="BT83" s="2266"/>
      <c r="BU83" s="2266"/>
      <c r="BV83" s="2266"/>
      <c r="BW83" s="2266"/>
      <c r="BX83" s="2266"/>
    </row>
    <row r="84" spans="1:76" s="244" customFormat="1" ht="63.75" customHeight="1">
      <c r="A84" s="3139"/>
      <c r="B84" s="233"/>
      <c r="C84" s="3797">
        <v>1</v>
      </c>
      <c r="D84" s="238" t="s">
        <v>66</v>
      </c>
      <c r="E84" s="238" t="s">
        <v>66</v>
      </c>
      <c r="F84" s="238" t="s">
        <v>66</v>
      </c>
      <c r="G84" s="238" t="s">
        <v>376</v>
      </c>
      <c r="H84" s="238" t="s">
        <v>66</v>
      </c>
      <c r="I84" s="273" t="s">
        <v>381</v>
      </c>
      <c r="J84" s="233" t="s">
        <v>382</v>
      </c>
      <c r="K84" s="310">
        <f>4*6</f>
        <v>24</v>
      </c>
      <c r="L84" s="237">
        <f>(90700+141422+(4*189930))*1000</f>
        <v>991842000</v>
      </c>
      <c r="M84" s="2332">
        <f>2*4</f>
        <v>8</v>
      </c>
      <c r="N84" s="309">
        <f>(90700+141422)*1000</f>
        <v>232122000</v>
      </c>
      <c r="O84" s="310">
        <v>4</v>
      </c>
      <c r="P84" s="240">
        <v>189930000</v>
      </c>
      <c r="Q84" s="2332">
        <v>1</v>
      </c>
      <c r="R84" s="237">
        <v>14325000</v>
      </c>
      <c r="S84" s="245">
        <v>1</v>
      </c>
      <c r="T84" s="2823">
        <v>49043600</v>
      </c>
      <c r="U84" s="3139">
        <v>2</v>
      </c>
      <c r="V84" s="2493">
        <v>54854600</v>
      </c>
      <c r="W84" s="3139"/>
      <c r="X84" s="310"/>
      <c r="Y84" s="2328">
        <f t="shared" si="23"/>
        <v>4</v>
      </c>
      <c r="Z84" s="2493">
        <f t="shared" ref="Z84:Z97" si="27">R84+T84+V84+X84</f>
        <v>118223200</v>
      </c>
      <c r="AA84" s="310">
        <f>M84+Y84</f>
        <v>12</v>
      </c>
      <c r="AB84" s="2493">
        <f>N84+Z84</f>
        <v>350345200</v>
      </c>
      <c r="AC84" s="2993">
        <f t="shared" si="21"/>
        <v>50</v>
      </c>
      <c r="AD84" s="298">
        <f t="shared" si="26"/>
        <v>35.32268244337304</v>
      </c>
      <c r="AE84" s="245"/>
      <c r="AF84" s="2266"/>
      <c r="AG84" s="2266"/>
      <c r="AH84" s="2266"/>
      <c r="AI84" s="2266"/>
      <c r="AJ84" s="2266"/>
      <c r="AK84" s="2266"/>
      <c r="AL84" s="2266"/>
      <c r="AM84" s="2266"/>
      <c r="AN84" s="2266"/>
      <c r="AO84" s="2266"/>
      <c r="AP84" s="2266"/>
      <c r="AQ84" s="2266"/>
      <c r="AR84" s="2266"/>
      <c r="AS84" s="2266"/>
      <c r="AT84" s="2266"/>
      <c r="AU84" s="2266"/>
      <c r="AV84" s="2266"/>
      <c r="AW84" s="2266"/>
      <c r="AX84" s="2266"/>
      <c r="AY84" s="2266"/>
      <c r="AZ84" s="2266"/>
      <c r="BA84" s="2266"/>
      <c r="BB84" s="2266"/>
      <c r="BC84" s="2266"/>
      <c r="BD84" s="2266"/>
      <c r="BE84" s="2266"/>
      <c r="BF84" s="2266"/>
      <c r="BG84" s="2266"/>
      <c r="BH84" s="2266"/>
      <c r="BI84" s="2266"/>
      <c r="BJ84" s="2266"/>
      <c r="BK84" s="2266"/>
      <c r="BL84" s="2266"/>
      <c r="BM84" s="2266"/>
      <c r="BN84" s="2266"/>
      <c r="BO84" s="2266"/>
      <c r="BP84" s="2266"/>
      <c r="BQ84" s="2266"/>
      <c r="BR84" s="2266"/>
      <c r="BS84" s="2266"/>
      <c r="BT84" s="2266"/>
      <c r="BU84" s="2266"/>
      <c r="BV84" s="2266"/>
      <c r="BW84" s="2266"/>
      <c r="BX84" s="2266"/>
    </row>
    <row r="85" spans="1:76" s="244" customFormat="1" ht="63.75" customHeight="1">
      <c r="A85" s="3139"/>
      <c r="B85" s="233"/>
      <c r="C85" s="3797">
        <v>1</v>
      </c>
      <c r="D85" s="238" t="s">
        <v>66</v>
      </c>
      <c r="E85" s="238" t="s">
        <v>66</v>
      </c>
      <c r="F85" s="238" t="s">
        <v>66</v>
      </c>
      <c r="G85" s="238" t="s">
        <v>376</v>
      </c>
      <c r="H85" s="238" t="s">
        <v>197</v>
      </c>
      <c r="I85" s="273" t="s">
        <v>383</v>
      </c>
      <c r="J85" s="233" t="s">
        <v>384</v>
      </c>
      <c r="K85" s="310">
        <f>2*6</f>
        <v>12</v>
      </c>
      <c r="L85" s="237">
        <f>(360223+365000+(4*296996))*1000</f>
        <v>1913207000</v>
      </c>
      <c r="M85" s="2332">
        <f>2*2</f>
        <v>4</v>
      </c>
      <c r="N85" s="309">
        <f>(360223+365000)*1000</f>
        <v>725223000</v>
      </c>
      <c r="O85" s="310">
        <v>2</v>
      </c>
      <c r="P85" s="240">
        <v>296996850</v>
      </c>
      <c r="Q85" s="2332">
        <v>0</v>
      </c>
      <c r="R85" s="237">
        <v>0</v>
      </c>
      <c r="S85" s="245">
        <v>0</v>
      </c>
      <c r="T85" s="2823">
        <v>0</v>
      </c>
      <c r="U85" s="3139">
        <v>1</v>
      </c>
      <c r="V85" s="2493">
        <v>103777150</v>
      </c>
      <c r="W85" s="3139"/>
      <c r="X85" s="310"/>
      <c r="Y85" s="2328">
        <f t="shared" si="23"/>
        <v>1</v>
      </c>
      <c r="Z85" s="2493">
        <f t="shared" si="27"/>
        <v>103777150</v>
      </c>
      <c r="AA85" s="310">
        <f t="shared" ref="AA85:AB92" si="28">M85+Y85</f>
        <v>5</v>
      </c>
      <c r="AB85" s="2493">
        <f t="shared" si="28"/>
        <v>829000150</v>
      </c>
      <c r="AC85" s="2993">
        <f t="shared" ref="AC85:AC92" si="29">(AA85/K85)*100</f>
        <v>41.666666666666671</v>
      </c>
      <c r="AD85" s="298">
        <f t="shared" si="26"/>
        <v>43.330394986010404</v>
      </c>
      <c r="AE85" s="245"/>
      <c r="AF85" s="2266"/>
      <c r="AG85" s="2266"/>
      <c r="AH85" s="2266"/>
      <c r="AI85" s="2266"/>
      <c r="AJ85" s="2266"/>
      <c r="AK85" s="2266"/>
      <c r="AL85" s="2266"/>
      <c r="AM85" s="2266"/>
      <c r="AN85" s="2266"/>
      <c r="AO85" s="2266"/>
      <c r="AP85" s="2266"/>
      <c r="AQ85" s="2266"/>
      <c r="AR85" s="2266"/>
      <c r="AS85" s="2266"/>
      <c r="AT85" s="2266"/>
      <c r="AU85" s="2266"/>
      <c r="AV85" s="2266"/>
      <c r="AW85" s="2266"/>
      <c r="AX85" s="2266"/>
      <c r="AY85" s="2266"/>
      <c r="AZ85" s="2266"/>
      <c r="BA85" s="2266"/>
      <c r="BB85" s="2266"/>
      <c r="BC85" s="2266"/>
      <c r="BD85" s="2266"/>
      <c r="BE85" s="2266"/>
      <c r="BF85" s="2266"/>
      <c r="BG85" s="2266"/>
      <c r="BH85" s="2266"/>
      <c r="BI85" s="2266"/>
      <c r="BJ85" s="2266"/>
      <c r="BK85" s="2266"/>
      <c r="BL85" s="2266"/>
      <c r="BM85" s="2266"/>
      <c r="BN85" s="2266"/>
      <c r="BO85" s="2266"/>
      <c r="BP85" s="2266"/>
      <c r="BQ85" s="2266"/>
      <c r="BR85" s="2266"/>
      <c r="BS85" s="2266"/>
      <c r="BT85" s="2266"/>
      <c r="BU85" s="2266"/>
      <c r="BV85" s="2266"/>
      <c r="BW85" s="2266"/>
      <c r="BX85" s="2266"/>
    </row>
    <row r="86" spans="1:76" s="244" customFormat="1" ht="87" customHeight="1">
      <c r="A86" s="3139"/>
      <c r="B86" s="233"/>
      <c r="C86" s="3797">
        <v>1</v>
      </c>
      <c r="D86" s="238" t="s">
        <v>66</v>
      </c>
      <c r="E86" s="238" t="s">
        <v>66</v>
      </c>
      <c r="F86" s="238" t="s">
        <v>66</v>
      </c>
      <c r="G86" s="238" t="s">
        <v>376</v>
      </c>
      <c r="H86" s="238" t="s">
        <v>93</v>
      </c>
      <c r="I86" s="273" t="s">
        <v>385</v>
      </c>
      <c r="J86" s="233" t="s">
        <v>386</v>
      </c>
      <c r="K86" s="310">
        <f>1+(2*5)</f>
        <v>11</v>
      </c>
      <c r="L86" s="237">
        <f>(198838+272600+(4*241810))*1000</f>
        <v>1438678000</v>
      </c>
      <c r="M86" s="2332">
        <v>3</v>
      </c>
      <c r="N86" s="309">
        <f>(198838+272600)*1000</f>
        <v>471438000</v>
      </c>
      <c r="O86" s="310">
        <v>1</v>
      </c>
      <c r="P86" s="240">
        <v>241810000</v>
      </c>
      <c r="Q86" s="2332">
        <v>1</v>
      </c>
      <c r="R86" s="237">
        <v>88565000</v>
      </c>
      <c r="S86" s="3139">
        <v>1</v>
      </c>
      <c r="T86" s="2825">
        <v>8402500</v>
      </c>
      <c r="U86" s="245">
        <v>1</v>
      </c>
      <c r="V86" s="2403">
        <v>98598000</v>
      </c>
      <c r="W86" s="245"/>
      <c r="X86" s="252"/>
      <c r="Y86" s="2328">
        <f t="shared" si="23"/>
        <v>3</v>
      </c>
      <c r="Z86" s="2493">
        <f t="shared" si="27"/>
        <v>195565500</v>
      </c>
      <c r="AA86" s="310">
        <f t="shared" si="28"/>
        <v>6</v>
      </c>
      <c r="AB86" s="2493">
        <f t="shared" si="28"/>
        <v>667003500</v>
      </c>
      <c r="AC86" s="2993">
        <f t="shared" si="29"/>
        <v>54.54545454545454</v>
      </c>
      <c r="AD86" s="298">
        <f t="shared" si="26"/>
        <v>46.362250621751357</v>
      </c>
      <c r="AE86" s="245"/>
      <c r="AF86" s="2266"/>
      <c r="AG86" s="2266"/>
      <c r="AH86" s="2266"/>
      <c r="AI86" s="2266"/>
      <c r="AJ86" s="2266"/>
      <c r="AK86" s="2266"/>
      <c r="AL86" s="2266"/>
      <c r="AM86" s="2266"/>
      <c r="AN86" s="2266"/>
      <c r="AO86" s="2266"/>
      <c r="AP86" s="2266"/>
      <c r="AQ86" s="2266"/>
      <c r="AR86" s="2266"/>
      <c r="AS86" s="2266"/>
      <c r="AT86" s="2266"/>
      <c r="AU86" s="2266"/>
      <c r="AV86" s="2266"/>
      <c r="AW86" s="2266"/>
      <c r="AX86" s="2266"/>
      <c r="AY86" s="2266"/>
      <c r="AZ86" s="2266"/>
      <c r="BA86" s="2266"/>
      <c r="BB86" s="2266"/>
      <c r="BC86" s="2266"/>
      <c r="BD86" s="2266"/>
      <c r="BE86" s="2266"/>
      <c r="BF86" s="2266"/>
      <c r="BG86" s="2266"/>
      <c r="BH86" s="2266"/>
      <c r="BI86" s="2266"/>
      <c r="BJ86" s="2266"/>
      <c r="BK86" s="2266"/>
      <c r="BL86" s="2266"/>
      <c r="BM86" s="2266"/>
      <c r="BN86" s="2266"/>
      <c r="BO86" s="2266"/>
      <c r="BP86" s="2266"/>
      <c r="BQ86" s="2266"/>
      <c r="BR86" s="2266"/>
      <c r="BS86" s="2266"/>
      <c r="BT86" s="2266"/>
      <c r="BU86" s="2266"/>
      <c r="BV86" s="2266"/>
      <c r="BW86" s="2266"/>
      <c r="BX86" s="2266"/>
    </row>
    <row r="87" spans="1:76" s="244" customFormat="1" ht="63.75" customHeight="1">
      <c r="A87" s="3139"/>
      <c r="B87" s="233"/>
      <c r="C87" s="258" t="s">
        <v>66</v>
      </c>
      <c r="D87" s="258" t="s">
        <v>66</v>
      </c>
      <c r="E87" s="258" t="s">
        <v>66</v>
      </c>
      <c r="F87" s="258" t="s">
        <v>66</v>
      </c>
      <c r="G87" s="258" t="s">
        <v>376</v>
      </c>
      <c r="H87" s="258" t="s">
        <v>201</v>
      </c>
      <c r="I87" s="235" t="s">
        <v>387</v>
      </c>
      <c r="J87" s="233" t="s">
        <v>388</v>
      </c>
      <c r="K87" s="252">
        <v>6</v>
      </c>
      <c r="L87" s="256">
        <f>6*65000000</f>
        <v>390000000</v>
      </c>
      <c r="M87" s="252">
        <v>2</v>
      </c>
      <c r="N87" s="256">
        <v>130000000</v>
      </c>
      <c r="O87" s="252">
        <v>1</v>
      </c>
      <c r="P87" s="256">
        <v>63200000</v>
      </c>
      <c r="Q87" s="252">
        <v>0</v>
      </c>
      <c r="R87" s="256">
        <v>0</v>
      </c>
      <c r="S87" s="3139">
        <v>1</v>
      </c>
      <c r="T87" s="2824">
        <v>600000</v>
      </c>
      <c r="U87" s="245">
        <v>0</v>
      </c>
      <c r="V87" s="2403">
        <v>600000</v>
      </c>
      <c r="W87" s="245"/>
      <c r="X87" s="252"/>
      <c r="Y87" s="2328">
        <f t="shared" si="23"/>
        <v>1</v>
      </c>
      <c r="Z87" s="2493">
        <f t="shared" si="27"/>
        <v>1200000</v>
      </c>
      <c r="AA87" s="310">
        <f t="shared" si="28"/>
        <v>3</v>
      </c>
      <c r="AB87" s="2493">
        <f t="shared" si="28"/>
        <v>131200000</v>
      </c>
      <c r="AC87" s="298">
        <f t="shared" si="29"/>
        <v>50</v>
      </c>
      <c r="AD87" s="298">
        <f t="shared" si="26"/>
        <v>33.641025641025642</v>
      </c>
      <c r="AE87" s="245"/>
      <c r="AF87" s="2266"/>
      <c r="AG87" s="2266"/>
      <c r="AH87" s="2266"/>
      <c r="AI87" s="2266"/>
      <c r="AJ87" s="2266"/>
      <c r="AK87" s="2266"/>
      <c r="AL87" s="2266"/>
      <c r="AM87" s="2266"/>
      <c r="AN87" s="2266"/>
      <c r="AO87" s="2266"/>
      <c r="AP87" s="2266"/>
      <c r="AQ87" s="2266"/>
      <c r="AR87" s="2266"/>
      <c r="AS87" s="2266"/>
      <c r="AT87" s="2266"/>
      <c r="AU87" s="2266"/>
      <c r="AV87" s="2266"/>
      <c r="AW87" s="2266"/>
      <c r="AX87" s="2266"/>
      <c r="AY87" s="2266"/>
      <c r="AZ87" s="2266"/>
      <c r="BA87" s="2266"/>
      <c r="BB87" s="2266"/>
      <c r="BC87" s="2266"/>
      <c r="BD87" s="2266"/>
      <c r="BE87" s="2266"/>
      <c r="BF87" s="2266"/>
      <c r="BG87" s="2266"/>
      <c r="BH87" s="2266"/>
      <c r="BI87" s="2266"/>
      <c r="BJ87" s="2266"/>
      <c r="BK87" s="2266"/>
      <c r="BL87" s="2266"/>
      <c r="BM87" s="2266"/>
      <c r="BN87" s="2266"/>
      <c r="BO87" s="2266"/>
      <c r="BP87" s="2266"/>
      <c r="BQ87" s="2266"/>
      <c r="BR87" s="2266"/>
      <c r="BS87" s="2266"/>
      <c r="BT87" s="2266"/>
      <c r="BU87" s="2266"/>
      <c r="BV87" s="2266"/>
      <c r="BW87" s="2266"/>
      <c r="BX87" s="2266"/>
    </row>
    <row r="88" spans="1:76" s="244" customFormat="1" ht="72" customHeight="1">
      <c r="A88" s="3139"/>
      <c r="B88" s="233"/>
      <c r="C88" s="3797">
        <v>1</v>
      </c>
      <c r="D88" s="238" t="s">
        <v>66</v>
      </c>
      <c r="E88" s="238" t="s">
        <v>66</v>
      </c>
      <c r="F88" s="238" t="s">
        <v>66</v>
      </c>
      <c r="G88" s="238" t="s">
        <v>376</v>
      </c>
      <c r="H88" s="238" t="s">
        <v>202</v>
      </c>
      <c r="I88" s="273" t="s">
        <v>389</v>
      </c>
      <c r="J88" s="233" t="s">
        <v>390</v>
      </c>
      <c r="K88" s="310">
        <f>1*6</f>
        <v>6</v>
      </c>
      <c r="L88" s="237">
        <f>(226718+415035+(4*267174))*1000</f>
        <v>1710449000</v>
      </c>
      <c r="M88" s="2332">
        <v>2</v>
      </c>
      <c r="N88" s="309">
        <f>(226718+415035)*1000</f>
        <v>641753000</v>
      </c>
      <c r="O88" s="310">
        <v>1</v>
      </c>
      <c r="P88" s="240">
        <v>267174300</v>
      </c>
      <c r="Q88" s="2332">
        <v>0</v>
      </c>
      <c r="R88" s="237">
        <v>0</v>
      </c>
      <c r="S88" s="3139"/>
      <c r="T88" s="2825">
        <v>1200000</v>
      </c>
      <c r="U88" s="3139">
        <v>1</v>
      </c>
      <c r="V88" s="2493">
        <v>133933400</v>
      </c>
      <c r="W88" s="3139"/>
      <c r="X88" s="310"/>
      <c r="Y88" s="2328">
        <f t="shared" si="23"/>
        <v>1</v>
      </c>
      <c r="Z88" s="2493">
        <f t="shared" si="27"/>
        <v>135133400</v>
      </c>
      <c r="AA88" s="310">
        <f t="shared" si="28"/>
        <v>3</v>
      </c>
      <c r="AB88" s="2493">
        <f t="shared" si="28"/>
        <v>776886400</v>
      </c>
      <c r="AC88" s="298">
        <f t="shared" si="29"/>
        <v>50</v>
      </c>
      <c r="AD88" s="298">
        <f t="shared" si="26"/>
        <v>45.420027139072836</v>
      </c>
      <c r="AE88" s="245"/>
      <c r="AF88" s="2266"/>
      <c r="AG88" s="2266"/>
      <c r="AH88" s="2266"/>
      <c r="AI88" s="2266"/>
      <c r="AJ88" s="2266"/>
      <c r="AK88" s="2266"/>
      <c r="AL88" s="2266"/>
      <c r="AM88" s="2266"/>
      <c r="AN88" s="2266"/>
      <c r="AO88" s="2266"/>
      <c r="AP88" s="2266"/>
      <c r="AQ88" s="2266"/>
      <c r="AR88" s="2266"/>
      <c r="AS88" s="2266"/>
      <c r="AT88" s="2266"/>
      <c r="AU88" s="2266"/>
      <c r="AV88" s="2266"/>
      <c r="AW88" s="2266"/>
      <c r="AX88" s="2266"/>
      <c r="AY88" s="2266"/>
      <c r="AZ88" s="2266"/>
      <c r="BA88" s="2266"/>
      <c r="BB88" s="2266"/>
      <c r="BC88" s="2266"/>
      <c r="BD88" s="2266"/>
      <c r="BE88" s="2266"/>
      <c r="BF88" s="2266"/>
      <c r="BG88" s="2266"/>
      <c r="BH88" s="2266"/>
      <c r="BI88" s="2266"/>
      <c r="BJ88" s="2266"/>
      <c r="BK88" s="2266"/>
      <c r="BL88" s="2266"/>
      <c r="BM88" s="2266"/>
      <c r="BN88" s="2266"/>
      <c r="BO88" s="2266"/>
      <c r="BP88" s="2266"/>
      <c r="BQ88" s="2266"/>
      <c r="BR88" s="2266"/>
      <c r="BS88" s="2266"/>
      <c r="BT88" s="2266"/>
      <c r="BU88" s="2266"/>
      <c r="BV88" s="2266"/>
      <c r="BW88" s="2266"/>
      <c r="BX88" s="2266"/>
    </row>
    <row r="89" spans="1:76" s="244" customFormat="1" ht="69" customHeight="1">
      <c r="A89" s="3139"/>
      <c r="B89" s="233"/>
      <c r="C89" s="238" t="s">
        <v>66</v>
      </c>
      <c r="D89" s="238" t="s">
        <v>66</v>
      </c>
      <c r="E89" s="238" t="s">
        <v>66</v>
      </c>
      <c r="F89" s="238" t="s">
        <v>66</v>
      </c>
      <c r="G89" s="238" t="s">
        <v>376</v>
      </c>
      <c r="H89" s="238" t="s">
        <v>391</v>
      </c>
      <c r="I89" s="233" t="s">
        <v>392</v>
      </c>
      <c r="J89" s="233" t="s">
        <v>393</v>
      </c>
      <c r="K89" s="310">
        <f>2*6</f>
        <v>12</v>
      </c>
      <c r="L89" s="237">
        <f>(254730+222141+(4*100026))*1000</f>
        <v>876975000</v>
      </c>
      <c r="M89" s="2332">
        <v>4</v>
      </c>
      <c r="N89" s="309">
        <f>(254730+222141)*1000</f>
        <v>476871000</v>
      </c>
      <c r="O89" s="310">
        <v>2</v>
      </c>
      <c r="P89" s="268">
        <v>100026000</v>
      </c>
      <c r="Q89" s="2332">
        <v>1</v>
      </c>
      <c r="R89" s="268">
        <v>37513000</v>
      </c>
      <c r="S89" s="2828">
        <v>1</v>
      </c>
      <c r="T89" s="2824">
        <v>99526000</v>
      </c>
      <c r="U89" s="3139">
        <v>0</v>
      </c>
      <c r="V89" s="2493">
        <v>500000</v>
      </c>
      <c r="W89" s="3139"/>
      <c r="X89" s="310"/>
      <c r="Y89" s="2328">
        <f t="shared" si="23"/>
        <v>2</v>
      </c>
      <c r="Z89" s="2493">
        <f t="shared" si="27"/>
        <v>137539000</v>
      </c>
      <c r="AA89" s="310">
        <f t="shared" si="28"/>
        <v>6</v>
      </c>
      <c r="AB89" s="2493">
        <f t="shared" si="28"/>
        <v>614410000</v>
      </c>
      <c r="AC89" s="298">
        <f t="shared" si="29"/>
        <v>50</v>
      </c>
      <c r="AD89" s="298">
        <f t="shared" si="26"/>
        <v>70.060149947261891</v>
      </c>
      <c r="AE89" s="245"/>
      <c r="AF89" s="2266"/>
      <c r="AG89" s="2266"/>
      <c r="AH89" s="2266"/>
      <c r="AI89" s="2266"/>
      <c r="AJ89" s="2266"/>
      <c r="AK89" s="2266"/>
      <c r="AL89" s="2266"/>
      <c r="AM89" s="2266"/>
      <c r="AN89" s="2266"/>
      <c r="AO89" s="2266"/>
      <c r="AP89" s="2266"/>
      <c r="AQ89" s="2266"/>
      <c r="AR89" s="2266"/>
      <c r="AS89" s="2266"/>
      <c r="AT89" s="2266"/>
      <c r="AU89" s="2266"/>
      <c r="AV89" s="2266"/>
      <c r="AW89" s="2266"/>
      <c r="AX89" s="2266"/>
      <c r="AY89" s="2266"/>
      <c r="AZ89" s="2266"/>
      <c r="BA89" s="2266"/>
      <c r="BB89" s="2266"/>
      <c r="BC89" s="2266"/>
      <c r="BD89" s="2266"/>
      <c r="BE89" s="2266"/>
      <c r="BF89" s="2266"/>
      <c r="BG89" s="2266"/>
      <c r="BH89" s="2266"/>
      <c r="BI89" s="2266"/>
      <c r="BJ89" s="2266"/>
      <c r="BK89" s="2266"/>
      <c r="BL89" s="2266"/>
      <c r="BM89" s="2266"/>
      <c r="BN89" s="2266"/>
      <c r="BO89" s="2266"/>
      <c r="BP89" s="2266"/>
      <c r="BQ89" s="2266"/>
      <c r="BR89" s="2266"/>
      <c r="BS89" s="2266"/>
      <c r="BT89" s="2266"/>
      <c r="BU89" s="2266"/>
      <c r="BV89" s="2266"/>
      <c r="BW89" s="2266"/>
      <c r="BX89" s="2266"/>
    </row>
    <row r="90" spans="1:76" s="244" customFormat="1" ht="51" customHeight="1">
      <c r="A90" s="3139"/>
      <c r="B90" s="233"/>
      <c r="C90" s="238" t="s">
        <v>66</v>
      </c>
      <c r="D90" s="238" t="s">
        <v>66</v>
      </c>
      <c r="E90" s="238" t="s">
        <v>66</v>
      </c>
      <c r="F90" s="238" t="s">
        <v>66</v>
      </c>
      <c r="G90" s="238" t="s">
        <v>376</v>
      </c>
      <c r="H90" s="238" t="s">
        <v>357</v>
      </c>
      <c r="I90" s="233" t="s">
        <v>394</v>
      </c>
      <c r="J90" s="233" t="s">
        <v>395</v>
      </c>
      <c r="K90" s="310">
        <f>60*6</f>
        <v>360</v>
      </c>
      <c r="L90" s="237">
        <f>(148996+140923+(4*130000))*1000</f>
        <v>809919000</v>
      </c>
      <c r="M90" s="2332">
        <v>120</v>
      </c>
      <c r="N90" s="309">
        <f>(148996+140923)*1000</f>
        <v>289919000</v>
      </c>
      <c r="O90" s="310">
        <v>60</v>
      </c>
      <c r="P90" s="268">
        <v>130000000</v>
      </c>
      <c r="Q90" s="2332">
        <v>0</v>
      </c>
      <c r="R90" s="268">
        <v>0</v>
      </c>
      <c r="S90" s="2828" t="s">
        <v>2034</v>
      </c>
      <c r="T90" s="2825" t="s">
        <v>2034</v>
      </c>
      <c r="U90" s="3139">
        <v>60</v>
      </c>
      <c r="V90" s="2493">
        <v>99291400</v>
      </c>
      <c r="W90" s="3139"/>
      <c r="X90" s="310"/>
      <c r="Y90" s="2328">
        <f t="shared" si="23"/>
        <v>60</v>
      </c>
      <c r="Z90" s="2493">
        <f t="shared" si="27"/>
        <v>99291400</v>
      </c>
      <c r="AA90" s="310">
        <f t="shared" si="28"/>
        <v>180</v>
      </c>
      <c r="AB90" s="2493">
        <f t="shared" si="28"/>
        <v>389210400</v>
      </c>
      <c r="AC90" s="298">
        <f t="shared" si="29"/>
        <v>50</v>
      </c>
      <c r="AD90" s="298">
        <f t="shared" si="26"/>
        <v>48.055472213888059</v>
      </c>
      <c r="AE90" s="245"/>
      <c r="AF90" s="2266"/>
      <c r="AG90" s="2266"/>
      <c r="AH90" s="2266"/>
      <c r="AI90" s="2266"/>
      <c r="AJ90" s="2266"/>
      <c r="AK90" s="2266"/>
      <c r="AL90" s="2266"/>
      <c r="AM90" s="2266"/>
      <c r="AN90" s="2266"/>
      <c r="AO90" s="2266"/>
      <c r="AP90" s="2266"/>
      <c r="AQ90" s="2266"/>
      <c r="AR90" s="2266"/>
      <c r="AS90" s="2266"/>
      <c r="AT90" s="2266"/>
      <c r="AU90" s="2266"/>
      <c r="AV90" s="2266"/>
      <c r="AW90" s="2266"/>
      <c r="AX90" s="2266"/>
      <c r="AY90" s="2266"/>
      <c r="AZ90" s="2266"/>
      <c r="BA90" s="2266"/>
      <c r="BB90" s="2266"/>
      <c r="BC90" s="2266"/>
      <c r="BD90" s="2266"/>
      <c r="BE90" s="2266"/>
      <c r="BF90" s="2266"/>
      <c r="BG90" s="2266"/>
      <c r="BH90" s="2266"/>
      <c r="BI90" s="2266"/>
      <c r="BJ90" s="2266"/>
      <c r="BK90" s="2266"/>
      <c r="BL90" s="2266"/>
      <c r="BM90" s="2266"/>
      <c r="BN90" s="2266"/>
      <c r="BO90" s="2266"/>
      <c r="BP90" s="2266"/>
      <c r="BQ90" s="2266"/>
      <c r="BR90" s="2266"/>
      <c r="BS90" s="2266"/>
      <c r="BT90" s="2266"/>
      <c r="BU90" s="2266"/>
      <c r="BV90" s="2266"/>
      <c r="BW90" s="2266"/>
      <c r="BX90" s="2266"/>
    </row>
    <row r="91" spans="1:76" s="244" customFormat="1" ht="49.5" customHeight="1">
      <c r="A91" s="3139"/>
      <c r="B91" s="233"/>
      <c r="C91" s="3797">
        <v>1</v>
      </c>
      <c r="D91" s="238" t="s">
        <v>66</v>
      </c>
      <c r="E91" s="238" t="s">
        <v>66</v>
      </c>
      <c r="F91" s="238" t="s">
        <v>66</v>
      </c>
      <c r="G91" s="238" t="s">
        <v>376</v>
      </c>
      <c r="H91" s="238" t="s">
        <v>396</v>
      </c>
      <c r="I91" s="273" t="s">
        <v>397</v>
      </c>
      <c r="J91" s="233" t="s">
        <v>398</v>
      </c>
      <c r="K91" s="252">
        <f>4*5</f>
        <v>20</v>
      </c>
      <c r="L91" s="256">
        <f>(579714+(4*416239))*1000</f>
        <v>2244670000</v>
      </c>
      <c r="M91" s="252">
        <f>1*4</f>
        <v>4</v>
      </c>
      <c r="N91" s="256">
        <v>579714000</v>
      </c>
      <c r="O91" s="252">
        <v>4</v>
      </c>
      <c r="P91" s="256">
        <v>416239000</v>
      </c>
      <c r="Q91" s="252">
        <v>0</v>
      </c>
      <c r="R91" s="256">
        <v>0</v>
      </c>
      <c r="S91" s="2828" t="s">
        <v>2034</v>
      </c>
      <c r="T91" s="2826">
        <v>5940300</v>
      </c>
      <c r="U91" s="245">
        <v>4</v>
      </c>
      <c r="V91" s="2403">
        <v>335910700</v>
      </c>
      <c r="W91" s="245"/>
      <c r="X91" s="252"/>
      <c r="Y91" s="2328">
        <f t="shared" si="23"/>
        <v>4</v>
      </c>
      <c r="Z91" s="2493">
        <f t="shared" si="27"/>
        <v>341851000</v>
      </c>
      <c r="AA91" s="310">
        <f t="shared" si="28"/>
        <v>8</v>
      </c>
      <c r="AB91" s="2493">
        <f t="shared" si="28"/>
        <v>921565000</v>
      </c>
      <c r="AC91" s="298">
        <f t="shared" si="29"/>
        <v>40</v>
      </c>
      <c r="AD91" s="298">
        <f t="shared" si="26"/>
        <v>41.055700837985093</v>
      </c>
      <c r="AE91" s="245"/>
      <c r="AF91" s="2266"/>
      <c r="AG91" s="2266"/>
      <c r="AH91" s="2266"/>
      <c r="AI91" s="2266"/>
      <c r="AJ91" s="2266"/>
      <c r="AK91" s="2266"/>
      <c r="AL91" s="2266"/>
      <c r="AM91" s="2266"/>
      <c r="AN91" s="2266"/>
      <c r="AO91" s="2266"/>
      <c r="AP91" s="2266"/>
      <c r="AQ91" s="2266"/>
      <c r="AR91" s="2266"/>
      <c r="AS91" s="2266"/>
      <c r="AT91" s="2266"/>
      <c r="AU91" s="2266"/>
      <c r="AV91" s="2266"/>
      <c r="AW91" s="2266"/>
      <c r="AX91" s="2266"/>
      <c r="AY91" s="2266"/>
      <c r="AZ91" s="2266"/>
      <c r="BA91" s="2266"/>
      <c r="BB91" s="2266"/>
      <c r="BC91" s="2266"/>
      <c r="BD91" s="2266"/>
      <c r="BE91" s="2266"/>
      <c r="BF91" s="2266"/>
      <c r="BG91" s="2266"/>
      <c r="BH91" s="2266"/>
      <c r="BI91" s="2266"/>
      <c r="BJ91" s="2266"/>
      <c r="BK91" s="2266"/>
      <c r="BL91" s="2266"/>
      <c r="BM91" s="2266"/>
      <c r="BN91" s="2266"/>
      <c r="BO91" s="2266"/>
      <c r="BP91" s="2266"/>
      <c r="BQ91" s="2266"/>
      <c r="BR91" s="2266"/>
      <c r="BS91" s="2266"/>
      <c r="BT91" s="2266"/>
      <c r="BU91" s="2266"/>
      <c r="BV91" s="2266"/>
      <c r="BW91" s="2266"/>
      <c r="BX91" s="2266"/>
    </row>
    <row r="92" spans="1:76" s="244" customFormat="1" ht="51" customHeight="1">
      <c r="A92" s="3139"/>
      <c r="B92" s="233"/>
      <c r="C92" s="3797">
        <v>1</v>
      </c>
      <c r="D92" s="238" t="s">
        <v>66</v>
      </c>
      <c r="E92" s="238" t="s">
        <v>66</v>
      </c>
      <c r="F92" s="238" t="s">
        <v>66</v>
      </c>
      <c r="G92" s="238" t="s">
        <v>376</v>
      </c>
      <c r="H92" s="238" t="s">
        <v>399</v>
      </c>
      <c r="I92" s="233" t="s">
        <v>397</v>
      </c>
      <c r="J92" s="233" t="s">
        <v>400</v>
      </c>
      <c r="K92" s="310">
        <f>2*6</f>
        <v>12</v>
      </c>
      <c r="L92" s="237">
        <f>(116950+118484+(4*130789))*1000</f>
        <v>758590000</v>
      </c>
      <c r="M92" s="2332">
        <f>2*2</f>
        <v>4</v>
      </c>
      <c r="N92" s="309">
        <f>(116950+118484)*1000</f>
        <v>235434000</v>
      </c>
      <c r="O92" s="310">
        <v>2</v>
      </c>
      <c r="P92" s="240">
        <v>130789000</v>
      </c>
      <c r="Q92" s="2332">
        <v>0</v>
      </c>
      <c r="R92" s="237">
        <v>0</v>
      </c>
      <c r="S92" s="3139">
        <v>2</v>
      </c>
      <c r="T92" s="2824">
        <v>125660500</v>
      </c>
      <c r="U92" s="245"/>
      <c r="V92" s="2403">
        <v>1879000</v>
      </c>
      <c r="W92" s="245"/>
      <c r="X92" s="252"/>
      <c r="Y92" s="2328">
        <f t="shared" si="23"/>
        <v>2</v>
      </c>
      <c r="Z92" s="2493">
        <f t="shared" si="27"/>
        <v>127539500</v>
      </c>
      <c r="AA92" s="310">
        <f t="shared" si="28"/>
        <v>6</v>
      </c>
      <c r="AB92" s="2493">
        <f t="shared" si="28"/>
        <v>362973500</v>
      </c>
      <c r="AC92" s="298">
        <f t="shared" si="29"/>
        <v>50</v>
      </c>
      <c r="AD92" s="298">
        <f t="shared" si="26"/>
        <v>47.84844250517407</v>
      </c>
      <c r="AE92" s="245"/>
      <c r="AF92" s="2266"/>
      <c r="AG92" s="2266"/>
      <c r="AH92" s="2266"/>
      <c r="AI92" s="2266"/>
      <c r="AJ92" s="2266"/>
      <c r="AK92" s="2266"/>
      <c r="AL92" s="2266"/>
      <c r="AM92" s="2266"/>
      <c r="AN92" s="2266"/>
      <c r="AO92" s="2266"/>
      <c r="AP92" s="2266"/>
      <c r="AQ92" s="2266"/>
      <c r="AR92" s="2266"/>
      <c r="AS92" s="2266"/>
      <c r="AT92" s="2266"/>
      <c r="AU92" s="2266"/>
      <c r="AV92" s="2266"/>
      <c r="AW92" s="2266"/>
      <c r="AX92" s="2266"/>
      <c r="AY92" s="2266"/>
      <c r="AZ92" s="2266"/>
      <c r="BA92" s="2266"/>
      <c r="BB92" s="2266"/>
      <c r="BC92" s="2266"/>
      <c r="BD92" s="2266"/>
      <c r="BE92" s="2266"/>
      <c r="BF92" s="2266"/>
      <c r="BG92" s="2266"/>
      <c r="BH92" s="2266"/>
      <c r="BI92" s="2266"/>
      <c r="BJ92" s="2266"/>
      <c r="BK92" s="2266"/>
      <c r="BL92" s="2266"/>
      <c r="BM92" s="2266"/>
      <c r="BN92" s="2266"/>
      <c r="BO92" s="2266"/>
      <c r="BP92" s="2266"/>
      <c r="BQ92" s="2266"/>
      <c r="BR92" s="2266"/>
      <c r="BS92" s="2266"/>
      <c r="BT92" s="2266"/>
      <c r="BU92" s="2266"/>
      <c r="BV92" s="2266"/>
      <c r="BW92" s="2266"/>
      <c r="BX92" s="2266"/>
    </row>
    <row r="93" spans="1:76" s="244" customFormat="1" ht="46.5" customHeight="1">
      <c r="A93" s="3139"/>
      <c r="B93" s="238"/>
      <c r="C93" s="238" t="s">
        <v>66</v>
      </c>
      <c r="D93" s="238" t="s">
        <v>146</v>
      </c>
      <c r="E93" s="238" t="s">
        <v>66</v>
      </c>
      <c r="F93" s="238" t="s">
        <v>196</v>
      </c>
      <c r="G93" s="238" t="s">
        <v>376</v>
      </c>
      <c r="H93" s="238" t="s">
        <v>401</v>
      </c>
      <c r="I93" s="233" t="s">
        <v>402</v>
      </c>
      <c r="J93" s="233" t="s">
        <v>434</v>
      </c>
      <c r="K93" s="252">
        <f>25*6</f>
        <v>150</v>
      </c>
      <c r="L93" s="256">
        <f>(250000+223225+230000+235000+240000)*1000</f>
        <v>1178225000</v>
      </c>
      <c r="M93" s="252">
        <v>25</v>
      </c>
      <c r="N93" s="256">
        <f>25000000</f>
        <v>25000000</v>
      </c>
      <c r="O93" s="252">
        <v>25</v>
      </c>
      <c r="P93" s="256">
        <v>223225000</v>
      </c>
      <c r="Q93" s="252">
        <v>0</v>
      </c>
      <c r="R93" s="256">
        <v>0</v>
      </c>
      <c r="S93" s="3139">
        <v>0</v>
      </c>
      <c r="T93" s="2824">
        <v>0</v>
      </c>
      <c r="U93" s="245">
        <v>0</v>
      </c>
      <c r="V93" s="2403">
        <v>0</v>
      </c>
      <c r="W93" s="245"/>
      <c r="X93" s="252"/>
      <c r="Y93" s="2328">
        <f t="shared" si="23"/>
        <v>0</v>
      </c>
      <c r="Z93" s="2493">
        <f t="shared" si="27"/>
        <v>0</v>
      </c>
      <c r="AA93" s="310">
        <f t="shared" ref="AA93:AB97" si="30">M93+Y93</f>
        <v>25</v>
      </c>
      <c r="AB93" s="2493">
        <f t="shared" si="30"/>
        <v>25000000</v>
      </c>
      <c r="AC93" s="298">
        <f>(AA93/K93)*100</f>
        <v>16.666666666666664</v>
      </c>
      <c r="AD93" s="298">
        <f t="shared" si="26"/>
        <v>2.1218358123448406</v>
      </c>
      <c r="AE93" s="245"/>
      <c r="AF93" s="2266"/>
      <c r="AG93" s="2266"/>
      <c r="AH93" s="2266"/>
      <c r="AI93" s="2266"/>
      <c r="AJ93" s="2266"/>
      <c r="AK93" s="2266"/>
      <c r="AL93" s="2266"/>
      <c r="AM93" s="2266"/>
      <c r="AN93" s="2266"/>
      <c r="AO93" s="2266"/>
      <c r="AP93" s="2266"/>
      <c r="AQ93" s="2266"/>
      <c r="AR93" s="2266"/>
      <c r="AS93" s="2266"/>
      <c r="AT93" s="2266"/>
      <c r="AU93" s="2266"/>
      <c r="AV93" s="2266"/>
      <c r="AW93" s="2266"/>
      <c r="AX93" s="2266"/>
      <c r="AY93" s="2266"/>
      <c r="AZ93" s="2266"/>
      <c r="BA93" s="2266"/>
      <c r="BB93" s="2266"/>
      <c r="BC93" s="2266"/>
      <c r="BD93" s="2266"/>
      <c r="BE93" s="2266"/>
      <c r="BF93" s="2266"/>
      <c r="BG93" s="2266"/>
      <c r="BH93" s="2266"/>
      <c r="BI93" s="2266"/>
      <c r="BJ93" s="2266"/>
      <c r="BK93" s="2266"/>
      <c r="BL93" s="2266"/>
      <c r="BM93" s="2266"/>
      <c r="BN93" s="2266"/>
      <c r="BO93" s="2266"/>
      <c r="BP93" s="2266"/>
      <c r="BQ93" s="2266"/>
      <c r="BR93" s="2266"/>
      <c r="BS93" s="2266"/>
      <c r="BT93" s="2266"/>
      <c r="BU93" s="2266"/>
      <c r="BV93" s="2266"/>
      <c r="BW93" s="2266"/>
      <c r="BX93" s="2266"/>
    </row>
    <row r="94" spans="1:76" s="244" customFormat="1" ht="72.75" customHeight="1">
      <c r="A94" s="3139"/>
      <c r="B94" s="233"/>
      <c r="C94" s="3797">
        <v>1</v>
      </c>
      <c r="D94" s="238" t="s">
        <v>66</v>
      </c>
      <c r="E94" s="238" t="s">
        <v>66</v>
      </c>
      <c r="F94" s="238" t="s">
        <v>66</v>
      </c>
      <c r="G94" s="238" t="s">
        <v>376</v>
      </c>
      <c r="H94" s="238" t="s">
        <v>403</v>
      </c>
      <c r="I94" s="273" t="s">
        <v>404</v>
      </c>
      <c r="J94" s="233" t="s">
        <v>405</v>
      </c>
      <c r="K94" s="310">
        <f>8+9+(4*7)</f>
        <v>45</v>
      </c>
      <c r="L94" s="237">
        <f>(400530+(5*433382))*1000</f>
        <v>2567440000</v>
      </c>
      <c r="M94" s="2332">
        <f>8+9</f>
        <v>17</v>
      </c>
      <c r="N94" s="309">
        <f>(400530+433382)*1000</f>
        <v>833912000</v>
      </c>
      <c r="O94" s="310">
        <v>7</v>
      </c>
      <c r="P94" s="240">
        <v>433382000</v>
      </c>
      <c r="Q94" s="2332">
        <v>1</v>
      </c>
      <c r="R94" s="237">
        <v>53546000</v>
      </c>
      <c r="S94" s="3139">
        <v>7</v>
      </c>
      <c r="T94" s="2824">
        <v>342038950</v>
      </c>
      <c r="U94" s="3139">
        <v>7</v>
      </c>
      <c r="V94" s="2493">
        <v>372309950</v>
      </c>
      <c r="W94" s="3139"/>
      <c r="X94" s="310"/>
      <c r="Y94" s="2328">
        <f t="shared" si="23"/>
        <v>15</v>
      </c>
      <c r="Z94" s="2493">
        <f t="shared" si="27"/>
        <v>767894900</v>
      </c>
      <c r="AA94" s="310">
        <f t="shared" si="30"/>
        <v>32</v>
      </c>
      <c r="AB94" s="2493">
        <f t="shared" si="30"/>
        <v>1601806900</v>
      </c>
      <c r="AC94" s="298">
        <v>30</v>
      </c>
      <c r="AD94" s="298">
        <f t="shared" si="26"/>
        <v>62.389263234973356</v>
      </c>
      <c r="AE94" s="245"/>
      <c r="AF94" s="2266"/>
      <c r="AG94" s="2266"/>
      <c r="AH94" s="2266"/>
      <c r="AI94" s="2266"/>
      <c r="AJ94" s="2266"/>
      <c r="AK94" s="2266"/>
      <c r="AL94" s="2266"/>
      <c r="AM94" s="2266"/>
      <c r="AN94" s="2266"/>
      <c r="AO94" s="2266"/>
      <c r="AP94" s="2266"/>
      <c r="AQ94" s="2266"/>
      <c r="AR94" s="2266"/>
      <c r="AS94" s="2266"/>
      <c r="AT94" s="2266"/>
      <c r="AU94" s="2266"/>
      <c r="AV94" s="2266"/>
      <c r="AW94" s="2266"/>
      <c r="AX94" s="2266"/>
      <c r="AY94" s="2266"/>
      <c r="AZ94" s="2266"/>
      <c r="BA94" s="2266"/>
      <c r="BB94" s="2266"/>
      <c r="BC94" s="2266"/>
      <c r="BD94" s="2266"/>
      <c r="BE94" s="2266"/>
      <c r="BF94" s="2266"/>
      <c r="BG94" s="2266"/>
      <c r="BH94" s="2266"/>
      <c r="BI94" s="2266"/>
      <c r="BJ94" s="2266"/>
      <c r="BK94" s="2266"/>
      <c r="BL94" s="2266"/>
      <c r="BM94" s="2266"/>
      <c r="BN94" s="2266"/>
      <c r="BO94" s="2266"/>
      <c r="BP94" s="2266"/>
      <c r="BQ94" s="2266"/>
      <c r="BR94" s="2266"/>
      <c r="BS94" s="2266"/>
      <c r="BT94" s="2266"/>
      <c r="BU94" s="2266"/>
      <c r="BV94" s="2266"/>
      <c r="BW94" s="2266"/>
      <c r="BX94" s="2266"/>
    </row>
    <row r="95" spans="1:76" s="244" customFormat="1" ht="70.5" customHeight="1">
      <c r="A95" s="3139"/>
      <c r="B95" s="233"/>
      <c r="C95" s="238" t="s">
        <v>66</v>
      </c>
      <c r="D95" s="238" t="s">
        <v>66</v>
      </c>
      <c r="E95" s="238" t="s">
        <v>66</v>
      </c>
      <c r="F95" s="238" t="s">
        <v>66</v>
      </c>
      <c r="G95" s="238">
        <v>20</v>
      </c>
      <c r="H95" s="238">
        <v>40</v>
      </c>
      <c r="I95" s="315" t="s">
        <v>406</v>
      </c>
      <c r="J95" s="233" t="s">
        <v>407</v>
      </c>
      <c r="K95" s="310">
        <v>4</v>
      </c>
      <c r="L95" s="316">
        <f>4*84220000</f>
        <v>336880000</v>
      </c>
      <c r="M95" s="2332">
        <v>0</v>
      </c>
      <c r="N95" s="256">
        <v>0</v>
      </c>
      <c r="O95" s="310">
        <v>1</v>
      </c>
      <c r="P95" s="317">
        <v>84220000</v>
      </c>
      <c r="Q95" s="2332">
        <v>1</v>
      </c>
      <c r="R95" s="237">
        <v>58120000</v>
      </c>
      <c r="S95" s="245">
        <v>0</v>
      </c>
      <c r="T95" s="2824">
        <v>0</v>
      </c>
      <c r="U95" s="3139">
        <v>1</v>
      </c>
      <c r="V95" s="2493">
        <v>400000</v>
      </c>
      <c r="W95" s="3139"/>
      <c r="X95" s="310"/>
      <c r="Y95" s="2328">
        <f t="shared" si="23"/>
        <v>2</v>
      </c>
      <c r="Z95" s="2493">
        <f t="shared" si="27"/>
        <v>58520000</v>
      </c>
      <c r="AA95" s="310">
        <f t="shared" si="30"/>
        <v>2</v>
      </c>
      <c r="AB95" s="2493">
        <f t="shared" si="30"/>
        <v>58520000</v>
      </c>
      <c r="AC95" s="298">
        <f>(AA95/K95)*100</f>
        <v>50</v>
      </c>
      <c r="AD95" s="298">
        <f t="shared" si="26"/>
        <v>17.37117074329138</v>
      </c>
      <c r="AE95" s="245"/>
      <c r="AF95" s="2266"/>
      <c r="AG95" s="2266"/>
      <c r="AH95" s="2266"/>
      <c r="AI95" s="2266"/>
      <c r="AJ95" s="2266"/>
      <c r="AK95" s="2266"/>
      <c r="AL95" s="2266"/>
      <c r="AM95" s="2266"/>
      <c r="AN95" s="2266"/>
      <c r="AO95" s="2266"/>
      <c r="AP95" s="2266"/>
      <c r="AQ95" s="2266"/>
      <c r="AR95" s="2266"/>
      <c r="AS95" s="2266"/>
      <c r="AT95" s="2266"/>
      <c r="AU95" s="2266"/>
      <c r="AV95" s="2266"/>
      <c r="AW95" s="2266"/>
      <c r="AX95" s="2266"/>
      <c r="AY95" s="2266"/>
      <c r="AZ95" s="2266"/>
      <c r="BA95" s="2266"/>
      <c r="BB95" s="2266"/>
      <c r="BC95" s="2266"/>
      <c r="BD95" s="2266"/>
      <c r="BE95" s="2266"/>
      <c r="BF95" s="2266"/>
      <c r="BG95" s="2266"/>
      <c r="BH95" s="2266"/>
      <c r="BI95" s="2266"/>
      <c r="BJ95" s="2266"/>
      <c r="BK95" s="2266"/>
      <c r="BL95" s="2266"/>
      <c r="BM95" s="2266"/>
      <c r="BN95" s="2266"/>
      <c r="BO95" s="2266"/>
      <c r="BP95" s="2266"/>
      <c r="BQ95" s="2266"/>
      <c r="BR95" s="2266"/>
      <c r="BS95" s="2266"/>
      <c r="BT95" s="2266"/>
      <c r="BU95" s="2266"/>
      <c r="BV95" s="2266"/>
      <c r="BW95" s="2266"/>
      <c r="BX95" s="2266"/>
    </row>
    <row r="96" spans="1:76" s="244" customFormat="1" ht="36.75" customHeight="1">
      <c r="A96" s="3139"/>
      <c r="B96" s="233"/>
      <c r="C96" s="238" t="s">
        <v>66</v>
      </c>
      <c r="D96" s="238" t="s">
        <v>66</v>
      </c>
      <c r="E96" s="238" t="s">
        <v>66</v>
      </c>
      <c r="F96" s="238" t="s">
        <v>66</v>
      </c>
      <c r="G96" s="238">
        <v>20</v>
      </c>
      <c r="H96" s="238">
        <v>42</v>
      </c>
      <c r="I96" s="318" t="s">
        <v>408</v>
      </c>
      <c r="J96" s="233" t="s">
        <v>409</v>
      </c>
      <c r="K96" s="310">
        <v>2</v>
      </c>
      <c r="L96" s="316">
        <f>K96*150000000</f>
        <v>300000000</v>
      </c>
      <c r="M96" s="2332">
        <v>0</v>
      </c>
      <c r="N96" s="256">
        <v>0</v>
      </c>
      <c r="O96" s="310">
        <v>1</v>
      </c>
      <c r="P96" s="317">
        <v>150000000</v>
      </c>
      <c r="Q96" s="2332">
        <v>0</v>
      </c>
      <c r="R96" s="256">
        <v>0</v>
      </c>
      <c r="S96" s="3139"/>
      <c r="T96" s="240"/>
      <c r="U96" s="3139">
        <v>0</v>
      </c>
      <c r="V96" s="2493"/>
      <c r="W96" s="3139"/>
      <c r="X96" s="310"/>
      <c r="Y96" s="2328">
        <f t="shared" si="23"/>
        <v>0</v>
      </c>
      <c r="Z96" s="2493">
        <f t="shared" si="27"/>
        <v>0</v>
      </c>
      <c r="AA96" s="310">
        <f t="shared" si="30"/>
        <v>0</v>
      </c>
      <c r="AB96" s="2493">
        <f t="shared" si="30"/>
        <v>0</v>
      </c>
      <c r="AC96" s="298">
        <f>(AA96/K96)*100</f>
        <v>0</v>
      </c>
      <c r="AD96" s="298">
        <f t="shared" si="26"/>
        <v>0</v>
      </c>
      <c r="AE96" s="245"/>
      <c r="AF96" s="2266"/>
      <c r="AG96" s="2266"/>
      <c r="AH96" s="2266"/>
      <c r="AI96" s="2266"/>
      <c r="AJ96" s="2266"/>
      <c r="AK96" s="2266"/>
      <c r="AL96" s="2266"/>
      <c r="AM96" s="2266"/>
      <c r="AN96" s="2266"/>
      <c r="AO96" s="2266"/>
      <c r="AP96" s="2266"/>
      <c r="AQ96" s="2266"/>
      <c r="AR96" s="2266"/>
      <c r="AS96" s="2266"/>
      <c r="AT96" s="2266"/>
      <c r="AU96" s="2266"/>
      <c r="AV96" s="2266"/>
      <c r="AW96" s="2266"/>
      <c r="AX96" s="2266"/>
      <c r="AY96" s="2266"/>
      <c r="AZ96" s="2266"/>
      <c r="BA96" s="2266"/>
      <c r="BB96" s="2266"/>
      <c r="BC96" s="2266"/>
      <c r="BD96" s="2266"/>
      <c r="BE96" s="2266"/>
      <c r="BF96" s="2266"/>
      <c r="BG96" s="2266"/>
      <c r="BH96" s="2266"/>
      <c r="BI96" s="2266"/>
      <c r="BJ96" s="2266"/>
      <c r="BK96" s="2266"/>
      <c r="BL96" s="2266"/>
      <c r="BM96" s="2266"/>
      <c r="BN96" s="2266"/>
      <c r="BO96" s="2266"/>
      <c r="BP96" s="2266"/>
      <c r="BQ96" s="2266"/>
      <c r="BR96" s="2266"/>
      <c r="BS96" s="2266"/>
      <c r="BT96" s="2266"/>
      <c r="BU96" s="2266"/>
      <c r="BV96" s="2266"/>
      <c r="BW96" s="2266"/>
      <c r="BX96" s="2266"/>
    </row>
    <row r="97" spans="1:76" s="244" customFormat="1" ht="47.25" customHeight="1">
      <c r="A97" s="3139"/>
      <c r="B97" s="233"/>
      <c r="C97" s="3797">
        <v>1</v>
      </c>
      <c r="D97" s="238" t="s">
        <v>66</v>
      </c>
      <c r="E97" s="238" t="s">
        <v>66</v>
      </c>
      <c r="F97" s="238" t="s">
        <v>66</v>
      </c>
      <c r="G97" s="238" t="s">
        <v>376</v>
      </c>
      <c r="H97" s="238" t="s">
        <v>396</v>
      </c>
      <c r="I97" s="273" t="s">
        <v>410</v>
      </c>
      <c r="J97" s="233" t="s">
        <v>411</v>
      </c>
      <c r="K97" s="252">
        <f>1250+(4*1283)</f>
        <v>6382</v>
      </c>
      <c r="L97" s="256">
        <f>(8437500+(4*11584200))*1000</f>
        <v>54774300000</v>
      </c>
      <c r="M97" s="2528">
        <v>1250</v>
      </c>
      <c r="N97" s="256">
        <v>8437500000</v>
      </c>
      <c r="O97" s="2528">
        <v>1283</v>
      </c>
      <c r="P97" s="256">
        <v>11584200000</v>
      </c>
      <c r="Q97" s="252">
        <v>0</v>
      </c>
      <c r="R97" s="256">
        <v>0</v>
      </c>
      <c r="S97" s="245"/>
      <c r="T97" s="240">
        <v>5751300000</v>
      </c>
      <c r="U97" s="245">
        <v>1283</v>
      </c>
      <c r="V97" s="2403">
        <v>967250000</v>
      </c>
      <c r="W97" s="245"/>
      <c r="X97" s="252"/>
      <c r="Y97" s="2328">
        <f t="shared" si="23"/>
        <v>1283</v>
      </c>
      <c r="Z97" s="2493">
        <f t="shared" si="27"/>
        <v>6718550000</v>
      </c>
      <c r="AA97" s="310">
        <f t="shared" si="30"/>
        <v>2533</v>
      </c>
      <c r="AB97" s="2493">
        <f t="shared" si="30"/>
        <v>15156050000</v>
      </c>
      <c r="AC97" s="298">
        <f>(AA97/K97)*100</f>
        <v>39.689752428705731</v>
      </c>
      <c r="AD97" s="298">
        <f t="shared" si="26"/>
        <v>27.670002172551726</v>
      </c>
      <c r="AE97" s="245"/>
      <c r="AF97" s="2266"/>
      <c r="AG97" s="2266"/>
      <c r="AH97" s="2266"/>
      <c r="AI97" s="2266"/>
      <c r="AJ97" s="2266"/>
      <c r="AK97" s="2266"/>
      <c r="AL97" s="2266"/>
      <c r="AM97" s="2266"/>
      <c r="AN97" s="2266"/>
      <c r="AO97" s="2266"/>
      <c r="AP97" s="2266"/>
      <c r="AQ97" s="2266"/>
      <c r="AR97" s="2266"/>
      <c r="AS97" s="2266"/>
      <c r="AT97" s="2266"/>
      <c r="AU97" s="2266"/>
      <c r="AV97" s="2266"/>
      <c r="AW97" s="2266"/>
      <c r="AX97" s="2266"/>
      <c r="AY97" s="2266"/>
      <c r="AZ97" s="2266"/>
      <c r="BA97" s="2266"/>
      <c r="BB97" s="2266"/>
      <c r="BC97" s="2266"/>
      <c r="BD97" s="2266"/>
      <c r="BE97" s="2266"/>
      <c r="BF97" s="2266"/>
      <c r="BG97" s="2266"/>
      <c r="BH97" s="2266"/>
      <c r="BI97" s="2266"/>
      <c r="BJ97" s="2266"/>
      <c r="BK97" s="2266"/>
      <c r="BL97" s="2266"/>
      <c r="BM97" s="2266"/>
      <c r="BN97" s="2266"/>
      <c r="BO97" s="2266"/>
      <c r="BP97" s="2266"/>
      <c r="BQ97" s="2266"/>
      <c r="BR97" s="2266"/>
      <c r="BS97" s="2266"/>
      <c r="BT97" s="2266"/>
      <c r="BU97" s="2266"/>
      <c r="BV97" s="2266"/>
      <c r="BW97" s="2266"/>
      <c r="BX97" s="2266"/>
    </row>
    <row r="98" spans="1:76" s="295" customFormat="1" ht="27" customHeight="1">
      <c r="A98" s="4072">
        <v>8</v>
      </c>
      <c r="B98" s="4073"/>
      <c r="C98" s="4074" t="s">
        <v>66</v>
      </c>
      <c r="D98" s="4074" t="s">
        <v>66</v>
      </c>
      <c r="E98" s="4074" t="s">
        <v>66</v>
      </c>
      <c r="F98" s="4074" t="s">
        <v>66</v>
      </c>
      <c r="G98" s="4074" t="s">
        <v>163</v>
      </c>
      <c r="H98" s="4066"/>
      <c r="I98" s="4075" t="s">
        <v>412</v>
      </c>
      <c r="J98" s="2501" t="s">
        <v>413</v>
      </c>
      <c r="K98" s="2636">
        <v>85</v>
      </c>
      <c r="L98" s="2636">
        <f t="shared" ref="L98:R98" si="31">SUM(L100:L106)</f>
        <v>6599059080</v>
      </c>
      <c r="M98" s="2636">
        <v>70</v>
      </c>
      <c r="N98" s="2636">
        <f t="shared" si="31"/>
        <v>1837680760</v>
      </c>
      <c r="O98" s="2636">
        <v>3</v>
      </c>
      <c r="P98" s="2636">
        <f t="shared" si="31"/>
        <v>1183944780</v>
      </c>
      <c r="Q98" s="2636">
        <v>1</v>
      </c>
      <c r="R98" s="2636">
        <f t="shared" si="31"/>
        <v>124037000</v>
      </c>
      <c r="S98" s="3135">
        <f>SUM(S99:S105)</f>
        <v>56</v>
      </c>
      <c r="T98" s="2667">
        <f>SUM(T99:T105)</f>
        <v>364019816</v>
      </c>
      <c r="U98" s="3135"/>
      <c r="V98" s="2667">
        <f>SUM(V99:V105)</f>
        <v>289178444</v>
      </c>
      <c r="W98" s="3135"/>
      <c r="X98" s="2502"/>
      <c r="Y98" s="2755">
        <f t="shared" si="23"/>
        <v>57</v>
      </c>
      <c r="Z98" s="2581">
        <f t="shared" ref="Z98:Z106" si="32">R98+T98+V98+X98</f>
        <v>777235260</v>
      </c>
      <c r="AA98" s="2577">
        <f>M98+Y98</f>
        <v>127</v>
      </c>
      <c r="AB98" s="2581">
        <f>SUM(AB100:AB106)</f>
        <v>2641391820</v>
      </c>
      <c r="AC98" s="2584">
        <v>85</v>
      </c>
      <c r="AD98" s="2584">
        <f t="shared" ref="AD98:AD106" si="33">(AB98/L98)*100</f>
        <v>40.026794547200808</v>
      </c>
      <c r="AE98" s="4288" t="s">
        <v>175</v>
      </c>
      <c r="AF98" s="353"/>
      <c r="AG98" s="353"/>
      <c r="AH98" s="353"/>
      <c r="AI98" s="353"/>
      <c r="AJ98" s="353"/>
      <c r="AK98" s="353"/>
      <c r="AL98" s="353"/>
      <c r="AM98" s="353"/>
      <c r="AN98" s="353"/>
      <c r="AO98" s="353"/>
      <c r="AP98" s="353"/>
      <c r="AQ98" s="353"/>
      <c r="AR98" s="353"/>
      <c r="AS98" s="353"/>
      <c r="AT98" s="353"/>
      <c r="AU98" s="353"/>
      <c r="AV98" s="353"/>
      <c r="AW98" s="353"/>
      <c r="AX98" s="353"/>
      <c r="AY98" s="353"/>
      <c r="AZ98" s="353"/>
      <c r="BA98" s="353"/>
      <c r="BB98" s="353"/>
      <c r="BC98" s="353"/>
      <c r="BD98" s="353"/>
      <c r="BE98" s="353"/>
      <c r="BF98" s="353"/>
      <c r="BG98" s="353"/>
      <c r="BH98" s="353"/>
      <c r="BI98" s="353"/>
      <c r="BJ98" s="353"/>
      <c r="BK98" s="353"/>
      <c r="BL98" s="353"/>
      <c r="BM98" s="353"/>
      <c r="BN98" s="353"/>
      <c r="BO98" s="353"/>
      <c r="BP98" s="353"/>
      <c r="BQ98" s="353"/>
      <c r="BR98" s="353"/>
      <c r="BS98" s="353"/>
      <c r="BT98" s="353"/>
      <c r="BU98" s="353"/>
      <c r="BV98" s="353"/>
      <c r="BW98" s="353"/>
      <c r="BX98" s="353"/>
    </row>
    <row r="99" spans="1:76" s="295" customFormat="1" ht="33.75" customHeight="1">
      <c r="A99" s="4061"/>
      <c r="B99" s="4064"/>
      <c r="C99" s="4076"/>
      <c r="D99" s="4076"/>
      <c r="E99" s="4076"/>
      <c r="F99" s="4076"/>
      <c r="G99" s="4076"/>
      <c r="H99" s="4070"/>
      <c r="I99" s="4077"/>
      <c r="J99" s="2501" t="s">
        <v>414</v>
      </c>
      <c r="K99" s="2636">
        <v>85</v>
      </c>
      <c r="L99" s="2636"/>
      <c r="M99" s="2636">
        <v>40</v>
      </c>
      <c r="N99" s="2636"/>
      <c r="O99" s="2636">
        <v>44</v>
      </c>
      <c r="P99" s="2636"/>
      <c r="Q99" s="2636"/>
      <c r="R99" s="2636"/>
      <c r="S99" s="2640"/>
      <c r="T99" s="2889"/>
      <c r="U99" s="3135"/>
      <c r="V99" s="2445"/>
      <c r="W99" s="3135"/>
      <c r="X99" s="2502"/>
      <c r="Y99" s="2755">
        <f t="shared" si="23"/>
        <v>0</v>
      </c>
      <c r="Z99" s="2581">
        <f t="shared" si="32"/>
        <v>0</v>
      </c>
      <c r="AA99" s="2577"/>
      <c r="AB99" s="2581"/>
      <c r="AC99" s="2584"/>
      <c r="AD99" s="2584"/>
      <c r="AE99" s="4288"/>
      <c r="AF99" s="353"/>
      <c r="AG99" s="353"/>
      <c r="AH99" s="353"/>
      <c r="AI99" s="353"/>
      <c r="AJ99" s="353"/>
      <c r="AK99" s="353"/>
      <c r="AL99" s="353"/>
      <c r="AM99" s="353"/>
      <c r="AN99" s="353"/>
      <c r="AO99" s="353"/>
      <c r="AP99" s="353"/>
      <c r="AQ99" s="353"/>
      <c r="AR99" s="353"/>
      <c r="AS99" s="353"/>
      <c r="AT99" s="353"/>
      <c r="AU99" s="353"/>
      <c r="AV99" s="353"/>
      <c r="AW99" s="353"/>
      <c r="AX99" s="353"/>
      <c r="AY99" s="353"/>
      <c r="AZ99" s="353"/>
      <c r="BA99" s="353"/>
      <c r="BB99" s="353"/>
      <c r="BC99" s="353"/>
      <c r="BD99" s="353"/>
      <c r="BE99" s="353"/>
      <c r="BF99" s="353"/>
      <c r="BG99" s="353"/>
      <c r="BH99" s="353"/>
      <c r="BI99" s="353"/>
      <c r="BJ99" s="353"/>
      <c r="BK99" s="353"/>
      <c r="BL99" s="353"/>
      <c r="BM99" s="353"/>
      <c r="BN99" s="353"/>
      <c r="BO99" s="353"/>
      <c r="BP99" s="353"/>
      <c r="BQ99" s="353"/>
      <c r="BR99" s="353"/>
      <c r="BS99" s="353"/>
      <c r="BT99" s="353"/>
      <c r="BU99" s="353"/>
      <c r="BV99" s="353"/>
      <c r="BW99" s="353"/>
      <c r="BX99" s="353"/>
    </row>
    <row r="100" spans="1:76" s="244" customFormat="1" ht="54" customHeight="1">
      <c r="A100" s="3139"/>
      <c r="B100" s="233"/>
      <c r="C100" s="258" t="s">
        <v>66</v>
      </c>
      <c r="D100" s="258" t="s">
        <v>66</v>
      </c>
      <c r="E100" s="258" t="s">
        <v>66</v>
      </c>
      <c r="F100" s="258" t="s">
        <v>66</v>
      </c>
      <c r="G100" s="258" t="s">
        <v>163</v>
      </c>
      <c r="H100" s="258" t="s">
        <v>198</v>
      </c>
      <c r="I100" s="235" t="s">
        <v>415</v>
      </c>
      <c r="J100" s="233" t="s">
        <v>416</v>
      </c>
      <c r="K100" s="252">
        <v>6</v>
      </c>
      <c r="L100" s="256">
        <f>K100*P100</f>
        <v>389976000</v>
      </c>
      <c r="M100" s="252">
        <v>2</v>
      </c>
      <c r="N100" s="256">
        <f>M100*P100</f>
        <v>129992000</v>
      </c>
      <c r="O100" s="252">
        <v>1</v>
      </c>
      <c r="P100" s="256">
        <v>64996000</v>
      </c>
      <c r="Q100" s="252">
        <f>50%*O100</f>
        <v>0.5</v>
      </c>
      <c r="R100" s="256">
        <v>20000000</v>
      </c>
      <c r="S100" s="245">
        <v>25</v>
      </c>
      <c r="T100" s="2823">
        <v>5917000</v>
      </c>
      <c r="U100" s="245">
        <v>75</v>
      </c>
      <c r="V100" s="2403">
        <v>23750000</v>
      </c>
      <c r="W100" s="245"/>
      <c r="X100" s="252"/>
      <c r="Y100" s="2328">
        <f t="shared" si="23"/>
        <v>100.5</v>
      </c>
      <c r="Z100" s="2493">
        <f t="shared" si="32"/>
        <v>49667000</v>
      </c>
      <c r="AA100" s="310">
        <f>M100+Y100</f>
        <v>102.5</v>
      </c>
      <c r="AB100" s="2493">
        <f>N100+Z100</f>
        <v>179659000</v>
      </c>
      <c r="AC100" s="298">
        <v>45</v>
      </c>
      <c r="AD100" s="298">
        <f t="shared" si="33"/>
        <v>46.069245286889448</v>
      </c>
      <c r="AE100" s="245"/>
      <c r="AF100" s="2266"/>
      <c r="AG100" s="2266"/>
      <c r="AH100" s="2266"/>
      <c r="AI100" s="2266"/>
      <c r="AJ100" s="2266"/>
      <c r="AK100" s="2266"/>
      <c r="AL100" s="2266"/>
      <c r="AM100" s="2266"/>
      <c r="AN100" s="2266"/>
      <c r="AO100" s="2266"/>
      <c r="AP100" s="2266"/>
      <c r="AQ100" s="2266"/>
      <c r="AR100" s="2266"/>
      <c r="AS100" s="2266"/>
      <c r="AT100" s="2266"/>
      <c r="AU100" s="2266"/>
      <c r="AV100" s="2266"/>
      <c r="AW100" s="2266"/>
      <c r="AX100" s="2266"/>
      <c r="AY100" s="2266"/>
      <c r="AZ100" s="2266"/>
      <c r="BA100" s="2266"/>
      <c r="BB100" s="2266"/>
      <c r="BC100" s="2266"/>
      <c r="BD100" s="2266"/>
      <c r="BE100" s="2266"/>
      <c r="BF100" s="2266"/>
      <c r="BG100" s="2266"/>
      <c r="BH100" s="2266"/>
      <c r="BI100" s="2266"/>
      <c r="BJ100" s="2266"/>
      <c r="BK100" s="2266"/>
      <c r="BL100" s="2266"/>
      <c r="BM100" s="2266"/>
      <c r="BN100" s="2266"/>
      <c r="BO100" s="2266"/>
      <c r="BP100" s="2266"/>
      <c r="BQ100" s="2266"/>
      <c r="BR100" s="2266"/>
      <c r="BS100" s="2266"/>
      <c r="BT100" s="2266"/>
      <c r="BU100" s="2266"/>
      <c r="BV100" s="2266"/>
      <c r="BW100" s="2266"/>
      <c r="BX100" s="2266"/>
    </row>
    <row r="101" spans="1:76" s="244" customFormat="1" ht="59.25" customHeight="1">
      <c r="A101" s="3139"/>
      <c r="B101" s="233"/>
      <c r="C101" s="258" t="s">
        <v>66</v>
      </c>
      <c r="D101" s="258" t="s">
        <v>66</v>
      </c>
      <c r="E101" s="258" t="s">
        <v>66</v>
      </c>
      <c r="F101" s="258" t="s">
        <v>66</v>
      </c>
      <c r="G101" s="258" t="s">
        <v>163</v>
      </c>
      <c r="H101" s="258" t="s">
        <v>417</v>
      </c>
      <c r="I101" s="235" t="s">
        <v>418</v>
      </c>
      <c r="J101" s="233" t="s">
        <v>419</v>
      </c>
      <c r="K101" s="252">
        <v>422</v>
      </c>
      <c r="L101" s="256">
        <f>6*127258000</f>
        <v>763548000</v>
      </c>
      <c r="M101" s="252">
        <v>2</v>
      </c>
      <c r="N101" s="256">
        <f>127258000*M101</f>
        <v>254516000</v>
      </c>
      <c r="O101" s="252">
        <v>1</v>
      </c>
      <c r="P101" s="256">
        <v>120858200</v>
      </c>
      <c r="Q101" s="252">
        <v>0</v>
      </c>
      <c r="R101" s="256">
        <v>0</v>
      </c>
      <c r="S101" s="245">
        <v>0</v>
      </c>
      <c r="T101" s="2823">
        <v>2600000</v>
      </c>
      <c r="U101" s="245">
        <v>1</v>
      </c>
      <c r="V101" s="2403">
        <v>39157000</v>
      </c>
      <c r="W101" s="245"/>
      <c r="X101" s="252"/>
      <c r="Y101" s="2328">
        <f t="shared" si="23"/>
        <v>1</v>
      </c>
      <c r="Z101" s="2493">
        <f t="shared" si="32"/>
        <v>41757000</v>
      </c>
      <c r="AA101" s="310">
        <f t="shared" ref="AA101:AB106" si="34">M101+Y101</f>
        <v>3</v>
      </c>
      <c r="AB101" s="2493">
        <f t="shared" si="34"/>
        <v>296273000</v>
      </c>
      <c r="AC101" s="298">
        <f t="shared" ref="AC101:AC106" si="35">(AA101/K101)*100</f>
        <v>0.7109004739336493</v>
      </c>
      <c r="AD101" s="298">
        <f t="shared" si="33"/>
        <v>38.802144724365725</v>
      </c>
      <c r="AE101" s="245"/>
      <c r="AF101" s="2266"/>
      <c r="AG101" s="2266"/>
      <c r="AH101" s="2266"/>
      <c r="AI101" s="2266"/>
      <c r="AJ101" s="2266"/>
      <c r="AK101" s="2266"/>
      <c r="AL101" s="2266"/>
      <c r="AM101" s="2266"/>
      <c r="AN101" s="2266"/>
      <c r="AO101" s="2266"/>
      <c r="AP101" s="2266"/>
      <c r="AQ101" s="2266"/>
      <c r="AR101" s="2266"/>
      <c r="AS101" s="2266"/>
      <c r="AT101" s="2266"/>
      <c r="AU101" s="2266"/>
      <c r="AV101" s="2266"/>
      <c r="AW101" s="2266"/>
      <c r="AX101" s="2266"/>
      <c r="AY101" s="2266"/>
      <c r="AZ101" s="2266"/>
      <c r="BA101" s="2266"/>
      <c r="BB101" s="2266"/>
      <c r="BC101" s="2266"/>
      <c r="BD101" s="2266"/>
      <c r="BE101" s="2266"/>
      <c r="BF101" s="2266"/>
      <c r="BG101" s="2266"/>
      <c r="BH101" s="2266"/>
      <c r="BI101" s="2266"/>
      <c r="BJ101" s="2266"/>
      <c r="BK101" s="2266"/>
      <c r="BL101" s="2266"/>
      <c r="BM101" s="2266"/>
      <c r="BN101" s="2266"/>
      <c r="BO101" s="2266"/>
      <c r="BP101" s="2266"/>
      <c r="BQ101" s="2266"/>
      <c r="BR101" s="2266"/>
      <c r="BS101" s="2266"/>
      <c r="BT101" s="2266"/>
      <c r="BU101" s="2266"/>
      <c r="BV101" s="2266"/>
      <c r="BW101" s="2266"/>
      <c r="BX101" s="2266"/>
    </row>
    <row r="102" spans="1:76" s="244" customFormat="1" ht="41.25" customHeight="1">
      <c r="A102" s="3139"/>
      <c r="B102" s="233"/>
      <c r="C102" s="258" t="s">
        <v>66</v>
      </c>
      <c r="D102" s="234" t="s">
        <v>66</v>
      </c>
      <c r="E102" s="234" t="s">
        <v>66</v>
      </c>
      <c r="F102" s="234" t="s">
        <v>66</v>
      </c>
      <c r="G102" s="234" t="s">
        <v>163</v>
      </c>
      <c r="H102" s="234" t="s">
        <v>396</v>
      </c>
      <c r="I102" s="233" t="s">
        <v>420</v>
      </c>
      <c r="J102" s="233" t="s">
        <v>421</v>
      </c>
      <c r="K102" s="252">
        <v>6</v>
      </c>
      <c r="L102" s="268">
        <f>6*P102</f>
        <v>3231638280</v>
      </c>
      <c r="M102" s="252">
        <v>2</v>
      </c>
      <c r="N102" s="256">
        <f>P102*2</f>
        <v>1077212760</v>
      </c>
      <c r="O102" s="252">
        <v>1</v>
      </c>
      <c r="P102" s="256">
        <v>538606380</v>
      </c>
      <c r="Q102" s="252">
        <v>0</v>
      </c>
      <c r="R102" s="256">
        <v>50762000</v>
      </c>
      <c r="S102" s="245">
        <v>1</v>
      </c>
      <c r="T102" s="2824">
        <v>135979616</v>
      </c>
      <c r="U102" s="245">
        <v>1</v>
      </c>
      <c r="V102" s="2403">
        <v>190946444</v>
      </c>
      <c r="W102" s="245"/>
      <c r="X102" s="252"/>
      <c r="Y102" s="2328">
        <f t="shared" si="23"/>
        <v>2</v>
      </c>
      <c r="Z102" s="2493">
        <f t="shared" si="32"/>
        <v>377688060</v>
      </c>
      <c r="AA102" s="310">
        <f t="shared" si="34"/>
        <v>4</v>
      </c>
      <c r="AB102" s="2493">
        <f t="shared" si="34"/>
        <v>1454900820</v>
      </c>
      <c r="AC102" s="298">
        <v>5</v>
      </c>
      <c r="AD102" s="298">
        <f t="shared" si="33"/>
        <v>45.020534290737515</v>
      </c>
      <c r="AE102" s="245"/>
      <c r="AF102" s="2266"/>
      <c r="AG102" s="2266"/>
      <c r="AH102" s="2266"/>
      <c r="AI102" s="2266"/>
      <c r="AJ102" s="2266"/>
      <c r="AK102" s="2266"/>
      <c r="AL102" s="2266"/>
      <c r="AM102" s="2266"/>
      <c r="AN102" s="2266"/>
      <c r="AO102" s="2266"/>
      <c r="AP102" s="2266"/>
      <c r="AQ102" s="2266"/>
      <c r="AR102" s="2266"/>
      <c r="AS102" s="2266"/>
      <c r="AT102" s="2266"/>
      <c r="AU102" s="2266"/>
      <c r="AV102" s="2266"/>
      <c r="AW102" s="2266"/>
      <c r="AX102" s="2266"/>
      <c r="AY102" s="2266"/>
      <c r="AZ102" s="2266"/>
      <c r="BA102" s="2266"/>
      <c r="BB102" s="2266"/>
      <c r="BC102" s="2266"/>
      <c r="BD102" s="2266"/>
      <c r="BE102" s="2266"/>
      <c r="BF102" s="2266"/>
      <c r="BG102" s="2266"/>
      <c r="BH102" s="2266"/>
      <c r="BI102" s="2266"/>
      <c r="BJ102" s="2266"/>
      <c r="BK102" s="2266"/>
      <c r="BL102" s="2266"/>
      <c r="BM102" s="2266"/>
      <c r="BN102" s="2266"/>
      <c r="BO102" s="2266"/>
      <c r="BP102" s="2266"/>
      <c r="BQ102" s="2266"/>
      <c r="BR102" s="2266"/>
      <c r="BS102" s="2266"/>
      <c r="BT102" s="2266"/>
      <c r="BU102" s="2266"/>
      <c r="BV102" s="2266"/>
      <c r="BW102" s="2266"/>
      <c r="BX102" s="2266"/>
    </row>
    <row r="103" spans="1:76" s="244" customFormat="1" ht="82.5" customHeight="1">
      <c r="A103" s="3139"/>
      <c r="B103" s="233"/>
      <c r="C103" s="234" t="s">
        <v>66</v>
      </c>
      <c r="D103" s="234" t="s">
        <v>66</v>
      </c>
      <c r="E103" s="234" t="s">
        <v>66</v>
      </c>
      <c r="F103" s="234" t="s">
        <v>66</v>
      </c>
      <c r="G103" s="234">
        <v>22</v>
      </c>
      <c r="H103" s="234">
        <v>18</v>
      </c>
      <c r="I103" s="315" t="s">
        <v>422</v>
      </c>
      <c r="J103" s="233" t="s">
        <v>423</v>
      </c>
      <c r="K103" s="252">
        <v>6</v>
      </c>
      <c r="L103" s="325">
        <f>6*187980000</f>
        <v>1127880000</v>
      </c>
      <c r="M103" s="252">
        <v>2</v>
      </c>
      <c r="N103" s="256">
        <f>2*187980000</f>
        <v>375960000</v>
      </c>
      <c r="O103" s="252">
        <v>1</v>
      </c>
      <c r="P103" s="325">
        <v>187980000</v>
      </c>
      <c r="Q103" s="252">
        <v>1</v>
      </c>
      <c r="R103" s="325">
        <v>19771000</v>
      </c>
      <c r="S103" s="245">
        <v>4</v>
      </c>
      <c r="T103" s="2823">
        <v>131219200</v>
      </c>
      <c r="U103" s="245">
        <v>4</v>
      </c>
      <c r="V103" s="2403">
        <v>19771000</v>
      </c>
      <c r="W103" s="245"/>
      <c r="X103" s="252"/>
      <c r="Y103" s="2328">
        <f t="shared" si="23"/>
        <v>9</v>
      </c>
      <c r="Z103" s="2493">
        <f t="shared" si="32"/>
        <v>170761200</v>
      </c>
      <c r="AA103" s="310">
        <f t="shared" si="34"/>
        <v>11</v>
      </c>
      <c r="AB103" s="2493">
        <f t="shared" si="34"/>
        <v>546721200</v>
      </c>
      <c r="AC103" s="2993">
        <v>10</v>
      </c>
      <c r="AD103" s="298">
        <f t="shared" si="33"/>
        <v>48.473348228534952</v>
      </c>
      <c r="AE103" s="245"/>
      <c r="AF103" s="2266"/>
      <c r="AG103" s="2266"/>
      <c r="AH103" s="2266"/>
      <c r="AI103" s="2266"/>
      <c r="AJ103" s="2266"/>
      <c r="AK103" s="2266"/>
      <c r="AL103" s="2266"/>
      <c r="AM103" s="2266"/>
      <c r="AN103" s="2266"/>
      <c r="AO103" s="2266"/>
      <c r="AP103" s="2266"/>
      <c r="AQ103" s="2266"/>
      <c r="AR103" s="2266"/>
      <c r="AS103" s="2266"/>
      <c r="AT103" s="2266"/>
      <c r="AU103" s="2266"/>
      <c r="AV103" s="2266"/>
      <c r="AW103" s="2266"/>
      <c r="AX103" s="2266"/>
      <c r="AY103" s="2266"/>
      <c r="AZ103" s="2266"/>
      <c r="BA103" s="2266"/>
      <c r="BB103" s="2266"/>
      <c r="BC103" s="2266"/>
      <c r="BD103" s="2266"/>
      <c r="BE103" s="2266"/>
      <c r="BF103" s="2266"/>
      <c r="BG103" s="2266"/>
      <c r="BH103" s="2266"/>
      <c r="BI103" s="2266"/>
      <c r="BJ103" s="2266"/>
      <c r="BK103" s="2266"/>
      <c r="BL103" s="2266"/>
      <c r="BM103" s="2266"/>
      <c r="BN103" s="2266"/>
      <c r="BO103" s="2266"/>
      <c r="BP103" s="2266"/>
      <c r="BQ103" s="2266"/>
      <c r="BR103" s="2266"/>
      <c r="BS103" s="2266"/>
      <c r="BT103" s="2266"/>
      <c r="BU103" s="2266"/>
      <c r="BV103" s="2266"/>
      <c r="BW103" s="2266"/>
      <c r="BX103" s="2266"/>
    </row>
    <row r="104" spans="1:76" s="2834" customFormat="1" ht="82.5" customHeight="1">
      <c r="A104" s="2830"/>
      <c r="B104" s="2831"/>
      <c r="C104" s="234" t="s">
        <v>66</v>
      </c>
      <c r="D104" s="234" t="s">
        <v>66</v>
      </c>
      <c r="E104" s="234" t="s">
        <v>66</v>
      </c>
      <c r="F104" s="234" t="s">
        <v>66</v>
      </c>
      <c r="G104" s="234">
        <v>22</v>
      </c>
      <c r="H104" s="258" t="s">
        <v>357</v>
      </c>
      <c r="I104" s="315" t="s">
        <v>3612</v>
      </c>
      <c r="J104" s="233" t="s">
        <v>3613</v>
      </c>
      <c r="K104" s="252">
        <v>4</v>
      </c>
      <c r="L104" s="325">
        <v>291000000</v>
      </c>
      <c r="M104" s="2629" t="s">
        <v>2034</v>
      </c>
      <c r="N104" s="2835" t="s">
        <v>154</v>
      </c>
      <c r="O104" s="252">
        <v>1</v>
      </c>
      <c r="P104" s="325">
        <v>72750000</v>
      </c>
      <c r="Q104" s="2629" t="s">
        <v>2034</v>
      </c>
      <c r="R104" s="2836">
        <v>0</v>
      </c>
      <c r="S104" s="245">
        <v>1</v>
      </c>
      <c r="T104" s="2823">
        <v>72750000</v>
      </c>
      <c r="U104" s="245">
        <v>0</v>
      </c>
      <c r="V104" s="3254">
        <v>0</v>
      </c>
      <c r="W104" s="2833"/>
      <c r="X104" s="2832"/>
      <c r="Y104" s="2328">
        <f t="shared" si="23"/>
        <v>1</v>
      </c>
      <c r="Z104" s="2493">
        <f t="shared" si="32"/>
        <v>72750000</v>
      </c>
      <c r="AA104" s="310">
        <f>M104+Y104</f>
        <v>1</v>
      </c>
      <c r="AB104" s="2991" t="s">
        <v>2034</v>
      </c>
      <c r="AC104" s="298">
        <v>10</v>
      </c>
      <c r="AD104" s="298">
        <f>(AB104/L104)*100</f>
        <v>0</v>
      </c>
      <c r="AE104" s="2833"/>
      <c r="AF104" s="2154"/>
      <c r="AG104" s="2154"/>
      <c r="AH104" s="2154"/>
      <c r="AI104" s="2154"/>
      <c r="AJ104" s="2154"/>
      <c r="AK104" s="2154"/>
      <c r="AL104" s="2154"/>
      <c r="AM104" s="2154"/>
      <c r="AN104" s="2154"/>
      <c r="AO104" s="2154"/>
      <c r="AP104" s="2154"/>
      <c r="AQ104" s="2154"/>
      <c r="AR104" s="2154"/>
      <c r="AS104" s="2154"/>
      <c r="AT104" s="2154"/>
      <c r="AU104" s="2154"/>
      <c r="AV104" s="2154"/>
      <c r="AW104" s="2154"/>
      <c r="AX104" s="2154"/>
      <c r="AY104" s="2154"/>
      <c r="AZ104" s="2154"/>
      <c r="BA104" s="2154"/>
      <c r="BB104" s="2154"/>
      <c r="BC104" s="2154"/>
      <c r="BD104" s="2154"/>
      <c r="BE104" s="2154"/>
      <c r="BF104" s="2154"/>
      <c r="BG104" s="2154"/>
      <c r="BH104" s="2154"/>
      <c r="BI104" s="2154"/>
      <c r="BJ104" s="2154"/>
      <c r="BK104" s="2154"/>
      <c r="BL104" s="2154"/>
      <c r="BM104" s="2154"/>
      <c r="BN104" s="2154"/>
      <c r="BO104" s="2154"/>
      <c r="BP104" s="2154"/>
      <c r="BQ104" s="2154"/>
      <c r="BR104" s="2154"/>
      <c r="BS104" s="2154"/>
      <c r="BT104" s="2154"/>
      <c r="BU104" s="2154"/>
      <c r="BV104" s="2154"/>
      <c r="BW104" s="2154"/>
      <c r="BX104" s="2154"/>
    </row>
    <row r="105" spans="1:76" s="244" customFormat="1" ht="59.25" customHeight="1">
      <c r="A105" s="3139"/>
      <c r="B105" s="233"/>
      <c r="C105" s="234" t="s">
        <v>66</v>
      </c>
      <c r="D105" s="234" t="s">
        <v>66</v>
      </c>
      <c r="E105" s="234" t="s">
        <v>66</v>
      </c>
      <c r="F105" s="234" t="s">
        <v>66</v>
      </c>
      <c r="G105" s="234">
        <v>22</v>
      </c>
      <c r="H105" s="258" t="s">
        <v>376</v>
      </c>
      <c r="I105" s="235" t="s">
        <v>424</v>
      </c>
      <c r="J105" s="233" t="s">
        <v>425</v>
      </c>
      <c r="K105" s="252">
        <f>348+74</f>
        <v>422</v>
      </c>
      <c r="L105" s="256">
        <f>4*P105</f>
        <v>299984000</v>
      </c>
      <c r="M105" s="2289">
        <v>40</v>
      </c>
      <c r="N105" s="256">
        <v>0</v>
      </c>
      <c r="O105" s="2333">
        <f>10%*K105</f>
        <v>42.2</v>
      </c>
      <c r="P105" s="256">
        <v>74996000</v>
      </c>
      <c r="Q105" s="252">
        <v>0</v>
      </c>
      <c r="R105" s="240">
        <f>SUM(T105:T105)</f>
        <v>15554000</v>
      </c>
      <c r="S105" s="245">
        <v>25</v>
      </c>
      <c r="T105" s="2823">
        <v>15554000</v>
      </c>
      <c r="U105" s="328">
        <f>O105-S105</f>
        <v>17.200000000000003</v>
      </c>
      <c r="V105" s="2403">
        <v>15554000</v>
      </c>
      <c r="W105" s="245"/>
      <c r="X105" s="252"/>
      <c r="Y105" s="2328">
        <f t="shared" si="23"/>
        <v>42.2</v>
      </c>
      <c r="Z105" s="2493">
        <f t="shared" si="32"/>
        <v>46662000</v>
      </c>
      <c r="AA105" s="310">
        <f t="shared" si="34"/>
        <v>82.2</v>
      </c>
      <c r="AB105" s="2493">
        <f t="shared" si="34"/>
        <v>46662000</v>
      </c>
      <c r="AC105" s="298">
        <f t="shared" si="35"/>
        <v>19.478672985781991</v>
      </c>
      <c r="AD105" s="298">
        <f t="shared" si="33"/>
        <v>15.554829590911515</v>
      </c>
      <c r="AE105" s="245"/>
      <c r="AF105" s="2266"/>
      <c r="AG105" s="2266"/>
      <c r="AH105" s="2266"/>
      <c r="AI105" s="2266"/>
      <c r="AJ105" s="2266"/>
      <c r="AK105" s="2266"/>
      <c r="AL105" s="2266"/>
      <c r="AM105" s="2266"/>
      <c r="AN105" s="2266"/>
      <c r="AO105" s="2266"/>
      <c r="AP105" s="2266"/>
      <c r="AQ105" s="2266"/>
      <c r="AR105" s="2266"/>
      <c r="AS105" s="2266"/>
      <c r="AT105" s="2266"/>
      <c r="AU105" s="2266"/>
      <c r="AV105" s="2266"/>
      <c r="AW105" s="2266"/>
      <c r="AX105" s="2266"/>
      <c r="AY105" s="2266"/>
      <c r="AZ105" s="2266"/>
      <c r="BA105" s="2266"/>
      <c r="BB105" s="2266"/>
      <c r="BC105" s="2266"/>
      <c r="BD105" s="2266"/>
      <c r="BE105" s="2266"/>
      <c r="BF105" s="2266"/>
      <c r="BG105" s="2266"/>
      <c r="BH105" s="2266"/>
      <c r="BI105" s="2266"/>
      <c r="BJ105" s="2266"/>
      <c r="BK105" s="2266"/>
      <c r="BL105" s="2266"/>
      <c r="BM105" s="2266"/>
      <c r="BN105" s="2266"/>
      <c r="BO105" s="2266"/>
      <c r="BP105" s="2266"/>
      <c r="BQ105" s="2266"/>
      <c r="BR105" s="2266"/>
      <c r="BS105" s="2266"/>
      <c r="BT105" s="2266"/>
      <c r="BU105" s="2266"/>
      <c r="BV105" s="2266"/>
      <c r="BW105" s="2266"/>
      <c r="BX105" s="2266"/>
    </row>
    <row r="106" spans="1:76" s="244" customFormat="1" ht="42" customHeight="1">
      <c r="A106" s="3139"/>
      <c r="B106" s="233"/>
      <c r="C106" s="234" t="s">
        <v>66</v>
      </c>
      <c r="D106" s="234" t="s">
        <v>66</v>
      </c>
      <c r="E106" s="234" t="s">
        <v>66</v>
      </c>
      <c r="F106" s="234" t="s">
        <v>66</v>
      </c>
      <c r="G106" s="234">
        <v>22</v>
      </c>
      <c r="H106" s="258" t="s">
        <v>67</v>
      </c>
      <c r="I106" s="235" t="s">
        <v>426</v>
      </c>
      <c r="J106" s="233" t="s">
        <v>427</v>
      </c>
      <c r="K106" s="252">
        <f>348+74</f>
        <v>422</v>
      </c>
      <c r="L106" s="256">
        <f>4*P106</f>
        <v>495032800</v>
      </c>
      <c r="M106" s="252">
        <v>40</v>
      </c>
      <c r="N106" s="256">
        <v>0</v>
      </c>
      <c r="O106" s="2333">
        <f>10%*K106</f>
        <v>42.2</v>
      </c>
      <c r="P106" s="256">
        <v>123758200</v>
      </c>
      <c r="Q106" s="252">
        <v>10</v>
      </c>
      <c r="R106" s="240">
        <f>SUM(T106:T106)</f>
        <v>17950000</v>
      </c>
      <c r="S106" s="245">
        <v>5</v>
      </c>
      <c r="T106" s="2528">
        <v>17950000</v>
      </c>
      <c r="U106" s="328">
        <f>O106-15</f>
        <v>27.200000000000003</v>
      </c>
      <c r="V106" s="2403">
        <v>81275800</v>
      </c>
      <c r="W106" s="245"/>
      <c r="X106" s="252"/>
      <c r="Y106" s="2328">
        <f t="shared" si="23"/>
        <v>42.2</v>
      </c>
      <c r="Z106" s="2493">
        <f t="shared" si="32"/>
        <v>117175800</v>
      </c>
      <c r="AA106" s="310">
        <f t="shared" si="34"/>
        <v>82.2</v>
      </c>
      <c r="AB106" s="2493">
        <f t="shared" si="34"/>
        <v>117175800</v>
      </c>
      <c r="AC106" s="298">
        <f t="shared" si="35"/>
        <v>19.478672985781991</v>
      </c>
      <c r="AD106" s="298">
        <f t="shared" si="33"/>
        <v>23.670310330951807</v>
      </c>
      <c r="AE106" s="245"/>
      <c r="AF106" s="2266"/>
      <c r="AG106" s="2266"/>
      <c r="AH106" s="2266"/>
      <c r="AI106" s="2266"/>
      <c r="AJ106" s="2266"/>
      <c r="AK106" s="2266"/>
      <c r="AL106" s="2266"/>
      <c r="AM106" s="2266"/>
      <c r="AN106" s="2266"/>
      <c r="AO106" s="2266"/>
      <c r="AP106" s="2266"/>
      <c r="AQ106" s="2266"/>
      <c r="AR106" s="2266"/>
      <c r="AS106" s="2266"/>
      <c r="AT106" s="2266"/>
      <c r="AU106" s="2266"/>
      <c r="AV106" s="2266"/>
      <c r="AW106" s="2266"/>
      <c r="AX106" s="2266"/>
      <c r="AY106" s="2266"/>
      <c r="AZ106" s="2266"/>
      <c r="BA106" s="2266"/>
      <c r="BB106" s="2266"/>
      <c r="BC106" s="2266"/>
      <c r="BD106" s="2266"/>
      <c r="BE106" s="2266"/>
      <c r="BF106" s="2266"/>
      <c r="BG106" s="2266"/>
      <c r="BH106" s="2266"/>
      <c r="BI106" s="2266"/>
      <c r="BJ106" s="2266"/>
      <c r="BK106" s="2266"/>
      <c r="BL106" s="2266"/>
      <c r="BM106" s="2266"/>
      <c r="BN106" s="2266"/>
      <c r="BO106" s="2266"/>
      <c r="BP106" s="2266"/>
      <c r="BQ106" s="2266"/>
      <c r="BR106" s="2266"/>
      <c r="BS106" s="2266"/>
      <c r="BT106" s="2266"/>
      <c r="BU106" s="2266"/>
      <c r="BV106" s="2266"/>
      <c r="BW106" s="2266"/>
      <c r="BX106" s="2266"/>
    </row>
    <row r="107" spans="1:76" s="244" customFormat="1" ht="19.5" customHeight="1">
      <c r="A107" s="4243" t="s">
        <v>101</v>
      </c>
      <c r="B107" s="4243"/>
      <c r="C107" s="4243"/>
      <c r="D107" s="4243"/>
      <c r="E107" s="4243"/>
      <c r="F107" s="4243"/>
      <c r="G107" s="4243"/>
      <c r="H107" s="4243"/>
      <c r="I107" s="4243"/>
      <c r="J107" s="4243"/>
      <c r="K107" s="4243"/>
      <c r="L107" s="4243"/>
      <c r="M107" s="4243"/>
      <c r="N107" s="4243"/>
      <c r="O107" s="4243"/>
      <c r="P107" s="4243"/>
      <c r="Q107" s="4243"/>
      <c r="R107" s="4243"/>
      <c r="S107" s="4243"/>
      <c r="T107" s="4243"/>
      <c r="U107" s="4243"/>
      <c r="V107" s="4243"/>
      <c r="W107" s="4243"/>
      <c r="X107" s="4243"/>
      <c r="Y107" s="4243"/>
      <c r="Z107" s="4243"/>
      <c r="AA107" s="4243"/>
      <c r="AB107" s="4243"/>
      <c r="AC107" s="3112">
        <f>(AC13+AC30+AC34+AC37+AC67+AC72+AC81+AC98)/8</f>
        <v>52.733309826113761</v>
      </c>
      <c r="AD107" s="222">
        <f>(AD13+AD30+AD34+AD37+AD67+AD72+AD81+AD98)/8</f>
        <v>37.477587113148132</v>
      </c>
      <c r="AE107" s="245"/>
      <c r="AF107" s="2266"/>
      <c r="AG107" s="2266"/>
      <c r="AH107" s="2266"/>
      <c r="AI107" s="2266"/>
      <c r="AJ107" s="2266"/>
      <c r="AK107" s="2266"/>
      <c r="AL107" s="2266"/>
      <c r="AM107" s="2266"/>
      <c r="AN107" s="2266"/>
      <c r="AO107" s="2266"/>
      <c r="AP107" s="2266"/>
      <c r="AQ107" s="2266"/>
      <c r="AR107" s="2266"/>
      <c r="AS107" s="2266"/>
      <c r="AT107" s="2266"/>
      <c r="AU107" s="2266"/>
      <c r="AV107" s="2266"/>
      <c r="AW107" s="2266"/>
      <c r="AX107" s="2266"/>
      <c r="AY107" s="2266"/>
      <c r="AZ107" s="2266"/>
      <c r="BA107" s="2266"/>
      <c r="BB107" s="2266"/>
      <c r="BC107" s="2266"/>
      <c r="BD107" s="2266"/>
      <c r="BE107" s="2266"/>
      <c r="BF107" s="2266"/>
      <c r="BG107" s="2266"/>
      <c r="BH107" s="2266"/>
      <c r="BI107" s="2266"/>
      <c r="BJ107" s="2266"/>
      <c r="BK107" s="2266"/>
      <c r="BL107" s="2266"/>
      <c r="BM107" s="2266"/>
      <c r="BN107" s="2266"/>
      <c r="BO107" s="2266"/>
      <c r="BP107" s="2266"/>
      <c r="BQ107" s="2266"/>
      <c r="BR107" s="2266"/>
      <c r="BS107" s="2266"/>
      <c r="BT107" s="2266"/>
      <c r="BU107" s="2266"/>
      <c r="BV107" s="2266"/>
      <c r="BW107" s="2266"/>
      <c r="BX107" s="2266"/>
    </row>
    <row r="108" spans="1:76" s="244" customFormat="1" ht="17.25" customHeight="1">
      <c r="A108" s="4243" t="s">
        <v>102</v>
      </c>
      <c r="B108" s="4243"/>
      <c r="C108" s="4243"/>
      <c r="D108" s="4243"/>
      <c r="E108" s="4243"/>
      <c r="F108" s="4243"/>
      <c r="G108" s="4243"/>
      <c r="H108" s="4243"/>
      <c r="I108" s="4243"/>
      <c r="J108" s="4243"/>
      <c r="K108" s="4243"/>
      <c r="L108" s="4243"/>
      <c r="M108" s="4243"/>
      <c r="N108" s="4243"/>
      <c r="O108" s="4243"/>
      <c r="P108" s="4243"/>
      <c r="Q108" s="4243"/>
      <c r="R108" s="4243"/>
      <c r="S108" s="4243"/>
      <c r="T108" s="4243"/>
      <c r="U108" s="4243"/>
      <c r="V108" s="4243"/>
      <c r="W108" s="4243"/>
      <c r="X108" s="4243"/>
      <c r="Y108" s="4243"/>
      <c r="Z108" s="4243"/>
      <c r="AA108" s="4243"/>
      <c r="AB108" s="4243"/>
      <c r="AC108" s="3152" t="str">
        <f>IF(AC107&gt;=91,"ST",IF(AC107&gt;=76,"T",IF(AC107&gt;=66,"S",IF(AC107&gt;=51,"R","SR"))))</f>
        <v>R</v>
      </c>
      <c r="AD108" s="3152" t="str">
        <f>IF(AD107&gt;=91,"ST",IF(AD107&gt;=76,"T",IF(AD107&gt;=66,"S",IF(AD107&gt;=51,"R","SR"))))</f>
        <v>SR</v>
      </c>
      <c r="AE108" s="245"/>
      <c r="AF108" s="2266"/>
      <c r="AG108" s="2266"/>
      <c r="AH108" s="2266"/>
      <c r="AI108" s="2266"/>
      <c r="AJ108" s="2266"/>
      <c r="AK108" s="2266"/>
      <c r="AL108" s="2266"/>
      <c r="AM108" s="2266"/>
      <c r="AN108" s="2266"/>
      <c r="AO108" s="2266"/>
      <c r="AP108" s="2266"/>
      <c r="AQ108" s="2266"/>
      <c r="AR108" s="2266"/>
      <c r="AS108" s="2266"/>
      <c r="AT108" s="2266"/>
      <c r="AU108" s="2266"/>
      <c r="AV108" s="2266"/>
      <c r="AW108" s="2266"/>
      <c r="AX108" s="2266"/>
      <c r="AY108" s="2266"/>
      <c r="AZ108" s="2266"/>
      <c r="BA108" s="2266"/>
      <c r="BB108" s="2266"/>
      <c r="BC108" s="2266"/>
      <c r="BD108" s="2266"/>
      <c r="BE108" s="2266"/>
      <c r="BF108" s="2266"/>
      <c r="BG108" s="2266"/>
      <c r="BH108" s="2266"/>
      <c r="BI108" s="2266"/>
      <c r="BJ108" s="2266"/>
      <c r="BK108" s="2266"/>
      <c r="BL108" s="2266"/>
      <c r="BM108" s="2266"/>
      <c r="BN108" s="2266"/>
      <c r="BO108" s="2266"/>
      <c r="BP108" s="2266"/>
      <c r="BQ108" s="2266"/>
      <c r="BR108" s="2266"/>
      <c r="BS108" s="2266"/>
      <c r="BT108" s="2266"/>
      <c r="BU108" s="2266"/>
      <c r="BV108" s="2266"/>
      <c r="BW108" s="2266"/>
      <c r="BX108" s="2266"/>
    </row>
    <row r="109" spans="1:76" s="244" customFormat="1" ht="14.25" customHeight="1">
      <c r="A109" s="4284"/>
      <c r="B109" s="4284"/>
      <c r="C109" s="4284"/>
      <c r="D109" s="4284"/>
      <c r="E109" s="4284"/>
      <c r="F109" s="4284"/>
      <c r="G109" s="4284"/>
      <c r="H109" s="4284"/>
      <c r="I109" s="4284"/>
      <c r="J109" s="4284"/>
      <c r="K109" s="4284"/>
      <c r="L109" s="4284"/>
      <c r="M109" s="4284"/>
      <c r="N109" s="4284"/>
      <c r="O109" s="4284"/>
      <c r="P109" s="4284"/>
      <c r="Q109" s="4284"/>
      <c r="R109" s="4284"/>
      <c r="S109" s="4284"/>
      <c r="T109" s="4284"/>
      <c r="U109" s="4284"/>
      <c r="V109" s="4284"/>
      <c r="W109" s="4284"/>
      <c r="X109" s="4284"/>
      <c r="Y109" s="4284"/>
      <c r="Z109" s="4284"/>
      <c r="AA109" s="4284"/>
      <c r="AB109" s="4284"/>
      <c r="AC109" s="4284"/>
      <c r="AD109" s="4284"/>
      <c r="AE109" s="4284"/>
      <c r="AF109" s="2266"/>
      <c r="AG109" s="2266"/>
      <c r="AH109" s="2266"/>
      <c r="AI109" s="2266"/>
      <c r="AJ109" s="2266"/>
      <c r="AK109" s="2266"/>
      <c r="AL109" s="2266"/>
      <c r="AM109" s="2266"/>
      <c r="AN109" s="2266"/>
      <c r="AO109" s="2266"/>
      <c r="AP109" s="2266"/>
      <c r="AQ109" s="2266"/>
      <c r="AR109" s="2266"/>
      <c r="AS109" s="2266"/>
      <c r="AT109" s="2266"/>
      <c r="AU109" s="2266"/>
      <c r="AV109" s="2266"/>
      <c r="AW109" s="2266"/>
      <c r="AX109" s="2266"/>
      <c r="AY109" s="2266"/>
      <c r="AZ109" s="2266"/>
      <c r="BA109" s="2266"/>
      <c r="BB109" s="2266"/>
      <c r="BC109" s="2266"/>
      <c r="BD109" s="2266"/>
      <c r="BE109" s="2266"/>
      <c r="BF109" s="2266"/>
      <c r="BG109" s="2266"/>
      <c r="BH109" s="2266"/>
      <c r="BI109" s="2266"/>
      <c r="BJ109" s="2266"/>
      <c r="BK109" s="2266"/>
      <c r="BL109" s="2266"/>
      <c r="BM109" s="2266"/>
      <c r="BN109" s="2266"/>
      <c r="BO109" s="2266"/>
      <c r="BP109" s="2266"/>
      <c r="BQ109" s="2266"/>
      <c r="BR109" s="2266"/>
      <c r="BS109" s="2266"/>
      <c r="BT109" s="2266"/>
      <c r="BU109" s="2266"/>
      <c r="BV109" s="2266"/>
      <c r="BW109" s="2266"/>
      <c r="BX109" s="2266"/>
    </row>
    <row r="110" spans="1:76" ht="30.75" customHeight="1">
      <c r="A110" s="2546" t="s">
        <v>31</v>
      </c>
      <c r="B110" s="2915"/>
      <c r="C110" s="3193"/>
      <c r="D110" s="3193"/>
      <c r="E110" s="3193"/>
      <c r="F110" s="3193"/>
      <c r="G110" s="3193"/>
      <c r="H110" s="3193"/>
      <c r="I110" s="2515" t="s">
        <v>116</v>
      </c>
      <c r="J110" s="2915"/>
      <c r="K110" s="2917"/>
      <c r="L110" s="3198"/>
      <c r="M110" s="2917"/>
      <c r="N110" s="3195"/>
      <c r="O110" s="2917"/>
      <c r="P110" s="3195"/>
      <c r="Q110" s="2917"/>
      <c r="R110" s="2916"/>
      <c r="S110" s="2915"/>
      <c r="T110" s="2916"/>
      <c r="U110" s="2915"/>
      <c r="V110" s="3252"/>
      <c r="W110" s="2915"/>
      <c r="X110" s="2915"/>
      <c r="Y110" s="2917"/>
      <c r="Z110" s="2916"/>
      <c r="AA110" s="2917"/>
      <c r="AB110" s="2916"/>
      <c r="AC110" s="2917"/>
      <c r="AD110" s="2917"/>
      <c r="AE110" s="3196"/>
    </row>
    <row r="111" spans="1:76" ht="22.5" customHeight="1">
      <c r="A111" s="3199" t="s">
        <v>3122</v>
      </c>
      <c r="B111" s="3199"/>
      <c r="C111" s="3840"/>
      <c r="D111" s="3840"/>
      <c r="E111" s="3840"/>
      <c r="F111" s="3840"/>
      <c r="G111" s="3840"/>
      <c r="H111" s="3840"/>
      <c r="I111" s="3199"/>
      <c r="J111" s="3199"/>
      <c r="K111" s="3199"/>
      <c r="L111" s="3200">
        <f>L112+L129+L131+L134+L139+L145+L151+L155+L163+L171+L177+L185+L190+L192+L196+L201</f>
        <v>537043514497.59998</v>
      </c>
      <c r="M111" s="3199"/>
      <c r="N111" s="3201">
        <f>N112+N129+N131+N134+N139+N145+N151+N155+N163+N171+N177+N185+N190+N192+N196+N201</f>
        <v>59563318842</v>
      </c>
      <c r="O111" s="3199"/>
      <c r="P111" s="3202">
        <f>P112+P129+P131+P134+P139+P145+P151+P155+P163+P171+P177+P185+P190+P192+P196+P201</f>
        <v>70845555155</v>
      </c>
      <c r="Q111" s="3199"/>
      <c r="R111" s="3201">
        <f>R112+R129+R131+R134+R139+R145+R151+R155+R163+R171+R177+R185+R190+R192+R196+R201</f>
        <v>587962704</v>
      </c>
      <c r="S111" s="2921"/>
      <c r="T111" s="2922">
        <f>T112+T129+T131+T134+T139+T145+T151+T155+T163+T171+T177+T185+T190+T192+T196+T201</f>
        <v>14770984658</v>
      </c>
      <c r="U111" s="3199"/>
      <c r="V111" s="2922">
        <f>V112+V129+V131+V134+V139+V145+V151+V155+V163+V171+V177+V185+V190+V192+V196+V201</f>
        <v>18102141870</v>
      </c>
      <c r="W111" s="3199"/>
      <c r="X111" s="3199"/>
      <c r="Y111" s="3199"/>
      <c r="Z111" s="3201">
        <f>SUM(R111+T111)</f>
        <v>15358947362</v>
      </c>
      <c r="AA111" s="3199"/>
      <c r="AB111" s="3201">
        <f>AB112+AB129+AB131+AB134+AB139+AB145+AB151+AB155+AB163+AB171+AB177+AB185+AB190+AB192+AB196+AB201</f>
        <v>92811125941</v>
      </c>
      <c r="AC111" s="3199"/>
      <c r="AD111" s="3199"/>
      <c r="AE111" s="3203"/>
    </row>
    <row r="112" spans="1:76" s="2271" customFormat="1" ht="72" customHeight="1">
      <c r="A112" s="3162">
        <v>1</v>
      </c>
      <c r="B112" s="2335"/>
      <c r="C112" s="2874">
        <v>5</v>
      </c>
      <c r="D112" s="2447" t="s">
        <v>66</v>
      </c>
      <c r="E112" s="2447" t="s">
        <v>66</v>
      </c>
      <c r="F112" s="2874"/>
      <c r="G112" s="2874"/>
      <c r="H112" s="2874"/>
      <c r="I112" s="2335" t="s">
        <v>1662</v>
      </c>
      <c r="J112" s="3156" t="s">
        <v>1038</v>
      </c>
      <c r="K112" s="2336">
        <v>1</v>
      </c>
      <c r="L112" s="2357">
        <v>26459369097.600002</v>
      </c>
      <c r="M112" s="2338">
        <v>0.34</v>
      </c>
      <c r="N112" s="2361">
        <f>SUM(N113:N128)</f>
        <v>1988983765</v>
      </c>
      <c r="O112" s="2338">
        <v>0.17</v>
      </c>
      <c r="P112" s="2361">
        <f>SUM(P113:P128)</f>
        <v>2103540220</v>
      </c>
      <c r="Q112" s="2366">
        <f>SUM(Q113:Q128)/16</f>
        <v>2.07E-2</v>
      </c>
      <c r="R112" s="2339">
        <f>SUM(R113:R128)</f>
        <v>151521213</v>
      </c>
      <c r="S112" s="2876">
        <f>SUM(S113:S128)/16</f>
        <v>5.9312500000000004E-2</v>
      </c>
      <c r="T112" s="2339">
        <f>SUM(T113:T128)</f>
        <v>513510018</v>
      </c>
      <c r="U112" s="3265">
        <v>2.4E-2</v>
      </c>
      <c r="V112" s="2339">
        <f>SUM(V113:V128)</f>
        <v>521245005</v>
      </c>
      <c r="W112" s="2367"/>
      <c r="X112" s="2342"/>
      <c r="Y112" s="2366">
        <f t="shared" ref="Y112:Y172" si="36">Q112+S112+U112+W112</f>
        <v>0.10401250000000001</v>
      </c>
      <c r="Z112" s="2342">
        <f t="shared" ref="Z112:Z172" si="37">R112+T112+V112+X112</f>
        <v>1186276236</v>
      </c>
      <c r="AA112" s="2410">
        <f>Y112+M112</f>
        <v>0.44401250000000003</v>
      </c>
      <c r="AB112" s="2342">
        <f>SUM(AB113:AB128)</f>
        <v>3101061968</v>
      </c>
      <c r="AC112" s="2410">
        <f>(AA112/K112)*100%</f>
        <v>0.44401250000000003</v>
      </c>
      <c r="AD112" s="2410">
        <f>AB112/L112</f>
        <v>0.11720090364064205</v>
      </c>
      <c r="AE112" s="3138" t="s">
        <v>2250</v>
      </c>
      <c r="AF112" s="2860"/>
      <c r="AG112" s="2620"/>
      <c r="AH112" s="2620"/>
      <c r="AI112" s="2620"/>
      <c r="AJ112" s="2620"/>
      <c r="AK112" s="2620"/>
      <c r="AL112" s="2620"/>
      <c r="AM112" s="2620"/>
      <c r="AN112" s="2620"/>
      <c r="AO112" s="2620"/>
      <c r="AP112" s="2620"/>
      <c r="AQ112" s="2620"/>
      <c r="AR112" s="2620"/>
      <c r="AS112" s="2620"/>
      <c r="AT112" s="2620"/>
      <c r="AU112" s="2620"/>
      <c r="AV112" s="2620"/>
      <c r="AW112" s="2620"/>
      <c r="AX112" s="2620"/>
      <c r="AY112" s="2620"/>
      <c r="AZ112" s="2620"/>
      <c r="BA112" s="2620"/>
      <c r="BB112" s="2620"/>
      <c r="BC112" s="2620"/>
      <c r="BD112" s="2620"/>
      <c r="BE112" s="2620"/>
      <c r="BF112" s="2620"/>
      <c r="BG112" s="2620"/>
      <c r="BH112" s="2620"/>
      <c r="BI112" s="2620"/>
      <c r="BJ112" s="2620"/>
      <c r="BK112" s="2620"/>
      <c r="BL112" s="2620"/>
      <c r="BM112" s="2620"/>
      <c r="BN112" s="2620"/>
      <c r="BO112" s="2620"/>
      <c r="BP112" s="2620"/>
      <c r="BQ112" s="2620"/>
      <c r="BR112" s="2620"/>
      <c r="BS112" s="2620"/>
      <c r="BT112" s="2620"/>
      <c r="BU112" s="2620"/>
      <c r="BV112" s="2620"/>
      <c r="BW112" s="2620"/>
      <c r="BX112" s="2620"/>
    </row>
    <row r="113" spans="1:76" s="2608" customFormat="1" ht="44.25" customHeight="1">
      <c r="A113" s="2632"/>
      <c r="B113" s="2632"/>
      <c r="C113" s="3794">
        <v>5</v>
      </c>
      <c r="D113" s="2446" t="s">
        <v>66</v>
      </c>
      <c r="E113" s="2446" t="s">
        <v>66</v>
      </c>
      <c r="F113" s="3794"/>
      <c r="G113" s="2446" t="s">
        <v>65</v>
      </c>
      <c r="H113" s="2446"/>
      <c r="I113" s="2631" t="s">
        <v>195</v>
      </c>
      <c r="J113" s="1380" t="s">
        <v>2251</v>
      </c>
      <c r="K113" s="2376">
        <v>1</v>
      </c>
      <c r="L113" s="2518">
        <v>2851744390.4000001</v>
      </c>
      <c r="M113" s="2376">
        <v>0.34</v>
      </c>
      <c r="N113" s="2306">
        <v>161029021</v>
      </c>
      <c r="O113" s="2376">
        <v>0.17</v>
      </c>
      <c r="P113" s="2306">
        <v>305400000</v>
      </c>
      <c r="Q113" s="2407">
        <v>0.02</v>
      </c>
      <c r="R113" s="2304">
        <v>36829113</v>
      </c>
      <c r="S113" s="2875">
        <v>0.06</v>
      </c>
      <c r="T113" s="2304">
        <f>88803431-R113</f>
        <v>51974318</v>
      </c>
      <c r="U113" s="3266">
        <v>3.0000000000000002E-2</v>
      </c>
      <c r="V113" s="2304">
        <v>74198033</v>
      </c>
      <c r="W113" s="2305"/>
      <c r="X113" s="2304"/>
      <c r="Y113" s="2407">
        <f t="shared" si="36"/>
        <v>0.11</v>
      </c>
      <c r="Z113" s="2304">
        <f>SUM(R113+T113)</f>
        <v>88803431</v>
      </c>
      <c r="AA113" s="2308">
        <f t="shared" ref="AA113:AB133" si="38">Y113+M113</f>
        <v>0.45</v>
      </c>
      <c r="AB113" s="2304">
        <f>Z113+N113</f>
        <v>249832452</v>
      </c>
      <c r="AC113" s="2308">
        <f>(AA113/K113)*100%</f>
        <v>0.45</v>
      </c>
      <c r="AD113" s="2311">
        <f>AB113/L113</f>
        <v>8.7606888205347622E-2</v>
      </c>
      <c r="AE113" s="3160"/>
      <c r="AF113" s="2318"/>
      <c r="AG113" s="2318"/>
      <c r="AH113" s="2318"/>
      <c r="AI113" s="2318"/>
      <c r="AJ113" s="2318"/>
      <c r="AK113" s="2318"/>
      <c r="AL113" s="2318"/>
      <c r="AM113" s="2318"/>
      <c r="AN113" s="2318"/>
      <c r="AO113" s="2318"/>
      <c r="AP113" s="2318"/>
      <c r="AQ113" s="2318"/>
      <c r="AR113" s="2318"/>
      <c r="AS113" s="2318"/>
      <c r="AT113" s="2318"/>
      <c r="AU113" s="2318"/>
      <c r="AV113" s="2318"/>
      <c r="AW113" s="2318"/>
      <c r="AX113" s="2318"/>
      <c r="AY113" s="2318"/>
      <c r="AZ113" s="2318"/>
      <c r="BA113" s="2318"/>
      <c r="BB113" s="2318"/>
      <c r="BC113" s="2318"/>
      <c r="BD113" s="2318"/>
      <c r="BE113" s="2318"/>
      <c r="BF113" s="2318"/>
      <c r="BG113" s="2318"/>
      <c r="BH113" s="2318"/>
      <c r="BI113" s="2318"/>
      <c r="BJ113" s="2318"/>
      <c r="BK113" s="2318"/>
      <c r="BL113" s="2318"/>
      <c r="BM113" s="2318"/>
      <c r="BN113" s="2318"/>
      <c r="BO113" s="2318"/>
      <c r="BP113" s="2318"/>
      <c r="BQ113" s="2318"/>
      <c r="BR113" s="2318"/>
      <c r="BS113" s="2318"/>
      <c r="BT113" s="2318"/>
      <c r="BU113" s="2318"/>
      <c r="BV113" s="2318"/>
      <c r="BW113" s="2318"/>
      <c r="BX113" s="2318"/>
    </row>
    <row r="114" spans="1:76" s="2608" customFormat="1" ht="57.75" customHeight="1">
      <c r="A114" s="2632"/>
      <c r="B114" s="2632"/>
      <c r="C114" s="4012">
        <v>5</v>
      </c>
      <c r="D114" s="2446" t="s">
        <v>66</v>
      </c>
      <c r="E114" s="2446" t="s">
        <v>66</v>
      </c>
      <c r="F114" s="4012"/>
      <c r="G114" s="2446" t="s">
        <v>196</v>
      </c>
      <c r="H114" s="2446"/>
      <c r="I114" s="2631" t="s">
        <v>2252</v>
      </c>
      <c r="J114" s="1380" t="s">
        <v>2253</v>
      </c>
      <c r="K114" s="2376">
        <v>1</v>
      </c>
      <c r="L114" s="2518">
        <v>6281600470.3999996</v>
      </c>
      <c r="M114" s="2376">
        <v>0.34</v>
      </c>
      <c r="N114" s="2306">
        <v>338436050</v>
      </c>
      <c r="O114" s="2376">
        <v>0.17</v>
      </c>
      <c r="P114" s="2306">
        <v>509340384</v>
      </c>
      <c r="Q114" s="2407">
        <v>0.02</v>
      </c>
      <c r="R114" s="2304">
        <v>17589500</v>
      </c>
      <c r="S114" s="2875">
        <v>0.06</v>
      </c>
      <c r="T114" s="2304">
        <f>103854100-R114</f>
        <v>86264600</v>
      </c>
      <c r="U114" s="3266">
        <v>2.0000000000000007E-2</v>
      </c>
      <c r="V114" s="2304">
        <v>96939950</v>
      </c>
      <c r="W114" s="2305"/>
      <c r="X114" s="2304"/>
      <c r="Y114" s="2407">
        <f t="shared" si="36"/>
        <v>0.1</v>
      </c>
      <c r="Z114" s="2304">
        <f t="shared" si="37"/>
        <v>200794050</v>
      </c>
      <c r="AA114" s="2308">
        <f t="shared" si="38"/>
        <v>0.44000000000000006</v>
      </c>
      <c r="AB114" s="2304">
        <f t="shared" si="38"/>
        <v>539230100</v>
      </c>
      <c r="AC114" s="2308">
        <f t="shared" ref="AC114:AC170" si="39">(AA114/K114)*100%</f>
        <v>0.44000000000000006</v>
      </c>
      <c r="AD114" s="2311">
        <f t="shared" ref="AD114:AD170" si="40">AB114/L114</f>
        <v>8.5842788400973064E-2</v>
      </c>
      <c r="AE114" s="3160"/>
      <c r="AF114" s="2318"/>
      <c r="AG114" s="2318"/>
      <c r="AH114" s="2318"/>
      <c r="AI114" s="2318"/>
      <c r="AJ114" s="2318"/>
      <c r="AK114" s="2318"/>
      <c r="AL114" s="2318"/>
      <c r="AM114" s="2318"/>
      <c r="AN114" s="2318"/>
      <c r="AO114" s="2318"/>
      <c r="AP114" s="2318"/>
      <c r="AQ114" s="2318"/>
      <c r="AR114" s="2318"/>
      <c r="AS114" s="2318"/>
      <c r="AT114" s="2318"/>
      <c r="AU114" s="2318"/>
      <c r="AV114" s="2318"/>
      <c r="AW114" s="2318"/>
      <c r="AX114" s="2318"/>
      <c r="AY114" s="2318"/>
      <c r="AZ114" s="2318"/>
      <c r="BA114" s="2318"/>
      <c r="BB114" s="2318"/>
      <c r="BC114" s="2318"/>
      <c r="BD114" s="2318"/>
      <c r="BE114" s="2318"/>
      <c r="BF114" s="2318"/>
      <c r="BG114" s="2318"/>
      <c r="BH114" s="2318"/>
      <c r="BI114" s="2318"/>
      <c r="BJ114" s="2318"/>
      <c r="BK114" s="2318"/>
      <c r="BL114" s="2318"/>
      <c r="BM114" s="2318"/>
      <c r="BN114" s="2318"/>
      <c r="BO114" s="2318"/>
      <c r="BP114" s="2318"/>
      <c r="BQ114" s="2318"/>
      <c r="BR114" s="2318"/>
      <c r="BS114" s="2318"/>
      <c r="BT114" s="2318"/>
      <c r="BU114" s="2318"/>
      <c r="BV114" s="2318"/>
      <c r="BW114" s="2318"/>
      <c r="BX114" s="2318"/>
    </row>
    <row r="115" spans="1:76" s="2608" customFormat="1" ht="42.75" customHeight="1">
      <c r="A115" s="2632"/>
      <c r="B115" s="2632"/>
      <c r="C115" s="3794">
        <v>5</v>
      </c>
      <c r="D115" s="2446" t="s">
        <v>66</v>
      </c>
      <c r="E115" s="2446" t="s">
        <v>66</v>
      </c>
      <c r="F115" s="3794"/>
      <c r="G115" s="2446" t="s">
        <v>198</v>
      </c>
      <c r="H115" s="2446"/>
      <c r="I115" s="2631" t="s">
        <v>199</v>
      </c>
      <c r="J115" s="2632" t="s">
        <v>2254</v>
      </c>
      <c r="K115" s="2376">
        <v>1</v>
      </c>
      <c r="L115" s="2518">
        <v>2228926080</v>
      </c>
      <c r="M115" s="2376">
        <v>0.34</v>
      </c>
      <c r="N115" s="2306">
        <v>174972534</v>
      </c>
      <c r="O115" s="2376">
        <v>0.17</v>
      </c>
      <c r="P115" s="2306">
        <v>190293522</v>
      </c>
      <c r="Q115" s="2407">
        <v>0.05</v>
      </c>
      <c r="R115" s="2304">
        <v>14447000</v>
      </c>
      <c r="S115" s="2875">
        <v>0.03</v>
      </c>
      <c r="T115" s="2304">
        <f>73606500-R115</f>
        <v>59159500</v>
      </c>
      <c r="U115" s="3266">
        <v>0.03</v>
      </c>
      <c r="V115" s="2304">
        <v>56782500</v>
      </c>
      <c r="W115" s="2305"/>
      <c r="X115" s="2304"/>
      <c r="Y115" s="2407">
        <f t="shared" si="36"/>
        <v>0.11</v>
      </c>
      <c r="Z115" s="2304">
        <f t="shared" si="37"/>
        <v>130389000</v>
      </c>
      <c r="AA115" s="2308">
        <f t="shared" si="38"/>
        <v>0.45</v>
      </c>
      <c r="AB115" s="2304">
        <f t="shared" si="38"/>
        <v>305361534</v>
      </c>
      <c r="AC115" s="2308">
        <f t="shared" si="39"/>
        <v>0.45</v>
      </c>
      <c r="AD115" s="2311">
        <f t="shared" si="40"/>
        <v>0.13699939928021301</v>
      </c>
      <c r="AE115" s="3160"/>
      <c r="AF115" s="2318"/>
      <c r="AG115" s="2318"/>
      <c r="AH115" s="2318"/>
      <c r="AI115" s="2318"/>
      <c r="AJ115" s="2318"/>
      <c r="AK115" s="2318"/>
      <c r="AL115" s="2318"/>
      <c r="AM115" s="2318"/>
      <c r="AN115" s="2318"/>
      <c r="AO115" s="2318"/>
      <c r="AP115" s="2318"/>
      <c r="AQ115" s="2318"/>
      <c r="AR115" s="2318"/>
      <c r="AS115" s="2318"/>
      <c r="AT115" s="2318"/>
      <c r="AU115" s="2318"/>
      <c r="AV115" s="2318"/>
      <c r="AW115" s="2318"/>
      <c r="AX115" s="2318"/>
      <c r="AY115" s="2318"/>
      <c r="AZ115" s="2318"/>
      <c r="BA115" s="2318"/>
      <c r="BB115" s="2318"/>
      <c r="BC115" s="2318"/>
      <c r="BD115" s="2318"/>
      <c r="BE115" s="2318"/>
      <c r="BF115" s="2318"/>
      <c r="BG115" s="2318"/>
      <c r="BH115" s="2318"/>
      <c r="BI115" s="2318"/>
      <c r="BJ115" s="2318"/>
      <c r="BK115" s="2318"/>
      <c r="BL115" s="2318"/>
      <c r="BM115" s="2318"/>
      <c r="BN115" s="2318"/>
      <c r="BO115" s="2318"/>
      <c r="BP115" s="2318"/>
      <c r="BQ115" s="2318"/>
      <c r="BR115" s="2318"/>
      <c r="BS115" s="2318"/>
      <c r="BT115" s="2318"/>
      <c r="BU115" s="2318"/>
      <c r="BV115" s="2318"/>
      <c r="BW115" s="2318"/>
      <c r="BX115" s="2318"/>
    </row>
    <row r="116" spans="1:76" s="2608" customFormat="1" ht="47.25" customHeight="1">
      <c r="A116" s="2632"/>
      <c r="B116" s="2632"/>
      <c r="C116" s="3794">
        <v>5</v>
      </c>
      <c r="D116" s="2446" t="s">
        <v>66</v>
      </c>
      <c r="E116" s="2446" t="s">
        <v>66</v>
      </c>
      <c r="F116" s="3794"/>
      <c r="G116" s="2446" t="s">
        <v>93</v>
      </c>
      <c r="H116" s="2446"/>
      <c r="I116" s="2631" t="s">
        <v>200</v>
      </c>
      <c r="J116" s="1380" t="s">
        <v>2255</v>
      </c>
      <c r="K116" s="2376">
        <v>1</v>
      </c>
      <c r="L116" s="2518">
        <v>2622831120</v>
      </c>
      <c r="M116" s="2376">
        <v>0.34</v>
      </c>
      <c r="N116" s="2306">
        <v>398000000</v>
      </c>
      <c r="O116" s="2376">
        <v>0.17</v>
      </c>
      <c r="P116" s="2306">
        <v>458259724</v>
      </c>
      <c r="Q116" s="2407">
        <v>1.2E-2</v>
      </c>
      <c r="R116" s="2304">
        <v>46000000</v>
      </c>
      <c r="S116" s="2875">
        <v>6.8000000000000005E-2</v>
      </c>
      <c r="T116" s="2304">
        <f>143000000-R116</f>
        <v>97000000</v>
      </c>
      <c r="U116" s="3266">
        <v>1.2E-2</v>
      </c>
      <c r="V116" s="2304">
        <v>154138000</v>
      </c>
      <c r="W116" s="2305"/>
      <c r="X116" s="2304"/>
      <c r="Y116" s="2407">
        <f t="shared" si="36"/>
        <v>9.1999999999999998E-2</v>
      </c>
      <c r="Z116" s="2304">
        <f t="shared" si="37"/>
        <v>297138000</v>
      </c>
      <c r="AA116" s="2308">
        <f t="shared" si="38"/>
        <v>0.43200000000000005</v>
      </c>
      <c r="AB116" s="2304">
        <f t="shared" si="38"/>
        <v>695138000</v>
      </c>
      <c r="AC116" s="2308">
        <f t="shared" si="39"/>
        <v>0.43200000000000005</v>
      </c>
      <c r="AD116" s="2311">
        <f t="shared" si="40"/>
        <v>0.26503345743434675</v>
      </c>
      <c r="AE116" s="3160"/>
      <c r="AF116" s="2318"/>
      <c r="AG116" s="2318"/>
      <c r="AH116" s="2318"/>
      <c r="AI116" s="2318"/>
      <c r="AJ116" s="2318"/>
      <c r="AK116" s="2318"/>
      <c r="AL116" s="2318"/>
      <c r="AM116" s="2318"/>
      <c r="AN116" s="2318"/>
      <c r="AO116" s="2318"/>
      <c r="AP116" s="2318"/>
      <c r="AQ116" s="2318"/>
      <c r="AR116" s="2318"/>
      <c r="AS116" s="2318"/>
      <c r="AT116" s="2318"/>
      <c r="AU116" s="2318"/>
      <c r="AV116" s="2318"/>
      <c r="AW116" s="2318"/>
      <c r="AX116" s="2318"/>
      <c r="AY116" s="2318"/>
      <c r="AZ116" s="2318"/>
      <c r="BA116" s="2318"/>
      <c r="BB116" s="2318"/>
      <c r="BC116" s="2318"/>
      <c r="BD116" s="2318"/>
      <c r="BE116" s="2318"/>
      <c r="BF116" s="2318"/>
      <c r="BG116" s="2318"/>
      <c r="BH116" s="2318"/>
      <c r="BI116" s="2318"/>
      <c r="BJ116" s="2318"/>
      <c r="BK116" s="2318"/>
      <c r="BL116" s="2318"/>
      <c r="BM116" s="2318"/>
      <c r="BN116" s="2318"/>
      <c r="BO116" s="2318"/>
      <c r="BP116" s="2318"/>
      <c r="BQ116" s="2318"/>
      <c r="BR116" s="2318"/>
      <c r="BS116" s="2318"/>
      <c r="BT116" s="2318"/>
      <c r="BU116" s="2318"/>
      <c r="BV116" s="2318"/>
      <c r="BW116" s="2318"/>
      <c r="BX116" s="2318"/>
    </row>
    <row r="117" spans="1:76" s="2608" customFormat="1" ht="47.25" customHeight="1">
      <c r="A117" s="2632"/>
      <c r="B117" s="2632"/>
      <c r="C117" s="4012">
        <v>5</v>
      </c>
      <c r="D117" s="2446" t="s">
        <v>66</v>
      </c>
      <c r="E117" s="2446" t="s">
        <v>66</v>
      </c>
      <c r="F117" s="4012"/>
      <c r="G117" s="2446" t="s">
        <v>201</v>
      </c>
      <c r="H117" s="2446"/>
      <c r="I117" s="2631" t="s">
        <v>1410</v>
      </c>
      <c r="J117" s="1380" t="s">
        <v>2256</v>
      </c>
      <c r="K117" s="2376">
        <v>1</v>
      </c>
      <c r="L117" s="2518">
        <v>178057888</v>
      </c>
      <c r="M117" s="2376">
        <v>0.34</v>
      </c>
      <c r="N117" s="2306">
        <v>10450000</v>
      </c>
      <c r="O117" s="2376">
        <v>0.17</v>
      </c>
      <c r="P117" s="2306">
        <v>18400000</v>
      </c>
      <c r="Q117" s="2311">
        <v>2.3E-2</v>
      </c>
      <c r="R117" s="2304">
        <v>0</v>
      </c>
      <c r="S117" s="2875">
        <v>5.7000000000000002E-2</v>
      </c>
      <c r="T117" s="2304">
        <v>3600000</v>
      </c>
      <c r="U117" s="3266">
        <v>5.0000000000000001E-3</v>
      </c>
      <c r="V117" s="2304">
        <v>0</v>
      </c>
      <c r="W117" s="2305"/>
      <c r="X117" s="2304"/>
      <c r="Y117" s="2407">
        <f t="shared" si="36"/>
        <v>8.5000000000000006E-2</v>
      </c>
      <c r="Z117" s="2304">
        <f t="shared" si="37"/>
        <v>3600000</v>
      </c>
      <c r="AA117" s="2308">
        <f t="shared" si="38"/>
        <v>0.42500000000000004</v>
      </c>
      <c r="AB117" s="2304">
        <f t="shared" si="38"/>
        <v>14050000</v>
      </c>
      <c r="AC117" s="2308">
        <f t="shared" si="39"/>
        <v>0.42500000000000004</v>
      </c>
      <c r="AD117" s="2311">
        <f t="shared" si="40"/>
        <v>7.8906922674495616E-2</v>
      </c>
      <c r="AE117" s="3160"/>
      <c r="AF117" s="2318"/>
      <c r="AG117" s="2318"/>
      <c r="AH117" s="2318"/>
      <c r="AI117" s="2318"/>
      <c r="AJ117" s="2318"/>
      <c r="AK117" s="2318"/>
      <c r="AL117" s="2318"/>
      <c r="AM117" s="2318"/>
      <c r="AN117" s="2318"/>
      <c r="AO117" s="2318"/>
      <c r="AP117" s="2318"/>
      <c r="AQ117" s="2318"/>
      <c r="AR117" s="2318"/>
      <c r="AS117" s="2318"/>
      <c r="AT117" s="2318"/>
      <c r="AU117" s="2318"/>
      <c r="AV117" s="2318"/>
      <c r="AW117" s="2318"/>
      <c r="AX117" s="2318"/>
      <c r="AY117" s="2318"/>
      <c r="AZ117" s="2318"/>
      <c r="BA117" s="2318"/>
      <c r="BB117" s="2318"/>
      <c r="BC117" s="2318"/>
      <c r="BD117" s="2318"/>
      <c r="BE117" s="2318"/>
      <c r="BF117" s="2318"/>
      <c r="BG117" s="2318"/>
      <c r="BH117" s="2318"/>
      <c r="BI117" s="2318"/>
      <c r="BJ117" s="2318"/>
      <c r="BK117" s="2318"/>
      <c r="BL117" s="2318"/>
      <c r="BM117" s="2318"/>
      <c r="BN117" s="2318"/>
      <c r="BO117" s="2318"/>
      <c r="BP117" s="2318"/>
      <c r="BQ117" s="2318"/>
      <c r="BR117" s="2318"/>
      <c r="BS117" s="2318"/>
      <c r="BT117" s="2318"/>
      <c r="BU117" s="2318"/>
      <c r="BV117" s="2318"/>
      <c r="BW117" s="2318"/>
      <c r="BX117" s="2318"/>
    </row>
    <row r="118" spans="1:76" s="2608" customFormat="1" ht="41.25" customHeight="1">
      <c r="A118" s="2632"/>
      <c r="B118" s="2632"/>
      <c r="C118" s="3794">
        <v>5</v>
      </c>
      <c r="D118" s="2446" t="s">
        <v>66</v>
      </c>
      <c r="E118" s="2446" t="s">
        <v>66</v>
      </c>
      <c r="F118" s="3794"/>
      <c r="G118" s="2446" t="s">
        <v>202</v>
      </c>
      <c r="H118" s="2446"/>
      <c r="I118" s="2631" t="s">
        <v>203</v>
      </c>
      <c r="J118" s="1380" t="s">
        <v>621</v>
      </c>
      <c r="K118" s="2376">
        <v>1</v>
      </c>
      <c r="L118" s="2518">
        <v>1427473435.2</v>
      </c>
      <c r="M118" s="2376">
        <v>0.34</v>
      </c>
      <c r="N118" s="2306">
        <v>73062000</v>
      </c>
      <c r="O118" s="2376">
        <v>0.17</v>
      </c>
      <c r="P118" s="2306">
        <v>27631620</v>
      </c>
      <c r="Q118" s="2311">
        <v>1.4999999999999999E-2</v>
      </c>
      <c r="R118" s="2632">
        <v>0</v>
      </c>
      <c r="S118" s="2875">
        <v>6.5000000000000002E-2</v>
      </c>
      <c r="T118" s="2304">
        <v>1990000</v>
      </c>
      <c r="U118" s="3266">
        <v>1.2E-2</v>
      </c>
      <c r="V118" s="2304">
        <v>10452000</v>
      </c>
      <c r="W118" s="2305"/>
      <c r="X118" s="2304"/>
      <c r="Y118" s="2407">
        <f t="shared" si="36"/>
        <v>9.1999999999999998E-2</v>
      </c>
      <c r="Z118" s="2304">
        <f t="shared" si="37"/>
        <v>12442000</v>
      </c>
      <c r="AA118" s="2308">
        <f t="shared" si="38"/>
        <v>0.43200000000000005</v>
      </c>
      <c r="AB118" s="2304">
        <f t="shared" si="38"/>
        <v>85504000</v>
      </c>
      <c r="AC118" s="2308">
        <f t="shared" si="39"/>
        <v>0.43200000000000005</v>
      </c>
      <c r="AD118" s="2311">
        <f t="shared" si="40"/>
        <v>5.9898837968932313E-2</v>
      </c>
      <c r="AE118" s="3160"/>
      <c r="AF118" s="2318"/>
      <c r="AG118" s="2318"/>
      <c r="AH118" s="2318"/>
      <c r="AI118" s="2318"/>
      <c r="AJ118" s="2318"/>
      <c r="AK118" s="2318"/>
      <c r="AL118" s="2318"/>
      <c r="AM118" s="2318"/>
      <c r="AN118" s="2318"/>
      <c r="AO118" s="2318"/>
      <c r="AP118" s="2318"/>
      <c r="AQ118" s="2318"/>
      <c r="AR118" s="2318"/>
      <c r="AS118" s="2318"/>
      <c r="AT118" s="2318"/>
      <c r="AU118" s="2318"/>
      <c r="AV118" s="2318"/>
      <c r="AW118" s="2318"/>
      <c r="AX118" s="2318"/>
      <c r="AY118" s="2318"/>
      <c r="AZ118" s="2318"/>
      <c r="BA118" s="2318"/>
      <c r="BB118" s="2318"/>
      <c r="BC118" s="2318"/>
      <c r="BD118" s="2318"/>
      <c r="BE118" s="2318"/>
      <c r="BF118" s="2318"/>
      <c r="BG118" s="2318"/>
      <c r="BH118" s="2318"/>
      <c r="BI118" s="2318"/>
      <c r="BJ118" s="2318"/>
      <c r="BK118" s="2318"/>
      <c r="BL118" s="2318"/>
      <c r="BM118" s="2318"/>
      <c r="BN118" s="2318"/>
      <c r="BO118" s="2318"/>
      <c r="BP118" s="2318"/>
      <c r="BQ118" s="2318"/>
      <c r="BR118" s="2318"/>
      <c r="BS118" s="2318"/>
      <c r="BT118" s="2318"/>
      <c r="BU118" s="2318"/>
      <c r="BV118" s="2318"/>
      <c r="BW118" s="2318"/>
      <c r="BX118" s="2318"/>
    </row>
    <row r="119" spans="1:76" s="2608" customFormat="1" ht="41.25" customHeight="1">
      <c r="A119" s="2632"/>
      <c r="B119" s="2632"/>
      <c r="C119" s="3794">
        <v>5</v>
      </c>
      <c r="D119" s="2446" t="s">
        <v>66</v>
      </c>
      <c r="E119" s="2446" t="s">
        <v>66</v>
      </c>
      <c r="F119" s="3794"/>
      <c r="G119" s="2446" t="s">
        <v>417</v>
      </c>
      <c r="H119" s="2446"/>
      <c r="I119" s="2631" t="s">
        <v>204</v>
      </c>
      <c r="J119" s="2631" t="s">
        <v>2257</v>
      </c>
      <c r="K119" s="2376">
        <v>1</v>
      </c>
      <c r="L119" s="2518">
        <v>813429920</v>
      </c>
      <c r="M119" s="2376">
        <v>0.34</v>
      </c>
      <c r="N119" s="2306">
        <v>50968650</v>
      </c>
      <c r="O119" s="2376">
        <v>0.17</v>
      </c>
      <c r="P119" s="2306">
        <v>27450685</v>
      </c>
      <c r="Q119" s="2311">
        <v>2.1000000000000001E-2</v>
      </c>
      <c r="R119" s="2632">
        <v>0</v>
      </c>
      <c r="S119" s="2875">
        <v>5.8999999999999997E-2</v>
      </c>
      <c r="T119" s="2304">
        <v>3552000</v>
      </c>
      <c r="U119" s="3266">
        <v>1.2999999999999999E-2</v>
      </c>
      <c r="V119" s="2304">
        <v>9512000</v>
      </c>
      <c r="W119" s="2305"/>
      <c r="X119" s="2304"/>
      <c r="Y119" s="2407">
        <f t="shared" si="36"/>
        <v>9.2999999999999999E-2</v>
      </c>
      <c r="Z119" s="2304">
        <f t="shared" si="37"/>
        <v>13064000</v>
      </c>
      <c r="AA119" s="2308">
        <f t="shared" si="38"/>
        <v>0.43300000000000005</v>
      </c>
      <c r="AB119" s="2304">
        <f t="shared" si="38"/>
        <v>64032650</v>
      </c>
      <c r="AC119" s="2308">
        <f t="shared" si="39"/>
        <v>0.43300000000000005</v>
      </c>
      <c r="AD119" s="2311">
        <f t="shared" si="40"/>
        <v>7.8719319790941544E-2</v>
      </c>
      <c r="AE119" s="3160"/>
      <c r="AF119" s="2318"/>
      <c r="AG119" s="2318"/>
      <c r="AH119" s="2318"/>
      <c r="AI119" s="2318"/>
      <c r="AJ119" s="2318"/>
      <c r="AK119" s="2318"/>
      <c r="AL119" s="2318"/>
      <c r="AM119" s="2318"/>
      <c r="AN119" s="2318"/>
      <c r="AO119" s="2318"/>
      <c r="AP119" s="2318"/>
      <c r="AQ119" s="2318"/>
      <c r="AR119" s="2318"/>
      <c r="AS119" s="2318"/>
      <c r="AT119" s="2318"/>
      <c r="AU119" s="2318"/>
      <c r="AV119" s="2318"/>
      <c r="AW119" s="2318"/>
      <c r="AX119" s="2318"/>
      <c r="AY119" s="2318"/>
      <c r="AZ119" s="2318"/>
      <c r="BA119" s="2318"/>
      <c r="BB119" s="2318"/>
      <c r="BC119" s="2318"/>
      <c r="BD119" s="2318"/>
      <c r="BE119" s="2318"/>
      <c r="BF119" s="2318"/>
      <c r="BG119" s="2318"/>
      <c r="BH119" s="2318"/>
      <c r="BI119" s="2318"/>
      <c r="BJ119" s="2318"/>
      <c r="BK119" s="2318"/>
      <c r="BL119" s="2318"/>
      <c r="BM119" s="2318"/>
      <c r="BN119" s="2318"/>
      <c r="BO119" s="2318"/>
      <c r="BP119" s="2318"/>
      <c r="BQ119" s="2318"/>
      <c r="BR119" s="2318"/>
      <c r="BS119" s="2318"/>
      <c r="BT119" s="2318"/>
      <c r="BU119" s="2318"/>
      <c r="BV119" s="2318"/>
      <c r="BW119" s="2318"/>
      <c r="BX119" s="2318"/>
    </row>
    <row r="120" spans="1:76" s="2608" customFormat="1" ht="51" customHeight="1">
      <c r="A120" s="2632"/>
      <c r="B120" s="2632"/>
      <c r="C120" s="3794">
        <v>5</v>
      </c>
      <c r="D120" s="2446" t="s">
        <v>66</v>
      </c>
      <c r="E120" s="2446" t="s">
        <v>66</v>
      </c>
      <c r="F120" s="3794"/>
      <c r="G120" s="2446" t="s">
        <v>160</v>
      </c>
      <c r="H120" s="2446"/>
      <c r="I120" s="2631" t="s">
        <v>205</v>
      </c>
      <c r="J120" s="1380" t="s">
        <v>2258</v>
      </c>
      <c r="K120" s="2376">
        <v>1</v>
      </c>
      <c r="L120" s="2518">
        <v>1379884582.4000001</v>
      </c>
      <c r="M120" s="2376">
        <v>0.34</v>
      </c>
      <c r="N120" s="2306">
        <v>34782535</v>
      </c>
      <c r="O120" s="2376">
        <v>0.17</v>
      </c>
      <c r="P120" s="2306">
        <v>28641250</v>
      </c>
      <c r="Q120" s="2311">
        <v>2.1000000000000001E-2</v>
      </c>
      <c r="R120" s="2632">
        <v>0</v>
      </c>
      <c r="S120" s="2875">
        <v>5.8999999999999997E-2</v>
      </c>
      <c r="T120" s="2304">
        <v>3570500</v>
      </c>
      <c r="U120" s="3266">
        <v>5.0000000000000001E-3</v>
      </c>
      <c r="V120" s="2304">
        <v>8194500</v>
      </c>
      <c r="W120" s="2305"/>
      <c r="X120" s="2304"/>
      <c r="Y120" s="2407">
        <f t="shared" si="36"/>
        <v>8.5000000000000006E-2</v>
      </c>
      <c r="Z120" s="2304">
        <f t="shared" si="37"/>
        <v>11765000</v>
      </c>
      <c r="AA120" s="2308">
        <f t="shared" si="38"/>
        <v>0.42500000000000004</v>
      </c>
      <c r="AB120" s="2304">
        <f t="shared" si="38"/>
        <v>46547535</v>
      </c>
      <c r="AC120" s="2308">
        <f t="shared" si="39"/>
        <v>0.42500000000000004</v>
      </c>
      <c r="AD120" s="2311">
        <f t="shared" si="40"/>
        <v>3.3732919110554156E-2</v>
      </c>
      <c r="AE120" s="3160"/>
      <c r="AF120" s="2318"/>
      <c r="AG120" s="2318"/>
      <c r="AH120" s="2318"/>
      <c r="AI120" s="2318"/>
      <c r="AJ120" s="2318"/>
      <c r="AK120" s="2318"/>
      <c r="AL120" s="2318"/>
      <c r="AM120" s="2318"/>
      <c r="AN120" s="2318"/>
      <c r="AO120" s="2318"/>
      <c r="AP120" s="2318"/>
      <c r="AQ120" s="2318"/>
      <c r="AR120" s="2318"/>
      <c r="AS120" s="2318"/>
      <c r="AT120" s="2318"/>
      <c r="AU120" s="2318"/>
      <c r="AV120" s="2318"/>
      <c r="AW120" s="2318"/>
      <c r="AX120" s="2318"/>
      <c r="AY120" s="2318"/>
      <c r="AZ120" s="2318"/>
      <c r="BA120" s="2318"/>
      <c r="BB120" s="2318"/>
      <c r="BC120" s="2318"/>
      <c r="BD120" s="2318"/>
      <c r="BE120" s="2318"/>
      <c r="BF120" s="2318"/>
      <c r="BG120" s="2318"/>
      <c r="BH120" s="2318"/>
      <c r="BI120" s="2318"/>
      <c r="BJ120" s="2318"/>
      <c r="BK120" s="2318"/>
      <c r="BL120" s="2318"/>
      <c r="BM120" s="2318"/>
      <c r="BN120" s="2318"/>
      <c r="BO120" s="2318"/>
      <c r="BP120" s="2318"/>
      <c r="BQ120" s="2318"/>
      <c r="BR120" s="2318"/>
      <c r="BS120" s="2318"/>
      <c r="BT120" s="2318"/>
      <c r="BU120" s="2318"/>
      <c r="BV120" s="2318"/>
      <c r="BW120" s="2318"/>
      <c r="BX120" s="2318"/>
    </row>
    <row r="121" spans="1:76" s="2608" customFormat="1" ht="41.25" customHeight="1">
      <c r="A121" s="2632"/>
      <c r="B121" s="2632"/>
      <c r="C121" s="3794">
        <v>1</v>
      </c>
      <c r="D121" s="2446" t="s">
        <v>66</v>
      </c>
      <c r="E121" s="2446" t="s">
        <v>65</v>
      </c>
      <c r="F121" s="2446" t="s">
        <v>66</v>
      </c>
      <c r="G121" s="2446">
        <v>13</v>
      </c>
      <c r="H121" s="2446"/>
      <c r="I121" s="2631" t="s">
        <v>1674</v>
      </c>
      <c r="J121" s="1380" t="s">
        <v>1675</v>
      </c>
      <c r="K121" s="2376">
        <v>1</v>
      </c>
      <c r="L121" s="2518">
        <v>898808036.79999995</v>
      </c>
      <c r="M121" s="2376">
        <v>0.34</v>
      </c>
      <c r="N121" s="2306">
        <v>309296200</v>
      </c>
      <c r="O121" s="2376">
        <v>0.17</v>
      </c>
      <c r="P121" s="2306">
        <v>103227960</v>
      </c>
      <c r="Q121" s="2408">
        <v>1.84E-2</v>
      </c>
      <c r="R121" s="2304">
        <v>1900000</v>
      </c>
      <c r="S121" s="2875">
        <v>6.2E-2</v>
      </c>
      <c r="T121" s="2304">
        <f>94472000-R121</f>
        <v>92572000</v>
      </c>
      <c r="U121" s="3266">
        <v>0.04</v>
      </c>
      <c r="V121" s="2304">
        <v>3850000</v>
      </c>
      <c r="W121" s="2305"/>
      <c r="X121" s="2304"/>
      <c r="Y121" s="2407">
        <f t="shared" si="36"/>
        <v>0.12040000000000001</v>
      </c>
      <c r="Z121" s="2304">
        <f t="shared" si="37"/>
        <v>98322000</v>
      </c>
      <c r="AA121" s="2308">
        <f t="shared" si="38"/>
        <v>0.46040000000000003</v>
      </c>
      <c r="AB121" s="2304">
        <f t="shared" si="38"/>
        <v>407618200</v>
      </c>
      <c r="AC121" s="2308">
        <f t="shared" si="39"/>
        <v>0.46040000000000003</v>
      </c>
      <c r="AD121" s="2311">
        <f t="shared" si="40"/>
        <v>0.45350974102460317</v>
      </c>
      <c r="AE121" s="3160"/>
      <c r="AF121" s="2318"/>
      <c r="AG121" s="2318"/>
      <c r="AH121" s="2318"/>
      <c r="AI121" s="2318"/>
      <c r="AJ121" s="2318"/>
      <c r="AK121" s="2318"/>
      <c r="AL121" s="2318"/>
      <c r="AM121" s="2318"/>
      <c r="AN121" s="2318"/>
      <c r="AO121" s="2318"/>
      <c r="AP121" s="2318"/>
      <c r="AQ121" s="2318"/>
      <c r="AR121" s="2318"/>
      <c r="AS121" s="2318"/>
      <c r="AT121" s="2318"/>
      <c r="AU121" s="2318"/>
      <c r="AV121" s="2318"/>
      <c r="AW121" s="2318"/>
      <c r="AX121" s="2318"/>
      <c r="AY121" s="2318"/>
      <c r="AZ121" s="2318"/>
      <c r="BA121" s="2318"/>
      <c r="BB121" s="2318"/>
      <c r="BC121" s="2318"/>
      <c r="BD121" s="2318"/>
      <c r="BE121" s="2318"/>
      <c r="BF121" s="2318"/>
      <c r="BG121" s="2318"/>
      <c r="BH121" s="2318"/>
      <c r="BI121" s="2318"/>
      <c r="BJ121" s="2318"/>
      <c r="BK121" s="2318"/>
      <c r="BL121" s="2318"/>
      <c r="BM121" s="2318"/>
      <c r="BN121" s="2318"/>
      <c r="BO121" s="2318"/>
      <c r="BP121" s="2318"/>
      <c r="BQ121" s="2318"/>
      <c r="BR121" s="2318"/>
      <c r="BS121" s="2318"/>
      <c r="BT121" s="2318"/>
      <c r="BU121" s="2318"/>
      <c r="BV121" s="2318"/>
      <c r="BW121" s="2318"/>
      <c r="BX121" s="2318"/>
    </row>
    <row r="122" spans="1:76" s="2608" customFormat="1" ht="48.75" customHeight="1">
      <c r="A122" s="2632"/>
      <c r="B122" s="2632"/>
      <c r="C122" s="3794">
        <v>5</v>
      </c>
      <c r="D122" s="2446" t="s">
        <v>66</v>
      </c>
      <c r="E122" s="2446" t="s">
        <v>66</v>
      </c>
      <c r="F122" s="3794"/>
      <c r="G122" s="2446" t="s">
        <v>155</v>
      </c>
      <c r="H122" s="2446"/>
      <c r="I122" s="2631" t="s">
        <v>533</v>
      </c>
      <c r="J122" s="1380" t="s">
        <v>2259</v>
      </c>
      <c r="K122" s="2376">
        <v>1</v>
      </c>
      <c r="L122" s="2519">
        <v>177289292.80000001</v>
      </c>
      <c r="M122" s="2376">
        <v>0.34</v>
      </c>
      <c r="N122" s="2306">
        <v>11220000</v>
      </c>
      <c r="O122" s="2376">
        <v>0.17</v>
      </c>
      <c r="P122" s="2306">
        <v>13900000</v>
      </c>
      <c r="Q122" s="2409">
        <v>0.04</v>
      </c>
      <c r="R122" s="2304">
        <v>3460000</v>
      </c>
      <c r="S122" s="2875">
        <v>0.04</v>
      </c>
      <c r="T122" s="2304">
        <f>3700000-R122</f>
        <v>240000</v>
      </c>
      <c r="U122" s="3266">
        <v>0.03</v>
      </c>
      <c r="V122" s="2304">
        <v>6540000</v>
      </c>
      <c r="W122" s="2305"/>
      <c r="X122" s="2304"/>
      <c r="Y122" s="2407">
        <f t="shared" si="36"/>
        <v>0.11</v>
      </c>
      <c r="Z122" s="2304">
        <f t="shared" si="37"/>
        <v>10240000</v>
      </c>
      <c r="AA122" s="2308">
        <f t="shared" si="38"/>
        <v>0.45</v>
      </c>
      <c r="AB122" s="2304">
        <f t="shared" si="38"/>
        <v>21460000</v>
      </c>
      <c r="AC122" s="2308">
        <f t="shared" si="39"/>
        <v>0.45</v>
      </c>
      <c r="AD122" s="2311">
        <f t="shared" si="40"/>
        <v>0.12104509900780651</v>
      </c>
      <c r="AE122" s="3160"/>
      <c r="AF122" s="2318"/>
      <c r="AG122" s="2318"/>
      <c r="AH122" s="2318"/>
      <c r="AI122" s="2318"/>
      <c r="AJ122" s="2318"/>
      <c r="AK122" s="2318"/>
      <c r="AL122" s="2318"/>
      <c r="AM122" s="2318"/>
      <c r="AN122" s="2318"/>
      <c r="AO122" s="2318"/>
      <c r="AP122" s="2318"/>
      <c r="AQ122" s="2318"/>
      <c r="AR122" s="2318"/>
      <c r="AS122" s="2318"/>
      <c r="AT122" s="2318"/>
      <c r="AU122" s="2318"/>
      <c r="AV122" s="2318"/>
      <c r="AW122" s="2318"/>
      <c r="AX122" s="2318"/>
      <c r="AY122" s="2318"/>
      <c r="AZ122" s="2318"/>
      <c r="BA122" s="2318"/>
      <c r="BB122" s="2318"/>
      <c r="BC122" s="2318"/>
      <c r="BD122" s="2318"/>
      <c r="BE122" s="2318"/>
      <c r="BF122" s="2318"/>
      <c r="BG122" s="2318"/>
      <c r="BH122" s="2318"/>
      <c r="BI122" s="2318"/>
      <c r="BJ122" s="2318"/>
      <c r="BK122" s="2318"/>
      <c r="BL122" s="2318"/>
      <c r="BM122" s="2318"/>
      <c r="BN122" s="2318"/>
      <c r="BO122" s="2318"/>
      <c r="BP122" s="2318"/>
      <c r="BQ122" s="2318"/>
      <c r="BR122" s="2318"/>
      <c r="BS122" s="2318"/>
      <c r="BT122" s="2318"/>
      <c r="BU122" s="2318"/>
      <c r="BV122" s="2318"/>
      <c r="BW122" s="2318"/>
      <c r="BX122" s="2318"/>
    </row>
    <row r="123" spans="1:76" s="2608" customFormat="1" ht="85.5" customHeight="1">
      <c r="A123" s="2632"/>
      <c r="B123" s="2632"/>
      <c r="C123" s="3794">
        <v>5</v>
      </c>
      <c r="D123" s="2446" t="s">
        <v>66</v>
      </c>
      <c r="E123" s="2446" t="s">
        <v>66</v>
      </c>
      <c r="F123" s="3794"/>
      <c r="G123" s="2446" t="s">
        <v>448</v>
      </c>
      <c r="H123" s="2446"/>
      <c r="I123" s="2631" t="s">
        <v>206</v>
      </c>
      <c r="J123" s="1380" t="s">
        <v>2260</v>
      </c>
      <c r="K123" s="2376">
        <v>1</v>
      </c>
      <c r="L123" s="2518">
        <v>2640636908.8000002</v>
      </c>
      <c r="M123" s="2376">
        <v>0.34</v>
      </c>
      <c r="N123" s="2306">
        <v>93064000</v>
      </c>
      <c r="O123" s="2376">
        <v>0.17</v>
      </c>
      <c r="P123" s="2306">
        <v>102107494</v>
      </c>
      <c r="Q123" s="2408">
        <v>9.7999999999999997E-3</v>
      </c>
      <c r="R123" s="2304">
        <v>996000</v>
      </c>
      <c r="S123" s="2875">
        <v>7.0000000000000007E-2</v>
      </c>
      <c r="T123" s="2304">
        <f>19466500-R123</f>
        <v>18470500</v>
      </c>
      <c r="U123" s="3266">
        <v>2.0199999999999999E-2</v>
      </c>
      <c r="V123" s="2304">
        <v>23966000</v>
      </c>
      <c r="W123" s="2305"/>
      <c r="X123" s="2304"/>
      <c r="Y123" s="2407">
        <f t="shared" si="36"/>
        <v>0.1</v>
      </c>
      <c r="Z123" s="2304">
        <f t="shared" si="37"/>
        <v>43432500</v>
      </c>
      <c r="AA123" s="2308">
        <f t="shared" si="38"/>
        <v>0.44000000000000006</v>
      </c>
      <c r="AB123" s="2304">
        <f t="shared" si="38"/>
        <v>136496500</v>
      </c>
      <c r="AC123" s="2308">
        <f t="shared" si="39"/>
        <v>0.44000000000000006</v>
      </c>
      <c r="AD123" s="2311">
        <f t="shared" si="40"/>
        <v>5.1690749131439236E-2</v>
      </c>
      <c r="AE123" s="3160"/>
      <c r="AF123" s="2318"/>
      <c r="AG123" s="2318"/>
      <c r="AH123" s="2318"/>
      <c r="AI123" s="2318"/>
      <c r="AJ123" s="2318"/>
      <c r="AK123" s="2318"/>
      <c r="AL123" s="2318"/>
      <c r="AM123" s="2318"/>
      <c r="AN123" s="2318"/>
      <c r="AO123" s="2318"/>
      <c r="AP123" s="2318"/>
      <c r="AQ123" s="2318"/>
      <c r="AR123" s="2318"/>
      <c r="AS123" s="2318"/>
      <c r="AT123" s="2318"/>
      <c r="AU123" s="2318"/>
      <c r="AV123" s="2318"/>
      <c r="AW123" s="2318"/>
      <c r="AX123" s="2318"/>
      <c r="AY123" s="2318"/>
      <c r="AZ123" s="2318"/>
      <c r="BA123" s="2318"/>
      <c r="BB123" s="2318"/>
      <c r="BC123" s="2318"/>
      <c r="BD123" s="2318"/>
      <c r="BE123" s="2318"/>
      <c r="BF123" s="2318"/>
      <c r="BG123" s="2318"/>
      <c r="BH123" s="2318"/>
      <c r="BI123" s="2318"/>
      <c r="BJ123" s="2318"/>
      <c r="BK123" s="2318"/>
      <c r="BL123" s="2318"/>
      <c r="BM123" s="2318"/>
      <c r="BN123" s="2318"/>
      <c r="BO123" s="2318"/>
      <c r="BP123" s="2318"/>
      <c r="BQ123" s="2318"/>
      <c r="BR123" s="2318"/>
      <c r="BS123" s="2318"/>
      <c r="BT123" s="2318"/>
      <c r="BU123" s="2318"/>
      <c r="BV123" s="2318"/>
      <c r="BW123" s="2318"/>
      <c r="BX123" s="2318"/>
    </row>
    <row r="124" spans="1:76" s="2608" customFormat="1" ht="48" customHeight="1">
      <c r="A124" s="2632"/>
      <c r="B124" s="2632"/>
      <c r="C124" s="3794">
        <v>5</v>
      </c>
      <c r="D124" s="2446" t="s">
        <v>66</v>
      </c>
      <c r="E124" s="2446" t="s">
        <v>66</v>
      </c>
      <c r="F124" s="3794"/>
      <c r="G124" s="2446" t="s">
        <v>167</v>
      </c>
      <c r="H124" s="2446"/>
      <c r="I124" s="2631" t="s">
        <v>207</v>
      </c>
      <c r="J124" s="2516" t="s">
        <v>2261</v>
      </c>
      <c r="K124" s="2376">
        <v>1</v>
      </c>
      <c r="L124" s="2518">
        <v>1441116000</v>
      </c>
      <c r="M124" s="2376">
        <v>0.34</v>
      </c>
      <c r="N124" s="2306">
        <v>117909197</v>
      </c>
      <c r="O124" s="2376">
        <v>0.17</v>
      </c>
      <c r="P124" s="2306">
        <v>66100000</v>
      </c>
      <c r="Q124" s="2408">
        <v>3.7999999999999999E-2</v>
      </c>
      <c r="R124" s="2304">
        <v>15554600</v>
      </c>
      <c r="S124" s="2875">
        <v>4.2000000000000003E-2</v>
      </c>
      <c r="T124" s="2304">
        <f>31353600-R124</f>
        <v>15799000</v>
      </c>
      <c r="U124" s="3266">
        <v>1.4999999999999999E-2</v>
      </c>
      <c r="V124" s="2304">
        <v>18265022</v>
      </c>
      <c r="W124" s="2305"/>
      <c r="X124" s="2304"/>
      <c r="Y124" s="2407">
        <f t="shared" si="36"/>
        <v>9.5000000000000001E-2</v>
      </c>
      <c r="Z124" s="2304">
        <f t="shared" si="37"/>
        <v>49618622</v>
      </c>
      <c r="AA124" s="2308">
        <f t="shared" si="38"/>
        <v>0.43500000000000005</v>
      </c>
      <c r="AB124" s="2304">
        <f t="shared" si="38"/>
        <v>167527819</v>
      </c>
      <c r="AC124" s="2308">
        <f t="shared" si="39"/>
        <v>0.43500000000000005</v>
      </c>
      <c r="AD124" s="2311">
        <f t="shared" si="40"/>
        <v>0.11624867047482645</v>
      </c>
      <c r="AE124" s="3160"/>
      <c r="AF124" s="2318"/>
      <c r="AG124" s="2318"/>
      <c r="AH124" s="2318"/>
      <c r="AI124" s="2318"/>
      <c r="AJ124" s="2318"/>
      <c r="AK124" s="2318"/>
      <c r="AL124" s="2318"/>
      <c r="AM124" s="2318"/>
      <c r="AN124" s="2318"/>
      <c r="AO124" s="2318"/>
      <c r="AP124" s="2318"/>
      <c r="AQ124" s="2318"/>
      <c r="AR124" s="2318"/>
      <c r="AS124" s="2318"/>
      <c r="AT124" s="2318"/>
      <c r="AU124" s="2318"/>
      <c r="AV124" s="2318"/>
      <c r="AW124" s="2318"/>
      <c r="AX124" s="2318"/>
      <c r="AY124" s="2318"/>
      <c r="AZ124" s="2318"/>
      <c r="BA124" s="2318"/>
      <c r="BB124" s="2318"/>
      <c r="BC124" s="2318"/>
      <c r="BD124" s="2318"/>
      <c r="BE124" s="2318"/>
      <c r="BF124" s="2318"/>
      <c r="BG124" s="2318"/>
      <c r="BH124" s="2318"/>
      <c r="BI124" s="2318"/>
      <c r="BJ124" s="2318"/>
      <c r="BK124" s="2318"/>
      <c r="BL124" s="2318"/>
      <c r="BM124" s="2318"/>
      <c r="BN124" s="2318"/>
      <c r="BO124" s="2318"/>
      <c r="BP124" s="2318"/>
      <c r="BQ124" s="2318"/>
      <c r="BR124" s="2318"/>
      <c r="BS124" s="2318"/>
      <c r="BT124" s="2318"/>
      <c r="BU124" s="2318"/>
      <c r="BV124" s="2318"/>
      <c r="BW124" s="2318"/>
      <c r="BX124" s="2318"/>
    </row>
    <row r="125" spans="1:76" s="2608" customFormat="1" ht="52.5" customHeight="1">
      <c r="A125" s="2632"/>
      <c r="B125" s="2632"/>
      <c r="C125" s="3794">
        <v>1</v>
      </c>
      <c r="D125" s="2446" t="s">
        <v>66</v>
      </c>
      <c r="E125" s="2446" t="s">
        <v>65</v>
      </c>
      <c r="F125" s="2446" t="s">
        <v>66</v>
      </c>
      <c r="G125" s="2446">
        <v>19</v>
      </c>
      <c r="H125" s="2446"/>
      <c r="I125" s="2631" t="s">
        <v>2262</v>
      </c>
      <c r="J125" s="1380" t="s">
        <v>2263</v>
      </c>
      <c r="K125" s="2376">
        <v>1</v>
      </c>
      <c r="L125" s="2518">
        <v>115289280</v>
      </c>
      <c r="M125" s="2376">
        <v>0.34</v>
      </c>
      <c r="N125" s="2306">
        <v>25000000</v>
      </c>
      <c r="O125" s="2376">
        <v>0.17</v>
      </c>
      <c r="P125" s="2306">
        <v>39000000</v>
      </c>
      <c r="Q125" s="2408">
        <v>2.5000000000000001E-2</v>
      </c>
      <c r="R125" s="2304">
        <v>6000000</v>
      </c>
      <c r="S125" s="2875">
        <v>5.5E-2</v>
      </c>
      <c r="T125" s="2304">
        <f>18000000-R125</f>
        <v>12000000</v>
      </c>
      <c r="U125" s="3266">
        <v>3.5000000000000003E-2</v>
      </c>
      <c r="V125" s="2304">
        <v>9000000</v>
      </c>
      <c r="W125" s="2305"/>
      <c r="X125" s="2304"/>
      <c r="Y125" s="2407">
        <f t="shared" si="36"/>
        <v>0.115</v>
      </c>
      <c r="Z125" s="2304">
        <f t="shared" si="37"/>
        <v>27000000</v>
      </c>
      <c r="AA125" s="2308">
        <f t="shared" si="38"/>
        <v>0.45500000000000002</v>
      </c>
      <c r="AB125" s="2304">
        <f t="shared" si="38"/>
        <v>52000000</v>
      </c>
      <c r="AC125" s="2308">
        <f t="shared" si="39"/>
        <v>0.45500000000000002</v>
      </c>
      <c r="AD125" s="2311">
        <f t="shared" si="40"/>
        <v>0.45103933340549962</v>
      </c>
      <c r="AE125" s="3160"/>
      <c r="AF125" s="2318"/>
      <c r="AG125" s="2318"/>
      <c r="AH125" s="2318"/>
      <c r="AI125" s="2318"/>
      <c r="AJ125" s="2318"/>
      <c r="AK125" s="2318"/>
      <c r="AL125" s="2318"/>
      <c r="AM125" s="2318"/>
      <c r="AN125" s="2318"/>
      <c r="AO125" s="2318"/>
      <c r="AP125" s="2318"/>
      <c r="AQ125" s="2318"/>
      <c r="AR125" s="2318"/>
      <c r="AS125" s="2318"/>
      <c r="AT125" s="2318"/>
      <c r="AU125" s="2318"/>
      <c r="AV125" s="2318"/>
      <c r="AW125" s="2318"/>
      <c r="AX125" s="2318"/>
      <c r="AY125" s="2318"/>
      <c r="AZ125" s="2318"/>
      <c r="BA125" s="2318"/>
      <c r="BB125" s="2318"/>
      <c r="BC125" s="2318"/>
      <c r="BD125" s="2318"/>
      <c r="BE125" s="2318"/>
      <c r="BF125" s="2318"/>
      <c r="BG125" s="2318"/>
      <c r="BH125" s="2318"/>
      <c r="BI125" s="2318"/>
      <c r="BJ125" s="2318"/>
      <c r="BK125" s="2318"/>
      <c r="BL125" s="2318"/>
      <c r="BM125" s="2318"/>
      <c r="BN125" s="2318"/>
      <c r="BO125" s="2318"/>
      <c r="BP125" s="2318"/>
      <c r="BQ125" s="2318"/>
      <c r="BR125" s="2318"/>
      <c r="BS125" s="2318"/>
      <c r="BT125" s="2318"/>
      <c r="BU125" s="2318"/>
      <c r="BV125" s="2318"/>
      <c r="BW125" s="2318"/>
      <c r="BX125" s="2318"/>
    </row>
    <row r="126" spans="1:76" s="2608" customFormat="1" ht="43.5" customHeight="1">
      <c r="A126" s="2632"/>
      <c r="B126" s="2632"/>
      <c r="C126" s="3794">
        <v>5</v>
      </c>
      <c r="D126" s="2446" t="s">
        <v>66</v>
      </c>
      <c r="E126" s="2446" t="s">
        <v>65</v>
      </c>
      <c r="F126" s="2446" t="s">
        <v>66</v>
      </c>
      <c r="G126" s="2446" t="s">
        <v>376</v>
      </c>
      <c r="H126" s="2446"/>
      <c r="I126" s="2631" t="s">
        <v>208</v>
      </c>
      <c r="J126" s="1380" t="s">
        <v>2264</v>
      </c>
      <c r="K126" s="2376">
        <v>1</v>
      </c>
      <c r="L126" s="2518">
        <v>1769690448</v>
      </c>
      <c r="M126" s="2376">
        <v>0.34</v>
      </c>
      <c r="N126" s="2306">
        <v>21415000</v>
      </c>
      <c r="O126" s="2376">
        <v>0.17</v>
      </c>
      <c r="P126" s="2306">
        <v>61900000</v>
      </c>
      <c r="Q126" s="2408">
        <v>5.0000000000000001E-3</v>
      </c>
      <c r="R126" s="2304">
        <v>2545000</v>
      </c>
      <c r="S126" s="2875">
        <v>7.4999999999999997E-2</v>
      </c>
      <c r="T126" s="2304">
        <f>29285000-R126</f>
        <v>26740000</v>
      </c>
      <c r="U126" s="3266">
        <v>0.04</v>
      </c>
      <c r="V126" s="2304">
        <v>14345000</v>
      </c>
      <c r="W126" s="2305"/>
      <c r="X126" s="2304"/>
      <c r="Y126" s="2407">
        <f t="shared" si="36"/>
        <v>0.12</v>
      </c>
      <c r="Z126" s="2304">
        <f t="shared" si="37"/>
        <v>43630000</v>
      </c>
      <c r="AA126" s="2308">
        <f t="shared" si="38"/>
        <v>0.46</v>
      </c>
      <c r="AB126" s="2304">
        <f t="shared" si="38"/>
        <v>65045000</v>
      </c>
      <c r="AC126" s="2308">
        <f t="shared" si="39"/>
        <v>0.46</v>
      </c>
      <c r="AD126" s="2311">
        <f t="shared" si="40"/>
        <v>3.6755015586771141E-2</v>
      </c>
      <c r="AE126" s="3160"/>
      <c r="AF126" s="2318"/>
      <c r="AG126" s="2318"/>
      <c r="AH126" s="2318"/>
      <c r="AI126" s="2318"/>
      <c r="AJ126" s="2318"/>
      <c r="AK126" s="2318"/>
      <c r="AL126" s="2318"/>
      <c r="AM126" s="2318"/>
      <c r="AN126" s="2318"/>
      <c r="AO126" s="2318"/>
      <c r="AP126" s="2318"/>
      <c r="AQ126" s="2318"/>
      <c r="AR126" s="2318"/>
      <c r="AS126" s="2318"/>
      <c r="AT126" s="2318"/>
      <c r="AU126" s="2318"/>
      <c r="AV126" s="2318"/>
      <c r="AW126" s="2318"/>
      <c r="AX126" s="2318"/>
      <c r="AY126" s="2318"/>
      <c r="AZ126" s="2318"/>
      <c r="BA126" s="2318"/>
      <c r="BB126" s="2318"/>
      <c r="BC126" s="2318"/>
      <c r="BD126" s="2318"/>
      <c r="BE126" s="2318"/>
      <c r="BF126" s="2318"/>
      <c r="BG126" s="2318"/>
      <c r="BH126" s="2318"/>
      <c r="BI126" s="2318"/>
      <c r="BJ126" s="2318"/>
      <c r="BK126" s="2318"/>
      <c r="BL126" s="2318"/>
      <c r="BM126" s="2318"/>
      <c r="BN126" s="2318"/>
      <c r="BO126" s="2318"/>
      <c r="BP126" s="2318"/>
      <c r="BQ126" s="2318"/>
      <c r="BR126" s="2318"/>
      <c r="BS126" s="2318"/>
      <c r="BT126" s="2318"/>
      <c r="BU126" s="2318"/>
      <c r="BV126" s="2318"/>
      <c r="BW126" s="2318"/>
      <c r="BX126" s="2318"/>
    </row>
    <row r="127" spans="1:76" s="2608" customFormat="1" ht="48" customHeight="1">
      <c r="A127" s="2632"/>
      <c r="B127" s="2632"/>
      <c r="C127" s="3794">
        <v>1</v>
      </c>
      <c r="D127" s="2446" t="s">
        <v>66</v>
      </c>
      <c r="E127" s="2446" t="s">
        <v>65</v>
      </c>
      <c r="F127" s="2446" t="s">
        <v>66</v>
      </c>
      <c r="G127" s="3794">
        <v>25</v>
      </c>
      <c r="H127" s="3794"/>
      <c r="I127" s="2631" t="s">
        <v>2265</v>
      </c>
      <c r="J127" s="1380" t="s">
        <v>2266</v>
      </c>
      <c r="K127" s="2376">
        <v>1</v>
      </c>
      <c r="L127" s="2400">
        <v>1246661414.4000001</v>
      </c>
      <c r="M127" s="2376">
        <v>0.34</v>
      </c>
      <c r="N127" s="2306">
        <v>88102799</v>
      </c>
      <c r="O127" s="2376">
        <v>0.17</v>
      </c>
      <c r="P127" s="2306">
        <v>101082004</v>
      </c>
      <c r="Q127" s="2408">
        <v>8.0000000000000002E-3</v>
      </c>
      <c r="R127" s="2304">
        <v>4900000</v>
      </c>
      <c r="S127" s="2875">
        <v>7.1999999999999995E-2</v>
      </c>
      <c r="T127" s="2304">
        <f>33925000-R127</f>
        <v>29025000</v>
      </c>
      <c r="U127" s="3266">
        <v>5.000000000000001E-2</v>
      </c>
      <c r="V127" s="2304">
        <v>28850000</v>
      </c>
      <c r="W127" s="2305"/>
      <c r="X127" s="2304"/>
      <c r="Y127" s="2407">
        <f t="shared" si="36"/>
        <v>0.13</v>
      </c>
      <c r="Z127" s="2304">
        <f t="shared" si="37"/>
        <v>62775000</v>
      </c>
      <c r="AA127" s="2308">
        <f t="shared" si="38"/>
        <v>0.47000000000000003</v>
      </c>
      <c r="AB127" s="2304">
        <f t="shared" si="38"/>
        <v>150877799</v>
      </c>
      <c r="AC127" s="2308">
        <f t="shared" si="39"/>
        <v>0.47000000000000003</v>
      </c>
      <c r="AD127" s="2311">
        <f t="shared" si="40"/>
        <v>0.12102548234607492</v>
      </c>
      <c r="AE127" s="3160"/>
      <c r="AF127" s="2318"/>
      <c r="AG127" s="2318"/>
      <c r="AH127" s="2318"/>
      <c r="AI127" s="2318"/>
      <c r="AJ127" s="2318"/>
      <c r="AK127" s="2318"/>
      <c r="AL127" s="2318"/>
      <c r="AM127" s="2318"/>
      <c r="AN127" s="2318"/>
      <c r="AO127" s="2318"/>
      <c r="AP127" s="2318"/>
      <c r="AQ127" s="2318"/>
      <c r="AR127" s="2318"/>
      <c r="AS127" s="2318"/>
      <c r="AT127" s="2318"/>
      <c r="AU127" s="2318"/>
      <c r="AV127" s="2318"/>
      <c r="AW127" s="2318"/>
      <c r="AX127" s="2318"/>
      <c r="AY127" s="2318"/>
      <c r="AZ127" s="2318"/>
      <c r="BA127" s="2318"/>
      <c r="BB127" s="2318"/>
      <c r="BC127" s="2318"/>
      <c r="BD127" s="2318"/>
      <c r="BE127" s="2318"/>
      <c r="BF127" s="2318"/>
      <c r="BG127" s="2318"/>
      <c r="BH127" s="2318"/>
      <c r="BI127" s="2318"/>
      <c r="BJ127" s="2318"/>
      <c r="BK127" s="2318"/>
      <c r="BL127" s="2318"/>
      <c r="BM127" s="2318"/>
      <c r="BN127" s="2318"/>
      <c r="BO127" s="2318"/>
      <c r="BP127" s="2318"/>
      <c r="BQ127" s="2318"/>
      <c r="BR127" s="2318"/>
      <c r="BS127" s="2318"/>
      <c r="BT127" s="2318"/>
      <c r="BU127" s="2318"/>
      <c r="BV127" s="2318"/>
      <c r="BW127" s="2318"/>
      <c r="BX127" s="2318"/>
    </row>
    <row r="128" spans="1:76" s="2608" customFormat="1" ht="51">
      <c r="A128" s="2632"/>
      <c r="B128" s="2632"/>
      <c r="C128" s="3794">
        <v>1</v>
      </c>
      <c r="D128" s="2446" t="s">
        <v>66</v>
      </c>
      <c r="E128" s="2446" t="s">
        <v>65</v>
      </c>
      <c r="F128" s="2446" t="s">
        <v>66</v>
      </c>
      <c r="G128" s="3794">
        <v>22</v>
      </c>
      <c r="H128" s="3794"/>
      <c r="I128" s="2631" t="s">
        <v>168</v>
      </c>
      <c r="J128" s="2516" t="s">
        <v>2267</v>
      </c>
      <c r="K128" s="2376">
        <v>1</v>
      </c>
      <c r="L128" s="2518">
        <v>1626091244.8</v>
      </c>
      <c r="M128" s="2376">
        <v>0.34</v>
      </c>
      <c r="N128" s="2306">
        <v>81275779</v>
      </c>
      <c r="O128" s="2376">
        <v>0.17</v>
      </c>
      <c r="P128" s="2306">
        <v>50805577</v>
      </c>
      <c r="Q128" s="2408">
        <v>5.0000000000000001E-3</v>
      </c>
      <c r="R128" s="2304">
        <v>1300000</v>
      </c>
      <c r="S128" s="2875">
        <v>7.4999999999999997E-2</v>
      </c>
      <c r="T128" s="2304">
        <f>12852600-R128</f>
        <v>11552600</v>
      </c>
      <c r="U128" s="3266">
        <v>2.0000000000000007E-2</v>
      </c>
      <c r="V128" s="2304">
        <v>6212000</v>
      </c>
      <c r="W128" s="2305"/>
      <c r="X128" s="2304"/>
      <c r="Y128" s="2407">
        <f t="shared" si="36"/>
        <v>0.1</v>
      </c>
      <c r="Z128" s="2304">
        <f t="shared" si="37"/>
        <v>19064600</v>
      </c>
      <c r="AA128" s="2308">
        <f t="shared" si="38"/>
        <v>0.44000000000000006</v>
      </c>
      <c r="AB128" s="2304">
        <f t="shared" si="38"/>
        <v>100340379</v>
      </c>
      <c r="AC128" s="2308">
        <f t="shared" si="39"/>
        <v>0.44000000000000006</v>
      </c>
      <c r="AD128" s="2311">
        <f t="shared" si="40"/>
        <v>6.1706487456268978E-2</v>
      </c>
      <c r="AE128" s="3160"/>
      <c r="AF128" s="2318"/>
      <c r="AG128" s="2318"/>
      <c r="AH128" s="2318"/>
      <c r="AI128" s="2318"/>
      <c r="AJ128" s="2318"/>
      <c r="AK128" s="2318"/>
      <c r="AL128" s="2318"/>
      <c r="AM128" s="2318"/>
      <c r="AN128" s="2318"/>
      <c r="AO128" s="2318"/>
      <c r="AP128" s="2318"/>
      <c r="AQ128" s="2318"/>
      <c r="AR128" s="2318"/>
      <c r="AS128" s="2318"/>
      <c r="AT128" s="2318"/>
      <c r="AU128" s="2318"/>
      <c r="AV128" s="2318"/>
      <c r="AW128" s="2318"/>
      <c r="AX128" s="2318"/>
      <c r="AY128" s="2318"/>
      <c r="AZ128" s="2318"/>
      <c r="BA128" s="2318"/>
      <c r="BB128" s="2318"/>
      <c r="BC128" s="2318"/>
      <c r="BD128" s="2318"/>
      <c r="BE128" s="2318"/>
      <c r="BF128" s="2318"/>
      <c r="BG128" s="2318"/>
      <c r="BH128" s="2318"/>
      <c r="BI128" s="2318"/>
      <c r="BJ128" s="2318"/>
      <c r="BK128" s="2318"/>
      <c r="BL128" s="2318"/>
      <c r="BM128" s="2318"/>
      <c r="BN128" s="2318"/>
      <c r="BO128" s="2318"/>
      <c r="BP128" s="2318"/>
      <c r="BQ128" s="2318"/>
      <c r="BR128" s="2318"/>
      <c r="BS128" s="2318"/>
      <c r="BT128" s="2318"/>
      <c r="BU128" s="2318"/>
      <c r="BV128" s="2318"/>
      <c r="BW128" s="2318"/>
      <c r="BX128" s="2318"/>
    </row>
    <row r="129" spans="1:76" s="2608" customFormat="1" ht="49.5" customHeight="1">
      <c r="A129" s="2358">
        <v>2</v>
      </c>
      <c r="B129" s="3156" t="s">
        <v>2268</v>
      </c>
      <c r="C129" s="2874">
        <v>1</v>
      </c>
      <c r="D129" s="2447" t="s">
        <v>66</v>
      </c>
      <c r="E129" s="2447" t="s">
        <v>65</v>
      </c>
      <c r="F129" s="2447" t="s">
        <v>65</v>
      </c>
      <c r="G129" s="2874"/>
      <c r="H129" s="2874"/>
      <c r="I129" s="2359" t="s">
        <v>257</v>
      </c>
      <c r="J129" s="2345" t="s">
        <v>2269</v>
      </c>
      <c r="K129" s="2396">
        <v>1</v>
      </c>
      <c r="L129" s="2495">
        <v>610000000</v>
      </c>
      <c r="M129" s="2377">
        <v>0.34</v>
      </c>
      <c r="N129" s="3161">
        <f>N130</f>
        <v>88782000</v>
      </c>
      <c r="O129" s="2377">
        <v>0.17</v>
      </c>
      <c r="P129" s="3161">
        <f>SUM(P130)</f>
        <v>50000000</v>
      </c>
      <c r="Q129" s="2366">
        <f>Q130</f>
        <v>2.5000000000000001E-2</v>
      </c>
      <c r="R129" s="2335">
        <v>0</v>
      </c>
      <c r="S129" s="2876">
        <v>0.17</v>
      </c>
      <c r="T129" s="2342">
        <f>SUM(T130)</f>
        <v>46213080</v>
      </c>
      <c r="U129" s="2550">
        <v>0</v>
      </c>
      <c r="V129" s="2342">
        <f>V130</f>
        <v>0</v>
      </c>
      <c r="W129" s="2335">
        <f>SUM(W130)</f>
        <v>0</v>
      </c>
      <c r="X129" s="2342">
        <f>SUM(X130)</f>
        <v>0</v>
      </c>
      <c r="Y129" s="2366">
        <f t="shared" si="36"/>
        <v>0.19500000000000001</v>
      </c>
      <c r="Z129" s="2342">
        <f t="shared" si="37"/>
        <v>46213080</v>
      </c>
      <c r="AA129" s="2362">
        <f t="shared" si="38"/>
        <v>0.53500000000000003</v>
      </c>
      <c r="AB129" s="2342">
        <f>Z129+N129</f>
        <v>134995080</v>
      </c>
      <c r="AC129" s="2362">
        <f t="shared" si="39"/>
        <v>0.53500000000000003</v>
      </c>
      <c r="AD129" s="2410">
        <f t="shared" si="40"/>
        <v>0.22130340983606558</v>
      </c>
      <c r="AE129" s="3138" t="s">
        <v>2272</v>
      </c>
      <c r="AF129" s="2318"/>
      <c r="AG129" s="2318"/>
      <c r="AH129" s="2318"/>
      <c r="AI129" s="2318"/>
      <c r="AJ129" s="2318"/>
      <c r="AK129" s="2318"/>
      <c r="AL129" s="2318"/>
      <c r="AM129" s="2318"/>
      <c r="AN129" s="2318"/>
      <c r="AO129" s="2318"/>
      <c r="AP129" s="2318"/>
      <c r="AQ129" s="2318"/>
      <c r="AR129" s="2318"/>
      <c r="AS129" s="2318"/>
      <c r="AT129" s="2318"/>
      <c r="AU129" s="2318"/>
      <c r="AV129" s="2318"/>
      <c r="AW129" s="2318"/>
      <c r="AX129" s="2318"/>
      <c r="AY129" s="2318"/>
      <c r="AZ129" s="2318"/>
      <c r="BA129" s="2318"/>
      <c r="BB129" s="2318"/>
      <c r="BC129" s="2318"/>
      <c r="BD129" s="2318"/>
      <c r="BE129" s="2318"/>
      <c r="BF129" s="2318"/>
      <c r="BG129" s="2318"/>
      <c r="BH129" s="2318"/>
      <c r="BI129" s="2318"/>
      <c r="BJ129" s="2318"/>
      <c r="BK129" s="2318"/>
      <c r="BL129" s="2318"/>
      <c r="BM129" s="2318"/>
      <c r="BN129" s="2318"/>
      <c r="BO129" s="2318"/>
      <c r="BP129" s="2318"/>
      <c r="BQ129" s="2318"/>
      <c r="BR129" s="2318"/>
      <c r="BS129" s="2318"/>
      <c r="BT129" s="2318"/>
      <c r="BU129" s="2318"/>
      <c r="BV129" s="2318"/>
      <c r="BW129" s="2318"/>
      <c r="BX129" s="2318"/>
    </row>
    <row r="130" spans="1:76" s="2608" customFormat="1" ht="50.25" customHeight="1">
      <c r="A130" s="2349"/>
      <c r="B130" s="2632"/>
      <c r="C130" s="3794">
        <v>1</v>
      </c>
      <c r="D130" s="2446" t="s">
        <v>66</v>
      </c>
      <c r="E130" s="2446" t="s">
        <v>65</v>
      </c>
      <c r="F130" s="2446" t="s">
        <v>65</v>
      </c>
      <c r="G130" s="3794">
        <v>22</v>
      </c>
      <c r="H130" s="3794"/>
      <c r="I130" s="2631" t="s">
        <v>2270</v>
      </c>
      <c r="J130" s="2632" t="s">
        <v>2271</v>
      </c>
      <c r="K130" s="2376">
        <v>1</v>
      </c>
      <c r="L130" s="2306">
        <v>610000000</v>
      </c>
      <c r="M130" s="2376">
        <v>0.34</v>
      </c>
      <c r="N130" s="2306">
        <v>88782000</v>
      </c>
      <c r="O130" s="2376">
        <v>0.17</v>
      </c>
      <c r="P130" s="2306">
        <v>50000000</v>
      </c>
      <c r="Q130" s="2311">
        <v>2.5000000000000001E-2</v>
      </c>
      <c r="R130" s="2632">
        <v>0</v>
      </c>
      <c r="S130" s="2875">
        <v>0.97499999999999998</v>
      </c>
      <c r="T130" s="2304">
        <v>46213080</v>
      </c>
      <c r="U130" s="2632">
        <v>0</v>
      </c>
      <c r="V130" s="2304">
        <v>0</v>
      </c>
      <c r="W130" s="2632">
        <v>0</v>
      </c>
      <c r="X130" s="2304">
        <v>0</v>
      </c>
      <c r="Y130" s="2407">
        <f t="shared" si="36"/>
        <v>1</v>
      </c>
      <c r="Z130" s="2304">
        <f t="shared" si="37"/>
        <v>46213080</v>
      </c>
      <c r="AA130" s="2308">
        <f>Y130+M130</f>
        <v>1.34</v>
      </c>
      <c r="AB130" s="2304">
        <f>Z130+N130</f>
        <v>134995080</v>
      </c>
      <c r="AC130" s="2308">
        <f t="shared" si="39"/>
        <v>1.34</v>
      </c>
      <c r="AD130" s="2311">
        <f t="shared" si="40"/>
        <v>0.22130340983606558</v>
      </c>
      <c r="AE130" s="3160"/>
      <c r="AF130" s="2318"/>
      <c r="AG130" s="2318"/>
      <c r="AH130" s="2318"/>
      <c r="AI130" s="2318"/>
      <c r="AJ130" s="2318"/>
      <c r="AK130" s="2318"/>
      <c r="AL130" s="2318"/>
      <c r="AM130" s="2318"/>
      <c r="AN130" s="2318"/>
      <c r="AO130" s="2318"/>
      <c r="AP130" s="2318"/>
      <c r="AQ130" s="2318"/>
      <c r="AR130" s="2318"/>
      <c r="AS130" s="2318"/>
      <c r="AT130" s="2318"/>
      <c r="AU130" s="2318"/>
      <c r="AV130" s="2318"/>
      <c r="AW130" s="2318"/>
      <c r="AX130" s="2318"/>
      <c r="AY130" s="2318"/>
      <c r="AZ130" s="2318"/>
      <c r="BA130" s="2318"/>
      <c r="BB130" s="2318"/>
      <c r="BC130" s="2318"/>
      <c r="BD130" s="2318"/>
      <c r="BE130" s="2318"/>
      <c r="BF130" s="2318"/>
      <c r="BG130" s="2318"/>
      <c r="BH130" s="2318"/>
      <c r="BI130" s="2318"/>
      <c r="BJ130" s="2318"/>
      <c r="BK130" s="2318"/>
      <c r="BL130" s="2318"/>
      <c r="BM130" s="2318"/>
      <c r="BN130" s="2318"/>
      <c r="BO130" s="2318"/>
      <c r="BP130" s="2318"/>
      <c r="BQ130" s="2318"/>
      <c r="BR130" s="2318"/>
      <c r="BS130" s="2318"/>
      <c r="BT130" s="2318"/>
      <c r="BU130" s="2318"/>
      <c r="BV130" s="2318"/>
      <c r="BW130" s="2318"/>
      <c r="BX130" s="2318"/>
    </row>
    <row r="131" spans="1:76" s="2271" customFormat="1" ht="57.75" customHeight="1">
      <c r="A131" s="3162">
        <v>3</v>
      </c>
      <c r="B131" s="2335" t="s">
        <v>2268</v>
      </c>
      <c r="C131" s="2874">
        <v>5</v>
      </c>
      <c r="D131" s="2447" t="s">
        <v>66</v>
      </c>
      <c r="E131" s="2447" t="s">
        <v>161</v>
      </c>
      <c r="F131" s="2874"/>
      <c r="G131" s="2874"/>
      <c r="H131" s="2874"/>
      <c r="I131" s="2335" t="s">
        <v>1713</v>
      </c>
      <c r="J131" s="3156" t="s">
        <v>1714</v>
      </c>
      <c r="K131" s="2336">
        <v>1</v>
      </c>
      <c r="L131" s="2357">
        <v>1025000000</v>
      </c>
      <c r="M131" s="2338">
        <v>0.34</v>
      </c>
      <c r="N131" s="2361">
        <v>26880000</v>
      </c>
      <c r="O131" s="2338">
        <v>0.17</v>
      </c>
      <c r="P131" s="3161">
        <f>SUM(P133)</f>
        <v>70965920</v>
      </c>
      <c r="Q131" s="2366">
        <f>Q133</f>
        <v>2E-3</v>
      </c>
      <c r="R131" s="2339">
        <f>SUM(R132:R133)</f>
        <v>1102000</v>
      </c>
      <c r="S131" s="2876">
        <f>S133</f>
        <v>7.0000000000000007E-2</v>
      </c>
      <c r="T131" s="2342">
        <f>SUM(T132:T133)</f>
        <v>14050500</v>
      </c>
      <c r="U131" s="2550">
        <v>0.05</v>
      </c>
      <c r="V131" s="2342">
        <f>V132</f>
        <v>0</v>
      </c>
      <c r="W131" s="2335">
        <f>W132</f>
        <v>0</v>
      </c>
      <c r="X131" s="2342">
        <f>X132</f>
        <v>0</v>
      </c>
      <c r="Y131" s="2366">
        <f t="shared" si="36"/>
        <v>0.12200000000000001</v>
      </c>
      <c r="Z131" s="2342">
        <f t="shared" si="37"/>
        <v>15152500</v>
      </c>
      <c r="AA131" s="2362">
        <f t="shared" si="38"/>
        <v>0.46200000000000002</v>
      </c>
      <c r="AB131" s="2342">
        <f>Z131+R131</f>
        <v>16254500</v>
      </c>
      <c r="AC131" s="2362">
        <f t="shared" si="39"/>
        <v>0.46200000000000002</v>
      </c>
      <c r="AD131" s="2410">
        <f t="shared" si="40"/>
        <v>1.5858048780487806E-2</v>
      </c>
      <c r="AE131" s="3138" t="s">
        <v>2272</v>
      </c>
      <c r="AF131" s="2620"/>
      <c r="AG131" s="2620"/>
      <c r="AH131" s="2620"/>
      <c r="AI131" s="2620"/>
      <c r="AJ131" s="2620"/>
      <c r="AK131" s="2620"/>
      <c r="AL131" s="2620"/>
      <c r="AM131" s="2620"/>
      <c r="AN131" s="2620"/>
      <c r="AO131" s="2620"/>
      <c r="AP131" s="2620"/>
      <c r="AQ131" s="2620"/>
      <c r="AR131" s="2620"/>
      <c r="AS131" s="2620"/>
      <c r="AT131" s="2620"/>
      <c r="AU131" s="2620"/>
      <c r="AV131" s="2620"/>
      <c r="AW131" s="2620"/>
      <c r="AX131" s="2620"/>
      <c r="AY131" s="2620"/>
      <c r="AZ131" s="2620"/>
      <c r="BA131" s="2620"/>
      <c r="BB131" s="2620"/>
      <c r="BC131" s="2620"/>
      <c r="BD131" s="2620"/>
      <c r="BE131" s="2620"/>
      <c r="BF131" s="2620"/>
      <c r="BG131" s="2620"/>
      <c r="BH131" s="2620"/>
      <c r="BI131" s="2620"/>
      <c r="BJ131" s="2620"/>
      <c r="BK131" s="2620"/>
      <c r="BL131" s="2620"/>
      <c r="BM131" s="2620"/>
      <c r="BN131" s="2620"/>
      <c r="BO131" s="2620"/>
      <c r="BP131" s="2620"/>
      <c r="BQ131" s="2620"/>
      <c r="BR131" s="2620"/>
      <c r="BS131" s="2620"/>
      <c r="BT131" s="2620"/>
      <c r="BU131" s="2620"/>
      <c r="BV131" s="2620"/>
      <c r="BW131" s="2620"/>
      <c r="BX131" s="2620"/>
    </row>
    <row r="132" spans="1:76" s="2608" customFormat="1" ht="61.5" customHeight="1">
      <c r="A132" s="2632"/>
      <c r="B132" s="2632"/>
      <c r="C132" s="3794">
        <v>5</v>
      </c>
      <c r="D132" s="2446" t="s">
        <v>66</v>
      </c>
      <c r="E132" s="2446" t="s">
        <v>161</v>
      </c>
      <c r="F132" s="3794"/>
      <c r="G132" s="2446" t="s">
        <v>66</v>
      </c>
      <c r="H132" s="2446"/>
      <c r="I132" s="2631" t="s">
        <v>1224</v>
      </c>
      <c r="J132" s="2632" t="s">
        <v>2273</v>
      </c>
      <c r="K132" s="2376">
        <v>1</v>
      </c>
      <c r="L132" s="2306">
        <v>420000000</v>
      </c>
      <c r="M132" s="601">
        <v>0.34</v>
      </c>
      <c r="N132" s="2306">
        <v>26880000</v>
      </c>
      <c r="O132" s="2311"/>
      <c r="P132" s="2306">
        <v>0</v>
      </c>
      <c r="Q132" s="2349">
        <v>0</v>
      </c>
      <c r="R132" s="2304">
        <v>0</v>
      </c>
      <c r="S132" s="2875">
        <v>0</v>
      </c>
      <c r="T132" s="2304">
        <v>0</v>
      </c>
      <c r="U132" s="2632">
        <v>0</v>
      </c>
      <c r="V132" s="2304">
        <v>0</v>
      </c>
      <c r="W132" s="2632">
        <v>0</v>
      </c>
      <c r="X132" s="2304">
        <v>0</v>
      </c>
      <c r="Y132" s="2407">
        <f t="shared" si="36"/>
        <v>0</v>
      </c>
      <c r="Z132" s="2304">
        <f t="shared" si="37"/>
        <v>0</v>
      </c>
      <c r="AA132" s="2308">
        <f t="shared" si="38"/>
        <v>0.34</v>
      </c>
      <c r="AB132" s="2304">
        <f t="shared" ref="AB132:AB138" si="41">Z132+N132</f>
        <v>26880000</v>
      </c>
      <c r="AC132" s="2308">
        <f t="shared" si="39"/>
        <v>0.34</v>
      </c>
      <c r="AD132" s="2311">
        <f t="shared" si="40"/>
        <v>6.4000000000000001E-2</v>
      </c>
      <c r="AE132" s="3160"/>
      <c r="AF132" s="2318"/>
      <c r="AG132" s="2318"/>
      <c r="AH132" s="2318"/>
      <c r="AI132" s="2318"/>
      <c r="AJ132" s="2318"/>
      <c r="AK132" s="2318"/>
      <c r="AL132" s="2318"/>
      <c r="AM132" s="2318"/>
      <c r="AN132" s="2318"/>
      <c r="AO132" s="2318"/>
      <c r="AP132" s="2318"/>
      <c r="AQ132" s="2318"/>
      <c r="AR132" s="2318"/>
      <c r="AS132" s="2318"/>
      <c r="AT132" s="2318"/>
      <c r="AU132" s="2318"/>
      <c r="AV132" s="2318"/>
      <c r="AW132" s="2318"/>
      <c r="AX132" s="2318"/>
      <c r="AY132" s="2318"/>
      <c r="AZ132" s="2318"/>
      <c r="BA132" s="2318"/>
      <c r="BB132" s="2318"/>
      <c r="BC132" s="2318"/>
      <c r="BD132" s="2318"/>
      <c r="BE132" s="2318"/>
      <c r="BF132" s="2318"/>
      <c r="BG132" s="2318"/>
      <c r="BH132" s="2318"/>
      <c r="BI132" s="2318"/>
      <c r="BJ132" s="2318"/>
      <c r="BK132" s="2318"/>
      <c r="BL132" s="2318"/>
      <c r="BM132" s="2318"/>
      <c r="BN132" s="2318"/>
      <c r="BO132" s="2318"/>
      <c r="BP132" s="2318"/>
      <c r="BQ132" s="2318"/>
      <c r="BR132" s="2318"/>
      <c r="BS132" s="2318"/>
      <c r="BT132" s="2318"/>
      <c r="BU132" s="2318"/>
      <c r="BV132" s="2318"/>
      <c r="BW132" s="2318"/>
      <c r="BX132" s="2318"/>
    </row>
    <row r="133" spans="1:76" s="2608" customFormat="1" ht="76.5" customHeight="1">
      <c r="A133" s="2632"/>
      <c r="B133" s="2632"/>
      <c r="C133" s="3794">
        <v>1</v>
      </c>
      <c r="D133" s="2446" t="s">
        <v>66</v>
      </c>
      <c r="E133" s="2446" t="s">
        <v>65</v>
      </c>
      <c r="F133" s="2446" t="s">
        <v>161</v>
      </c>
      <c r="G133" s="2446">
        <v>44</v>
      </c>
      <c r="H133" s="2446"/>
      <c r="I133" s="2631" t="s">
        <v>2274</v>
      </c>
      <c r="J133" s="2632" t="s">
        <v>2275</v>
      </c>
      <c r="K133" s="2376">
        <v>1</v>
      </c>
      <c r="L133" s="2306">
        <v>605000000</v>
      </c>
      <c r="M133" s="2308">
        <v>0</v>
      </c>
      <c r="N133" s="2306">
        <v>0</v>
      </c>
      <c r="O133" s="2376">
        <v>0.17</v>
      </c>
      <c r="P133" s="2306">
        <v>70965920</v>
      </c>
      <c r="Q133" s="2407">
        <v>2E-3</v>
      </c>
      <c r="R133" s="2304">
        <v>1102000</v>
      </c>
      <c r="S133" s="2875">
        <v>7.0000000000000007E-2</v>
      </c>
      <c r="T133" s="2304">
        <f>15152500-R133</f>
        <v>14050500</v>
      </c>
      <c r="U133" s="3266">
        <v>1.2999999999999999E-2</v>
      </c>
      <c r="V133" s="2304">
        <v>18071300</v>
      </c>
      <c r="W133" s="2632"/>
      <c r="X133" s="2304"/>
      <c r="Y133" s="2407">
        <f t="shared" si="36"/>
        <v>8.5000000000000006E-2</v>
      </c>
      <c r="Z133" s="2304">
        <f t="shared" si="37"/>
        <v>33223800</v>
      </c>
      <c r="AA133" s="2308">
        <f t="shared" si="38"/>
        <v>8.5000000000000006E-2</v>
      </c>
      <c r="AB133" s="2304">
        <f t="shared" si="41"/>
        <v>33223800</v>
      </c>
      <c r="AC133" s="2308">
        <f t="shared" si="39"/>
        <v>8.5000000000000006E-2</v>
      </c>
      <c r="AD133" s="2311">
        <f t="shared" si="40"/>
        <v>5.4915371900826446E-2</v>
      </c>
      <c r="AE133" s="3160"/>
      <c r="AF133" s="2318"/>
      <c r="AG133" s="2318"/>
      <c r="AH133" s="2318"/>
      <c r="AI133" s="2318"/>
      <c r="AJ133" s="2318"/>
      <c r="AK133" s="2318"/>
      <c r="AL133" s="2318"/>
      <c r="AM133" s="2318"/>
      <c r="AN133" s="2318"/>
      <c r="AO133" s="2318"/>
      <c r="AP133" s="2318"/>
      <c r="AQ133" s="2318"/>
      <c r="AR133" s="2318"/>
      <c r="AS133" s="2318"/>
      <c r="AT133" s="2318"/>
      <c r="AU133" s="2318"/>
      <c r="AV133" s="2318"/>
      <c r="AW133" s="2318"/>
      <c r="AX133" s="2318"/>
      <c r="AY133" s="2318"/>
      <c r="AZ133" s="2318"/>
      <c r="BA133" s="2318"/>
      <c r="BB133" s="2318"/>
      <c r="BC133" s="2318"/>
      <c r="BD133" s="2318"/>
      <c r="BE133" s="2318"/>
      <c r="BF133" s="2318"/>
      <c r="BG133" s="2318"/>
      <c r="BH133" s="2318"/>
      <c r="BI133" s="2318"/>
      <c r="BJ133" s="2318"/>
      <c r="BK133" s="2318"/>
      <c r="BL133" s="2318"/>
      <c r="BM133" s="2318"/>
      <c r="BN133" s="2318"/>
      <c r="BO133" s="2318"/>
      <c r="BP133" s="2318"/>
      <c r="BQ133" s="2318"/>
      <c r="BR133" s="2318"/>
      <c r="BS133" s="2318"/>
      <c r="BT133" s="2318"/>
      <c r="BU133" s="2318"/>
      <c r="BV133" s="2318"/>
      <c r="BW133" s="2318"/>
      <c r="BX133" s="2318"/>
    </row>
    <row r="134" spans="1:76" s="2271" customFormat="1" ht="74.25" customHeight="1">
      <c r="A134" s="2374">
        <v>4</v>
      </c>
      <c r="B134" s="2359" t="s">
        <v>2268</v>
      </c>
      <c r="C134" s="2874">
        <v>1</v>
      </c>
      <c r="D134" s="2447" t="s">
        <v>66</v>
      </c>
      <c r="E134" s="2447" t="s">
        <v>65</v>
      </c>
      <c r="F134" s="2447" t="s">
        <v>155</v>
      </c>
      <c r="G134" s="2874"/>
      <c r="H134" s="2874"/>
      <c r="I134" s="2359" t="s">
        <v>2276</v>
      </c>
      <c r="J134" s="2350" t="s">
        <v>2277</v>
      </c>
      <c r="K134" s="2336">
        <v>0.95</v>
      </c>
      <c r="L134" s="2357">
        <v>35672637500</v>
      </c>
      <c r="M134" s="2336">
        <f>SUM(M135:M138)/4</f>
        <v>0.30416666666666664</v>
      </c>
      <c r="N134" s="2361">
        <v>4207055720</v>
      </c>
      <c r="O134" s="2338">
        <v>0.16</v>
      </c>
      <c r="P134" s="2361">
        <f>SUM(P135:P138)</f>
        <v>4567856042</v>
      </c>
      <c r="Q134" s="2410">
        <f>SUM(Q135:Q138)/4</f>
        <v>1.0500000000000001E-2</v>
      </c>
      <c r="R134" s="3149">
        <f>R136</f>
        <v>7795250</v>
      </c>
      <c r="S134" s="2366">
        <f>SUM(S135:S138)/4</f>
        <v>6.6250000000000003E-2</v>
      </c>
      <c r="T134" s="3149">
        <f>SUM(T135:T138)</f>
        <v>30085750</v>
      </c>
      <c r="U134" s="2366">
        <f>SUM(U135:U138)/4</f>
        <v>1.7000000000000001E-2</v>
      </c>
      <c r="V134" s="3249">
        <f>SUM(V135:V138)</f>
        <v>951015990</v>
      </c>
      <c r="W134" s="3138">
        <v>0</v>
      </c>
      <c r="X134" s="3149">
        <f>SUM(X135:X138)</f>
        <v>0</v>
      </c>
      <c r="Y134" s="2366">
        <f t="shared" si="36"/>
        <v>9.375E-2</v>
      </c>
      <c r="Z134" s="3149">
        <f t="shared" si="37"/>
        <v>988896990</v>
      </c>
      <c r="AA134" s="2362">
        <f>Y134+M134</f>
        <v>0.39791666666666664</v>
      </c>
      <c r="AB134" s="3149">
        <f t="shared" si="41"/>
        <v>5195952710</v>
      </c>
      <c r="AC134" s="2362">
        <f t="shared" si="39"/>
        <v>0.41885964912280699</v>
      </c>
      <c r="AD134" s="2410">
        <f t="shared" si="40"/>
        <v>0.14565653324624511</v>
      </c>
      <c r="AE134" s="3138" t="s">
        <v>2272</v>
      </c>
      <c r="AF134" s="2620"/>
      <c r="AG134" s="2620"/>
      <c r="AH134" s="2620"/>
      <c r="AI134" s="2620"/>
      <c r="AJ134" s="2620"/>
      <c r="AK134" s="2620"/>
      <c r="AL134" s="2620"/>
      <c r="AM134" s="2620"/>
      <c r="AN134" s="2620"/>
      <c r="AO134" s="2620"/>
      <c r="AP134" s="2620"/>
      <c r="AQ134" s="2620"/>
      <c r="AR134" s="2620"/>
      <c r="AS134" s="2620"/>
      <c r="AT134" s="2620"/>
      <c r="AU134" s="2620"/>
      <c r="AV134" s="2620"/>
      <c r="AW134" s="2620"/>
      <c r="AX134" s="2620"/>
      <c r="AY134" s="2620"/>
      <c r="AZ134" s="2620"/>
      <c r="BA134" s="2620"/>
      <c r="BB134" s="2620"/>
      <c r="BC134" s="2620"/>
      <c r="BD134" s="2620"/>
      <c r="BE134" s="2620"/>
      <c r="BF134" s="2620"/>
      <c r="BG134" s="2620"/>
      <c r="BH134" s="2620"/>
      <c r="BI134" s="2620"/>
      <c r="BJ134" s="2620"/>
      <c r="BK134" s="2620"/>
      <c r="BL134" s="2620"/>
      <c r="BM134" s="2620"/>
      <c r="BN134" s="2620"/>
      <c r="BO134" s="2620"/>
      <c r="BP134" s="2620"/>
      <c r="BQ134" s="2620"/>
      <c r="BR134" s="2620"/>
      <c r="BS134" s="2620"/>
      <c r="BT134" s="2620"/>
      <c r="BU134" s="2620"/>
      <c r="BV134" s="2620"/>
      <c r="BW134" s="2620"/>
      <c r="BX134" s="2620"/>
    </row>
    <row r="135" spans="1:76" s="2608" customFormat="1" ht="63" customHeight="1">
      <c r="A135" s="2632"/>
      <c r="B135" s="2275"/>
      <c r="C135" s="3794">
        <v>1</v>
      </c>
      <c r="D135" s="2446" t="s">
        <v>66</v>
      </c>
      <c r="E135" s="2446" t="s">
        <v>65</v>
      </c>
      <c r="F135" s="2446" t="s">
        <v>155</v>
      </c>
      <c r="G135" s="2446" t="s">
        <v>66</v>
      </c>
      <c r="H135" s="2446"/>
      <c r="I135" s="3168" t="s">
        <v>2278</v>
      </c>
      <c r="J135" s="2516" t="s">
        <v>2279</v>
      </c>
      <c r="K135" s="2290">
        <v>0.95</v>
      </c>
      <c r="L135" s="2292">
        <v>32991000000</v>
      </c>
      <c r="M135" s="2378">
        <f>(K135/6)*2</f>
        <v>0.31666666666666665</v>
      </c>
      <c r="N135" s="2292">
        <v>3866872870</v>
      </c>
      <c r="O135" s="2290">
        <v>0.16</v>
      </c>
      <c r="P135" s="2292">
        <v>4252349000</v>
      </c>
      <c r="Q135" s="2407">
        <v>2.1000000000000001E-2</v>
      </c>
      <c r="R135" s="3160">
        <v>0</v>
      </c>
      <c r="S135" s="2875">
        <v>7.4999999999999997E-2</v>
      </c>
      <c r="T135" s="2304">
        <v>0</v>
      </c>
      <c r="U135" s="3266">
        <v>5.0000000000000001E-3</v>
      </c>
      <c r="V135" s="2304">
        <v>923462340</v>
      </c>
      <c r="W135" s="2899">
        <v>0</v>
      </c>
      <c r="X135" s="2304">
        <v>0</v>
      </c>
      <c r="Y135" s="2407">
        <f t="shared" si="36"/>
        <v>0.10100000000000001</v>
      </c>
      <c r="Z135" s="2304">
        <f t="shared" si="37"/>
        <v>923462340</v>
      </c>
      <c r="AA135" s="2308">
        <f t="shared" ref="AA135:AA144" si="42">Y135+M135</f>
        <v>0.41766666666666663</v>
      </c>
      <c r="AB135" s="2304">
        <f t="shared" si="41"/>
        <v>4790335210</v>
      </c>
      <c r="AC135" s="2308">
        <f t="shared" si="39"/>
        <v>0.43964912280701751</v>
      </c>
      <c r="AD135" s="2311">
        <f>AB135/L135</f>
        <v>0.14520127337758781</v>
      </c>
      <c r="AE135" s="3160"/>
      <c r="AF135" s="2318"/>
      <c r="AG135" s="2318"/>
      <c r="AH135" s="2318"/>
      <c r="AI135" s="2318"/>
      <c r="AJ135" s="2318"/>
      <c r="AK135" s="2318"/>
      <c r="AL135" s="2318"/>
      <c r="AM135" s="2318"/>
      <c r="AN135" s="2318"/>
      <c r="AO135" s="2318"/>
      <c r="AP135" s="2318"/>
      <c r="AQ135" s="2318"/>
      <c r="AR135" s="2318"/>
      <c r="AS135" s="2318"/>
      <c r="AT135" s="2318"/>
      <c r="AU135" s="2318"/>
      <c r="AV135" s="2318"/>
      <c r="AW135" s="2318"/>
      <c r="AX135" s="2318"/>
      <c r="AY135" s="2318"/>
      <c r="AZ135" s="2318"/>
      <c r="BA135" s="2318"/>
      <c r="BB135" s="2318"/>
      <c r="BC135" s="2318"/>
      <c r="BD135" s="2318"/>
      <c r="BE135" s="2318"/>
      <c r="BF135" s="2318"/>
      <c r="BG135" s="2318"/>
      <c r="BH135" s="2318"/>
      <c r="BI135" s="2318"/>
      <c r="BJ135" s="2318"/>
      <c r="BK135" s="2318"/>
      <c r="BL135" s="2318"/>
      <c r="BM135" s="2318"/>
      <c r="BN135" s="2318"/>
      <c r="BO135" s="2318"/>
      <c r="BP135" s="2318"/>
      <c r="BQ135" s="2318"/>
      <c r="BR135" s="2318"/>
      <c r="BS135" s="2318"/>
      <c r="BT135" s="2318"/>
      <c r="BU135" s="2318"/>
      <c r="BV135" s="2318"/>
      <c r="BW135" s="2318"/>
      <c r="BX135" s="2318"/>
    </row>
    <row r="136" spans="1:76" s="2608" customFormat="1" ht="55.5" customHeight="1">
      <c r="A136" s="2632"/>
      <c r="B136" s="2275"/>
      <c r="C136" s="3794">
        <v>1</v>
      </c>
      <c r="D136" s="2446" t="s">
        <v>66</v>
      </c>
      <c r="E136" s="2446" t="s">
        <v>65</v>
      </c>
      <c r="F136" s="3794">
        <v>15</v>
      </c>
      <c r="G136" s="2446" t="s">
        <v>65</v>
      </c>
      <c r="H136" s="2446"/>
      <c r="I136" s="3168" t="s">
        <v>2280</v>
      </c>
      <c r="J136" s="2516" t="s">
        <v>2281</v>
      </c>
      <c r="K136" s="2290">
        <v>0.9</v>
      </c>
      <c r="L136" s="2292">
        <v>2186637500</v>
      </c>
      <c r="M136" s="2378">
        <f t="shared" ref="M136:M189" si="43">(K136/6)*2</f>
        <v>0.3</v>
      </c>
      <c r="N136" s="2292">
        <v>260755750</v>
      </c>
      <c r="O136" s="2290">
        <v>0.15</v>
      </c>
      <c r="P136" s="2292">
        <v>238809892</v>
      </c>
      <c r="Q136" s="2407">
        <v>4.0000000000000001E-3</v>
      </c>
      <c r="R136" s="2872">
        <v>7795250</v>
      </c>
      <c r="S136" s="2875">
        <v>0.04</v>
      </c>
      <c r="T136" s="2304">
        <f>20298550-R136</f>
        <v>12503300</v>
      </c>
      <c r="U136" s="3266">
        <v>5.0000000000000001E-3</v>
      </c>
      <c r="V136" s="2304">
        <v>14472600</v>
      </c>
      <c r="W136" s="2632">
        <v>0</v>
      </c>
      <c r="X136" s="2304">
        <v>0</v>
      </c>
      <c r="Y136" s="2407">
        <f t="shared" si="36"/>
        <v>4.8999999999999995E-2</v>
      </c>
      <c r="Z136" s="2304">
        <f t="shared" si="37"/>
        <v>34771150</v>
      </c>
      <c r="AA136" s="2308">
        <f t="shared" si="42"/>
        <v>0.34899999999999998</v>
      </c>
      <c r="AB136" s="2304">
        <f t="shared" si="41"/>
        <v>295526900</v>
      </c>
      <c r="AC136" s="2308">
        <f t="shared" si="39"/>
        <v>0.38777777777777772</v>
      </c>
      <c r="AD136" s="2311">
        <f t="shared" si="40"/>
        <v>0.13515129965529266</v>
      </c>
      <c r="AE136" s="3160"/>
      <c r="AF136" s="2318"/>
      <c r="AG136" s="2318"/>
      <c r="AH136" s="2318"/>
      <c r="AI136" s="2318"/>
      <c r="AJ136" s="2318"/>
      <c r="AK136" s="2318"/>
      <c r="AL136" s="2318"/>
      <c r="AM136" s="2318"/>
      <c r="AN136" s="2318"/>
      <c r="AO136" s="2318"/>
      <c r="AP136" s="2318"/>
      <c r="AQ136" s="2318"/>
      <c r="AR136" s="2318"/>
      <c r="AS136" s="2318"/>
      <c r="AT136" s="2318"/>
      <c r="AU136" s="2318"/>
      <c r="AV136" s="2318"/>
      <c r="AW136" s="2318"/>
      <c r="AX136" s="2318"/>
      <c r="AY136" s="2318"/>
      <c r="AZ136" s="2318"/>
      <c r="BA136" s="2318"/>
      <c r="BB136" s="2318"/>
      <c r="BC136" s="2318"/>
      <c r="BD136" s="2318"/>
      <c r="BE136" s="2318"/>
      <c r="BF136" s="2318"/>
      <c r="BG136" s="2318"/>
      <c r="BH136" s="2318"/>
      <c r="BI136" s="2318"/>
      <c r="BJ136" s="2318"/>
      <c r="BK136" s="2318"/>
      <c r="BL136" s="2318"/>
      <c r="BM136" s="2318"/>
      <c r="BN136" s="2318"/>
      <c r="BO136" s="2318"/>
      <c r="BP136" s="2318"/>
      <c r="BQ136" s="2318"/>
      <c r="BR136" s="2318"/>
      <c r="BS136" s="2318"/>
      <c r="BT136" s="2318"/>
      <c r="BU136" s="2318"/>
      <c r="BV136" s="2318"/>
      <c r="BW136" s="2318"/>
      <c r="BX136" s="2318"/>
    </row>
    <row r="137" spans="1:76" s="2608" customFormat="1" ht="55.5" customHeight="1">
      <c r="A137" s="2632"/>
      <c r="B137" s="2275"/>
      <c r="C137" s="3794">
        <v>1</v>
      </c>
      <c r="D137" s="2446" t="s">
        <v>66</v>
      </c>
      <c r="E137" s="2446" t="s">
        <v>65</v>
      </c>
      <c r="F137" s="3794">
        <v>15</v>
      </c>
      <c r="G137" s="2446" t="s">
        <v>198</v>
      </c>
      <c r="H137" s="2446"/>
      <c r="I137" s="3168" t="s">
        <v>2282</v>
      </c>
      <c r="J137" s="2516" t="s">
        <v>2283</v>
      </c>
      <c r="K137" s="2290">
        <v>1</v>
      </c>
      <c r="L137" s="2292">
        <v>495000000</v>
      </c>
      <c r="M137" s="2378">
        <f t="shared" si="43"/>
        <v>0.33333333333333331</v>
      </c>
      <c r="N137" s="2292">
        <v>41149850</v>
      </c>
      <c r="O137" s="2290">
        <v>0.17</v>
      </c>
      <c r="P137" s="2292">
        <v>38697150</v>
      </c>
      <c r="Q137" s="2411">
        <v>5.0000000000000001E-3</v>
      </c>
      <c r="R137" s="2309">
        <v>600000</v>
      </c>
      <c r="S137" s="2875">
        <v>8.5000000000000006E-2</v>
      </c>
      <c r="T137" s="2304">
        <f>2340000-R137</f>
        <v>1740000</v>
      </c>
      <c r="U137" s="3266">
        <v>5.0000000000000001E-3</v>
      </c>
      <c r="V137" s="2304">
        <v>3750000</v>
      </c>
      <c r="W137" s="2632">
        <v>0</v>
      </c>
      <c r="X137" s="2304">
        <v>0</v>
      </c>
      <c r="Y137" s="2407">
        <f t="shared" si="36"/>
        <v>9.5000000000000015E-2</v>
      </c>
      <c r="Z137" s="2304">
        <f t="shared" si="37"/>
        <v>6090000</v>
      </c>
      <c r="AA137" s="2308">
        <f t="shared" si="42"/>
        <v>0.42833333333333334</v>
      </c>
      <c r="AB137" s="2304">
        <f t="shared" si="41"/>
        <v>47239850</v>
      </c>
      <c r="AC137" s="2308">
        <f t="shared" si="39"/>
        <v>0.42833333333333334</v>
      </c>
      <c r="AD137" s="2311">
        <f t="shared" si="40"/>
        <v>9.543404040404041E-2</v>
      </c>
      <c r="AE137" s="3160"/>
      <c r="AF137" s="2318"/>
      <c r="AG137" s="2318"/>
      <c r="AH137" s="2318"/>
      <c r="AI137" s="2318"/>
      <c r="AJ137" s="2318"/>
      <c r="AK137" s="2318"/>
      <c r="AL137" s="2318"/>
      <c r="AM137" s="2318"/>
      <c r="AN137" s="2318"/>
      <c r="AO137" s="2318"/>
      <c r="AP137" s="2318"/>
      <c r="AQ137" s="2318"/>
      <c r="AR137" s="2318"/>
      <c r="AS137" s="2318"/>
      <c r="AT137" s="2318"/>
      <c r="AU137" s="2318"/>
      <c r="AV137" s="2318"/>
      <c r="AW137" s="2318"/>
      <c r="AX137" s="2318"/>
      <c r="AY137" s="2318"/>
      <c r="AZ137" s="2318"/>
      <c r="BA137" s="2318"/>
      <c r="BB137" s="2318"/>
      <c r="BC137" s="2318"/>
      <c r="BD137" s="2318"/>
      <c r="BE137" s="2318"/>
      <c r="BF137" s="2318"/>
      <c r="BG137" s="2318"/>
      <c r="BH137" s="2318"/>
      <c r="BI137" s="2318"/>
      <c r="BJ137" s="2318"/>
      <c r="BK137" s="2318"/>
      <c r="BL137" s="2318"/>
      <c r="BM137" s="2318"/>
      <c r="BN137" s="2318"/>
      <c r="BO137" s="2318"/>
      <c r="BP137" s="2318"/>
      <c r="BQ137" s="2318"/>
      <c r="BR137" s="2318"/>
      <c r="BS137" s="2318"/>
      <c r="BT137" s="2318"/>
      <c r="BU137" s="2318"/>
      <c r="BV137" s="2318"/>
      <c r="BW137" s="2318"/>
      <c r="BX137" s="2318"/>
    </row>
    <row r="138" spans="1:76" s="2608" customFormat="1" ht="55.5" customHeight="1">
      <c r="A138" s="2632"/>
      <c r="B138" s="2632"/>
      <c r="C138" s="3794">
        <v>1</v>
      </c>
      <c r="D138" s="2446" t="s">
        <v>66</v>
      </c>
      <c r="E138" s="2446" t="s">
        <v>65</v>
      </c>
      <c r="F138" s="3794">
        <v>15</v>
      </c>
      <c r="G138" s="2446" t="s">
        <v>417</v>
      </c>
      <c r="H138" s="2446"/>
      <c r="I138" s="3168" t="s">
        <v>2284</v>
      </c>
      <c r="J138" s="2516" t="s">
        <v>2285</v>
      </c>
      <c r="K138" s="2290">
        <v>0.8</v>
      </c>
      <c r="L138" s="2292">
        <v>1040000000</v>
      </c>
      <c r="M138" s="2378">
        <f t="shared" si="43"/>
        <v>0.26666666666666666</v>
      </c>
      <c r="N138" s="2292">
        <v>38277250</v>
      </c>
      <c r="O138" s="2290">
        <v>0.13</v>
      </c>
      <c r="P138" s="2292">
        <v>38000000</v>
      </c>
      <c r="Q138" s="2407">
        <v>1.2E-2</v>
      </c>
      <c r="R138" s="2872">
        <v>4979800</v>
      </c>
      <c r="S138" s="2875">
        <v>6.5000000000000002E-2</v>
      </c>
      <c r="T138" s="2304">
        <f>20822250-R138</f>
        <v>15842450</v>
      </c>
      <c r="U138" s="3266">
        <v>5.3000000000000005E-2</v>
      </c>
      <c r="V138" s="2304">
        <v>9331050</v>
      </c>
      <c r="W138" s="2632">
        <v>0</v>
      </c>
      <c r="X138" s="2304">
        <v>0</v>
      </c>
      <c r="Y138" s="2407">
        <f t="shared" si="36"/>
        <v>0.13</v>
      </c>
      <c r="Z138" s="2304">
        <f t="shared" si="37"/>
        <v>30153300</v>
      </c>
      <c r="AA138" s="2308">
        <f t="shared" si="42"/>
        <v>0.39666666666666667</v>
      </c>
      <c r="AB138" s="2304">
        <f t="shared" si="41"/>
        <v>68430550</v>
      </c>
      <c r="AC138" s="2308">
        <f t="shared" si="39"/>
        <v>0.49583333333333329</v>
      </c>
      <c r="AD138" s="2311">
        <f t="shared" si="40"/>
        <v>6.5798605769230772E-2</v>
      </c>
      <c r="AE138" s="3160"/>
      <c r="AF138" s="2318"/>
      <c r="AG138" s="2318"/>
      <c r="AH138" s="2318"/>
      <c r="AI138" s="2318"/>
      <c r="AJ138" s="2318"/>
      <c r="AK138" s="2318"/>
      <c r="AL138" s="2318"/>
      <c r="AM138" s="2318"/>
      <c r="AN138" s="2318"/>
      <c r="AO138" s="2318"/>
      <c r="AP138" s="2318"/>
      <c r="AQ138" s="2318"/>
      <c r="AR138" s="2318"/>
      <c r="AS138" s="2318"/>
      <c r="AT138" s="2318"/>
      <c r="AU138" s="2318"/>
      <c r="AV138" s="2318"/>
      <c r="AW138" s="2318"/>
      <c r="AX138" s="2318"/>
      <c r="AY138" s="2318"/>
      <c r="AZ138" s="2318"/>
      <c r="BA138" s="2318"/>
      <c r="BB138" s="2318"/>
      <c r="BC138" s="2318"/>
      <c r="BD138" s="2318"/>
      <c r="BE138" s="2318"/>
      <c r="BF138" s="2318"/>
      <c r="BG138" s="2318"/>
      <c r="BH138" s="2318"/>
      <c r="BI138" s="2318"/>
      <c r="BJ138" s="2318"/>
      <c r="BK138" s="2318"/>
      <c r="BL138" s="2318"/>
      <c r="BM138" s="2318"/>
      <c r="BN138" s="2318"/>
      <c r="BO138" s="2318"/>
      <c r="BP138" s="2318"/>
      <c r="BQ138" s="2318"/>
      <c r="BR138" s="2318"/>
      <c r="BS138" s="2318"/>
      <c r="BT138" s="2318"/>
      <c r="BU138" s="2318"/>
      <c r="BV138" s="2318"/>
      <c r="BW138" s="2318"/>
      <c r="BX138" s="2318"/>
    </row>
    <row r="139" spans="1:76" s="2271" customFormat="1" ht="48.75" customHeight="1">
      <c r="A139" s="3138">
        <v>5</v>
      </c>
      <c r="B139" s="2335" t="s">
        <v>2286</v>
      </c>
      <c r="C139" s="2874">
        <v>1</v>
      </c>
      <c r="D139" s="2447" t="s">
        <v>66</v>
      </c>
      <c r="E139" s="2447" t="s">
        <v>65</v>
      </c>
      <c r="F139" s="2447" t="s">
        <v>166</v>
      </c>
      <c r="G139" s="2874"/>
      <c r="H139" s="2874"/>
      <c r="I139" s="2359" t="s">
        <v>2287</v>
      </c>
      <c r="J139" s="2363" t="s">
        <v>2288</v>
      </c>
      <c r="K139" s="2336">
        <v>0.95</v>
      </c>
      <c r="L139" s="2357">
        <v>28845135000</v>
      </c>
      <c r="M139" s="2362">
        <f t="shared" si="43"/>
        <v>0.31666666666666665</v>
      </c>
      <c r="N139" s="2361">
        <v>6500154822</v>
      </c>
      <c r="O139" s="2338">
        <v>0.16</v>
      </c>
      <c r="P139" s="2361">
        <f>SUM(P140:P144)</f>
        <v>13270953096</v>
      </c>
      <c r="Q139" s="2410">
        <f>SUM(Q140:Q144)/4</f>
        <v>2.375E-2</v>
      </c>
      <c r="R139" s="2339">
        <f>SUM(R140:R144)</f>
        <v>80064800</v>
      </c>
      <c r="S139" s="2876">
        <f>SUM(S140:S144)/5</f>
        <v>4.9799999999999997E-2</v>
      </c>
      <c r="T139" s="2342">
        <f>SUM(T140:T144)</f>
        <v>1716332550</v>
      </c>
      <c r="U139" s="2876">
        <f>SUM(U140:U144)/5</f>
        <v>3.8000000000000006E-2</v>
      </c>
      <c r="V139" s="2342">
        <f>SUM(V140:V144)</f>
        <v>3118328800</v>
      </c>
      <c r="W139" s="2335">
        <v>0</v>
      </c>
      <c r="X139" s="2342">
        <v>0</v>
      </c>
      <c r="Y139" s="2410">
        <f t="shared" si="36"/>
        <v>0.11155000000000001</v>
      </c>
      <c r="Z139" s="2342">
        <f t="shared" si="37"/>
        <v>4914726150</v>
      </c>
      <c r="AA139" s="2362">
        <f t="shared" si="42"/>
        <v>0.42821666666666669</v>
      </c>
      <c r="AB139" s="2342">
        <f>N139+Z139</f>
        <v>11414880972</v>
      </c>
      <c r="AC139" s="2362">
        <f t="shared" si="39"/>
        <v>0.45075438596491235</v>
      </c>
      <c r="AD139" s="2410">
        <f t="shared" si="40"/>
        <v>0.39572985087433288</v>
      </c>
      <c r="AE139" s="3138" t="s">
        <v>2272</v>
      </c>
      <c r="AF139" s="2620"/>
      <c r="AG139" s="2620"/>
      <c r="AH139" s="2620"/>
      <c r="AI139" s="2620"/>
      <c r="AJ139" s="2620"/>
      <c r="AK139" s="2620"/>
      <c r="AL139" s="2620"/>
      <c r="AM139" s="2620"/>
      <c r="AN139" s="2620"/>
      <c r="AO139" s="2620"/>
      <c r="AP139" s="2620"/>
      <c r="AQ139" s="2620"/>
      <c r="AR139" s="2620"/>
      <c r="AS139" s="2620"/>
      <c r="AT139" s="2620"/>
      <c r="AU139" s="2620"/>
      <c r="AV139" s="2620"/>
      <c r="AW139" s="2620"/>
      <c r="AX139" s="2620"/>
      <c r="AY139" s="2620"/>
      <c r="AZ139" s="2620"/>
      <c r="BA139" s="2620"/>
      <c r="BB139" s="2620"/>
      <c r="BC139" s="2620"/>
      <c r="BD139" s="2620"/>
      <c r="BE139" s="2620"/>
      <c r="BF139" s="2620"/>
      <c r="BG139" s="2620"/>
      <c r="BH139" s="2620"/>
      <c r="BI139" s="2620"/>
      <c r="BJ139" s="2620"/>
      <c r="BK139" s="2620"/>
      <c r="BL139" s="2620"/>
      <c r="BM139" s="2620"/>
      <c r="BN139" s="2620"/>
      <c r="BO139" s="2620"/>
      <c r="BP139" s="2620"/>
      <c r="BQ139" s="2620"/>
      <c r="BR139" s="2620"/>
      <c r="BS139" s="2620"/>
      <c r="BT139" s="2620"/>
      <c r="BU139" s="2620"/>
      <c r="BV139" s="2620"/>
      <c r="BW139" s="2620"/>
      <c r="BX139" s="2620"/>
    </row>
    <row r="140" spans="1:76" s="2608" customFormat="1" ht="118.5" customHeight="1">
      <c r="A140" s="2632"/>
      <c r="B140" s="2632"/>
      <c r="C140" s="3794">
        <v>1</v>
      </c>
      <c r="D140" s="2446" t="s">
        <v>66</v>
      </c>
      <c r="E140" s="2446" t="s">
        <v>65</v>
      </c>
      <c r="F140" s="3794">
        <v>16</v>
      </c>
      <c r="G140" s="2446" t="s">
        <v>65</v>
      </c>
      <c r="H140" s="2446"/>
      <c r="I140" s="3168" t="s">
        <v>2289</v>
      </c>
      <c r="J140" s="2516" t="s">
        <v>2290</v>
      </c>
      <c r="K140" s="2290">
        <v>0.95</v>
      </c>
      <c r="L140" s="2292">
        <v>1537500000</v>
      </c>
      <c r="M140" s="2378">
        <f t="shared" si="43"/>
        <v>0.31666666666666665</v>
      </c>
      <c r="N140" s="2292">
        <v>125121972</v>
      </c>
      <c r="O140" s="2310">
        <v>0.16</v>
      </c>
      <c r="P140" s="2292">
        <v>182652500</v>
      </c>
      <c r="Q140" s="2311">
        <v>3.2000000000000001E-2</v>
      </c>
      <c r="R140" s="2304">
        <v>6626600</v>
      </c>
      <c r="S140" s="2877">
        <v>8.0000000000000002E-3</v>
      </c>
      <c r="T140" s="2304">
        <f>11410650-R140</f>
        <v>4784050</v>
      </c>
      <c r="U140" s="3266">
        <v>5.0000000000000001E-3</v>
      </c>
      <c r="V140" s="2304">
        <v>74513000</v>
      </c>
      <c r="W140" s="2632">
        <v>0</v>
      </c>
      <c r="X140" s="2304">
        <v>0</v>
      </c>
      <c r="Y140" s="2311">
        <f t="shared" si="36"/>
        <v>4.4999999999999998E-2</v>
      </c>
      <c r="Z140" s="2304">
        <f t="shared" si="37"/>
        <v>85923650</v>
      </c>
      <c r="AA140" s="2308">
        <f t="shared" si="42"/>
        <v>0.36166666666666664</v>
      </c>
      <c r="AB140" s="2304">
        <f t="shared" ref="AB140:AB148" si="44">Z140+N140</f>
        <v>211045622</v>
      </c>
      <c r="AC140" s="2308">
        <f t="shared" si="39"/>
        <v>0.38070175438596487</v>
      </c>
      <c r="AD140" s="2311">
        <f t="shared" si="40"/>
        <v>0.13726544520325204</v>
      </c>
      <c r="AE140" s="3160"/>
      <c r="AF140" s="2318"/>
      <c r="AG140" s="2318"/>
      <c r="AH140" s="2318"/>
      <c r="AI140" s="2318"/>
      <c r="AJ140" s="2318"/>
      <c r="AK140" s="2318"/>
      <c r="AL140" s="2318"/>
      <c r="AM140" s="2318"/>
      <c r="AN140" s="2318"/>
      <c r="AO140" s="2318"/>
      <c r="AP140" s="2318"/>
      <c r="AQ140" s="2318"/>
      <c r="AR140" s="2318"/>
      <c r="AS140" s="2318"/>
      <c r="AT140" s="2318"/>
      <c r="AU140" s="2318"/>
      <c r="AV140" s="2318"/>
      <c r="AW140" s="2318"/>
      <c r="AX140" s="2318"/>
      <c r="AY140" s="2318"/>
      <c r="AZ140" s="2318"/>
      <c r="BA140" s="2318"/>
      <c r="BB140" s="2318"/>
      <c r="BC140" s="2318"/>
      <c r="BD140" s="2318"/>
      <c r="BE140" s="2318"/>
      <c r="BF140" s="2318"/>
      <c r="BG140" s="2318"/>
      <c r="BH140" s="2318"/>
      <c r="BI140" s="2318"/>
      <c r="BJ140" s="2318"/>
      <c r="BK140" s="2318"/>
      <c r="BL140" s="2318"/>
      <c r="BM140" s="2318"/>
      <c r="BN140" s="2318"/>
      <c r="BO140" s="2318"/>
      <c r="BP140" s="2318"/>
      <c r="BQ140" s="2318"/>
      <c r="BR140" s="2318"/>
      <c r="BS140" s="2318"/>
      <c r="BT140" s="2318"/>
      <c r="BU140" s="2318"/>
      <c r="BV140" s="2318"/>
      <c r="BW140" s="2318"/>
      <c r="BX140" s="2318"/>
    </row>
    <row r="141" spans="1:76" s="2608" customFormat="1" ht="165.75" customHeight="1">
      <c r="A141" s="2632"/>
      <c r="B141" s="2632"/>
      <c r="C141" s="3794">
        <v>1</v>
      </c>
      <c r="D141" s="2446" t="s">
        <v>66</v>
      </c>
      <c r="E141" s="2446" t="s">
        <v>65</v>
      </c>
      <c r="F141" s="3794">
        <v>16</v>
      </c>
      <c r="G141" s="2446" t="s">
        <v>201</v>
      </c>
      <c r="H141" s="2446"/>
      <c r="I141" s="3168" t="s">
        <v>2291</v>
      </c>
      <c r="J141" s="2516" t="s">
        <v>3121</v>
      </c>
      <c r="K141" s="2290">
        <v>0.95</v>
      </c>
      <c r="L141" s="2292">
        <v>4817385000</v>
      </c>
      <c r="M141" s="2378">
        <f t="shared" si="43"/>
        <v>0.31666666666666665</v>
      </c>
      <c r="N141" s="2292">
        <v>743873200</v>
      </c>
      <c r="O141" s="2310">
        <v>0.16</v>
      </c>
      <c r="P141" s="2292">
        <v>1714157217</v>
      </c>
      <c r="Q141" s="2311">
        <v>2.5000000000000001E-2</v>
      </c>
      <c r="R141" s="2304">
        <v>69748000</v>
      </c>
      <c r="S141" s="2875">
        <v>3.5999999999999997E-2</v>
      </c>
      <c r="T141" s="2304">
        <f>407428100-R141</f>
        <v>337680100</v>
      </c>
      <c r="U141" s="3266">
        <v>6.9000000000000006E-2</v>
      </c>
      <c r="V141" s="2304">
        <v>647142500</v>
      </c>
      <c r="W141" s="2305">
        <v>0</v>
      </c>
      <c r="X141" s="2304">
        <v>0</v>
      </c>
      <c r="Y141" s="2308">
        <f t="shared" si="36"/>
        <v>0.13</v>
      </c>
      <c r="Z141" s="2304">
        <f t="shared" si="37"/>
        <v>1054570600</v>
      </c>
      <c r="AA141" s="2308">
        <f t="shared" si="42"/>
        <v>0.44666666666666666</v>
      </c>
      <c r="AB141" s="2304">
        <f t="shared" si="44"/>
        <v>1798443800</v>
      </c>
      <c r="AC141" s="2308">
        <f t="shared" si="39"/>
        <v>0.47017543859649125</v>
      </c>
      <c r="AD141" s="2311">
        <f t="shared" si="40"/>
        <v>0.37332366003547568</v>
      </c>
      <c r="AE141" s="3160"/>
      <c r="AF141" s="2318"/>
      <c r="AG141" s="2318"/>
      <c r="AH141" s="2318"/>
      <c r="AI141" s="2318"/>
      <c r="AJ141" s="2318"/>
      <c r="AK141" s="2318"/>
      <c r="AL141" s="2318"/>
      <c r="AM141" s="2318"/>
      <c r="AN141" s="2318"/>
      <c r="AO141" s="2318"/>
      <c r="AP141" s="2318"/>
      <c r="AQ141" s="2318"/>
      <c r="AR141" s="2318"/>
      <c r="AS141" s="2318"/>
      <c r="AT141" s="2318"/>
      <c r="AU141" s="2318"/>
      <c r="AV141" s="2318"/>
      <c r="AW141" s="2318"/>
      <c r="AX141" s="2318"/>
      <c r="AY141" s="2318"/>
      <c r="AZ141" s="2318"/>
      <c r="BA141" s="2318"/>
      <c r="BB141" s="2318"/>
      <c r="BC141" s="2318"/>
      <c r="BD141" s="2318"/>
      <c r="BE141" s="2318"/>
      <c r="BF141" s="2318"/>
      <c r="BG141" s="2318"/>
      <c r="BH141" s="2318"/>
      <c r="BI141" s="2318"/>
      <c r="BJ141" s="2318"/>
      <c r="BK141" s="2318"/>
      <c r="BL141" s="2318"/>
      <c r="BM141" s="2318"/>
      <c r="BN141" s="2318"/>
      <c r="BO141" s="2318"/>
      <c r="BP141" s="2318"/>
      <c r="BQ141" s="2318"/>
      <c r="BR141" s="2318"/>
      <c r="BS141" s="2318"/>
      <c r="BT141" s="2318"/>
      <c r="BU141" s="2318"/>
      <c r="BV141" s="2318"/>
      <c r="BW141" s="2318"/>
      <c r="BX141" s="2318"/>
    </row>
    <row r="142" spans="1:76" s="2608" customFormat="1" ht="60.75" customHeight="1">
      <c r="A142" s="2632"/>
      <c r="B142" s="2632"/>
      <c r="C142" s="3794">
        <v>1</v>
      </c>
      <c r="D142" s="2446" t="s">
        <v>66</v>
      </c>
      <c r="E142" s="2446" t="s">
        <v>65</v>
      </c>
      <c r="F142" s="3794">
        <v>16</v>
      </c>
      <c r="G142" s="2446" t="s">
        <v>515</v>
      </c>
      <c r="H142" s="2446"/>
      <c r="I142" s="3168" t="s">
        <v>2293</v>
      </c>
      <c r="J142" s="2516" t="s">
        <v>2294</v>
      </c>
      <c r="K142" s="2290">
        <v>0.95</v>
      </c>
      <c r="L142" s="2292">
        <v>21750000000</v>
      </c>
      <c r="M142" s="2378">
        <f t="shared" si="43"/>
        <v>0.31666666666666665</v>
      </c>
      <c r="N142" s="2292">
        <v>5562727550</v>
      </c>
      <c r="O142" s="2310">
        <v>0.16</v>
      </c>
      <c r="P142" s="2292">
        <v>11288225000</v>
      </c>
      <c r="Q142" s="2311">
        <v>5.0000000000000001E-3</v>
      </c>
      <c r="R142" s="2632">
        <v>0</v>
      </c>
      <c r="S142" s="2875">
        <v>5.5E-2</v>
      </c>
      <c r="T142" s="2304">
        <f>1356613500-R142</f>
        <v>1356613500</v>
      </c>
      <c r="U142" s="3266">
        <v>6.8000000000000005E-2</v>
      </c>
      <c r="V142" s="2304">
        <v>2372195050</v>
      </c>
      <c r="W142" s="2632">
        <v>0</v>
      </c>
      <c r="X142" s="2304">
        <v>0</v>
      </c>
      <c r="Y142" s="2311">
        <f t="shared" si="36"/>
        <v>0.128</v>
      </c>
      <c r="Z142" s="2304">
        <f t="shared" si="37"/>
        <v>3728808550</v>
      </c>
      <c r="AA142" s="2308">
        <f t="shared" si="42"/>
        <v>0.44466666666666665</v>
      </c>
      <c r="AB142" s="2304">
        <f t="shared" si="44"/>
        <v>9291536100</v>
      </c>
      <c r="AC142" s="2308">
        <f t="shared" si="39"/>
        <v>0.46807017543859653</v>
      </c>
      <c r="AD142" s="2311">
        <f t="shared" si="40"/>
        <v>0.42719706206896552</v>
      </c>
      <c r="AE142" s="3160"/>
      <c r="AF142" s="2318"/>
      <c r="AG142" s="2318"/>
      <c r="AH142" s="2318"/>
      <c r="AI142" s="2318"/>
      <c r="AJ142" s="2318"/>
      <c r="AK142" s="2318"/>
      <c r="AL142" s="2318"/>
      <c r="AM142" s="2318"/>
      <c r="AN142" s="2318"/>
      <c r="AO142" s="2318"/>
      <c r="AP142" s="2318"/>
      <c r="AQ142" s="2318"/>
      <c r="AR142" s="2318"/>
      <c r="AS142" s="2318"/>
      <c r="AT142" s="2318"/>
      <c r="AU142" s="2318"/>
      <c r="AV142" s="2318"/>
      <c r="AW142" s="2318"/>
      <c r="AX142" s="2318"/>
      <c r="AY142" s="2318"/>
      <c r="AZ142" s="2318"/>
      <c r="BA142" s="2318"/>
      <c r="BB142" s="2318"/>
      <c r="BC142" s="2318"/>
      <c r="BD142" s="2318"/>
      <c r="BE142" s="2318"/>
      <c r="BF142" s="2318"/>
      <c r="BG142" s="2318"/>
      <c r="BH142" s="2318"/>
      <c r="BI142" s="2318"/>
      <c r="BJ142" s="2318"/>
      <c r="BK142" s="2318"/>
      <c r="BL142" s="2318"/>
      <c r="BM142" s="2318"/>
      <c r="BN142" s="2318"/>
      <c r="BO142" s="2318"/>
      <c r="BP142" s="2318"/>
      <c r="BQ142" s="2318"/>
      <c r="BR142" s="2318"/>
      <c r="BS142" s="2318"/>
      <c r="BT142" s="2318"/>
      <c r="BU142" s="2318"/>
      <c r="BV142" s="2318"/>
      <c r="BW142" s="2318"/>
      <c r="BX142" s="2318"/>
    </row>
    <row r="143" spans="1:76" s="2608" customFormat="1" ht="69.75" customHeight="1">
      <c r="A143" s="2632"/>
      <c r="B143" s="2632"/>
      <c r="C143" s="3794">
        <v>1</v>
      </c>
      <c r="D143" s="2446" t="s">
        <v>66</v>
      </c>
      <c r="E143" s="2446" t="s">
        <v>65</v>
      </c>
      <c r="F143" s="3794">
        <v>16</v>
      </c>
      <c r="G143" s="2446">
        <v>34</v>
      </c>
      <c r="H143" s="2446"/>
      <c r="I143" s="3168" t="s">
        <v>2295</v>
      </c>
      <c r="J143" s="2516" t="s">
        <v>2296</v>
      </c>
      <c r="K143" s="2290">
        <v>0.95</v>
      </c>
      <c r="L143" s="2520">
        <v>470000000</v>
      </c>
      <c r="M143" s="2378">
        <f t="shared" si="43"/>
        <v>0.31666666666666665</v>
      </c>
      <c r="N143" s="2482">
        <v>51355550</v>
      </c>
      <c r="O143" s="2310">
        <v>0.16</v>
      </c>
      <c r="P143" s="2292">
        <v>44644179</v>
      </c>
      <c r="Q143" s="2379">
        <v>1.2E-2</v>
      </c>
      <c r="R143" s="2307">
        <v>3038200</v>
      </c>
      <c r="S143" s="2878">
        <v>7.4999999999999997E-2</v>
      </c>
      <c r="T143" s="2307">
        <f>13704200-R143</f>
        <v>10666000</v>
      </c>
      <c r="U143" s="3267">
        <v>4.300000000000001E-2</v>
      </c>
      <c r="V143" s="2307">
        <v>19525250</v>
      </c>
      <c r="W143" s="2312">
        <v>0</v>
      </c>
      <c r="X143" s="2307">
        <v>0</v>
      </c>
      <c r="Y143" s="2311">
        <f t="shared" si="36"/>
        <v>0.13</v>
      </c>
      <c r="Z143" s="2304">
        <f t="shared" si="37"/>
        <v>33229450</v>
      </c>
      <c r="AA143" s="2308">
        <f t="shared" si="42"/>
        <v>0.44666666666666666</v>
      </c>
      <c r="AB143" s="2307">
        <f t="shared" si="44"/>
        <v>84585000</v>
      </c>
      <c r="AC143" s="2308">
        <f t="shared" si="39"/>
        <v>0.47017543859649125</v>
      </c>
      <c r="AD143" s="2311">
        <f t="shared" si="40"/>
        <v>0.17996808510638299</v>
      </c>
      <c r="AE143" s="2207"/>
      <c r="AF143" s="2318"/>
      <c r="AG143" s="2318"/>
      <c r="AH143" s="2318"/>
      <c r="AI143" s="2318"/>
      <c r="AJ143" s="2318"/>
      <c r="AK143" s="2318"/>
      <c r="AL143" s="2318"/>
      <c r="AM143" s="2318"/>
      <c r="AN143" s="2318"/>
      <c r="AO143" s="2318"/>
      <c r="AP143" s="2318"/>
      <c r="AQ143" s="2318"/>
      <c r="AR143" s="2318"/>
      <c r="AS143" s="2318"/>
      <c r="AT143" s="2318"/>
      <c r="AU143" s="2318"/>
      <c r="AV143" s="2318"/>
      <c r="AW143" s="2318"/>
      <c r="AX143" s="2318"/>
      <c r="AY143" s="2318"/>
      <c r="AZ143" s="2318"/>
      <c r="BA143" s="2318"/>
      <c r="BB143" s="2318"/>
      <c r="BC143" s="2318"/>
      <c r="BD143" s="2318"/>
      <c r="BE143" s="2318"/>
      <c r="BF143" s="2318"/>
      <c r="BG143" s="2318"/>
      <c r="BH143" s="2318"/>
      <c r="BI143" s="2318"/>
      <c r="BJ143" s="2318"/>
      <c r="BK143" s="2318"/>
      <c r="BL143" s="2318"/>
      <c r="BM143" s="2318"/>
      <c r="BN143" s="2318"/>
      <c r="BO143" s="2318"/>
      <c r="BP143" s="2318"/>
      <c r="BQ143" s="2318"/>
      <c r="BR143" s="2318"/>
      <c r="BS143" s="2318"/>
      <c r="BT143" s="2318"/>
      <c r="BU143" s="2318"/>
      <c r="BV143" s="2318"/>
      <c r="BW143" s="2318"/>
      <c r="BX143" s="2318"/>
    </row>
    <row r="144" spans="1:76" s="2608" customFormat="1" ht="73.5" customHeight="1">
      <c r="A144" s="2632"/>
      <c r="B144" s="2632"/>
      <c r="C144" s="3794">
        <v>1</v>
      </c>
      <c r="D144" s="2446" t="s">
        <v>66</v>
      </c>
      <c r="E144" s="2446" t="s">
        <v>65</v>
      </c>
      <c r="F144" s="3794">
        <v>16</v>
      </c>
      <c r="G144" s="2446">
        <v>35</v>
      </c>
      <c r="H144" s="2446"/>
      <c r="I144" s="3168" t="s">
        <v>2297</v>
      </c>
      <c r="J144" s="2516" t="s">
        <v>2298</v>
      </c>
      <c r="K144" s="2290">
        <v>0.95</v>
      </c>
      <c r="L144" s="2520">
        <v>270250000</v>
      </c>
      <c r="M144" s="2378">
        <f t="shared" si="43"/>
        <v>0.31666666666666665</v>
      </c>
      <c r="N144" s="2482">
        <v>17076550</v>
      </c>
      <c r="O144" s="2310">
        <v>0.16</v>
      </c>
      <c r="P144" s="2292">
        <v>41274200</v>
      </c>
      <c r="Q144" s="2379">
        <v>2.1000000000000001E-2</v>
      </c>
      <c r="R144" s="2307">
        <v>652000</v>
      </c>
      <c r="S144" s="2878">
        <v>7.4999999999999997E-2</v>
      </c>
      <c r="T144" s="2307">
        <f>7240900-R144</f>
        <v>6588900</v>
      </c>
      <c r="U144" s="3267">
        <v>5.0000000000000001E-3</v>
      </c>
      <c r="V144" s="2307">
        <v>4953000</v>
      </c>
      <c r="W144" s="2312">
        <v>0</v>
      </c>
      <c r="X144" s="2307">
        <v>0</v>
      </c>
      <c r="Y144" s="2311">
        <f t="shared" si="36"/>
        <v>0.10100000000000001</v>
      </c>
      <c r="Z144" s="2304">
        <f t="shared" si="37"/>
        <v>12193900</v>
      </c>
      <c r="AA144" s="2308">
        <f t="shared" si="42"/>
        <v>0.41766666666666663</v>
      </c>
      <c r="AB144" s="2307">
        <f t="shared" si="44"/>
        <v>29270450</v>
      </c>
      <c r="AC144" s="2308">
        <f t="shared" si="39"/>
        <v>0.43964912280701751</v>
      </c>
      <c r="AD144" s="2311">
        <f t="shared" si="40"/>
        <v>0.10830878815911194</v>
      </c>
      <c r="AE144" s="2822"/>
      <c r="AF144" s="2318"/>
      <c r="AG144" s="2318"/>
      <c r="AH144" s="2318"/>
      <c r="AI144" s="2318"/>
      <c r="AJ144" s="2318"/>
      <c r="AK144" s="2318"/>
      <c r="AL144" s="2318"/>
      <c r="AM144" s="2318"/>
      <c r="AN144" s="2318"/>
      <c r="AO144" s="2318"/>
      <c r="AP144" s="2318"/>
      <c r="AQ144" s="2318"/>
      <c r="AR144" s="2318"/>
      <c r="AS144" s="2318"/>
      <c r="AT144" s="2318"/>
      <c r="AU144" s="2318"/>
      <c r="AV144" s="2318"/>
      <c r="AW144" s="2318"/>
      <c r="AX144" s="2318"/>
      <c r="AY144" s="2318"/>
      <c r="AZ144" s="2318"/>
      <c r="BA144" s="2318"/>
      <c r="BB144" s="2318"/>
      <c r="BC144" s="2318"/>
      <c r="BD144" s="2318"/>
      <c r="BE144" s="2318"/>
      <c r="BF144" s="2318"/>
      <c r="BG144" s="2318"/>
      <c r="BH144" s="2318"/>
      <c r="BI144" s="2318"/>
      <c r="BJ144" s="2318"/>
      <c r="BK144" s="2318"/>
      <c r="BL144" s="2318"/>
      <c r="BM144" s="2318"/>
      <c r="BN144" s="2318"/>
      <c r="BO144" s="2318"/>
      <c r="BP144" s="2318"/>
      <c r="BQ144" s="2318"/>
      <c r="BR144" s="2318"/>
      <c r="BS144" s="2318"/>
      <c r="BT144" s="2318"/>
      <c r="BU144" s="2318"/>
      <c r="BV144" s="2318"/>
      <c r="BW144" s="2318"/>
      <c r="BX144" s="2318"/>
    </row>
    <row r="145" spans="1:76" s="2271" customFormat="1" ht="42.75" customHeight="1">
      <c r="A145" s="3162">
        <v>6</v>
      </c>
      <c r="B145" s="2335" t="s">
        <v>2299</v>
      </c>
      <c r="C145" s="2874">
        <v>1</v>
      </c>
      <c r="D145" s="2447" t="s">
        <v>66</v>
      </c>
      <c r="E145" s="2447" t="s">
        <v>65</v>
      </c>
      <c r="F145" s="2447" t="s">
        <v>357</v>
      </c>
      <c r="G145" s="2874"/>
      <c r="H145" s="2874"/>
      <c r="I145" s="2359" t="s">
        <v>2300</v>
      </c>
      <c r="J145" s="2364" t="s">
        <v>2301</v>
      </c>
      <c r="K145" s="2336">
        <f>SUM(K146:K150)/4</f>
        <v>1</v>
      </c>
      <c r="L145" s="2357">
        <v>9800000000</v>
      </c>
      <c r="M145" s="2362">
        <f t="shared" si="43"/>
        <v>0.33333333333333331</v>
      </c>
      <c r="N145" s="2361">
        <f>SUM(N146:N150)</f>
        <v>568646293</v>
      </c>
      <c r="O145" s="2338">
        <v>0.17</v>
      </c>
      <c r="P145" s="2361">
        <f>SUM(P146:P150)</f>
        <v>548609845</v>
      </c>
      <c r="Q145" s="2410">
        <f>SUM(Q146:Q150)/4</f>
        <v>1.3749999999999998E-2</v>
      </c>
      <c r="R145" s="2339">
        <f>SUM(R146:R150)</f>
        <v>30185300</v>
      </c>
      <c r="S145" s="2876">
        <f>SUM(S146:S150)/4</f>
        <v>5.1999999999999998E-2</v>
      </c>
      <c r="T145" s="2342">
        <f>SUM(T146:T150)</f>
        <v>119895300</v>
      </c>
      <c r="U145" s="2876">
        <f>SUM(U146:U150)/4</f>
        <v>3.175E-2</v>
      </c>
      <c r="V145" s="2342">
        <f>SUM(V146:V150)</f>
        <v>113306100</v>
      </c>
      <c r="W145" s="2335">
        <v>0</v>
      </c>
      <c r="X145" s="2342">
        <f>SUM(X146:X150)</f>
        <v>0</v>
      </c>
      <c r="Y145" s="2410">
        <f t="shared" si="36"/>
        <v>9.7500000000000003E-2</v>
      </c>
      <c r="Z145" s="2342">
        <f>SUM(R145+T145)</f>
        <v>150080600</v>
      </c>
      <c r="AA145" s="2362">
        <f>Y145+M145</f>
        <v>0.43083333333333329</v>
      </c>
      <c r="AB145" s="2342">
        <f t="shared" si="44"/>
        <v>718726893</v>
      </c>
      <c r="AC145" s="2362">
        <f t="shared" si="39"/>
        <v>0.43083333333333329</v>
      </c>
      <c r="AD145" s="2410">
        <f t="shared" si="40"/>
        <v>7.3339478877551018E-2</v>
      </c>
      <c r="AE145" s="3138" t="s">
        <v>2272</v>
      </c>
      <c r="AF145" s="2620"/>
      <c r="AG145" s="2620"/>
      <c r="AH145" s="2620"/>
      <c r="AI145" s="2620"/>
      <c r="AJ145" s="2620"/>
      <c r="AK145" s="2620"/>
      <c r="AL145" s="2620"/>
      <c r="AM145" s="2620"/>
      <c r="AN145" s="2620"/>
      <c r="AO145" s="2620"/>
      <c r="AP145" s="2620"/>
      <c r="AQ145" s="2620"/>
      <c r="AR145" s="2620"/>
      <c r="AS145" s="2620"/>
      <c r="AT145" s="2620"/>
      <c r="AU145" s="2620"/>
      <c r="AV145" s="2620"/>
      <c r="AW145" s="2620"/>
      <c r="AX145" s="2620"/>
      <c r="AY145" s="2620"/>
      <c r="AZ145" s="2620"/>
      <c r="BA145" s="2620"/>
      <c r="BB145" s="2620"/>
      <c r="BC145" s="2620"/>
      <c r="BD145" s="2620"/>
      <c r="BE145" s="2620"/>
      <c r="BF145" s="2620"/>
      <c r="BG145" s="2620"/>
      <c r="BH145" s="2620"/>
      <c r="BI145" s="2620"/>
      <c r="BJ145" s="2620"/>
      <c r="BK145" s="2620"/>
      <c r="BL145" s="2620"/>
      <c r="BM145" s="2620"/>
      <c r="BN145" s="2620"/>
      <c r="BO145" s="2620"/>
      <c r="BP145" s="2620"/>
      <c r="BQ145" s="2620"/>
      <c r="BR145" s="2620"/>
      <c r="BS145" s="2620"/>
      <c r="BT145" s="2620"/>
      <c r="BU145" s="2620"/>
      <c r="BV145" s="2620"/>
      <c r="BW145" s="2620"/>
      <c r="BX145" s="2620"/>
    </row>
    <row r="146" spans="1:76" s="2608" customFormat="1" ht="44.25" customHeight="1">
      <c r="A146" s="2632"/>
      <c r="B146" s="2632"/>
      <c r="C146" s="3794">
        <v>1</v>
      </c>
      <c r="D146" s="2446" t="s">
        <v>66</v>
      </c>
      <c r="E146" s="2446" t="s">
        <v>65</v>
      </c>
      <c r="F146" s="3794">
        <v>19</v>
      </c>
      <c r="G146" s="2446" t="s">
        <v>66</v>
      </c>
      <c r="H146" s="2446"/>
      <c r="I146" s="1762" t="s">
        <v>2302</v>
      </c>
      <c r="J146" s="2516" t="s">
        <v>2303</v>
      </c>
      <c r="K146" s="2290">
        <v>1</v>
      </c>
      <c r="L146" s="2292">
        <v>2295000000</v>
      </c>
      <c r="M146" s="2378">
        <f t="shared" si="43"/>
        <v>0.33333333333333331</v>
      </c>
      <c r="N146" s="2292">
        <v>156892800</v>
      </c>
      <c r="O146" s="2310">
        <v>0.17</v>
      </c>
      <c r="P146" s="2292">
        <v>183789402</v>
      </c>
      <c r="Q146" s="2311">
        <v>1.4999999999999999E-2</v>
      </c>
      <c r="R146" s="2304">
        <v>13582400</v>
      </c>
      <c r="S146" s="2875">
        <v>6.3E-2</v>
      </c>
      <c r="T146" s="2304">
        <f>42862000-R146</f>
        <v>29279600</v>
      </c>
      <c r="U146" s="3266">
        <v>3.2000000000000001E-2</v>
      </c>
      <c r="V146" s="2304">
        <v>29469500</v>
      </c>
      <c r="W146" s="2305">
        <v>0</v>
      </c>
      <c r="X146" s="2304">
        <v>0</v>
      </c>
      <c r="Y146" s="2311">
        <f t="shared" si="36"/>
        <v>0.11</v>
      </c>
      <c r="Z146" s="2304">
        <f>SUM(R146+T146)</f>
        <v>42862000</v>
      </c>
      <c r="AA146" s="2308">
        <f>Y146+M146</f>
        <v>0.4433333333333333</v>
      </c>
      <c r="AB146" s="2304">
        <f t="shared" si="44"/>
        <v>199754800</v>
      </c>
      <c r="AC146" s="2308">
        <f t="shared" si="39"/>
        <v>0.4433333333333333</v>
      </c>
      <c r="AD146" s="2311">
        <f t="shared" si="40"/>
        <v>8.7039128540305016E-2</v>
      </c>
      <c r="AE146" s="3160"/>
      <c r="AF146" s="2318"/>
      <c r="AG146" s="2318"/>
      <c r="AH146" s="2318"/>
      <c r="AI146" s="2318"/>
      <c r="AJ146" s="2318"/>
      <c r="AK146" s="2318"/>
      <c r="AL146" s="2318"/>
      <c r="AM146" s="2318"/>
      <c r="AN146" s="2318"/>
      <c r="AO146" s="2318"/>
      <c r="AP146" s="2318"/>
      <c r="AQ146" s="2318"/>
      <c r="AR146" s="2318"/>
      <c r="AS146" s="2318"/>
      <c r="AT146" s="2318"/>
      <c r="AU146" s="2318"/>
      <c r="AV146" s="2318"/>
      <c r="AW146" s="2318"/>
      <c r="AX146" s="2318"/>
      <c r="AY146" s="2318"/>
      <c r="AZ146" s="2318"/>
      <c r="BA146" s="2318"/>
      <c r="BB146" s="2318"/>
      <c r="BC146" s="2318"/>
      <c r="BD146" s="2318"/>
      <c r="BE146" s="2318"/>
      <c r="BF146" s="2318"/>
      <c r="BG146" s="2318"/>
      <c r="BH146" s="2318"/>
      <c r="BI146" s="2318"/>
      <c r="BJ146" s="2318"/>
      <c r="BK146" s="2318"/>
      <c r="BL146" s="2318"/>
      <c r="BM146" s="2318"/>
      <c r="BN146" s="2318"/>
      <c r="BO146" s="2318"/>
      <c r="BP146" s="2318"/>
      <c r="BQ146" s="2318"/>
      <c r="BR146" s="2318"/>
      <c r="BS146" s="2318"/>
      <c r="BT146" s="2318"/>
      <c r="BU146" s="2318"/>
      <c r="BV146" s="2318"/>
      <c r="BW146" s="2318"/>
      <c r="BX146" s="2318"/>
    </row>
    <row r="147" spans="1:76" s="2608" customFormat="1" ht="44.25" customHeight="1">
      <c r="A147" s="2632"/>
      <c r="B147" s="2632"/>
      <c r="C147" s="3794">
        <v>1</v>
      </c>
      <c r="D147" s="2446" t="s">
        <v>66</v>
      </c>
      <c r="E147" s="2446" t="s">
        <v>65</v>
      </c>
      <c r="F147" s="3794">
        <v>19</v>
      </c>
      <c r="G147" s="2446" t="s">
        <v>197</v>
      </c>
      <c r="H147" s="2446"/>
      <c r="I147" s="3168" t="s">
        <v>2304</v>
      </c>
      <c r="J147" s="2516" t="s">
        <v>2305</v>
      </c>
      <c r="K147" s="2290">
        <v>1</v>
      </c>
      <c r="L147" s="2292">
        <v>2020000000</v>
      </c>
      <c r="M147" s="2378">
        <f t="shared" si="43"/>
        <v>0.33333333333333331</v>
      </c>
      <c r="N147" s="2292">
        <v>177333050</v>
      </c>
      <c r="O147" s="2310">
        <v>0.17</v>
      </c>
      <c r="P147" s="2292">
        <v>132783626</v>
      </c>
      <c r="Q147" s="2311">
        <v>1.2999999999999999E-2</v>
      </c>
      <c r="R147" s="2304">
        <v>5497700</v>
      </c>
      <c r="S147" s="2875">
        <v>6.7000000000000004E-2</v>
      </c>
      <c r="T147" s="2304">
        <f>39639000-R147</f>
        <v>34141300</v>
      </c>
      <c r="U147" s="3266">
        <v>3.9999999999999994E-2</v>
      </c>
      <c r="V147" s="2304">
        <v>52736600</v>
      </c>
      <c r="W147" s="2632">
        <v>0</v>
      </c>
      <c r="X147" s="2304">
        <v>0</v>
      </c>
      <c r="Y147" s="2311">
        <f t="shared" si="36"/>
        <v>0.12</v>
      </c>
      <c r="Z147" s="2304">
        <f t="shared" si="37"/>
        <v>92375600</v>
      </c>
      <c r="AA147" s="2308">
        <f>Y147+M147</f>
        <v>0.45333333333333331</v>
      </c>
      <c r="AB147" s="2304">
        <f t="shared" si="44"/>
        <v>269708650</v>
      </c>
      <c r="AC147" s="2308">
        <f t="shared" si="39"/>
        <v>0.45333333333333331</v>
      </c>
      <c r="AD147" s="2311">
        <f t="shared" si="40"/>
        <v>0.13351913366336635</v>
      </c>
      <c r="AE147" s="3160"/>
      <c r="AF147" s="2318"/>
      <c r="AG147" s="2318"/>
      <c r="AH147" s="2318"/>
      <c r="AI147" s="2318"/>
      <c r="AJ147" s="2318"/>
      <c r="AK147" s="2318"/>
      <c r="AL147" s="2318"/>
      <c r="AM147" s="2318"/>
      <c r="AN147" s="2318"/>
      <c r="AO147" s="2318"/>
      <c r="AP147" s="2318"/>
      <c r="AQ147" s="2318"/>
      <c r="AR147" s="2318"/>
      <c r="AS147" s="2318"/>
      <c r="AT147" s="2318"/>
      <c r="AU147" s="2318"/>
      <c r="AV147" s="2318"/>
      <c r="AW147" s="2318"/>
      <c r="AX147" s="2318"/>
      <c r="AY147" s="2318"/>
      <c r="AZ147" s="2318"/>
      <c r="BA147" s="2318"/>
      <c r="BB147" s="2318"/>
      <c r="BC147" s="2318"/>
      <c r="BD147" s="2318"/>
      <c r="BE147" s="2318"/>
      <c r="BF147" s="2318"/>
      <c r="BG147" s="2318"/>
      <c r="BH147" s="2318"/>
      <c r="BI147" s="2318"/>
      <c r="BJ147" s="2318"/>
      <c r="BK147" s="2318"/>
      <c r="BL147" s="2318"/>
      <c r="BM147" s="2318"/>
      <c r="BN147" s="2318"/>
      <c r="BO147" s="2318"/>
      <c r="BP147" s="2318"/>
      <c r="BQ147" s="2318"/>
      <c r="BR147" s="2318"/>
      <c r="BS147" s="2318"/>
      <c r="BT147" s="2318"/>
      <c r="BU147" s="2318"/>
      <c r="BV147" s="2318"/>
      <c r="BW147" s="2318"/>
      <c r="BX147" s="2318"/>
    </row>
    <row r="148" spans="1:76" s="2608" customFormat="1" ht="44.25" customHeight="1">
      <c r="A148" s="2632"/>
      <c r="B148" s="2632"/>
      <c r="C148" s="3794">
        <v>1</v>
      </c>
      <c r="D148" s="2446" t="s">
        <v>66</v>
      </c>
      <c r="E148" s="2446" t="s">
        <v>65</v>
      </c>
      <c r="F148" s="3794">
        <v>19</v>
      </c>
      <c r="G148" s="2446" t="s">
        <v>198</v>
      </c>
      <c r="H148" s="2446"/>
      <c r="I148" s="3168" t="s">
        <v>2306</v>
      </c>
      <c r="J148" s="1781" t="s">
        <v>2307</v>
      </c>
      <c r="K148" s="2290">
        <v>1</v>
      </c>
      <c r="L148" s="2292">
        <v>710000000</v>
      </c>
      <c r="M148" s="2378">
        <f t="shared" si="43"/>
        <v>0.33333333333333331</v>
      </c>
      <c r="N148" s="2292">
        <v>138379050</v>
      </c>
      <c r="O148" s="2310">
        <v>0.17</v>
      </c>
      <c r="P148" s="2292">
        <v>99195000</v>
      </c>
      <c r="Q148" s="2311">
        <v>2.1999999999999999E-2</v>
      </c>
      <c r="R148" s="2304">
        <v>11105200</v>
      </c>
      <c r="S148" s="2875">
        <v>5.8000000000000003E-2</v>
      </c>
      <c r="T148" s="2304">
        <f>55137600-R148</f>
        <v>44032400</v>
      </c>
      <c r="U148" s="3266">
        <v>5.000000000000001E-2</v>
      </c>
      <c r="V148" s="2304">
        <v>8567600</v>
      </c>
      <c r="W148" s="2899">
        <v>0</v>
      </c>
      <c r="X148" s="2304">
        <v>0</v>
      </c>
      <c r="Y148" s="2311">
        <f t="shared" si="36"/>
        <v>0.13</v>
      </c>
      <c r="Z148" s="2304">
        <f t="shared" si="37"/>
        <v>63705200</v>
      </c>
      <c r="AA148" s="2308">
        <f>Y148+M148</f>
        <v>0.46333333333333332</v>
      </c>
      <c r="AB148" s="2304">
        <f t="shared" si="44"/>
        <v>202084250</v>
      </c>
      <c r="AC148" s="2308">
        <f t="shared" si="39"/>
        <v>0.46333333333333332</v>
      </c>
      <c r="AD148" s="2311">
        <f t="shared" si="40"/>
        <v>0.28462570422535211</v>
      </c>
      <c r="AE148" s="3160"/>
      <c r="AF148" s="2318"/>
      <c r="AG148" s="2318"/>
      <c r="AH148" s="2318"/>
      <c r="AI148" s="2318"/>
      <c r="AJ148" s="2318"/>
      <c r="AK148" s="2318"/>
      <c r="AL148" s="2318"/>
      <c r="AM148" s="2318"/>
      <c r="AN148" s="2318"/>
      <c r="AO148" s="2318"/>
      <c r="AP148" s="2318"/>
      <c r="AQ148" s="2318"/>
      <c r="AR148" s="2318"/>
      <c r="AS148" s="2318"/>
      <c r="AT148" s="2318"/>
      <c r="AU148" s="2318"/>
      <c r="AV148" s="2318"/>
      <c r="AW148" s="2318"/>
      <c r="AX148" s="2318"/>
      <c r="AY148" s="2318"/>
      <c r="AZ148" s="2318"/>
      <c r="BA148" s="2318"/>
      <c r="BB148" s="2318"/>
      <c r="BC148" s="2318"/>
      <c r="BD148" s="2318"/>
      <c r="BE148" s="2318"/>
      <c r="BF148" s="2318"/>
      <c r="BG148" s="2318"/>
      <c r="BH148" s="2318"/>
      <c r="BI148" s="2318"/>
      <c r="BJ148" s="2318"/>
      <c r="BK148" s="2318"/>
      <c r="BL148" s="2318"/>
      <c r="BM148" s="2318"/>
      <c r="BN148" s="2318"/>
      <c r="BO148" s="2318"/>
      <c r="BP148" s="2318"/>
      <c r="BQ148" s="2318"/>
      <c r="BR148" s="2318"/>
      <c r="BS148" s="2318"/>
      <c r="BT148" s="2318"/>
      <c r="BU148" s="2318"/>
      <c r="BV148" s="2318"/>
      <c r="BW148" s="2318"/>
      <c r="BX148" s="2318"/>
    </row>
    <row r="149" spans="1:76" s="2608" customFormat="1" ht="42.75" customHeight="1">
      <c r="A149" s="2632"/>
      <c r="B149" s="2632"/>
      <c r="C149" s="3794"/>
      <c r="D149" s="2446"/>
      <c r="E149" s="2446"/>
      <c r="F149" s="3794"/>
      <c r="G149" s="2446"/>
      <c r="H149" s="2446"/>
      <c r="I149" s="3168"/>
      <c r="J149" s="1781" t="s">
        <v>2308</v>
      </c>
      <c r="K149" s="1396"/>
      <c r="L149" s="2292"/>
      <c r="M149" s="2378"/>
      <c r="N149" s="2292"/>
      <c r="O149" s="2310"/>
      <c r="P149" s="2292"/>
      <c r="Q149" s="2311"/>
      <c r="R149" s="2304"/>
      <c r="S149" s="2875"/>
      <c r="T149" s="2304"/>
      <c r="U149" s="3266"/>
      <c r="V149" s="2304"/>
      <c r="W149" s="2305"/>
      <c r="X149" s="2304"/>
      <c r="Y149" s="2311">
        <f t="shared" si="36"/>
        <v>0</v>
      </c>
      <c r="Z149" s="2304">
        <f t="shared" si="37"/>
        <v>0</v>
      </c>
      <c r="AA149" s="2308"/>
      <c r="AB149" s="2304"/>
      <c r="AC149" s="2308"/>
      <c r="AD149" s="2311"/>
      <c r="AE149" s="3160"/>
      <c r="AF149" s="2318"/>
      <c r="AG149" s="2318"/>
      <c r="AH149" s="2318"/>
      <c r="AI149" s="2318"/>
      <c r="AJ149" s="2318"/>
      <c r="AK149" s="2318"/>
      <c r="AL149" s="2318"/>
      <c r="AM149" s="2318"/>
      <c r="AN149" s="2318"/>
      <c r="AO149" s="2318"/>
      <c r="AP149" s="2318"/>
      <c r="AQ149" s="2318"/>
      <c r="AR149" s="2318"/>
      <c r="AS149" s="2318"/>
      <c r="AT149" s="2318"/>
      <c r="AU149" s="2318"/>
      <c r="AV149" s="2318"/>
      <c r="AW149" s="2318"/>
      <c r="AX149" s="2318"/>
      <c r="AY149" s="2318"/>
      <c r="AZ149" s="2318"/>
      <c r="BA149" s="2318"/>
      <c r="BB149" s="2318"/>
      <c r="BC149" s="2318"/>
      <c r="BD149" s="2318"/>
      <c r="BE149" s="2318"/>
      <c r="BF149" s="2318"/>
      <c r="BG149" s="2318"/>
      <c r="BH149" s="2318"/>
      <c r="BI149" s="2318"/>
      <c r="BJ149" s="2318"/>
      <c r="BK149" s="2318"/>
      <c r="BL149" s="2318"/>
      <c r="BM149" s="2318"/>
      <c r="BN149" s="2318"/>
      <c r="BO149" s="2318"/>
      <c r="BP149" s="2318"/>
      <c r="BQ149" s="2318"/>
      <c r="BR149" s="2318"/>
      <c r="BS149" s="2318"/>
      <c r="BT149" s="2318"/>
      <c r="BU149" s="2318"/>
      <c r="BV149" s="2318"/>
      <c r="BW149" s="2318"/>
      <c r="BX149" s="2318"/>
    </row>
    <row r="150" spans="1:76" s="2608" customFormat="1" ht="72" customHeight="1">
      <c r="A150" s="2632"/>
      <c r="B150" s="2632"/>
      <c r="C150" s="3794">
        <v>1</v>
      </c>
      <c r="D150" s="2446" t="s">
        <v>66</v>
      </c>
      <c r="E150" s="2446" t="s">
        <v>65</v>
      </c>
      <c r="F150" s="3794">
        <v>19</v>
      </c>
      <c r="G150" s="2446" t="s">
        <v>93</v>
      </c>
      <c r="H150" s="2446"/>
      <c r="I150" s="3168" t="s">
        <v>2309</v>
      </c>
      <c r="J150" s="2516" t="s">
        <v>2310</v>
      </c>
      <c r="K150" s="2290">
        <v>1</v>
      </c>
      <c r="L150" s="2292">
        <v>4775000000</v>
      </c>
      <c r="M150" s="2378">
        <f t="shared" si="43"/>
        <v>0.33333333333333331</v>
      </c>
      <c r="N150" s="2292">
        <v>96041393</v>
      </c>
      <c r="O150" s="2310">
        <v>0.17</v>
      </c>
      <c r="P150" s="2292">
        <v>132841817</v>
      </c>
      <c r="Q150" s="2311">
        <v>5.0000000000000001E-3</v>
      </c>
      <c r="R150" s="2304">
        <v>0</v>
      </c>
      <c r="S150" s="2875">
        <v>0.02</v>
      </c>
      <c r="T150" s="2304">
        <f>12442000-R150</f>
        <v>12442000</v>
      </c>
      <c r="U150" s="3266">
        <v>5.0000000000000001E-3</v>
      </c>
      <c r="V150" s="2304">
        <v>22532400</v>
      </c>
      <c r="W150" s="2632">
        <v>0</v>
      </c>
      <c r="X150" s="2304">
        <v>0</v>
      </c>
      <c r="Y150" s="2311">
        <f t="shared" si="36"/>
        <v>3.0000000000000002E-2</v>
      </c>
      <c r="Z150" s="2304">
        <f t="shared" si="37"/>
        <v>34974400</v>
      </c>
      <c r="AA150" s="2308">
        <f t="shared" ref="AA150:AB154" si="45">Y150+M150</f>
        <v>0.36333333333333334</v>
      </c>
      <c r="AB150" s="2304">
        <f t="shared" si="45"/>
        <v>131015793</v>
      </c>
      <c r="AC150" s="2308">
        <f t="shared" si="39"/>
        <v>0.36333333333333334</v>
      </c>
      <c r="AD150" s="2311">
        <f t="shared" si="40"/>
        <v>2.7437862408376965E-2</v>
      </c>
      <c r="AE150" s="3160"/>
      <c r="AF150" s="2318"/>
      <c r="AG150" s="2318"/>
      <c r="AH150" s="2318"/>
      <c r="AI150" s="2318"/>
      <c r="AJ150" s="2318"/>
      <c r="AK150" s="2318"/>
      <c r="AL150" s="2318"/>
      <c r="AM150" s="2318"/>
      <c r="AN150" s="2318"/>
      <c r="AO150" s="2318"/>
      <c r="AP150" s="2318"/>
      <c r="AQ150" s="2318"/>
      <c r="AR150" s="2318"/>
      <c r="AS150" s="2318"/>
      <c r="AT150" s="2318"/>
      <c r="AU150" s="2318"/>
      <c r="AV150" s="2318"/>
      <c r="AW150" s="2318"/>
      <c r="AX150" s="2318"/>
      <c r="AY150" s="2318"/>
      <c r="AZ150" s="2318"/>
      <c r="BA150" s="2318"/>
      <c r="BB150" s="2318"/>
      <c r="BC150" s="2318"/>
      <c r="BD150" s="2318"/>
      <c r="BE150" s="2318"/>
      <c r="BF150" s="2318"/>
      <c r="BG150" s="2318"/>
      <c r="BH150" s="2318"/>
      <c r="BI150" s="2318"/>
      <c r="BJ150" s="2318"/>
      <c r="BK150" s="2318"/>
      <c r="BL150" s="2318"/>
      <c r="BM150" s="2318"/>
      <c r="BN150" s="2318"/>
      <c r="BO150" s="2318"/>
      <c r="BP150" s="2318"/>
      <c r="BQ150" s="2318"/>
      <c r="BR150" s="2318"/>
      <c r="BS150" s="2318"/>
      <c r="BT150" s="2318"/>
      <c r="BU150" s="2318"/>
      <c r="BV150" s="2318"/>
      <c r="BW150" s="2318"/>
      <c r="BX150" s="2318"/>
    </row>
    <row r="151" spans="1:76" s="2271" customFormat="1" ht="51" customHeight="1">
      <c r="A151" s="3162">
        <v>7</v>
      </c>
      <c r="B151" s="2335" t="s">
        <v>2311</v>
      </c>
      <c r="C151" s="2874">
        <v>1</v>
      </c>
      <c r="D151" s="2447" t="s">
        <v>66</v>
      </c>
      <c r="E151" s="2447" t="s">
        <v>65</v>
      </c>
      <c r="F151" s="2447" t="s">
        <v>376</v>
      </c>
      <c r="G151" s="2874"/>
      <c r="H151" s="2874"/>
      <c r="I151" s="2359" t="s">
        <v>2312</v>
      </c>
      <c r="J151" s="2350" t="s">
        <v>2313</v>
      </c>
      <c r="K151" s="2336">
        <v>1</v>
      </c>
      <c r="L151" s="2521">
        <v>2207259000</v>
      </c>
      <c r="M151" s="2362">
        <f t="shared" si="43"/>
        <v>0.33333333333333331</v>
      </c>
      <c r="N151" s="2361">
        <v>292015450</v>
      </c>
      <c r="O151" s="2365">
        <v>0.17</v>
      </c>
      <c r="P151" s="3161">
        <f>SUM(P152:P154)</f>
        <v>724814214</v>
      </c>
      <c r="Q151" s="2366">
        <f>SUM(Q152:Q154)/3</f>
        <v>3.5999999999999997E-2</v>
      </c>
      <c r="R151" s="3161">
        <f>SUM(R152:R154)</f>
        <v>67155000</v>
      </c>
      <c r="S151" s="2366">
        <f>SUM(S152:S154)/3</f>
        <v>3.9E-2</v>
      </c>
      <c r="T151" s="2361">
        <f>SUM(T152:T154)</f>
        <v>301879620</v>
      </c>
      <c r="U151" s="3265">
        <v>3.9E-2</v>
      </c>
      <c r="V151" s="2342">
        <f>SUM(V152:V154)</f>
        <v>56280700</v>
      </c>
      <c r="W151" s="2335">
        <v>0</v>
      </c>
      <c r="X151" s="2342">
        <f>SUM(X152:X154)</f>
        <v>0</v>
      </c>
      <c r="Y151" s="2410">
        <f t="shared" si="36"/>
        <v>0.11399999999999999</v>
      </c>
      <c r="Z151" s="2342">
        <f t="shared" si="37"/>
        <v>425315320</v>
      </c>
      <c r="AA151" s="2362">
        <f t="shared" si="45"/>
        <v>0.44733333333333331</v>
      </c>
      <c r="AB151" s="2342">
        <f t="shared" si="45"/>
        <v>717330770</v>
      </c>
      <c r="AC151" s="2362">
        <f t="shared" si="39"/>
        <v>0.44733333333333331</v>
      </c>
      <c r="AD151" s="2410">
        <f t="shared" si="40"/>
        <v>0.32498713109789107</v>
      </c>
      <c r="AE151" s="3138" t="s">
        <v>2272</v>
      </c>
      <c r="AF151" s="2620"/>
      <c r="AG151" s="2620"/>
      <c r="AH151" s="2620"/>
      <c r="AI151" s="2620"/>
      <c r="AJ151" s="2620"/>
      <c r="AK151" s="2620"/>
      <c r="AL151" s="2620"/>
      <c r="AM151" s="2620"/>
      <c r="AN151" s="2620"/>
      <c r="AO151" s="2620"/>
      <c r="AP151" s="2620"/>
      <c r="AQ151" s="2620"/>
      <c r="AR151" s="2620"/>
      <c r="AS151" s="2620"/>
      <c r="AT151" s="2620"/>
      <c r="AU151" s="2620"/>
      <c r="AV151" s="2620"/>
      <c r="AW151" s="2620"/>
      <c r="AX151" s="2620"/>
      <c r="AY151" s="2620"/>
      <c r="AZ151" s="2620"/>
      <c r="BA151" s="2620"/>
      <c r="BB151" s="2620"/>
      <c r="BC151" s="2620"/>
      <c r="BD151" s="2620"/>
      <c r="BE151" s="2620"/>
      <c r="BF151" s="2620"/>
      <c r="BG151" s="2620"/>
      <c r="BH151" s="2620"/>
      <c r="BI151" s="2620"/>
      <c r="BJ151" s="2620"/>
      <c r="BK151" s="2620"/>
      <c r="BL151" s="2620"/>
      <c r="BM151" s="2620"/>
      <c r="BN151" s="2620"/>
      <c r="BO151" s="2620"/>
      <c r="BP151" s="2620"/>
      <c r="BQ151" s="2620"/>
      <c r="BR151" s="2620"/>
      <c r="BS151" s="2620"/>
      <c r="BT151" s="2620"/>
      <c r="BU151" s="2620"/>
      <c r="BV151" s="2620"/>
      <c r="BW151" s="2620"/>
      <c r="BX151" s="2620"/>
    </row>
    <row r="152" spans="1:76" s="2608" customFormat="1" ht="72" customHeight="1">
      <c r="A152" s="2349"/>
      <c r="B152" s="2632"/>
      <c r="C152" s="3794">
        <v>1</v>
      </c>
      <c r="D152" s="2446" t="s">
        <v>66</v>
      </c>
      <c r="E152" s="2446" t="s">
        <v>65</v>
      </c>
      <c r="F152" s="2446" t="s">
        <v>376</v>
      </c>
      <c r="G152" s="2446" t="s">
        <v>65</v>
      </c>
      <c r="H152" s="2446"/>
      <c r="I152" s="3168" t="s">
        <v>2315</v>
      </c>
      <c r="J152" s="2516" t="s">
        <v>2316</v>
      </c>
      <c r="K152" s="2290">
        <v>1</v>
      </c>
      <c r="L152" s="2292">
        <v>756100000</v>
      </c>
      <c r="M152" s="2378">
        <f t="shared" si="43"/>
        <v>0.33333333333333331</v>
      </c>
      <c r="N152" s="2292">
        <v>115425000</v>
      </c>
      <c r="O152" s="2290">
        <v>0.17</v>
      </c>
      <c r="P152" s="2292">
        <v>431052365</v>
      </c>
      <c r="Q152" s="2311">
        <v>0.04</v>
      </c>
      <c r="R152" s="2304">
        <v>4215000</v>
      </c>
      <c r="S152" s="2875">
        <v>4.4999999999999998E-2</v>
      </c>
      <c r="T152" s="2304">
        <f>247921320-R152</f>
        <v>243706320</v>
      </c>
      <c r="U152" s="3266">
        <v>4.5000000000000005E-2</v>
      </c>
      <c r="V152" s="2304">
        <v>14662000</v>
      </c>
      <c r="W152" s="2632">
        <v>0</v>
      </c>
      <c r="X152" s="2304">
        <v>0</v>
      </c>
      <c r="Y152" s="2311">
        <f t="shared" si="36"/>
        <v>0.13</v>
      </c>
      <c r="Z152" s="2304">
        <f>SUM(R152+T152)</f>
        <v>247921320</v>
      </c>
      <c r="AA152" s="2308">
        <f t="shared" si="45"/>
        <v>0.46333333333333332</v>
      </c>
      <c r="AB152" s="2304">
        <f t="shared" si="45"/>
        <v>363346320</v>
      </c>
      <c r="AC152" s="2308">
        <f t="shared" si="39"/>
        <v>0.46333333333333332</v>
      </c>
      <c r="AD152" s="2311">
        <f t="shared" si="40"/>
        <v>0.48055326015077371</v>
      </c>
      <c r="AE152" s="3160"/>
      <c r="AF152" s="2318"/>
      <c r="AG152" s="2318"/>
      <c r="AH152" s="2318"/>
      <c r="AI152" s="2318"/>
      <c r="AJ152" s="2318"/>
      <c r="AK152" s="2318"/>
      <c r="AL152" s="2318"/>
      <c r="AM152" s="2318"/>
      <c r="AN152" s="2318"/>
      <c r="AO152" s="2318"/>
      <c r="AP152" s="2318"/>
      <c r="AQ152" s="2318"/>
      <c r="AR152" s="2318"/>
      <c r="AS152" s="2318"/>
      <c r="AT152" s="2318"/>
      <c r="AU152" s="2318"/>
      <c r="AV152" s="2318"/>
      <c r="AW152" s="2318"/>
      <c r="AX152" s="2318"/>
      <c r="AY152" s="2318"/>
      <c r="AZ152" s="2318"/>
      <c r="BA152" s="2318"/>
      <c r="BB152" s="2318"/>
      <c r="BC152" s="2318"/>
      <c r="BD152" s="2318"/>
      <c r="BE152" s="2318"/>
      <c r="BF152" s="2318"/>
      <c r="BG152" s="2318"/>
      <c r="BH152" s="2318"/>
      <c r="BI152" s="2318"/>
      <c r="BJ152" s="2318"/>
      <c r="BK152" s="2318"/>
      <c r="BL152" s="2318"/>
      <c r="BM152" s="2318"/>
      <c r="BN152" s="2318"/>
      <c r="BO152" s="2318"/>
      <c r="BP152" s="2318"/>
      <c r="BQ152" s="2318"/>
      <c r="BR152" s="2318"/>
      <c r="BS152" s="2318"/>
      <c r="BT152" s="2318"/>
      <c r="BU152" s="2318"/>
      <c r="BV152" s="2318"/>
      <c r="BW152" s="2318"/>
      <c r="BX152" s="2318"/>
    </row>
    <row r="153" spans="1:76" s="2608" customFormat="1" ht="36" customHeight="1">
      <c r="A153" s="2349"/>
      <c r="B153" s="2632"/>
      <c r="C153" s="3794">
        <v>1</v>
      </c>
      <c r="D153" s="2446" t="s">
        <v>66</v>
      </c>
      <c r="E153" s="2446" t="s">
        <v>65</v>
      </c>
      <c r="F153" s="2446" t="s">
        <v>376</v>
      </c>
      <c r="G153" s="2446" t="s">
        <v>93</v>
      </c>
      <c r="H153" s="2446"/>
      <c r="I153" s="3168" t="s">
        <v>2317</v>
      </c>
      <c r="J153" s="2516" t="s">
        <v>2318</v>
      </c>
      <c r="K153" s="2290">
        <v>0.9</v>
      </c>
      <c r="L153" s="2520">
        <v>724452000</v>
      </c>
      <c r="M153" s="2378">
        <f t="shared" si="43"/>
        <v>0.3</v>
      </c>
      <c r="N153" s="2292">
        <v>71383750</v>
      </c>
      <c r="O153" s="2290">
        <v>0.15</v>
      </c>
      <c r="P153" s="2292">
        <v>182403327</v>
      </c>
      <c r="Q153" s="2407">
        <v>0.05</v>
      </c>
      <c r="R153" s="2304">
        <v>60440000</v>
      </c>
      <c r="S153" s="2875">
        <v>4.4999999999999998E-2</v>
      </c>
      <c r="T153" s="2304">
        <f>100916700-R153</f>
        <v>40476700</v>
      </c>
      <c r="U153" s="3266">
        <v>3.5000000000000003E-2</v>
      </c>
      <c r="V153" s="2304">
        <v>26059100</v>
      </c>
      <c r="W153" s="2632">
        <v>0</v>
      </c>
      <c r="X153" s="2304">
        <v>0</v>
      </c>
      <c r="Y153" s="2311">
        <f t="shared" si="36"/>
        <v>0.13</v>
      </c>
      <c r="Z153" s="2304">
        <f t="shared" si="37"/>
        <v>126975800</v>
      </c>
      <c r="AA153" s="2308">
        <f t="shared" si="45"/>
        <v>0.43</v>
      </c>
      <c r="AB153" s="2304">
        <f t="shared" si="45"/>
        <v>198359550</v>
      </c>
      <c r="AC153" s="2308">
        <f t="shared" si="39"/>
        <v>0.47777777777777775</v>
      </c>
      <c r="AD153" s="2311">
        <f t="shared" si="40"/>
        <v>0.27380633913634028</v>
      </c>
      <c r="AE153" s="3160"/>
      <c r="AF153" s="2318"/>
      <c r="AG153" s="2318"/>
      <c r="AH153" s="2318"/>
      <c r="AI153" s="2318"/>
      <c r="AJ153" s="2318"/>
      <c r="AK153" s="2318"/>
      <c r="AL153" s="2318"/>
      <c r="AM153" s="2318"/>
      <c r="AN153" s="2318"/>
      <c r="AO153" s="2318"/>
      <c r="AP153" s="2318"/>
      <c r="AQ153" s="2318"/>
      <c r="AR153" s="2318"/>
      <c r="AS153" s="2318"/>
      <c r="AT153" s="2318"/>
      <c r="AU153" s="2318"/>
      <c r="AV153" s="2318"/>
      <c r="AW153" s="2318"/>
      <c r="AX153" s="2318"/>
      <c r="AY153" s="2318"/>
      <c r="AZ153" s="2318"/>
      <c r="BA153" s="2318"/>
      <c r="BB153" s="2318"/>
      <c r="BC153" s="2318"/>
      <c r="BD153" s="2318"/>
      <c r="BE153" s="2318"/>
      <c r="BF153" s="2318"/>
      <c r="BG153" s="2318"/>
      <c r="BH153" s="2318"/>
      <c r="BI153" s="2318"/>
      <c r="BJ153" s="2318"/>
      <c r="BK153" s="2318"/>
      <c r="BL153" s="2318"/>
      <c r="BM153" s="2318"/>
      <c r="BN153" s="2318"/>
      <c r="BO153" s="2318"/>
      <c r="BP153" s="2318"/>
      <c r="BQ153" s="2318"/>
      <c r="BR153" s="2318"/>
      <c r="BS153" s="2318"/>
      <c r="BT153" s="2318"/>
      <c r="BU153" s="2318"/>
      <c r="BV153" s="2318"/>
      <c r="BW153" s="2318"/>
      <c r="BX153" s="2318"/>
    </row>
    <row r="154" spans="1:76" s="2608" customFormat="1" ht="38.25">
      <c r="A154" s="2349"/>
      <c r="B154" s="2632"/>
      <c r="C154" s="3794">
        <v>1</v>
      </c>
      <c r="D154" s="2446" t="s">
        <v>66</v>
      </c>
      <c r="E154" s="2446" t="s">
        <v>65</v>
      </c>
      <c r="F154" s="2446" t="s">
        <v>376</v>
      </c>
      <c r="G154" s="2446" t="s">
        <v>201</v>
      </c>
      <c r="H154" s="2446"/>
      <c r="I154" s="3168" t="s">
        <v>2319</v>
      </c>
      <c r="J154" s="2516" t="s">
        <v>2320</v>
      </c>
      <c r="K154" s="2290">
        <v>0.95</v>
      </c>
      <c r="L154" s="2292">
        <v>726707000</v>
      </c>
      <c r="M154" s="2378">
        <f t="shared" si="43"/>
        <v>0.31666666666666665</v>
      </c>
      <c r="N154" s="2292">
        <v>105206700</v>
      </c>
      <c r="O154" s="2404">
        <v>0.158</v>
      </c>
      <c r="P154" s="2292">
        <v>111358522</v>
      </c>
      <c r="Q154" s="2407">
        <v>1.7999999999999999E-2</v>
      </c>
      <c r="R154" s="2304">
        <v>2500000</v>
      </c>
      <c r="S154" s="2875">
        <v>2.7E-2</v>
      </c>
      <c r="T154" s="2304">
        <f>20196600-R154</f>
        <v>17696600</v>
      </c>
      <c r="U154" s="3266">
        <v>8.5000000000000006E-2</v>
      </c>
      <c r="V154" s="2304">
        <v>15559600</v>
      </c>
      <c r="W154" s="2632">
        <v>0</v>
      </c>
      <c r="X154" s="2304">
        <v>0</v>
      </c>
      <c r="Y154" s="2311">
        <f t="shared" si="36"/>
        <v>0.13</v>
      </c>
      <c r="Z154" s="2304">
        <f t="shared" si="37"/>
        <v>35756200</v>
      </c>
      <c r="AA154" s="2308">
        <f t="shared" si="45"/>
        <v>0.44666666666666666</v>
      </c>
      <c r="AB154" s="2304">
        <f t="shared" si="45"/>
        <v>140962900</v>
      </c>
      <c r="AC154" s="2308">
        <f t="shared" si="39"/>
        <v>0.47017543859649125</v>
      </c>
      <c r="AD154" s="2311">
        <f t="shared" si="40"/>
        <v>0.19397487570644015</v>
      </c>
      <c r="AE154" s="3160"/>
      <c r="AF154" s="2318"/>
      <c r="AG154" s="2318"/>
      <c r="AH154" s="2318"/>
      <c r="AI154" s="2318"/>
      <c r="AJ154" s="2318"/>
      <c r="AK154" s="2318"/>
      <c r="AL154" s="2318"/>
      <c r="AM154" s="2318"/>
      <c r="AN154" s="2318"/>
      <c r="AO154" s="2318"/>
      <c r="AP154" s="2318"/>
      <c r="AQ154" s="2318"/>
      <c r="AR154" s="2318"/>
      <c r="AS154" s="2318"/>
      <c r="AT154" s="2318"/>
      <c r="AU154" s="2318"/>
      <c r="AV154" s="2318"/>
      <c r="AW154" s="2318"/>
      <c r="AX154" s="2318"/>
      <c r="AY154" s="2318"/>
      <c r="AZ154" s="2318"/>
      <c r="BA154" s="2318"/>
      <c r="BB154" s="2318"/>
      <c r="BC154" s="2318"/>
      <c r="BD154" s="2318"/>
      <c r="BE154" s="2318"/>
      <c r="BF154" s="2318"/>
      <c r="BG154" s="2318"/>
      <c r="BH154" s="2318"/>
      <c r="BI154" s="2318"/>
      <c r="BJ154" s="2318"/>
      <c r="BK154" s="2318"/>
      <c r="BL154" s="2318"/>
      <c r="BM154" s="2318"/>
      <c r="BN154" s="2318"/>
      <c r="BO154" s="2318"/>
      <c r="BP154" s="2318"/>
      <c r="BQ154" s="2318"/>
      <c r="BR154" s="2318"/>
      <c r="BS154" s="2318"/>
      <c r="BT154" s="2318"/>
      <c r="BU154" s="2318"/>
      <c r="BV154" s="2318"/>
      <c r="BW154" s="2318"/>
      <c r="BX154" s="2318"/>
    </row>
    <row r="155" spans="1:76" s="2271" customFormat="1" ht="48" customHeight="1">
      <c r="A155" s="3162">
        <v>8</v>
      </c>
      <c r="B155" s="2335" t="s">
        <v>2299</v>
      </c>
      <c r="C155" s="2874">
        <v>1</v>
      </c>
      <c r="D155" s="2447" t="s">
        <v>66</v>
      </c>
      <c r="E155" s="2447" t="s">
        <v>65</v>
      </c>
      <c r="F155" s="2447" t="s">
        <v>67</v>
      </c>
      <c r="G155" s="2874"/>
      <c r="H155" s="2874"/>
      <c r="I155" s="2359" t="s">
        <v>2321</v>
      </c>
      <c r="J155" s="2350" t="s">
        <v>3950</v>
      </c>
      <c r="K155" s="2336">
        <v>1</v>
      </c>
      <c r="L155" s="2357">
        <v>7067548100</v>
      </c>
      <c r="M155" s="2362">
        <f t="shared" si="43"/>
        <v>0.33333333333333331</v>
      </c>
      <c r="N155" s="2361">
        <v>761992008</v>
      </c>
      <c r="O155" s="2336">
        <f>M155/2</f>
        <v>0.16666666666666666</v>
      </c>
      <c r="P155" s="3161">
        <f>SUM(P156:P162)</f>
        <v>968668679</v>
      </c>
      <c r="Q155" s="2410">
        <f>SUM(Q156:Q162)/7</f>
        <v>3.6285714285714289E-2</v>
      </c>
      <c r="R155" s="2342">
        <f>SUM(R156:R162)</f>
        <v>19261125</v>
      </c>
      <c r="S155" s="2876">
        <f>SUM(S156:S162)/7</f>
        <v>3.1285714285714285E-2</v>
      </c>
      <c r="T155" s="2342">
        <f>SUM(T156:T162)</f>
        <v>134133088</v>
      </c>
      <c r="U155" s="2876">
        <f>SUM(U156:U162)/7</f>
        <v>5.5285714285714292E-2</v>
      </c>
      <c r="V155" s="2342">
        <f>SUM(V156:V160)</f>
        <v>169811905</v>
      </c>
      <c r="W155" s="2335">
        <v>0</v>
      </c>
      <c r="X155" s="2342">
        <f>SUM(X156:X160)</f>
        <v>0</v>
      </c>
      <c r="Y155" s="2410">
        <f t="shared" si="36"/>
        <v>0.12285714285714286</v>
      </c>
      <c r="Z155" s="2342">
        <f t="shared" si="37"/>
        <v>323206118</v>
      </c>
      <c r="AA155" s="2362">
        <f>Y155+M155</f>
        <v>0.45619047619047615</v>
      </c>
      <c r="AB155" s="2342">
        <f t="shared" ref="AB155:AB162" si="46">Z155+N155</f>
        <v>1085198126</v>
      </c>
      <c r="AC155" s="2362">
        <f t="shared" si="39"/>
        <v>0.45619047619047615</v>
      </c>
      <c r="AD155" s="2410">
        <f t="shared" si="40"/>
        <v>0.15354662050336806</v>
      </c>
      <c r="AE155" s="3138" t="s">
        <v>2272</v>
      </c>
      <c r="AF155" s="2620"/>
      <c r="AG155" s="2620"/>
      <c r="AH155" s="2620"/>
      <c r="AI155" s="2620"/>
      <c r="AJ155" s="2620"/>
      <c r="AK155" s="2620"/>
      <c r="AL155" s="2620"/>
      <c r="AM155" s="2620"/>
      <c r="AN155" s="2620"/>
      <c r="AO155" s="2620"/>
      <c r="AP155" s="2620"/>
      <c r="AQ155" s="2620"/>
      <c r="AR155" s="2620"/>
      <c r="AS155" s="2620"/>
      <c r="AT155" s="2620"/>
      <c r="AU155" s="2620"/>
      <c r="AV155" s="2620"/>
      <c r="AW155" s="2620"/>
      <c r="AX155" s="2620"/>
      <c r="AY155" s="2620"/>
      <c r="AZ155" s="2620"/>
      <c r="BA155" s="2620"/>
      <c r="BB155" s="2620"/>
      <c r="BC155" s="2620"/>
      <c r="BD155" s="2620"/>
      <c r="BE155" s="2620"/>
      <c r="BF155" s="2620"/>
      <c r="BG155" s="2620"/>
      <c r="BH155" s="2620"/>
      <c r="BI155" s="2620"/>
      <c r="BJ155" s="2620"/>
      <c r="BK155" s="2620"/>
      <c r="BL155" s="2620"/>
      <c r="BM155" s="2620"/>
      <c r="BN155" s="2620"/>
      <c r="BO155" s="2620"/>
      <c r="BP155" s="2620"/>
      <c r="BQ155" s="2620"/>
      <c r="BR155" s="2620"/>
      <c r="BS155" s="2620"/>
      <c r="BT155" s="2620"/>
      <c r="BU155" s="2620"/>
      <c r="BV155" s="2620"/>
      <c r="BW155" s="2620"/>
      <c r="BX155" s="2620"/>
    </row>
    <row r="156" spans="1:76" s="2608" customFormat="1" ht="51.75" customHeight="1">
      <c r="A156" s="2632"/>
      <c r="B156" s="2632"/>
      <c r="C156" s="3794">
        <v>1</v>
      </c>
      <c r="D156" s="2446" t="s">
        <v>66</v>
      </c>
      <c r="E156" s="2446" t="s">
        <v>65</v>
      </c>
      <c r="F156" s="2446" t="s">
        <v>67</v>
      </c>
      <c r="G156" s="2446" t="s">
        <v>66</v>
      </c>
      <c r="H156" s="2446"/>
      <c r="I156" s="3168" t="s">
        <v>2324</v>
      </c>
      <c r="J156" s="2516" t="s">
        <v>2325</v>
      </c>
      <c r="K156" s="2290">
        <v>0.97</v>
      </c>
      <c r="L156" s="2520">
        <v>2098352500</v>
      </c>
      <c r="M156" s="2378">
        <f t="shared" si="43"/>
        <v>0.32333333333333331</v>
      </c>
      <c r="N156" s="2292">
        <v>422605586</v>
      </c>
      <c r="O156" s="2313">
        <f t="shared" ref="O156:O170" si="47">M156/2</f>
        <v>0.16166666666666665</v>
      </c>
      <c r="P156" s="2292">
        <v>459436316</v>
      </c>
      <c r="Q156" s="2311">
        <v>4.1000000000000002E-2</v>
      </c>
      <c r="R156" s="2304">
        <v>4702000</v>
      </c>
      <c r="S156" s="2875">
        <v>1.2E-2</v>
      </c>
      <c r="T156" s="2304">
        <f>12665000-R156</f>
        <v>7963000</v>
      </c>
      <c r="U156" s="3266">
        <v>8.6999999999999994E-2</v>
      </c>
      <c r="V156" s="2304">
        <v>90598700</v>
      </c>
      <c r="W156" s="2632">
        <v>0</v>
      </c>
      <c r="X156" s="2304">
        <v>0</v>
      </c>
      <c r="Y156" s="2311">
        <f t="shared" si="36"/>
        <v>0.14000000000000001</v>
      </c>
      <c r="Z156" s="2304">
        <f t="shared" si="37"/>
        <v>103263700</v>
      </c>
      <c r="AA156" s="2308">
        <f t="shared" ref="AA156:AB202" si="48">Y156+M156</f>
        <v>0.46333333333333332</v>
      </c>
      <c r="AB156" s="2304">
        <f t="shared" si="46"/>
        <v>525869286</v>
      </c>
      <c r="AC156" s="2308">
        <f t="shared" si="39"/>
        <v>0.47766323024054985</v>
      </c>
      <c r="AD156" s="2311">
        <f t="shared" si="40"/>
        <v>0.25061055566212065</v>
      </c>
      <c r="AE156" s="3160"/>
      <c r="AF156" s="2318"/>
      <c r="AG156" s="2318"/>
      <c r="AH156" s="2318"/>
      <c r="AI156" s="2318"/>
      <c r="AJ156" s="2318"/>
      <c r="AK156" s="2318"/>
      <c r="AL156" s="2318"/>
      <c r="AM156" s="2318"/>
      <c r="AN156" s="2318"/>
      <c r="AO156" s="2318"/>
      <c r="AP156" s="2318"/>
      <c r="AQ156" s="2318"/>
      <c r="AR156" s="2318"/>
      <c r="AS156" s="2318"/>
      <c r="AT156" s="2318"/>
      <c r="AU156" s="2318"/>
      <c r="AV156" s="2318"/>
      <c r="AW156" s="2318"/>
      <c r="AX156" s="2318"/>
      <c r="AY156" s="2318"/>
      <c r="AZ156" s="2318"/>
      <c r="BA156" s="2318"/>
      <c r="BB156" s="2318"/>
      <c r="BC156" s="2318"/>
      <c r="BD156" s="2318"/>
      <c r="BE156" s="2318"/>
      <c r="BF156" s="2318"/>
      <c r="BG156" s="2318"/>
      <c r="BH156" s="2318"/>
      <c r="BI156" s="2318"/>
      <c r="BJ156" s="2318"/>
      <c r="BK156" s="2318"/>
      <c r="BL156" s="2318"/>
      <c r="BM156" s="2318"/>
      <c r="BN156" s="2318"/>
      <c r="BO156" s="2318"/>
      <c r="BP156" s="2318"/>
      <c r="BQ156" s="2318"/>
      <c r="BR156" s="2318"/>
      <c r="BS156" s="2318"/>
      <c r="BT156" s="2318"/>
      <c r="BU156" s="2318"/>
      <c r="BV156" s="2318"/>
      <c r="BW156" s="2318"/>
      <c r="BX156" s="2318"/>
    </row>
    <row r="157" spans="1:76" s="2608" customFormat="1" ht="48" customHeight="1">
      <c r="A157" s="2632"/>
      <c r="B157" s="2632"/>
      <c r="C157" s="3794">
        <v>1</v>
      </c>
      <c r="D157" s="2446" t="s">
        <v>66</v>
      </c>
      <c r="E157" s="2446" t="s">
        <v>65</v>
      </c>
      <c r="F157" s="2446" t="s">
        <v>67</v>
      </c>
      <c r="G157" s="2446" t="s">
        <v>93</v>
      </c>
      <c r="H157" s="2446"/>
      <c r="I157" s="3168" t="s">
        <v>2326</v>
      </c>
      <c r="J157" s="2516" t="s">
        <v>2327</v>
      </c>
      <c r="K157" s="2290">
        <v>0.85</v>
      </c>
      <c r="L157" s="2292">
        <v>504948000</v>
      </c>
      <c r="M157" s="2378">
        <f t="shared" si="43"/>
        <v>0.28333333333333333</v>
      </c>
      <c r="N157" s="2292">
        <v>36850060</v>
      </c>
      <c r="O157" s="2313">
        <f t="shared" si="47"/>
        <v>0.14166666666666666</v>
      </c>
      <c r="P157" s="2292">
        <v>43019960</v>
      </c>
      <c r="Q157" s="2311">
        <v>4.2000000000000003E-2</v>
      </c>
      <c r="R157" s="2304">
        <v>3018000</v>
      </c>
      <c r="S157" s="2875">
        <v>8.9999999999999993E-3</v>
      </c>
      <c r="T157" s="2304">
        <f>4740500-R157</f>
        <v>1722500</v>
      </c>
      <c r="U157" s="3266">
        <v>4.9000000000000009E-2</v>
      </c>
      <c r="V157" s="2304">
        <v>9221000</v>
      </c>
      <c r="W157" s="2632">
        <v>0</v>
      </c>
      <c r="X157" s="2304">
        <v>0</v>
      </c>
      <c r="Y157" s="2311">
        <f t="shared" si="36"/>
        <v>0.1</v>
      </c>
      <c r="Z157" s="2304">
        <f t="shared" si="37"/>
        <v>13961500</v>
      </c>
      <c r="AA157" s="2308">
        <f t="shared" si="48"/>
        <v>0.3833333333333333</v>
      </c>
      <c r="AB157" s="2304">
        <f t="shared" si="46"/>
        <v>50811560</v>
      </c>
      <c r="AC157" s="2308">
        <f t="shared" si="39"/>
        <v>0.4509803921568627</v>
      </c>
      <c r="AD157" s="2311">
        <f t="shared" si="40"/>
        <v>0.10062731211926773</v>
      </c>
      <c r="AE157" s="3160"/>
      <c r="AF157" s="2318"/>
      <c r="AG157" s="2318"/>
      <c r="AH157" s="2318"/>
      <c r="AI157" s="2318"/>
      <c r="AJ157" s="2318"/>
      <c r="AK157" s="2318"/>
      <c r="AL157" s="2318"/>
      <c r="AM157" s="2318"/>
      <c r="AN157" s="2318"/>
      <c r="AO157" s="2318"/>
      <c r="AP157" s="2318"/>
      <c r="AQ157" s="2318"/>
      <c r="AR157" s="2318"/>
      <c r="AS157" s="2318"/>
      <c r="AT157" s="2318"/>
      <c r="AU157" s="2318"/>
      <c r="AV157" s="2318"/>
      <c r="AW157" s="2318"/>
      <c r="AX157" s="2318"/>
      <c r="AY157" s="2318"/>
      <c r="AZ157" s="2318"/>
      <c r="BA157" s="2318"/>
      <c r="BB157" s="2318"/>
      <c r="BC157" s="2318"/>
      <c r="BD157" s="2318"/>
      <c r="BE157" s="2318"/>
      <c r="BF157" s="2318"/>
      <c r="BG157" s="2318"/>
      <c r="BH157" s="2318"/>
      <c r="BI157" s="2318"/>
      <c r="BJ157" s="2318"/>
      <c r="BK157" s="2318"/>
      <c r="BL157" s="2318"/>
      <c r="BM157" s="2318"/>
      <c r="BN157" s="2318"/>
      <c r="BO157" s="2318"/>
      <c r="BP157" s="2318"/>
      <c r="BQ157" s="2318"/>
      <c r="BR157" s="2318"/>
      <c r="BS157" s="2318"/>
      <c r="BT157" s="2318"/>
      <c r="BU157" s="2318"/>
      <c r="BV157" s="2318"/>
      <c r="BW157" s="2318"/>
      <c r="BX157" s="2318"/>
    </row>
    <row r="158" spans="1:76" s="2608" customFormat="1" ht="38.25">
      <c r="A158" s="2632"/>
      <c r="B158" s="2632"/>
      <c r="C158" s="3794">
        <v>1</v>
      </c>
      <c r="D158" s="2446" t="s">
        <v>66</v>
      </c>
      <c r="E158" s="2446" t="s">
        <v>65</v>
      </c>
      <c r="F158" s="2446" t="s">
        <v>67</v>
      </c>
      <c r="G158" s="2446" t="s">
        <v>201</v>
      </c>
      <c r="H158" s="2446"/>
      <c r="I158" s="3168" t="s">
        <v>2328</v>
      </c>
      <c r="J158" s="1781" t="s">
        <v>2329</v>
      </c>
      <c r="K158" s="2290">
        <v>1</v>
      </c>
      <c r="L158" s="2520">
        <v>448869500</v>
      </c>
      <c r="M158" s="2378">
        <f t="shared" si="43"/>
        <v>0.33333333333333331</v>
      </c>
      <c r="N158" s="2292">
        <v>22881700</v>
      </c>
      <c r="O158" s="2313">
        <f t="shared" si="47"/>
        <v>0.16666666666666666</v>
      </c>
      <c r="P158" s="2292">
        <v>28353434</v>
      </c>
      <c r="Q158" s="2311">
        <v>3.4000000000000002E-2</v>
      </c>
      <c r="R158" s="2304">
        <v>1524000</v>
      </c>
      <c r="S158" s="2875">
        <v>5.0999999999999997E-2</v>
      </c>
      <c r="T158" s="2304">
        <f>12754000-R158</f>
        <v>11230000</v>
      </c>
      <c r="U158" s="3266">
        <v>4.5000000000000012E-2</v>
      </c>
      <c r="V158" s="2304">
        <v>2096000</v>
      </c>
      <c r="W158" s="2632">
        <v>0</v>
      </c>
      <c r="X158" s="2304">
        <v>0</v>
      </c>
      <c r="Y158" s="2311">
        <f t="shared" si="36"/>
        <v>0.13</v>
      </c>
      <c r="Z158" s="2304">
        <f t="shared" si="37"/>
        <v>14850000</v>
      </c>
      <c r="AA158" s="2308">
        <f t="shared" si="48"/>
        <v>0.46333333333333332</v>
      </c>
      <c r="AB158" s="2304">
        <f t="shared" si="46"/>
        <v>37731700</v>
      </c>
      <c r="AC158" s="2308">
        <f t="shared" si="39"/>
        <v>0.46333333333333332</v>
      </c>
      <c r="AD158" s="2311">
        <f t="shared" si="40"/>
        <v>8.405939811014114E-2</v>
      </c>
      <c r="AE158" s="3160"/>
      <c r="AF158" s="2318"/>
      <c r="AG158" s="2318"/>
      <c r="AH158" s="2318"/>
      <c r="AI158" s="2318"/>
      <c r="AJ158" s="2318"/>
      <c r="AK158" s="2318"/>
      <c r="AL158" s="2318"/>
      <c r="AM158" s="2318"/>
      <c r="AN158" s="2318"/>
      <c r="AO158" s="2318"/>
      <c r="AP158" s="2318"/>
      <c r="AQ158" s="2318"/>
      <c r="AR158" s="2318"/>
      <c r="AS158" s="2318"/>
      <c r="AT158" s="2318"/>
      <c r="AU158" s="2318"/>
      <c r="AV158" s="2318"/>
      <c r="AW158" s="2318"/>
      <c r="AX158" s="2318"/>
      <c r="AY158" s="2318"/>
      <c r="AZ158" s="2318"/>
      <c r="BA158" s="2318"/>
      <c r="BB158" s="2318"/>
      <c r="BC158" s="2318"/>
      <c r="BD158" s="2318"/>
      <c r="BE158" s="2318"/>
      <c r="BF158" s="2318"/>
      <c r="BG158" s="2318"/>
      <c r="BH158" s="2318"/>
      <c r="BI158" s="2318"/>
      <c r="BJ158" s="2318"/>
      <c r="BK158" s="2318"/>
      <c r="BL158" s="2318"/>
      <c r="BM158" s="2318"/>
      <c r="BN158" s="2318"/>
      <c r="BO158" s="2318"/>
      <c r="BP158" s="2318"/>
      <c r="BQ158" s="2318"/>
      <c r="BR158" s="2318"/>
      <c r="BS158" s="2318"/>
      <c r="BT158" s="2318"/>
      <c r="BU158" s="2318"/>
      <c r="BV158" s="2318"/>
      <c r="BW158" s="2318"/>
      <c r="BX158" s="2318"/>
    </row>
    <row r="159" spans="1:76" s="2608" customFormat="1" ht="43.5" customHeight="1">
      <c r="A159" s="2632"/>
      <c r="B159" s="2632"/>
      <c r="C159" s="3794">
        <v>1</v>
      </c>
      <c r="D159" s="2446" t="s">
        <v>66</v>
      </c>
      <c r="E159" s="2446" t="s">
        <v>65</v>
      </c>
      <c r="F159" s="2446" t="s">
        <v>67</v>
      </c>
      <c r="G159" s="2446" t="s">
        <v>202</v>
      </c>
      <c r="H159" s="2446"/>
      <c r="I159" s="3168" t="s">
        <v>2331</v>
      </c>
      <c r="J159" s="1781" t="s">
        <v>2332</v>
      </c>
      <c r="K159" s="2290">
        <v>0.85</v>
      </c>
      <c r="L159" s="2520">
        <v>1227135200</v>
      </c>
      <c r="M159" s="2378">
        <f t="shared" si="43"/>
        <v>0.28333333333333333</v>
      </c>
      <c r="N159" s="2292">
        <v>113720236</v>
      </c>
      <c r="O159" s="2313">
        <f t="shared" si="47"/>
        <v>0.14166666666666666</v>
      </c>
      <c r="P159" s="2292">
        <v>116335379</v>
      </c>
      <c r="Q159" s="2311">
        <v>3.1E-2</v>
      </c>
      <c r="R159" s="2632">
        <v>0</v>
      </c>
      <c r="S159" s="2875">
        <v>5.0000000000000001E-3</v>
      </c>
      <c r="T159" s="2304">
        <f>3211150-R159</f>
        <v>3211150</v>
      </c>
      <c r="U159" s="3266">
        <v>8.3999999999999991E-2</v>
      </c>
      <c r="V159" s="2304">
        <v>5980600</v>
      </c>
      <c r="W159" s="2632">
        <v>0</v>
      </c>
      <c r="X159" s="2304">
        <v>0</v>
      </c>
      <c r="Y159" s="2311">
        <f t="shared" si="36"/>
        <v>0.12</v>
      </c>
      <c r="Z159" s="2304">
        <f t="shared" si="37"/>
        <v>9191750</v>
      </c>
      <c r="AA159" s="2308">
        <f t="shared" si="48"/>
        <v>0.40333333333333332</v>
      </c>
      <c r="AB159" s="2304">
        <f t="shared" si="46"/>
        <v>122911986</v>
      </c>
      <c r="AC159" s="2308">
        <f t="shared" si="39"/>
        <v>0.47450980392156861</v>
      </c>
      <c r="AD159" s="2311">
        <f t="shared" si="40"/>
        <v>0.10016173116051108</v>
      </c>
      <c r="AE159" s="3160"/>
      <c r="AF159" s="2318"/>
      <c r="AG159" s="2318"/>
      <c r="AH159" s="2318"/>
      <c r="AI159" s="2318"/>
      <c r="AJ159" s="2318"/>
      <c r="AK159" s="2318"/>
      <c r="AL159" s="2318"/>
      <c r="AM159" s="2318"/>
      <c r="AN159" s="2318"/>
      <c r="AO159" s="2318"/>
      <c r="AP159" s="2318"/>
      <c r="AQ159" s="2318"/>
      <c r="AR159" s="2318"/>
      <c r="AS159" s="2318"/>
      <c r="AT159" s="2318"/>
      <c r="AU159" s="2318"/>
      <c r="AV159" s="2318"/>
      <c r="AW159" s="2318"/>
      <c r="AX159" s="2318"/>
      <c r="AY159" s="2318"/>
      <c r="AZ159" s="2318"/>
      <c r="BA159" s="2318"/>
      <c r="BB159" s="2318"/>
      <c r="BC159" s="2318"/>
      <c r="BD159" s="2318"/>
      <c r="BE159" s="2318"/>
      <c r="BF159" s="2318"/>
      <c r="BG159" s="2318"/>
      <c r="BH159" s="2318"/>
      <c r="BI159" s="2318"/>
      <c r="BJ159" s="2318"/>
      <c r="BK159" s="2318"/>
      <c r="BL159" s="2318"/>
      <c r="BM159" s="2318"/>
      <c r="BN159" s="2318"/>
      <c r="BO159" s="2318"/>
      <c r="BP159" s="2318"/>
      <c r="BQ159" s="2318"/>
      <c r="BR159" s="2318"/>
      <c r="BS159" s="2318"/>
      <c r="BT159" s="2318"/>
      <c r="BU159" s="2318"/>
      <c r="BV159" s="2318"/>
      <c r="BW159" s="2318"/>
      <c r="BX159" s="2318"/>
    </row>
    <row r="160" spans="1:76" s="2608" customFormat="1" ht="57.75" customHeight="1">
      <c r="A160" s="2632"/>
      <c r="B160" s="2632"/>
      <c r="C160" s="3794">
        <v>1</v>
      </c>
      <c r="D160" s="2446" t="s">
        <v>66</v>
      </c>
      <c r="E160" s="2446" t="s">
        <v>65</v>
      </c>
      <c r="F160" s="2446" t="s">
        <v>67</v>
      </c>
      <c r="G160" s="2446" t="s">
        <v>417</v>
      </c>
      <c r="H160" s="2446"/>
      <c r="I160" s="3168" t="s">
        <v>2334</v>
      </c>
      <c r="J160" s="2516" t="s">
        <v>2335</v>
      </c>
      <c r="K160" s="2290">
        <v>0.89</v>
      </c>
      <c r="L160" s="2292">
        <v>812478900</v>
      </c>
      <c r="M160" s="2378">
        <f t="shared" si="43"/>
        <v>0.29666666666666669</v>
      </c>
      <c r="N160" s="2292">
        <v>165934426</v>
      </c>
      <c r="O160" s="2313">
        <f t="shared" si="47"/>
        <v>0.14833333333333334</v>
      </c>
      <c r="P160" s="2292">
        <v>249971767</v>
      </c>
      <c r="Q160" s="2311">
        <v>3.2000000000000001E-2</v>
      </c>
      <c r="R160" s="2304">
        <v>7178125</v>
      </c>
      <c r="S160" s="2875">
        <v>6.8000000000000005E-2</v>
      </c>
      <c r="T160" s="2304">
        <f>109581563-R160</f>
        <v>102403438</v>
      </c>
      <c r="U160" s="3266">
        <v>4.0000000000000008E-2</v>
      </c>
      <c r="V160" s="2304">
        <v>61915605</v>
      </c>
      <c r="W160" s="2632">
        <v>0</v>
      </c>
      <c r="X160" s="2304">
        <v>0</v>
      </c>
      <c r="Y160" s="2311">
        <f t="shared" si="36"/>
        <v>0.14000000000000001</v>
      </c>
      <c r="Z160" s="2304">
        <f t="shared" si="37"/>
        <v>171497168</v>
      </c>
      <c r="AA160" s="3204"/>
      <c r="AB160" s="2304">
        <f t="shared" si="46"/>
        <v>337431594</v>
      </c>
      <c r="AC160" s="2308">
        <f t="shared" si="39"/>
        <v>0</v>
      </c>
      <c r="AD160" s="2311">
        <f t="shared" si="40"/>
        <v>0.41531120869723509</v>
      </c>
      <c r="AE160" s="3160"/>
      <c r="AF160" s="2318"/>
      <c r="AG160" s="2318"/>
      <c r="AH160" s="2318"/>
      <c r="AI160" s="2318"/>
      <c r="AJ160" s="2318"/>
      <c r="AK160" s="2318"/>
      <c r="AL160" s="2318"/>
      <c r="AM160" s="2318"/>
      <c r="AN160" s="2318"/>
      <c r="AO160" s="2318"/>
      <c r="AP160" s="2318"/>
      <c r="AQ160" s="2318"/>
      <c r="AR160" s="2318"/>
      <c r="AS160" s="2318"/>
      <c r="AT160" s="2318"/>
      <c r="AU160" s="2318"/>
      <c r="AV160" s="2318"/>
      <c r="AW160" s="2318"/>
      <c r="AX160" s="2318"/>
      <c r="AY160" s="2318"/>
      <c r="AZ160" s="2318"/>
      <c r="BA160" s="2318"/>
      <c r="BB160" s="2318"/>
      <c r="BC160" s="2318"/>
      <c r="BD160" s="2318"/>
      <c r="BE160" s="2318"/>
      <c r="BF160" s="2318"/>
      <c r="BG160" s="2318"/>
      <c r="BH160" s="2318"/>
      <c r="BI160" s="2318"/>
      <c r="BJ160" s="2318"/>
      <c r="BK160" s="2318"/>
      <c r="BL160" s="2318"/>
      <c r="BM160" s="2318"/>
      <c r="BN160" s="2318"/>
      <c r="BO160" s="2318"/>
      <c r="BP160" s="2318"/>
      <c r="BQ160" s="2318"/>
      <c r="BR160" s="2318"/>
      <c r="BS160" s="2318"/>
      <c r="BT160" s="2318"/>
      <c r="BU160" s="2318"/>
      <c r="BV160" s="2318"/>
      <c r="BW160" s="2318"/>
      <c r="BX160" s="2318"/>
    </row>
    <row r="161" spans="1:76" s="2608" customFormat="1" ht="48" customHeight="1">
      <c r="A161" s="2632"/>
      <c r="B161" s="2632"/>
      <c r="C161" s="3794">
        <v>1</v>
      </c>
      <c r="D161" s="2446" t="s">
        <v>66</v>
      </c>
      <c r="E161" s="2446" t="s">
        <v>65</v>
      </c>
      <c r="F161" s="2446">
        <v>21</v>
      </c>
      <c r="G161" s="2446">
        <v>12</v>
      </c>
      <c r="H161" s="2446"/>
      <c r="I161" s="3168" t="s">
        <v>2336</v>
      </c>
      <c r="J161" s="2516" t="s">
        <v>2337</v>
      </c>
      <c r="K161" s="2290">
        <v>0.9</v>
      </c>
      <c r="L161" s="2292">
        <v>1032245000</v>
      </c>
      <c r="M161" s="2378">
        <f t="shared" si="43"/>
        <v>0.3</v>
      </c>
      <c r="N161" s="2292">
        <v>0</v>
      </c>
      <c r="O161" s="2313">
        <f t="shared" si="47"/>
        <v>0.15</v>
      </c>
      <c r="P161" s="2292">
        <v>35280582</v>
      </c>
      <c r="Q161" s="2311">
        <v>4.2000000000000003E-2</v>
      </c>
      <c r="R161" s="2304">
        <v>1574000</v>
      </c>
      <c r="S161" s="2875">
        <v>5.6000000000000001E-2</v>
      </c>
      <c r="T161" s="2304">
        <f>4328000-R161</f>
        <v>2754000</v>
      </c>
      <c r="U161" s="3266">
        <v>3.2000000000000008E-2</v>
      </c>
      <c r="V161" s="2304">
        <v>15275000</v>
      </c>
      <c r="W161" s="2632"/>
      <c r="X161" s="2304"/>
      <c r="Y161" s="2311">
        <f t="shared" si="36"/>
        <v>0.13</v>
      </c>
      <c r="Z161" s="2304">
        <f t="shared" si="37"/>
        <v>19603000</v>
      </c>
      <c r="AA161" s="2308">
        <f>Y160+M160</f>
        <v>0.4366666666666667</v>
      </c>
      <c r="AB161" s="2304">
        <f t="shared" si="46"/>
        <v>19603000</v>
      </c>
      <c r="AC161" s="2308">
        <f t="shared" si="39"/>
        <v>0.48518518518518522</v>
      </c>
      <c r="AD161" s="2311">
        <f t="shared" si="40"/>
        <v>1.8990646600371038E-2</v>
      </c>
      <c r="AE161" s="3160"/>
      <c r="AF161" s="2318"/>
      <c r="AG161" s="2318"/>
      <c r="AH161" s="2318"/>
      <c r="AI161" s="2318"/>
      <c r="AJ161" s="2318"/>
      <c r="AK161" s="2318"/>
      <c r="AL161" s="2318"/>
      <c r="AM161" s="2318"/>
      <c r="AN161" s="2318"/>
      <c r="AO161" s="2318"/>
      <c r="AP161" s="2318"/>
      <c r="AQ161" s="2318"/>
      <c r="AR161" s="2318"/>
      <c r="AS161" s="2318"/>
      <c r="AT161" s="2318"/>
      <c r="AU161" s="2318"/>
      <c r="AV161" s="2318"/>
      <c r="AW161" s="2318"/>
      <c r="AX161" s="2318"/>
      <c r="AY161" s="2318"/>
      <c r="AZ161" s="2318"/>
      <c r="BA161" s="2318"/>
      <c r="BB161" s="2318"/>
      <c r="BC161" s="2318"/>
      <c r="BD161" s="2318"/>
      <c r="BE161" s="2318"/>
      <c r="BF161" s="2318"/>
      <c r="BG161" s="2318"/>
      <c r="BH161" s="2318"/>
      <c r="BI161" s="2318"/>
      <c r="BJ161" s="2318"/>
      <c r="BK161" s="2318"/>
      <c r="BL161" s="2318"/>
      <c r="BM161" s="2318"/>
      <c r="BN161" s="2318"/>
      <c r="BO161" s="2318"/>
      <c r="BP161" s="2318"/>
      <c r="BQ161" s="2318"/>
      <c r="BR161" s="2318"/>
      <c r="BS161" s="2318"/>
      <c r="BT161" s="2318"/>
      <c r="BU161" s="2318"/>
      <c r="BV161" s="2318"/>
      <c r="BW161" s="2318"/>
      <c r="BX161" s="2318"/>
    </row>
    <row r="162" spans="1:76" s="2608" customFormat="1" ht="48" customHeight="1">
      <c r="A162" s="2632"/>
      <c r="B162" s="2632"/>
      <c r="C162" s="3794">
        <v>1</v>
      </c>
      <c r="D162" s="2446" t="s">
        <v>66</v>
      </c>
      <c r="E162" s="2446" t="s">
        <v>65</v>
      </c>
      <c r="F162" s="2446">
        <v>21</v>
      </c>
      <c r="G162" s="2446">
        <v>13</v>
      </c>
      <c r="H162" s="2446"/>
      <c r="I162" s="3168" t="s">
        <v>2338</v>
      </c>
      <c r="J162" s="2516" t="s">
        <v>2339</v>
      </c>
      <c r="K162" s="2290">
        <v>0.9</v>
      </c>
      <c r="L162" s="2292">
        <v>943519000</v>
      </c>
      <c r="M162" s="2378">
        <f t="shared" si="43"/>
        <v>0.3</v>
      </c>
      <c r="N162" s="2292">
        <v>0</v>
      </c>
      <c r="O162" s="2313">
        <f t="shared" si="47"/>
        <v>0.15</v>
      </c>
      <c r="P162" s="2292">
        <v>36271241</v>
      </c>
      <c r="Q162" s="2311">
        <v>3.2000000000000001E-2</v>
      </c>
      <c r="R162" s="2304">
        <v>1265000</v>
      </c>
      <c r="S162" s="2875">
        <v>1.7999999999999999E-2</v>
      </c>
      <c r="T162" s="2304">
        <f>6114000-R162</f>
        <v>4849000</v>
      </c>
      <c r="U162" s="3266">
        <v>0.05</v>
      </c>
      <c r="V162" s="2304">
        <v>7779000</v>
      </c>
      <c r="W162" s="2632"/>
      <c r="X162" s="2304"/>
      <c r="Y162" s="2311">
        <f t="shared" si="36"/>
        <v>0.1</v>
      </c>
      <c r="Z162" s="2304">
        <f t="shared" si="37"/>
        <v>13893000</v>
      </c>
      <c r="AA162" s="2308">
        <f>Y161+M161</f>
        <v>0.43</v>
      </c>
      <c r="AB162" s="2304">
        <f t="shared" si="46"/>
        <v>13893000</v>
      </c>
      <c r="AC162" s="2308">
        <f t="shared" si="39"/>
        <v>0.47777777777777775</v>
      </c>
      <c r="AD162" s="2311">
        <f t="shared" si="40"/>
        <v>1.4724663732261884E-2</v>
      </c>
      <c r="AE162" s="3160"/>
      <c r="AF162" s="2318"/>
      <c r="AG162" s="2318"/>
      <c r="AH162" s="2318"/>
      <c r="AI162" s="2318"/>
      <c r="AJ162" s="2318"/>
      <c r="AK162" s="2318"/>
      <c r="AL162" s="2318"/>
      <c r="AM162" s="2318"/>
      <c r="AN162" s="2318"/>
      <c r="AO162" s="2318"/>
      <c r="AP162" s="2318"/>
      <c r="AQ162" s="2318"/>
      <c r="AR162" s="2318"/>
      <c r="AS162" s="2318"/>
      <c r="AT162" s="2318"/>
      <c r="AU162" s="2318"/>
      <c r="AV162" s="2318"/>
      <c r="AW162" s="2318"/>
      <c r="AX162" s="2318"/>
      <c r="AY162" s="2318"/>
      <c r="AZ162" s="2318"/>
      <c r="BA162" s="2318"/>
      <c r="BB162" s="2318"/>
      <c r="BC162" s="2318"/>
      <c r="BD162" s="2318"/>
      <c r="BE162" s="2318"/>
      <c r="BF162" s="2318"/>
      <c r="BG162" s="2318"/>
      <c r="BH162" s="2318"/>
      <c r="BI162" s="2318"/>
      <c r="BJ162" s="2318"/>
      <c r="BK162" s="2318"/>
      <c r="BL162" s="2318"/>
      <c r="BM162" s="2318"/>
      <c r="BN162" s="2318"/>
      <c r="BO162" s="2318"/>
      <c r="BP162" s="2318"/>
      <c r="BQ162" s="2318"/>
      <c r="BR162" s="2318"/>
      <c r="BS162" s="2318"/>
      <c r="BT162" s="2318"/>
      <c r="BU162" s="2318"/>
      <c r="BV162" s="2318"/>
      <c r="BW162" s="2318"/>
      <c r="BX162" s="2318"/>
    </row>
    <row r="163" spans="1:76" s="2271" customFormat="1" ht="45" customHeight="1">
      <c r="A163" s="3162">
        <v>9</v>
      </c>
      <c r="B163" s="2359" t="s">
        <v>2311</v>
      </c>
      <c r="C163" s="2874">
        <v>1</v>
      </c>
      <c r="D163" s="2447" t="s">
        <v>66</v>
      </c>
      <c r="E163" s="2447" t="s">
        <v>65</v>
      </c>
      <c r="F163" s="2447" t="s">
        <v>163</v>
      </c>
      <c r="G163" s="2874"/>
      <c r="H163" s="2874"/>
      <c r="I163" s="2359" t="s">
        <v>2340</v>
      </c>
      <c r="J163" s="2350" t="s">
        <v>2341</v>
      </c>
      <c r="K163" s="2336">
        <f>SUM(K164:K170)/7</f>
        <v>0.98142857142857143</v>
      </c>
      <c r="L163" s="2357">
        <v>10450960000</v>
      </c>
      <c r="M163" s="2362">
        <f t="shared" si="43"/>
        <v>0.32714285714285712</v>
      </c>
      <c r="N163" s="2361">
        <f>SUM(N164:N170)</f>
        <v>577449879</v>
      </c>
      <c r="O163" s="2336">
        <f t="shared" si="47"/>
        <v>0.16357142857142856</v>
      </c>
      <c r="P163" s="2361">
        <f>SUM(P164:P170)</f>
        <v>902370112</v>
      </c>
      <c r="Q163" s="2410">
        <f>SUM(Q164:Q170)/7</f>
        <v>1.7142857142857144E-2</v>
      </c>
      <c r="R163" s="2342">
        <f>SUM(R164:R170)</f>
        <v>49471100</v>
      </c>
      <c r="S163" s="2876">
        <f>SUM(S164:S170)/7</f>
        <v>3.1857142857142855E-2</v>
      </c>
      <c r="T163" s="2342">
        <f>SUM(T164:T169)</f>
        <v>82971521</v>
      </c>
      <c r="U163" s="2876">
        <f>SUM(U164:U170)/7</f>
        <v>5.8142857142857149E-2</v>
      </c>
      <c r="V163" s="2342">
        <f>SUM(V164:V169)</f>
        <v>234782750</v>
      </c>
      <c r="W163" s="2367">
        <v>0</v>
      </c>
      <c r="X163" s="2342">
        <f>SUM(X164:X169)</f>
        <v>0</v>
      </c>
      <c r="Y163" s="2410">
        <f t="shared" si="36"/>
        <v>0.10714285714285715</v>
      </c>
      <c r="Z163" s="2342">
        <f t="shared" si="37"/>
        <v>367225371</v>
      </c>
      <c r="AA163" s="2362">
        <f t="shared" si="48"/>
        <v>0.43428571428571427</v>
      </c>
      <c r="AB163" s="2342">
        <f t="shared" si="48"/>
        <v>944675250</v>
      </c>
      <c r="AC163" s="2420">
        <f t="shared" si="39"/>
        <v>0.44250363901018924</v>
      </c>
      <c r="AD163" s="2432">
        <f t="shared" si="40"/>
        <v>9.0391241570152409E-2</v>
      </c>
      <c r="AE163" s="3138" t="s">
        <v>2272</v>
      </c>
      <c r="AF163" s="2620"/>
      <c r="AG163" s="2620"/>
      <c r="AH163" s="2620"/>
      <c r="AI163" s="2620"/>
      <c r="AJ163" s="2620"/>
      <c r="AK163" s="2620"/>
      <c r="AL163" s="2620"/>
      <c r="AM163" s="2620"/>
      <c r="AN163" s="2620"/>
      <c r="AO163" s="2620"/>
      <c r="AP163" s="2620"/>
      <c r="AQ163" s="2620"/>
      <c r="AR163" s="2620"/>
      <c r="AS163" s="2620"/>
      <c r="AT163" s="2620"/>
      <c r="AU163" s="2620"/>
      <c r="AV163" s="2620"/>
      <c r="AW163" s="2620"/>
      <c r="AX163" s="2620"/>
      <c r="AY163" s="2620"/>
      <c r="AZ163" s="2620"/>
      <c r="BA163" s="2620"/>
      <c r="BB163" s="2620"/>
      <c r="BC163" s="2620"/>
      <c r="BD163" s="2620"/>
      <c r="BE163" s="2620"/>
      <c r="BF163" s="2620"/>
      <c r="BG163" s="2620"/>
      <c r="BH163" s="2620"/>
      <c r="BI163" s="2620"/>
      <c r="BJ163" s="2620"/>
      <c r="BK163" s="2620"/>
      <c r="BL163" s="2620"/>
      <c r="BM163" s="2620"/>
      <c r="BN163" s="2620"/>
      <c r="BO163" s="2620"/>
      <c r="BP163" s="2620"/>
      <c r="BQ163" s="2620"/>
      <c r="BR163" s="2620"/>
      <c r="BS163" s="2620"/>
      <c r="BT163" s="2620"/>
      <c r="BU163" s="2620"/>
      <c r="BV163" s="2620"/>
      <c r="BW163" s="2620"/>
      <c r="BX163" s="2620"/>
    </row>
    <row r="164" spans="1:76" s="2608" customFormat="1" ht="30" customHeight="1">
      <c r="A164" s="2632"/>
      <c r="B164" s="2632"/>
      <c r="C164" s="3794">
        <v>1</v>
      </c>
      <c r="D164" s="2446" t="s">
        <v>66</v>
      </c>
      <c r="E164" s="2446" t="s">
        <v>65</v>
      </c>
      <c r="F164" s="2446" t="s">
        <v>163</v>
      </c>
      <c r="G164" s="2446" t="s">
        <v>66</v>
      </c>
      <c r="H164" s="2446"/>
      <c r="I164" s="3168" t="s">
        <v>2342</v>
      </c>
      <c r="J164" s="2516" t="s">
        <v>2343</v>
      </c>
      <c r="K164" s="2290">
        <v>0.98</v>
      </c>
      <c r="L164" s="2292">
        <v>1875000000</v>
      </c>
      <c r="M164" s="2378">
        <f t="shared" si="43"/>
        <v>0.32666666666666666</v>
      </c>
      <c r="N164" s="2292">
        <v>159828000</v>
      </c>
      <c r="O164" s="2313">
        <f t="shared" si="47"/>
        <v>0.16333333333333333</v>
      </c>
      <c r="P164" s="2292">
        <v>259322423</v>
      </c>
      <c r="Q164" s="2311">
        <v>1.2E-2</v>
      </c>
      <c r="R164" s="2276">
        <v>0</v>
      </c>
      <c r="S164" s="2875">
        <v>2.8000000000000001E-2</v>
      </c>
      <c r="T164" s="2304">
        <f>159000-R164</f>
        <v>159000</v>
      </c>
      <c r="U164" s="3266">
        <v>6.0000000000000012E-2</v>
      </c>
      <c r="V164" s="2304">
        <v>32264450</v>
      </c>
      <c r="W164" s="2632">
        <v>0</v>
      </c>
      <c r="X164" s="2304">
        <v>0</v>
      </c>
      <c r="Y164" s="2311">
        <f t="shared" si="36"/>
        <v>0.1</v>
      </c>
      <c r="Z164" s="2304">
        <f t="shared" si="37"/>
        <v>32423450</v>
      </c>
      <c r="AA164" s="2308">
        <f t="shared" si="48"/>
        <v>0.42666666666666664</v>
      </c>
      <c r="AB164" s="2304">
        <f t="shared" si="48"/>
        <v>192251450</v>
      </c>
      <c r="AC164" s="2308">
        <f t="shared" si="39"/>
        <v>0.43537414965986393</v>
      </c>
      <c r="AD164" s="2311">
        <f t="shared" si="40"/>
        <v>0.10253410666666667</v>
      </c>
      <c r="AE164" s="3160"/>
      <c r="AF164" s="2318"/>
      <c r="AG164" s="2318"/>
      <c r="AH164" s="2318"/>
      <c r="AI164" s="2318"/>
      <c r="AJ164" s="2318"/>
      <c r="AK164" s="2318"/>
      <c r="AL164" s="2318"/>
      <c r="AM164" s="2318"/>
      <c r="AN164" s="2318"/>
      <c r="AO164" s="2318"/>
      <c r="AP164" s="2318"/>
      <c r="AQ164" s="2318"/>
      <c r="AR164" s="2318"/>
      <c r="AS164" s="2318"/>
      <c r="AT164" s="2318"/>
      <c r="AU164" s="2318"/>
      <c r="AV164" s="2318"/>
      <c r="AW164" s="2318"/>
      <c r="AX164" s="2318"/>
      <c r="AY164" s="2318"/>
      <c r="AZ164" s="2318"/>
      <c r="BA164" s="2318"/>
      <c r="BB164" s="2318"/>
      <c r="BC164" s="2318"/>
      <c r="BD164" s="2318"/>
      <c r="BE164" s="2318"/>
      <c r="BF164" s="2318"/>
      <c r="BG164" s="2318"/>
      <c r="BH164" s="2318"/>
      <c r="BI164" s="2318"/>
      <c r="BJ164" s="2318"/>
      <c r="BK164" s="2318"/>
      <c r="BL164" s="2318"/>
      <c r="BM164" s="2318"/>
      <c r="BN164" s="2318"/>
      <c r="BO164" s="2318"/>
      <c r="BP164" s="2318"/>
      <c r="BQ164" s="2318"/>
      <c r="BR164" s="2318"/>
      <c r="BS164" s="2318"/>
      <c r="BT164" s="2318"/>
      <c r="BU164" s="2318"/>
      <c r="BV164" s="2318"/>
      <c r="BW164" s="2318"/>
      <c r="BX164" s="2318"/>
    </row>
    <row r="165" spans="1:76" s="2608" customFormat="1" ht="43.5" customHeight="1">
      <c r="A165" s="2632"/>
      <c r="B165" s="2632"/>
      <c r="C165" s="3794">
        <v>1</v>
      </c>
      <c r="D165" s="2446" t="s">
        <v>66</v>
      </c>
      <c r="E165" s="2446" t="s">
        <v>65</v>
      </c>
      <c r="F165" s="2446" t="s">
        <v>163</v>
      </c>
      <c r="G165" s="2446" t="s">
        <v>161</v>
      </c>
      <c r="H165" s="2446"/>
      <c r="I165" s="3168" t="s">
        <v>2344</v>
      </c>
      <c r="J165" s="2516" t="s">
        <v>2345</v>
      </c>
      <c r="K165" s="2290">
        <v>0.98</v>
      </c>
      <c r="L165" s="2292">
        <v>1850000000</v>
      </c>
      <c r="M165" s="2378">
        <f t="shared" si="43"/>
        <v>0.32666666666666666</v>
      </c>
      <c r="N165" s="2292">
        <v>127722364</v>
      </c>
      <c r="O165" s="2313">
        <f t="shared" si="47"/>
        <v>0.16333333333333333</v>
      </c>
      <c r="P165" s="2292">
        <v>167466565</v>
      </c>
      <c r="Q165" s="2311">
        <v>2.5000000000000001E-2</v>
      </c>
      <c r="R165" s="2304">
        <v>17249400</v>
      </c>
      <c r="S165" s="2879">
        <v>1.4999999999999999E-2</v>
      </c>
      <c r="T165" s="2304">
        <f>45981200-R165</f>
        <v>28731800</v>
      </c>
      <c r="U165" s="3266">
        <v>7.9999999999999988E-2</v>
      </c>
      <c r="V165" s="2304">
        <v>46664900</v>
      </c>
      <c r="W165" s="2305">
        <v>0</v>
      </c>
      <c r="X165" s="2304">
        <v>0</v>
      </c>
      <c r="Y165" s="2311">
        <f t="shared" si="36"/>
        <v>0.12</v>
      </c>
      <c r="Z165" s="2304">
        <f t="shared" si="37"/>
        <v>92646100</v>
      </c>
      <c r="AA165" s="2308">
        <f t="shared" si="48"/>
        <v>0.44666666666666666</v>
      </c>
      <c r="AB165" s="2304">
        <f t="shared" si="48"/>
        <v>220368464</v>
      </c>
      <c r="AC165" s="2308">
        <f t="shared" si="39"/>
        <v>0.45578231292517007</v>
      </c>
      <c r="AD165" s="2311">
        <f t="shared" si="40"/>
        <v>0.11911808864864865</v>
      </c>
      <c r="AE165" s="3160"/>
      <c r="AF165" s="2318"/>
      <c r="AG165" s="2318"/>
      <c r="AH165" s="2318"/>
      <c r="AI165" s="2318"/>
      <c r="AJ165" s="2318"/>
      <c r="AK165" s="2318"/>
      <c r="AL165" s="2318"/>
      <c r="AM165" s="2318"/>
      <c r="AN165" s="2318"/>
      <c r="AO165" s="2318"/>
      <c r="AP165" s="2318"/>
      <c r="AQ165" s="2318"/>
      <c r="AR165" s="2318"/>
      <c r="AS165" s="2318"/>
      <c r="AT165" s="2318"/>
      <c r="AU165" s="2318"/>
      <c r="AV165" s="2318"/>
      <c r="AW165" s="2318"/>
      <c r="AX165" s="2318"/>
      <c r="AY165" s="2318"/>
      <c r="AZ165" s="2318"/>
      <c r="BA165" s="2318"/>
      <c r="BB165" s="2318"/>
      <c r="BC165" s="2318"/>
      <c r="BD165" s="2318"/>
      <c r="BE165" s="2318"/>
      <c r="BF165" s="2318"/>
      <c r="BG165" s="2318"/>
      <c r="BH165" s="2318"/>
      <c r="BI165" s="2318"/>
      <c r="BJ165" s="2318"/>
      <c r="BK165" s="2318"/>
      <c r="BL165" s="2318"/>
      <c r="BM165" s="2318"/>
      <c r="BN165" s="2318"/>
      <c r="BO165" s="2318"/>
      <c r="BP165" s="2318"/>
      <c r="BQ165" s="2318"/>
      <c r="BR165" s="2318"/>
      <c r="BS165" s="2318"/>
      <c r="BT165" s="2318"/>
      <c r="BU165" s="2318"/>
      <c r="BV165" s="2318"/>
      <c r="BW165" s="2318"/>
      <c r="BX165" s="2318"/>
    </row>
    <row r="166" spans="1:76" s="2608" customFormat="1" ht="31.5" customHeight="1">
      <c r="A166" s="2632"/>
      <c r="B166" s="2632"/>
      <c r="C166" s="3794">
        <v>1</v>
      </c>
      <c r="D166" s="2446" t="s">
        <v>66</v>
      </c>
      <c r="E166" s="2446" t="s">
        <v>65</v>
      </c>
      <c r="F166" s="2446" t="s">
        <v>163</v>
      </c>
      <c r="G166" s="2446" t="s">
        <v>197</v>
      </c>
      <c r="H166" s="2446"/>
      <c r="I166" s="3168" t="s">
        <v>2346</v>
      </c>
      <c r="J166" s="2516" t="s">
        <v>2347</v>
      </c>
      <c r="K166" s="2290">
        <v>0.98</v>
      </c>
      <c r="L166" s="2292">
        <v>2295000000</v>
      </c>
      <c r="M166" s="2378">
        <f t="shared" si="43"/>
        <v>0.32666666666666666</v>
      </c>
      <c r="N166" s="2292">
        <v>24368400</v>
      </c>
      <c r="O166" s="2313">
        <f t="shared" si="47"/>
        <v>0.16333333333333333</v>
      </c>
      <c r="P166" s="2292">
        <v>54539451</v>
      </c>
      <c r="Q166" s="2311">
        <v>2.1000000000000001E-2</v>
      </c>
      <c r="R166" s="2304">
        <v>615000</v>
      </c>
      <c r="S166" s="2875">
        <v>5.0000000000000001E-3</v>
      </c>
      <c r="T166" s="2304">
        <f>5268200-R166</f>
        <v>4653200</v>
      </c>
      <c r="U166" s="3266">
        <v>6.3999999999999987E-2</v>
      </c>
      <c r="V166" s="2304">
        <v>7483000</v>
      </c>
      <c r="W166" s="2632">
        <v>0</v>
      </c>
      <c r="X166" s="2304">
        <v>0</v>
      </c>
      <c r="Y166" s="2311">
        <f t="shared" si="36"/>
        <v>0.09</v>
      </c>
      <c r="Z166" s="2304">
        <f t="shared" si="37"/>
        <v>12751200</v>
      </c>
      <c r="AA166" s="2308">
        <f t="shared" si="48"/>
        <v>0.41666666666666663</v>
      </c>
      <c r="AB166" s="2304">
        <f t="shared" si="48"/>
        <v>37119600</v>
      </c>
      <c r="AC166" s="2308">
        <f t="shared" si="39"/>
        <v>0.42517006802721086</v>
      </c>
      <c r="AD166" s="2311">
        <f t="shared" si="40"/>
        <v>1.6174117647058825E-2</v>
      </c>
      <c r="AE166" s="3160"/>
      <c r="AF166" s="2318"/>
      <c r="AG166" s="2318"/>
      <c r="AH166" s="2318"/>
      <c r="AI166" s="2318"/>
      <c r="AJ166" s="2318"/>
      <c r="AK166" s="2318"/>
      <c r="AL166" s="2318"/>
      <c r="AM166" s="2318"/>
      <c r="AN166" s="2318"/>
      <c r="AO166" s="2318"/>
      <c r="AP166" s="2318"/>
      <c r="AQ166" s="2318"/>
      <c r="AR166" s="2318"/>
      <c r="AS166" s="2318"/>
      <c r="AT166" s="2318"/>
      <c r="AU166" s="2318"/>
      <c r="AV166" s="2318"/>
      <c r="AW166" s="2318"/>
      <c r="AX166" s="2318"/>
      <c r="AY166" s="2318"/>
      <c r="AZ166" s="2318"/>
      <c r="BA166" s="2318"/>
      <c r="BB166" s="2318"/>
      <c r="BC166" s="2318"/>
      <c r="BD166" s="2318"/>
      <c r="BE166" s="2318"/>
      <c r="BF166" s="2318"/>
      <c r="BG166" s="2318"/>
      <c r="BH166" s="2318"/>
      <c r="BI166" s="2318"/>
      <c r="BJ166" s="2318"/>
      <c r="BK166" s="2318"/>
      <c r="BL166" s="2318"/>
      <c r="BM166" s="2318"/>
      <c r="BN166" s="2318"/>
      <c r="BO166" s="2318"/>
      <c r="BP166" s="2318"/>
      <c r="BQ166" s="2318"/>
      <c r="BR166" s="2318"/>
      <c r="BS166" s="2318"/>
      <c r="BT166" s="2318"/>
      <c r="BU166" s="2318"/>
      <c r="BV166" s="2318"/>
      <c r="BW166" s="2318"/>
      <c r="BX166" s="2318"/>
    </row>
    <row r="167" spans="1:76" s="2608" customFormat="1" ht="57" customHeight="1">
      <c r="A167" s="2632"/>
      <c r="B167" s="2632"/>
      <c r="C167" s="3794">
        <v>1</v>
      </c>
      <c r="D167" s="2446" t="s">
        <v>66</v>
      </c>
      <c r="E167" s="2446" t="s">
        <v>65</v>
      </c>
      <c r="F167" s="2446" t="s">
        <v>163</v>
      </c>
      <c r="G167" s="2446" t="s">
        <v>93</v>
      </c>
      <c r="H167" s="2446"/>
      <c r="I167" s="3168" t="s">
        <v>2348</v>
      </c>
      <c r="J167" s="2516" t="s">
        <v>2345</v>
      </c>
      <c r="K167" s="2290">
        <v>0.98</v>
      </c>
      <c r="L167" s="2292">
        <v>2560960000</v>
      </c>
      <c r="M167" s="2378">
        <f t="shared" si="43"/>
        <v>0.32666666666666666</v>
      </c>
      <c r="N167" s="2292">
        <v>128061415</v>
      </c>
      <c r="O167" s="2313">
        <f t="shared" si="47"/>
        <v>0.16333333333333333</v>
      </c>
      <c r="P167" s="2292">
        <v>175577115</v>
      </c>
      <c r="Q167" s="2311">
        <v>1.2E-2</v>
      </c>
      <c r="R167" s="2304">
        <v>11044700</v>
      </c>
      <c r="S167" s="2875">
        <v>3.0000000000000001E-3</v>
      </c>
      <c r="T167" s="2304">
        <f>19059500-R167</f>
        <v>8014800</v>
      </c>
      <c r="U167" s="3266">
        <v>8.5000000000000006E-2</v>
      </c>
      <c r="V167" s="2304">
        <v>84260400</v>
      </c>
      <c r="W167" s="2632">
        <v>0</v>
      </c>
      <c r="X167" s="2304">
        <v>0</v>
      </c>
      <c r="Y167" s="2311">
        <f t="shared" si="36"/>
        <v>0.1</v>
      </c>
      <c r="Z167" s="2304">
        <f t="shared" si="37"/>
        <v>103319900</v>
      </c>
      <c r="AA167" s="2308">
        <f t="shared" si="48"/>
        <v>0.42666666666666664</v>
      </c>
      <c r="AB167" s="2304">
        <f t="shared" si="48"/>
        <v>231381315</v>
      </c>
      <c r="AC167" s="2308">
        <f t="shared" si="39"/>
        <v>0.43537414965986393</v>
      </c>
      <c r="AD167" s="2311">
        <f t="shared" si="40"/>
        <v>9.0349445129951272E-2</v>
      </c>
      <c r="AE167" s="3160"/>
      <c r="AF167" s="2318"/>
      <c r="AG167" s="2318"/>
      <c r="AH167" s="2318"/>
      <c r="AI167" s="2318"/>
      <c r="AJ167" s="2318"/>
      <c r="AK167" s="2318"/>
      <c r="AL167" s="2318"/>
      <c r="AM167" s="2318"/>
      <c r="AN167" s="2318"/>
      <c r="AO167" s="2318"/>
      <c r="AP167" s="2318"/>
      <c r="AQ167" s="2318"/>
      <c r="AR167" s="2318"/>
      <c r="AS167" s="2318"/>
      <c r="AT167" s="2318"/>
      <c r="AU167" s="2318"/>
      <c r="AV167" s="2318"/>
      <c r="AW167" s="2318"/>
      <c r="AX167" s="2318"/>
      <c r="AY167" s="2318"/>
      <c r="AZ167" s="2318"/>
      <c r="BA167" s="2318"/>
      <c r="BB167" s="2318"/>
      <c r="BC167" s="2318"/>
      <c r="BD167" s="2318"/>
      <c r="BE167" s="2318"/>
      <c r="BF167" s="2318"/>
      <c r="BG167" s="2318"/>
      <c r="BH167" s="2318"/>
      <c r="BI167" s="2318"/>
      <c r="BJ167" s="2318"/>
      <c r="BK167" s="2318"/>
      <c r="BL167" s="2318"/>
      <c r="BM167" s="2318"/>
      <c r="BN167" s="2318"/>
      <c r="BO167" s="2318"/>
      <c r="BP167" s="2318"/>
      <c r="BQ167" s="2318"/>
      <c r="BR167" s="2318"/>
      <c r="BS167" s="2318"/>
      <c r="BT167" s="2318"/>
      <c r="BU167" s="2318"/>
      <c r="BV167" s="2318"/>
      <c r="BW167" s="2318"/>
      <c r="BX167" s="2318"/>
    </row>
    <row r="168" spans="1:76" s="2608" customFormat="1" ht="84" customHeight="1">
      <c r="A168" s="2632"/>
      <c r="B168" s="2632"/>
      <c r="C168" s="3794">
        <v>1</v>
      </c>
      <c r="D168" s="2446" t="s">
        <v>66</v>
      </c>
      <c r="E168" s="2446" t="s">
        <v>65</v>
      </c>
      <c r="F168" s="2446" t="s">
        <v>163</v>
      </c>
      <c r="G168" s="2446" t="s">
        <v>201</v>
      </c>
      <c r="H168" s="2446"/>
      <c r="I168" s="3168" t="s">
        <v>2349</v>
      </c>
      <c r="J168" s="2516" t="s">
        <v>2350</v>
      </c>
      <c r="K168" s="2290">
        <v>1</v>
      </c>
      <c r="L168" s="2292">
        <v>570000000</v>
      </c>
      <c r="M168" s="2378">
        <f t="shared" si="43"/>
        <v>0.33333333333333331</v>
      </c>
      <c r="N168" s="2292">
        <v>62793500</v>
      </c>
      <c r="O168" s="2313">
        <f t="shared" si="47"/>
        <v>0.16666666666666666</v>
      </c>
      <c r="P168" s="2292">
        <v>95056696</v>
      </c>
      <c r="Q168" s="2311">
        <v>1.4E-2</v>
      </c>
      <c r="R168" s="2304">
        <v>7760000</v>
      </c>
      <c r="S168" s="2875">
        <v>5.8000000000000003E-2</v>
      </c>
      <c r="T168" s="2304">
        <f>27697000-R168</f>
        <v>19937000</v>
      </c>
      <c r="U168" s="3266">
        <v>3.7999999999999999E-2</v>
      </c>
      <c r="V168" s="2304">
        <v>21199000</v>
      </c>
      <c r="W168" s="2632">
        <v>0</v>
      </c>
      <c r="X168" s="2304">
        <v>0</v>
      </c>
      <c r="Y168" s="2311">
        <f t="shared" si="36"/>
        <v>0.11000000000000001</v>
      </c>
      <c r="Z168" s="2304">
        <f t="shared" si="37"/>
        <v>48896000</v>
      </c>
      <c r="AA168" s="2308">
        <f t="shared" si="48"/>
        <v>0.44333333333333336</v>
      </c>
      <c r="AB168" s="2304">
        <f t="shared" si="48"/>
        <v>111689500</v>
      </c>
      <c r="AC168" s="2308">
        <f t="shared" si="39"/>
        <v>0.44333333333333336</v>
      </c>
      <c r="AD168" s="2311">
        <f t="shared" si="40"/>
        <v>0.19594649122807017</v>
      </c>
      <c r="AE168" s="3160"/>
      <c r="AF168" s="2318"/>
      <c r="AG168" s="2318"/>
      <c r="AH168" s="2318"/>
      <c r="AI168" s="2318"/>
      <c r="AJ168" s="2318"/>
      <c r="AK168" s="2318"/>
      <c r="AL168" s="2318"/>
      <c r="AM168" s="2318"/>
      <c r="AN168" s="2318"/>
      <c r="AO168" s="2318"/>
      <c r="AP168" s="2318"/>
      <c r="AQ168" s="2318"/>
      <c r="AR168" s="2318"/>
      <c r="AS168" s="2318"/>
      <c r="AT168" s="2318"/>
      <c r="AU168" s="2318"/>
      <c r="AV168" s="2318"/>
      <c r="AW168" s="2318"/>
      <c r="AX168" s="2318"/>
      <c r="AY168" s="2318"/>
      <c r="AZ168" s="2318"/>
      <c r="BA168" s="2318"/>
      <c r="BB168" s="2318"/>
      <c r="BC168" s="2318"/>
      <c r="BD168" s="2318"/>
      <c r="BE168" s="2318"/>
      <c r="BF168" s="2318"/>
      <c r="BG168" s="2318"/>
      <c r="BH168" s="2318"/>
      <c r="BI168" s="2318"/>
      <c r="BJ168" s="2318"/>
      <c r="BK168" s="2318"/>
      <c r="BL168" s="2318"/>
      <c r="BM168" s="2318"/>
      <c r="BN168" s="2318"/>
      <c r="BO168" s="2318"/>
      <c r="BP168" s="2318"/>
      <c r="BQ168" s="2318"/>
      <c r="BR168" s="2318"/>
      <c r="BS168" s="2318"/>
      <c r="BT168" s="2318"/>
      <c r="BU168" s="2318"/>
      <c r="BV168" s="2318"/>
      <c r="BW168" s="2318"/>
      <c r="BX168" s="2318"/>
    </row>
    <row r="169" spans="1:76" s="2608" customFormat="1" ht="100.5" customHeight="1">
      <c r="A169" s="2632"/>
      <c r="B169" s="2632"/>
      <c r="C169" s="3794">
        <v>1</v>
      </c>
      <c r="D169" s="2446" t="s">
        <v>66</v>
      </c>
      <c r="E169" s="2446" t="s">
        <v>65</v>
      </c>
      <c r="F169" s="2446" t="s">
        <v>163</v>
      </c>
      <c r="G169" s="2446" t="s">
        <v>155</v>
      </c>
      <c r="H169" s="2446"/>
      <c r="I169" s="3168" t="s">
        <v>2351</v>
      </c>
      <c r="J169" s="2516" t="s">
        <v>2352</v>
      </c>
      <c r="K169" s="2290">
        <v>0.95</v>
      </c>
      <c r="L169" s="2292">
        <v>725000000</v>
      </c>
      <c r="M169" s="2378">
        <f t="shared" si="43"/>
        <v>0.31666666666666665</v>
      </c>
      <c r="N169" s="2292">
        <v>74676200</v>
      </c>
      <c r="O169" s="2313">
        <f t="shared" si="47"/>
        <v>0.15833333333333333</v>
      </c>
      <c r="P169" s="2292">
        <v>83838651</v>
      </c>
      <c r="Q169" s="2311">
        <v>1.2999999999999999E-2</v>
      </c>
      <c r="R169" s="2304">
        <v>5956000</v>
      </c>
      <c r="S169" s="2875">
        <v>6.2E-2</v>
      </c>
      <c r="T169" s="2304">
        <f>27431721-R169</f>
        <v>21475721</v>
      </c>
      <c r="U169" s="3266">
        <v>2.5000000000000008E-2</v>
      </c>
      <c r="V169" s="2304">
        <v>42911000</v>
      </c>
      <c r="W169" s="2632">
        <v>0</v>
      </c>
      <c r="X169" s="2304">
        <v>0</v>
      </c>
      <c r="Y169" s="2311">
        <f t="shared" si="36"/>
        <v>0.1</v>
      </c>
      <c r="Z169" s="2304">
        <f t="shared" si="37"/>
        <v>70342721</v>
      </c>
      <c r="AA169" s="2308">
        <f t="shared" si="48"/>
        <v>0.41666666666666663</v>
      </c>
      <c r="AB169" s="2304">
        <f t="shared" si="48"/>
        <v>145018921</v>
      </c>
      <c r="AC169" s="2308">
        <f t="shared" si="39"/>
        <v>0.43859649122807015</v>
      </c>
      <c r="AD169" s="2311">
        <f t="shared" si="40"/>
        <v>0.20002609793103449</v>
      </c>
      <c r="AE169" s="3160"/>
      <c r="AF169" s="2318"/>
      <c r="AG169" s="2318"/>
      <c r="AH169" s="2318"/>
      <c r="AI169" s="2318"/>
      <c r="AJ169" s="2318"/>
      <c r="AK169" s="2318"/>
      <c r="AL169" s="2318"/>
      <c r="AM169" s="2318"/>
      <c r="AN169" s="2318"/>
      <c r="AO169" s="2318"/>
      <c r="AP169" s="2318"/>
      <c r="AQ169" s="2318"/>
      <c r="AR169" s="2318"/>
      <c r="AS169" s="2318"/>
      <c r="AT169" s="2318"/>
      <c r="AU169" s="2318"/>
      <c r="AV169" s="2318"/>
      <c r="AW169" s="2318"/>
      <c r="AX169" s="2318"/>
      <c r="AY169" s="2318"/>
      <c r="AZ169" s="2318"/>
      <c r="BA169" s="2318"/>
      <c r="BB169" s="2318"/>
      <c r="BC169" s="2318"/>
      <c r="BD169" s="2318"/>
      <c r="BE169" s="2318"/>
      <c r="BF169" s="2318"/>
      <c r="BG169" s="2318"/>
      <c r="BH169" s="2318"/>
      <c r="BI169" s="2318"/>
      <c r="BJ169" s="2318"/>
      <c r="BK169" s="2318"/>
      <c r="BL169" s="2318"/>
      <c r="BM169" s="2318"/>
      <c r="BN169" s="2318"/>
      <c r="BO169" s="2318"/>
      <c r="BP169" s="2318"/>
      <c r="BQ169" s="2318"/>
      <c r="BR169" s="2318"/>
      <c r="BS169" s="2318"/>
      <c r="BT169" s="2318"/>
      <c r="BU169" s="2318"/>
      <c r="BV169" s="2318"/>
      <c r="BW169" s="2318"/>
      <c r="BX169" s="2318"/>
    </row>
    <row r="170" spans="1:76" s="2608" customFormat="1" ht="100.5" customHeight="1">
      <c r="A170" s="2632"/>
      <c r="B170" s="2632"/>
      <c r="C170" s="3794">
        <v>1</v>
      </c>
      <c r="D170" s="2446" t="s">
        <v>66</v>
      </c>
      <c r="E170" s="2446" t="s">
        <v>65</v>
      </c>
      <c r="F170" s="2446">
        <v>22</v>
      </c>
      <c r="G170" s="2446">
        <v>13</v>
      </c>
      <c r="H170" s="2446"/>
      <c r="I170" s="3168" t="s">
        <v>2353</v>
      </c>
      <c r="J170" s="1523" t="s">
        <v>2354</v>
      </c>
      <c r="K170" s="2290">
        <v>1</v>
      </c>
      <c r="L170" s="2292">
        <v>575000000</v>
      </c>
      <c r="M170" s="2378">
        <f t="shared" si="43"/>
        <v>0.33333333333333331</v>
      </c>
      <c r="N170" s="2292">
        <v>0</v>
      </c>
      <c r="O170" s="2313">
        <f t="shared" si="47"/>
        <v>0.16666666666666666</v>
      </c>
      <c r="P170" s="2292">
        <v>66569211</v>
      </c>
      <c r="Q170" s="2311">
        <v>2.3E-2</v>
      </c>
      <c r="R170" s="2304">
        <v>6846000</v>
      </c>
      <c r="S170" s="2875">
        <v>5.1999999999999998E-2</v>
      </c>
      <c r="T170" s="2304">
        <f>18058000-R170</f>
        <v>11212000</v>
      </c>
      <c r="U170" s="3266">
        <v>5.5000000000000014E-2</v>
      </c>
      <c r="V170" s="2304">
        <v>25122721</v>
      </c>
      <c r="W170" s="2632"/>
      <c r="X170" s="2304"/>
      <c r="Y170" s="2311">
        <f t="shared" si="36"/>
        <v>0.13</v>
      </c>
      <c r="Z170" s="2304">
        <f t="shared" si="37"/>
        <v>43180721</v>
      </c>
      <c r="AA170" s="2308"/>
      <c r="AB170" s="2304"/>
      <c r="AC170" s="2308">
        <f t="shared" si="39"/>
        <v>0</v>
      </c>
      <c r="AD170" s="2311">
        <f t="shared" si="40"/>
        <v>0</v>
      </c>
      <c r="AE170" s="3160"/>
      <c r="AF170" s="2318"/>
      <c r="AG170" s="2318"/>
      <c r="AH170" s="2318"/>
      <c r="AI170" s="2318"/>
      <c r="AJ170" s="2318"/>
      <c r="AK170" s="2318"/>
      <c r="AL170" s="2318"/>
      <c r="AM170" s="2318"/>
      <c r="AN170" s="2318"/>
      <c r="AO170" s="2318"/>
      <c r="AP170" s="2318"/>
      <c r="AQ170" s="2318"/>
      <c r="AR170" s="2318"/>
      <c r="AS170" s="2318"/>
      <c r="AT170" s="2318"/>
      <c r="AU170" s="2318"/>
      <c r="AV170" s="2318"/>
      <c r="AW170" s="2318"/>
      <c r="AX170" s="2318"/>
      <c r="AY170" s="2318"/>
      <c r="AZ170" s="2318"/>
      <c r="BA170" s="2318"/>
      <c r="BB170" s="2318"/>
      <c r="BC170" s="2318"/>
      <c r="BD170" s="2318"/>
      <c r="BE170" s="2318"/>
      <c r="BF170" s="2318"/>
      <c r="BG170" s="2318"/>
      <c r="BH170" s="2318"/>
      <c r="BI170" s="2318"/>
      <c r="BJ170" s="2318"/>
      <c r="BK170" s="2318"/>
      <c r="BL170" s="2318"/>
      <c r="BM170" s="2318"/>
      <c r="BN170" s="2318"/>
      <c r="BO170" s="2318"/>
      <c r="BP170" s="2318"/>
      <c r="BQ170" s="2318"/>
      <c r="BR170" s="2318"/>
      <c r="BS170" s="2318"/>
      <c r="BT170" s="2318"/>
      <c r="BU170" s="2318"/>
      <c r="BV170" s="2318"/>
      <c r="BW170" s="2318"/>
      <c r="BX170" s="2318"/>
    </row>
    <row r="171" spans="1:76" s="2271" customFormat="1" ht="48" customHeight="1">
      <c r="A171" s="2335">
        <v>10</v>
      </c>
      <c r="B171" s="2345" t="s">
        <v>2268</v>
      </c>
      <c r="C171" s="2874">
        <v>1</v>
      </c>
      <c r="D171" s="2447" t="s">
        <v>66</v>
      </c>
      <c r="E171" s="2447" t="s">
        <v>65</v>
      </c>
      <c r="F171" s="2447" t="s">
        <v>360</v>
      </c>
      <c r="G171" s="2874"/>
      <c r="H171" s="2874"/>
      <c r="I171" s="2359" t="s">
        <v>2355</v>
      </c>
      <c r="J171" s="2368" t="s">
        <v>3951</v>
      </c>
      <c r="K171" s="2336">
        <v>1</v>
      </c>
      <c r="L171" s="2357">
        <v>14783911700</v>
      </c>
      <c r="M171" s="2362">
        <f t="shared" si="43"/>
        <v>0.33333333333333331</v>
      </c>
      <c r="N171" s="2361">
        <v>1499238280</v>
      </c>
      <c r="O171" s="2338">
        <f>M171/2</f>
        <v>0.16666666666666666</v>
      </c>
      <c r="P171" s="3161">
        <f>SUM(P172:P176)</f>
        <v>2286918814</v>
      </c>
      <c r="Q171" s="2366">
        <v>3.8699999999999998E-2</v>
      </c>
      <c r="R171" s="2339">
        <f>SUM(R172:R176)</f>
        <v>88610116</v>
      </c>
      <c r="S171" s="2876">
        <f>SUM(S172:S176)/5</f>
        <v>1.26E-2</v>
      </c>
      <c r="T171" s="2342">
        <f>SUM(T172:T176)</f>
        <v>470813796</v>
      </c>
      <c r="U171" s="2876">
        <f>SUM(U172:U176)/5</f>
        <v>5.0720000000000001E-2</v>
      </c>
      <c r="V171" s="2342">
        <f>SUM(V172:V176)</f>
        <v>468989128</v>
      </c>
      <c r="W171" s="2335">
        <v>0</v>
      </c>
      <c r="X171" s="2342">
        <f>SUM(X172:X176)</f>
        <v>0</v>
      </c>
      <c r="Y171" s="2410">
        <f t="shared" si="36"/>
        <v>0.10202</v>
      </c>
      <c r="Z171" s="2342">
        <f t="shared" si="37"/>
        <v>1028413040</v>
      </c>
      <c r="AA171" s="2362">
        <f t="shared" si="48"/>
        <v>0.43535333333333331</v>
      </c>
      <c r="AB171" s="2342">
        <f t="shared" si="48"/>
        <v>2527651320</v>
      </c>
      <c r="AC171" s="2362">
        <f t="shared" ref="AC171:AC202" si="49">(AA171/K171)*100%</f>
        <v>0.43535333333333331</v>
      </c>
      <c r="AD171" s="2410">
        <f t="shared" ref="AD171:AD202" si="50">AB171/L171</f>
        <v>0.17097310720544956</v>
      </c>
      <c r="AE171" s="3138" t="s">
        <v>2272</v>
      </c>
      <c r="AF171" s="2620"/>
      <c r="AG171" s="2620"/>
      <c r="AH171" s="2620"/>
      <c r="AI171" s="2620"/>
      <c r="AJ171" s="2620"/>
      <c r="AK171" s="2620"/>
      <c r="AL171" s="2620"/>
      <c r="AM171" s="2620"/>
      <c r="AN171" s="2620"/>
      <c r="AO171" s="2620"/>
      <c r="AP171" s="2620"/>
      <c r="AQ171" s="2620"/>
      <c r="AR171" s="2620"/>
      <c r="AS171" s="2620"/>
      <c r="AT171" s="2620"/>
      <c r="AU171" s="2620"/>
      <c r="AV171" s="2620"/>
      <c r="AW171" s="2620"/>
      <c r="AX171" s="2620"/>
      <c r="AY171" s="2620"/>
      <c r="AZ171" s="2620"/>
      <c r="BA171" s="2620"/>
      <c r="BB171" s="2620"/>
      <c r="BC171" s="2620"/>
      <c r="BD171" s="2620"/>
      <c r="BE171" s="2620"/>
      <c r="BF171" s="2620"/>
      <c r="BG171" s="2620"/>
      <c r="BH171" s="2620"/>
      <c r="BI171" s="2620"/>
      <c r="BJ171" s="2620"/>
      <c r="BK171" s="2620"/>
      <c r="BL171" s="2620"/>
      <c r="BM171" s="2620"/>
      <c r="BN171" s="2620"/>
      <c r="BO171" s="2620"/>
      <c r="BP171" s="2620"/>
      <c r="BQ171" s="2620"/>
      <c r="BR171" s="2620"/>
      <c r="BS171" s="2620"/>
      <c r="BT171" s="2620"/>
      <c r="BU171" s="2620"/>
      <c r="BV171" s="2620"/>
      <c r="BW171" s="2620"/>
      <c r="BX171" s="2620"/>
    </row>
    <row r="172" spans="1:76" s="2608" customFormat="1" ht="76.5" customHeight="1">
      <c r="A172" s="2632"/>
      <c r="B172" s="2632"/>
      <c r="C172" s="3794">
        <v>1</v>
      </c>
      <c r="D172" s="2446" t="s">
        <v>66</v>
      </c>
      <c r="E172" s="2446" t="s">
        <v>65</v>
      </c>
      <c r="F172" s="2446" t="s">
        <v>360</v>
      </c>
      <c r="G172" s="2446" t="s">
        <v>198</v>
      </c>
      <c r="H172" s="2446"/>
      <c r="I172" s="3168" t="s">
        <v>2358</v>
      </c>
      <c r="J172" s="2516" t="s">
        <v>2359</v>
      </c>
      <c r="K172" s="2290">
        <v>1</v>
      </c>
      <c r="L172" s="2292">
        <v>3919555000</v>
      </c>
      <c r="M172" s="2378">
        <f t="shared" si="43"/>
        <v>0.33333333333333331</v>
      </c>
      <c r="N172" s="2292">
        <v>450762438</v>
      </c>
      <c r="O172" s="2310">
        <f t="shared" ref="O172:O183" si="51">M172/2</f>
        <v>0.16666666666666666</v>
      </c>
      <c r="P172" s="2292">
        <v>519246807</v>
      </c>
      <c r="Q172" s="2407">
        <v>3.7999999999999999E-2</v>
      </c>
      <c r="R172" s="2304">
        <v>19733200</v>
      </c>
      <c r="S172" s="2875">
        <v>2E-3</v>
      </c>
      <c r="T172" s="2304">
        <f>190374800-R172</f>
        <v>170641600</v>
      </c>
      <c r="U172" s="3266">
        <v>4.9999999999999996E-2</v>
      </c>
      <c r="V172" s="2304">
        <v>41525200</v>
      </c>
      <c r="W172" s="2632">
        <v>0</v>
      </c>
      <c r="X172" s="2304">
        <v>0</v>
      </c>
      <c r="Y172" s="2311">
        <f t="shared" si="36"/>
        <v>0.09</v>
      </c>
      <c r="Z172" s="2304">
        <f t="shared" si="37"/>
        <v>231900000</v>
      </c>
      <c r="AA172" s="2308">
        <f t="shared" si="48"/>
        <v>0.42333333333333334</v>
      </c>
      <c r="AB172" s="2304">
        <f t="shared" si="48"/>
        <v>682662438</v>
      </c>
      <c r="AC172" s="2308">
        <f t="shared" si="49"/>
        <v>0.42333333333333334</v>
      </c>
      <c r="AD172" s="2311">
        <f t="shared" si="50"/>
        <v>0.17416835278494625</v>
      </c>
      <c r="AE172" s="3160"/>
      <c r="AF172" s="2318"/>
      <c r="AG172" s="2318"/>
      <c r="AH172" s="2318"/>
      <c r="AI172" s="2318"/>
      <c r="AJ172" s="2318"/>
      <c r="AK172" s="2318"/>
      <c r="AL172" s="2318"/>
      <c r="AM172" s="2318"/>
      <c r="AN172" s="2318"/>
      <c r="AO172" s="2318"/>
      <c r="AP172" s="2318"/>
      <c r="AQ172" s="2318"/>
      <c r="AR172" s="2318"/>
      <c r="AS172" s="2318"/>
      <c r="AT172" s="2318"/>
      <c r="AU172" s="2318"/>
      <c r="AV172" s="2318"/>
      <c r="AW172" s="2318"/>
      <c r="AX172" s="2318"/>
      <c r="AY172" s="2318"/>
      <c r="AZ172" s="2318"/>
      <c r="BA172" s="2318"/>
      <c r="BB172" s="2318"/>
      <c r="BC172" s="2318"/>
      <c r="BD172" s="2318"/>
      <c r="BE172" s="2318"/>
      <c r="BF172" s="2318"/>
      <c r="BG172" s="2318"/>
      <c r="BH172" s="2318"/>
      <c r="BI172" s="2318"/>
      <c r="BJ172" s="2318"/>
      <c r="BK172" s="2318"/>
      <c r="BL172" s="2318"/>
      <c r="BM172" s="2318"/>
      <c r="BN172" s="2318"/>
      <c r="BO172" s="2318"/>
      <c r="BP172" s="2318"/>
      <c r="BQ172" s="2318"/>
      <c r="BR172" s="2318"/>
      <c r="BS172" s="2318"/>
      <c r="BT172" s="2318"/>
      <c r="BU172" s="2318"/>
      <c r="BV172" s="2318"/>
      <c r="BW172" s="2318"/>
      <c r="BX172" s="2318"/>
    </row>
    <row r="173" spans="1:76" s="2608" customFormat="1" ht="51.75" customHeight="1">
      <c r="A173" s="2632"/>
      <c r="B173" s="2632"/>
      <c r="C173" s="3794">
        <v>1</v>
      </c>
      <c r="D173" s="2446" t="s">
        <v>66</v>
      </c>
      <c r="E173" s="2446" t="s">
        <v>65</v>
      </c>
      <c r="F173" s="2446" t="s">
        <v>360</v>
      </c>
      <c r="G173" s="2446" t="s">
        <v>93</v>
      </c>
      <c r="H173" s="2446"/>
      <c r="I173" s="3168" t="s">
        <v>2360</v>
      </c>
      <c r="J173" s="2516" t="s">
        <v>2361</v>
      </c>
      <c r="K173" s="2290">
        <v>1</v>
      </c>
      <c r="L173" s="2292">
        <v>485000000</v>
      </c>
      <c r="M173" s="2378">
        <f t="shared" si="43"/>
        <v>0.33333333333333331</v>
      </c>
      <c r="N173" s="2292">
        <v>55314008</v>
      </c>
      <c r="O173" s="2310">
        <f t="shared" si="51"/>
        <v>0.16666666666666666</v>
      </c>
      <c r="P173" s="2292">
        <v>40091304</v>
      </c>
      <c r="Q173" s="2407">
        <v>4.5400000000000003E-2</v>
      </c>
      <c r="R173" s="2304">
        <v>1819200</v>
      </c>
      <c r="S173" s="2875">
        <v>5.0000000000000001E-3</v>
      </c>
      <c r="T173" s="2304">
        <f>2690800-R173</f>
        <v>871600</v>
      </c>
      <c r="U173" s="3266">
        <v>4.9599999999999998E-2</v>
      </c>
      <c r="V173" s="2304">
        <v>27444836</v>
      </c>
      <c r="W173" s="2632">
        <v>0</v>
      </c>
      <c r="X173" s="2304">
        <v>0</v>
      </c>
      <c r="Y173" s="2311">
        <f t="shared" ref="Y173:Y202" si="52">Q173+S173+U173+W173</f>
        <v>0.1</v>
      </c>
      <c r="Z173" s="2304">
        <f t="shared" ref="Z173:Z202" si="53">R173+T173+V173+X173</f>
        <v>30135636</v>
      </c>
      <c r="AA173" s="2308">
        <f t="shared" si="48"/>
        <v>0.43333333333333335</v>
      </c>
      <c r="AB173" s="2304">
        <f t="shared" si="48"/>
        <v>85449644</v>
      </c>
      <c r="AC173" s="2308">
        <f t="shared" si="49"/>
        <v>0.43333333333333335</v>
      </c>
      <c r="AD173" s="2311">
        <f t="shared" si="50"/>
        <v>0.17618483298969073</v>
      </c>
      <c r="AE173" s="3160"/>
      <c r="AF173" s="2318"/>
      <c r="AG173" s="2318"/>
      <c r="AH173" s="2318"/>
      <c r="AI173" s="2318"/>
      <c r="AJ173" s="2318"/>
      <c r="AK173" s="2318"/>
      <c r="AL173" s="2318"/>
      <c r="AM173" s="2318"/>
      <c r="AN173" s="2318"/>
      <c r="AO173" s="2318"/>
      <c r="AP173" s="2318"/>
      <c r="AQ173" s="2318"/>
      <c r="AR173" s="2318"/>
      <c r="AS173" s="2318"/>
      <c r="AT173" s="2318"/>
      <c r="AU173" s="2318"/>
      <c r="AV173" s="2318"/>
      <c r="AW173" s="2318"/>
      <c r="AX173" s="2318"/>
      <c r="AY173" s="2318"/>
      <c r="AZ173" s="2318"/>
      <c r="BA173" s="2318"/>
      <c r="BB173" s="2318"/>
      <c r="BC173" s="2318"/>
      <c r="BD173" s="2318"/>
      <c r="BE173" s="2318"/>
      <c r="BF173" s="2318"/>
      <c r="BG173" s="2318"/>
      <c r="BH173" s="2318"/>
      <c r="BI173" s="2318"/>
      <c r="BJ173" s="2318"/>
      <c r="BK173" s="2318"/>
      <c r="BL173" s="2318"/>
      <c r="BM173" s="2318"/>
      <c r="BN173" s="2318"/>
      <c r="BO173" s="2318"/>
      <c r="BP173" s="2318"/>
      <c r="BQ173" s="2318"/>
      <c r="BR173" s="2318"/>
      <c r="BS173" s="2318"/>
      <c r="BT173" s="2318"/>
      <c r="BU173" s="2318"/>
      <c r="BV173" s="2318"/>
      <c r="BW173" s="2318"/>
      <c r="BX173" s="2318"/>
    </row>
    <row r="174" spans="1:76" s="2608" customFormat="1" ht="89.25" customHeight="1">
      <c r="A174" s="2632"/>
      <c r="B174" s="2632"/>
      <c r="C174" s="3794">
        <v>1</v>
      </c>
      <c r="D174" s="2446" t="s">
        <v>66</v>
      </c>
      <c r="E174" s="2446" t="s">
        <v>65</v>
      </c>
      <c r="F174" s="2446" t="s">
        <v>360</v>
      </c>
      <c r="G174" s="2446" t="s">
        <v>201</v>
      </c>
      <c r="H174" s="2446"/>
      <c r="I174" s="3168" t="s">
        <v>2362</v>
      </c>
      <c r="J174" s="2516" t="s">
        <v>2363</v>
      </c>
      <c r="K174" s="2290">
        <v>0.95</v>
      </c>
      <c r="L174" s="2292">
        <v>757321500</v>
      </c>
      <c r="M174" s="2378">
        <f t="shared" si="43"/>
        <v>0.31666666666666665</v>
      </c>
      <c r="N174" s="2292">
        <v>65831950</v>
      </c>
      <c r="O174" s="2310">
        <f t="shared" si="51"/>
        <v>0.15833333333333333</v>
      </c>
      <c r="P174" s="2292">
        <v>71402500</v>
      </c>
      <c r="Q174" s="2407">
        <v>5.0999999999999997E-2</v>
      </c>
      <c r="R174" s="2304">
        <v>3643100</v>
      </c>
      <c r="S174" s="2875">
        <v>5.0000000000000001E-3</v>
      </c>
      <c r="T174" s="2304">
        <f>13595850-R174</f>
        <v>9952750</v>
      </c>
      <c r="U174" s="3266">
        <v>4.4000000000000004E-2</v>
      </c>
      <c r="V174" s="2304">
        <v>22884100</v>
      </c>
      <c r="W174" s="2632">
        <v>0</v>
      </c>
      <c r="X174" s="2304">
        <v>0</v>
      </c>
      <c r="Y174" s="2311">
        <f t="shared" si="52"/>
        <v>0.1</v>
      </c>
      <c r="Z174" s="2304">
        <f t="shared" si="53"/>
        <v>36479950</v>
      </c>
      <c r="AA174" s="2308">
        <f t="shared" si="48"/>
        <v>0.41666666666666663</v>
      </c>
      <c r="AB174" s="2304">
        <f t="shared" si="48"/>
        <v>102311900</v>
      </c>
      <c r="AC174" s="2308">
        <f t="shared" si="49"/>
        <v>0.43859649122807015</v>
      </c>
      <c r="AD174" s="2311">
        <f t="shared" si="50"/>
        <v>0.13509704927167657</v>
      </c>
      <c r="AE174" s="3160"/>
      <c r="AF174" s="2318"/>
      <c r="AG174" s="2318"/>
      <c r="AH174" s="2318"/>
      <c r="AI174" s="2318"/>
      <c r="AJ174" s="2318"/>
      <c r="AK174" s="2318"/>
      <c r="AL174" s="2318"/>
      <c r="AM174" s="2318"/>
      <c r="AN174" s="2318"/>
      <c r="AO174" s="2318"/>
      <c r="AP174" s="2318"/>
      <c r="AQ174" s="2318"/>
      <c r="AR174" s="2318"/>
      <c r="AS174" s="2318"/>
      <c r="AT174" s="2318"/>
      <c r="AU174" s="2318"/>
      <c r="AV174" s="2318"/>
      <c r="AW174" s="2318"/>
      <c r="AX174" s="2318"/>
      <c r="AY174" s="2318"/>
      <c r="AZ174" s="2318"/>
      <c r="BA174" s="2318"/>
      <c r="BB174" s="2318"/>
      <c r="BC174" s="2318"/>
      <c r="BD174" s="2318"/>
      <c r="BE174" s="2318"/>
      <c r="BF174" s="2318"/>
      <c r="BG174" s="2318"/>
      <c r="BH174" s="2318"/>
      <c r="BI174" s="2318"/>
      <c r="BJ174" s="2318"/>
      <c r="BK174" s="2318"/>
      <c r="BL174" s="2318"/>
      <c r="BM174" s="2318"/>
      <c r="BN174" s="2318"/>
      <c r="BO174" s="2318"/>
      <c r="BP174" s="2318"/>
      <c r="BQ174" s="2318"/>
      <c r="BR174" s="2318"/>
      <c r="BS174" s="2318"/>
      <c r="BT174" s="2318"/>
      <c r="BU174" s="2318"/>
      <c r="BV174" s="2318"/>
      <c r="BW174" s="2318"/>
      <c r="BX174" s="2318"/>
    </row>
    <row r="175" spans="1:76" s="2608" customFormat="1" ht="66.75" customHeight="1">
      <c r="A175" s="2632"/>
      <c r="B175" s="2632"/>
      <c r="C175" s="3794">
        <v>1</v>
      </c>
      <c r="D175" s="2446" t="s">
        <v>66</v>
      </c>
      <c r="E175" s="2446" t="s">
        <v>65</v>
      </c>
      <c r="F175" s="2446" t="s">
        <v>360</v>
      </c>
      <c r="G175" s="2446" t="s">
        <v>202</v>
      </c>
      <c r="H175" s="2446"/>
      <c r="I175" s="3168" t="s">
        <v>2364</v>
      </c>
      <c r="J175" s="2516" t="s">
        <v>2365</v>
      </c>
      <c r="K175" s="2290">
        <v>1</v>
      </c>
      <c r="L175" s="2292">
        <v>595000000</v>
      </c>
      <c r="M175" s="2378">
        <f t="shared" si="43"/>
        <v>0.33333333333333331</v>
      </c>
      <c r="N175" s="2292">
        <v>41456000</v>
      </c>
      <c r="O175" s="2310">
        <f t="shared" si="51"/>
        <v>0.16666666666666666</v>
      </c>
      <c r="P175" s="2292">
        <v>32178203</v>
      </c>
      <c r="Q175" s="2407">
        <v>0.1024</v>
      </c>
      <c r="R175" s="2304">
        <v>3294000</v>
      </c>
      <c r="S175" s="2875">
        <v>3.7999999999999999E-2</v>
      </c>
      <c r="T175" s="2304">
        <f>4699800-R175</f>
        <v>1405800</v>
      </c>
      <c r="U175" s="3266">
        <v>0.05</v>
      </c>
      <c r="V175" s="2304">
        <v>7365600</v>
      </c>
      <c r="W175" s="2632">
        <v>0</v>
      </c>
      <c r="X175" s="2304">
        <v>0</v>
      </c>
      <c r="Y175" s="2311">
        <f t="shared" si="52"/>
        <v>0.19040000000000001</v>
      </c>
      <c r="Z175" s="2304">
        <f t="shared" si="53"/>
        <v>12065400</v>
      </c>
      <c r="AA175" s="2308">
        <f t="shared" si="48"/>
        <v>0.52373333333333338</v>
      </c>
      <c r="AB175" s="2304">
        <f t="shared" si="48"/>
        <v>53521400</v>
      </c>
      <c r="AC175" s="2308">
        <f t="shared" si="49"/>
        <v>0.52373333333333338</v>
      </c>
      <c r="AD175" s="2311">
        <f t="shared" si="50"/>
        <v>8.9951932773109242E-2</v>
      </c>
      <c r="AE175" s="3160"/>
      <c r="AF175" s="2318"/>
      <c r="AG175" s="2318"/>
      <c r="AH175" s="2318"/>
      <c r="AI175" s="2318"/>
      <c r="AJ175" s="2318"/>
      <c r="AK175" s="2318"/>
      <c r="AL175" s="2318"/>
      <c r="AM175" s="2318"/>
      <c r="AN175" s="2318"/>
      <c r="AO175" s="2318"/>
      <c r="AP175" s="2318"/>
      <c r="AQ175" s="2318"/>
      <c r="AR175" s="2318"/>
      <c r="AS175" s="2318"/>
      <c r="AT175" s="2318"/>
      <c r="AU175" s="2318"/>
      <c r="AV175" s="2318"/>
      <c r="AW175" s="2318"/>
      <c r="AX175" s="2318"/>
      <c r="AY175" s="2318"/>
      <c r="AZ175" s="2318"/>
      <c r="BA175" s="2318"/>
      <c r="BB175" s="2318"/>
      <c r="BC175" s="2318"/>
      <c r="BD175" s="2318"/>
      <c r="BE175" s="2318"/>
      <c r="BF175" s="2318"/>
      <c r="BG175" s="2318"/>
      <c r="BH175" s="2318"/>
      <c r="BI175" s="2318"/>
      <c r="BJ175" s="2318"/>
      <c r="BK175" s="2318"/>
      <c r="BL175" s="2318"/>
      <c r="BM175" s="2318"/>
      <c r="BN175" s="2318"/>
      <c r="BO175" s="2318"/>
      <c r="BP175" s="2318"/>
      <c r="BQ175" s="2318"/>
      <c r="BR175" s="2318"/>
      <c r="BS175" s="2318"/>
      <c r="BT175" s="2318"/>
      <c r="BU175" s="2318"/>
      <c r="BV175" s="2318"/>
      <c r="BW175" s="2318"/>
      <c r="BX175" s="2318"/>
    </row>
    <row r="176" spans="1:76" s="2608" customFormat="1" ht="51" customHeight="1">
      <c r="A176" s="2632"/>
      <c r="B176" s="2632"/>
      <c r="C176" s="3794">
        <v>1</v>
      </c>
      <c r="D176" s="2446" t="s">
        <v>66</v>
      </c>
      <c r="E176" s="2446" t="s">
        <v>65</v>
      </c>
      <c r="F176" s="2446" t="s">
        <v>360</v>
      </c>
      <c r="G176" s="2446" t="s">
        <v>417</v>
      </c>
      <c r="H176" s="2446"/>
      <c r="I176" s="3168" t="s">
        <v>2366</v>
      </c>
      <c r="J176" s="2516" t="s">
        <v>2367</v>
      </c>
      <c r="K176" s="2290">
        <v>1</v>
      </c>
      <c r="L176" s="2482">
        <v>6027035200</v>
      </c>
      <c r="M176" s="2378">
        <f t="shared" si="43"/>
        <v>0.33333333333333331</v>
      </c>
      <c r="N176" s="2292">
        <v>885873884</v>
      </c>
      <c r="O176" s="2310">
        <f t="shared" si="51"/>
        <v>0.16666666666666666</v>
      </c>
      <c r="P176" s="2292">
        <v>1624000000</v>
      </c>
      <c r="Q176" s="2407">
        <v>3.6999999999999998E-2</v>
      </c>
      <c r="R176" s="2304">
        <v>60120616</v>
      </c>
      <c r="S176" s="2875">
        <v>1.2999999999999999E-2</v>
      </c>
      <c r="T176" s="2304">
        <f>348062662-R176</f>
        <v>287942046</v>
      </c>
      <c r="U176" s="3266">
        <v>6.0000000000000005E-2</v>
      </c>
      <c r="V176" s="2304">
        <v>369769392</v>
      </c>
      <c r="W176" s="2632">
        <v>0</v>
      </c>
      <c r="X176" s="2304">
        <v>0</v>
      </c>
      <c r="Y176" s="2311">
        <f t="shared" si="52"/>
        <v>0.11</v>
      </c>
      <c r="Z176" s="2304">
        <f t="shared" si="53"/>
        <v>717832054</v>
      </c>
      <c r="AA176" s="2308">
        <f t="shared" si="48"/>
        <v>0.4433333333333333</v>
      </c>
      <c r="AB176" s="2304">
        <f t="shared" si="48"/>
        <v>1603705938</v>
      </c>
      <c r="AC176" s="2308">
        <f t="shared" si="49"/>
        <v>0.4433333333333333</v>
      </c>
      <c r="AD176" s="2311">
        <f t="shared" si="50"/>
        <v>0.26608537776583752</v>
      </c>
      <c r="AE176" s="3160"/>
      <c r="AF176" s="2318"/>
      <c r="AG176" s="2318"/>
      <c r="AH176" s="2318"/>
      <c r="AI176" s="2318"/>
      <c r="AJ176" s="2318"/>
      <c r="AK176" s="2318"/>
      <c r="AL176" s="2318"/>
      <c r="AM176" s="2318"/>
      <c r="AN176" s="2318"/>
      <c r="AO176" s="2318"/>
      <c r="AP176" s="2318"/>
      <c r="AQ176" s="2318"/>
      <c r="AR176" s="2318"/>
      <c r="AS176" s="2318"/>
      <c r="AT176" s="2318"/>
      <c r="AU176" s="2318"/>
      <c r="AV176" s="2318"/>
      <c r="AW176" s="2318"/>
      <c r="AX176" s="2318"/>
      <c r="AY176" s="2318"/>
      <c r="AZ176" s="2318"/>
      <c r="BA176" s="2318"/>
      <c r="BB176" s="2318"/>
      <c r="BC176" s="2318"/>
      <c r="BD176" s="2318"/>
      <c r="BE176" s="2318"/>
      <c r="BF176" s="2318"/>
      <c r="BG176" s="2318"/>
      <c r="BH176" s="2318"/>
      <c r="BI176" s="2318"/>
      <c r="BJ176" s="2318"/>
      <c r="BK176" s="2318"/>
      <c r="BL176" s="2318"/>
      <c r="BM176" s="2318"/>
      <c r="BN176" s="2318"/>
      <c r="BO176" s="2318"/>
      <c r="BP176" s="2318"/>
      <c r="BQ176" s="2318"/>
      <c r="BR176" s="2318"/>
      <c r="BS176" s="2318"/>
      <c r="BT176" s="2318"/>
      <c r="BU176" s="2318"/>
      <c r="BV176" s="2318"/>
      <c r="BW176" s="2318"/>
      <c r="BX176" s="2318"/>
    </row>
    <row r="177" spans="1:76" s="2271" customFormat="1" ht="76.5" customHeight="1">
      <c r="A177" s="2335">
        <v>11</v>
      </c>
      <c r="B177" s="2345" t="s">
        <v>2268</v>
      </c>
      <c r="C177" s="2874">
        <v>1</v>
      </c>
      <c r="D177" s="2447" t="s">
        <v>66</v>
      </c>
      <c r="E177" s="2447" t="s">
        <v>65</v>
      </c>
      <c r="F177" s="2447" t="s">
        <v>515</v>
      </c>
      <c r="G177" s="2874"/>
      <c r="H177" s="2874"/>
      <c r="I177" s="2359" t="s">
        <v>2368</v>
      </c>
      <c r="J177" s="2350" t="s">
        <v>2369</v>
      </c>
      <c r="K177" s="2369">
        <v>1</v>
      </c>
      <c r="L177" s="2357">
        <v>107046500000</v>
      </c>
      <c r="M177" s="2362">
        <f t="shared" si="43"/>
        <v>0.33333333333333331</v>
      </c>
      <c r="N177" s="2361">
        <v>10009119676</v>
      </c>
      <c r="O177" s="2365">
        <f t="shared" si="51"/>
        <v>0.16666666666666666</v>
      </c>
      <c r="P177" s="2361">
        <f>SUM(P178:P184)</f>
        <v>12242512030</v>
      </c>
      <c r="Q177" s="2410">
        <f>SUM(Q178:Q181)/4</f>
        <v>1.2750000000000001E-2</v>
      </c>
      <c r="R177" s="2342">
        <f>SUM(R178:R184)</f>
        <v>25362900</v>
      </c>
      <c r="S177" s="2876">
        <f>SUM(S178:S183)/6</f>
        <v>3.6833333333333336E-2</v>
      </c>
      <c r="T177" s="2342">
        <f>SUM(T178:T184)</f>
        <v>1838854650</v>
      </c>
      <c r="U177" s="2876">
        <f>SUM(U178:U183)/6</f>
        <v>9.6000000000000016E-2</v>
      </c>
      <c r="V177" s="2342">
        <f>SUM(V178:V184)</f>
        <v>4446407340</v>
      </c>
      <c r="W177" s="2335">
        <v>0</v>
      </c>
      <c r="X177" s="2342">
        <f>SUM(X178:X184)</f>
        <v>0</v>
      </c>
      <c r="Y177" s="2410">
        <f t="shared" si="52"/>
        <v>0.14558333333333334</v>
      </c>
      <c r="Z177" s="2342">
        <f t="shared" si="53"/>
        <v>6310624890</v>
      </c>
      <c r="AA177" s="2362">
        <f t="shared" si="48"/>
        <v>0.47891666666666666</v>
      </c>
      <c r="AB177" s="2342">
        <f t="shared" si="48"/>
        <v>16319744566</v>
      </c>
      <c r="AC177" s="2362">
        <f t="shared" si="49"/>
        <v>0.47891666666666666</v>
      </c>
      <c r="AD177" s="2410">
        <f t="shared" si="50"/>
        <v>0.15245472356405862</v>
      </c>
      <c r="AE177" s="3138" t="s">
        <v>2272</v>
      </c>
      <c r="AF177" s="2620"/>
      <c r="AG177" s="2620"/>
      <c r="AH177" s="2620"/>
      <c r="AI177" s="2620"/>
      <c r="AJ177" s="2620"/>
      <c r="AK177" s="2620"/>
      <c r="AL177" s="2620"/>
      <c r="AM177" s="2620"/>
      <c r="AN177" s="2620"/>
      <c r="AO177" s="2620"/>
      <c r="AP177" s="2620"/>
      <c r="AQ177" s="2620"/>
      <c r="AR177" s="2620"/>
      <c r="AS177" s="2620"/>
      <c r="AT177" s="2620"/>
      <c r="AU177" s="2620"/>
      <c r="AV177" s="2620"/>
      <c r="AW177" s="2620"/>
      <c r="AX177" s="2620"/>
      <c r="AY177" s="2620"/>
      <c r="AZ177" s="2620"/>
      <c r="BA177" s="2620"/>
      <c r="BB177" s="2620"/>
      <c r="BC177" s="2620"/>
      <c r="BD177" s="2620"/>
      <c r="BE177" s="2620"/>
      <c r="BF177" s="2620"/>
      <c r="BG177" s="2620"/>
      <c r="BH177" s="2620"/>
      <c r="BI177" s="2620"/>
      <c r="BJ177" s="2620"/>
      <c r="BK177" s="2620"/>
      <c r="BL177" s="2620"/>
      <c r="BM177" s="2620"/>
      <c r="BN177" s="2620"/>
      <c r="BO177" s="2620"/>
      <c r="BP177" s="2620"/>
      <c r="BQ177" s="2620"/>
      <c r="BR177" s="2620"/>
      <c r="BS177" s="2620"/>
      <c r="BT177" s="2620"/>
      <c r="BU177" s="2620"/>
      <c r="BV177" s="2620"/>
      <c r="BW177" s="2620"/>
      <c r="BX177" s="2620"/>
    </row>
    <row r="178" spans="1:76" s="2608" customFormat="1" ht="48" customHeight="1">
      <c r="A178" s="2632"/>
      <c r="B178" s="2632"/>
      <c r="C178" s="3794">
        <v>1</v>
      </c>
      <c r="D178" s="2446" t="s">
        <v>66</v>
      </c>
      <c r="E178" s="2446" t="s">
        <v>65</v>
      </c>
      <c r="F178" s="2446" t="s">
        <v>515</v>
      </c>
      <c r="G178" s="2446" t="s">
        <v>95</v>
      </c>
      <c r="H178" s="2446"/>
      <c r="I178" s="3168" t="s">
        <v>2370</v>
      </c>
      <c r="J178" s="2516" t="s">
        <v>2371</v>
      </c>
      <c r="K178" s="2290">
        <v>1</v>
      </c>
      <c r="L178" s="2292">
        <v>4000000000</v>
      </c>
      <c r="M178" s="2378">
        <f t="shared" si="43"/>
        <v>0.33333333333333331</v>
      </c>
      <c r="N178" s="2292">
        <v>806600750</v>
      </c>
      <c r="O178" s="2310">
        <f t="shared" si="51"/>
        <v>0.16666666666666666</v>
      </c>
      <c r="P178" s="2292">
        <v>0</v>
      </c>
      <c r="Q178" s="2311">
        <v>1.2999999999999999E-2</v>
      </c>
      <c r="R178" s="2632">
        <v>0</v>
      </c>
      <c r="S178" s="2875">
        <v>1.4999999999999999E-2</v>
      </c>
      <c r="T178" s="2304">
        <v>0</v>
      </c>
      <c r="U178" s="3266">
        <v>0</v>
      </c>
      <c r="V178" s="2304"/>
      <c r="W178" s="2632">
        <v>0</v>
      </c>
      <c r="X178" s="2304">
        <v>0</v>
      </c>
      <c r="Y178" s="2311">
        <f t="shared" si="52"/>
        <v>2.7999999999999997E-2</v>
      </c>
      <c r="Z178" s="2304">
        <f t="shared" si="53"/>
        <v>0</v>
      </c>
      <c r="AA178" s="2308">
        <f t="shared" si="48"/>
        <v>0.36133333333333328</v>
      </c>
      <c r="AB178" s="2304">
        <f t="shared" si="48"/>
        <v>806600750</v>
      </c>
      <c r="AC178" s="2308">
        <f t="shared" si="49"/>
        <v>0.36133333333333328</v>
      </c>
      <c r="AD178" s="2311">
        <f t="shared" si="50"/>
        <v>0.20165018749999999</v>
      </c>
      <c r="AE178" s="3160"/>
      <c r="AF178" s="2318"/>
      <c r="AG178" s="2318"/>
      <c r="AH178" s="2318"/>
      <c r="AI178" s="2318"/>
      <c r="AJ178" s="2318"/>
      <c r="AK178" s="2318"/>
      <c r="AL178" s="2318"/>
      <c r="AM178" s="2318"/>
      <c r="AN178" s="2318"/>
      <c r="AO178" s="2318"/>
      <c r="AP178" s="2318"/>
      <c r="AQ178" s="2318"/>
      <c r="AR178" s="2318"/>
      <c r="AS178" s="2318"/>
      <c r="AT178" s="2318"/>
      <c r="AU178" s="2318"/>
      <c r="AV178" s="2318"/>
      <c r="AW178" s="2318"/>
      <c r="AX178" s="2318"/>
      <c r="AY178" s="2318"/>
      <c r="AZ178" s="2318"/>
      <c r="BA178" s="2318"/>
      <c r="BB178" s="2318"/>
      <c r="BC178" s="2318"/>
      <c r="BD178" s="2318"/>
      <c r="BE178" s="2318"/>
      <c r="BF178" s="2318"/>
      <c r="BG178" s="2318"/>
      <c r="BH178" s="2318"/>
      <c r="BI178" s="2318"/>
      <c r="BJ178" s="2318"/>
      <c r="BK178" s="2318"/>
      <c r="BL178" s="2318"/>
      <c r="BM178" s="2318"/>
      <c r="BN178" s="2318"/>
      <c r="BO178" s="2318"/>
      <c r="BP178" s="2318"/>
      <c r="BQ178" s="2318"/>
      <c r="BR178" s="2318"/>
      <c r="BS178" s="2318"/>
      <c r="BT178" s="2318"/>
      <c r="BU178" s="2318"/>
      <c r="BV178" s="2318"/>
      <c r="BW178" s="2318"/>
      <c r="BX178" s="2318"/>
    </row>
    <row r="179" spans="1:76" s="2608" customFormat="1" ht="48" customHeight="1">
      <c r="A179" s="2632"/>
      <c r="B179" s="2632"/>
      <c r="C179" s="3794">
        <v>1</v>
      </c>
      <c r="D179" s="2446" t="s">
        <v>66</v>
      </c>
      <c r="E179" s="2446" t="s">
        <v>65</v>
      </c>
      <c r="F179" s="2446" t="s">
        <v>515</v>
      </c>
      <c r="G179" s="2446" t="s">
        <v>197</v>
      </c>
      <c r="H179" s="2446"/>
      <c r="I179" s="3168" t="s">
        <v>2372</v>
      </c>
      <c r="J179" s="2516" t="s">
        <v>2373</v>
      </c>
      <c r="K179" s="2290">
        <v>1</v>
      </c>
      <c r="L179" s="2292">
        <v>30346500000</v>
      </c>
      <c r="M179" s="2378">
        <f t="shared" si="43"/>
        <v>0.33333333333333331</v>
      </c>
      <c r="N179" s="2292">
        <v>1230110000</v>
      </c>
      <c r="O179" s="2310">
        <f t="shared" si="51"/>
        <v>0.16666666666666666</v>
      </c>
      <c r="P179" s="2292">
        <v>6810266000</v>
      </c>
      <c r="Q179" s="2407">
        <v>1.2E-2</v>
      </c>
      <c r="R179" s="2632">
        <v>0</v>
      </c>
      <c r="S179" s="2875">
        <v>5.1999999999999998E-2</v>
      </c>
      <c r="T179" s="2304">
        <f>1083267500-R179</f>
        <v>1083267500</v>
      </c>
      <c r="U179" s="3266">
        <v>6.6000000000000017E-2</v>
      </c>
      <c r="V179" s="2304">
        <v>2403170740</v>
      </c>
      <c r="W179" s="2632">
        <v>0</v>
      </c>
      <c r="X179" s="2304">
        <v>0</v>
      </c>
      <c r="Y179" s="2311">
        <f t="shared" si="52"/>
        <v>0.13</v>
      </c>
      <c r="Z179" s="2304">
        <f t="shared" si="53"/>
        <v>3486438240</v>
      </c>
      <c r="AA179" s="2308">
        <f t="shared" si="48"/>
        <v>0.46333333333333332</v>
      </c>
      <c r="AB179" s="2304">
        <f t="shared" si="48"/>
        <v>4716548240</v>
      </c>
      <c r="AC179" s="2308">
        <f t="shared" si="49"/>
        <v>0.46333333333333332</v>
      </c>
      <c r="AD179" s="2311">
        <f t="shared" si="50"/>
        <v>0.15542313742935759</v>
      </c>
      <c r="AE179" s="3160"/>
      <c r="AF179" s="2318"/>
      <c r="AG179" s="2318"/>
      <c r="AH179" s="2318"/>
      <c r="AI179" s="2318"/>
      <c r="AJ179" s="2318"/>
      <c r="AK179" s="2318"/>
      <c r="AL179" s="2318"/>
      <c r="AM179" s="2318"/>
      <c r="AN179" s="2318"/>
      <c r="AO179" s="2318"/>
      <c r="AP179" s="2318"/>
      <c r="AQ179" s="2318"/>
      <c r="AR179" s="2318"/>
      <c r="AS179" s="2318"/>
      <c r="AT179" s="2318"/>
      <c r="AU179" s="2318"/>
      <c r="AV179" s="2318"/>
      <c r="AW179" s="2318"/>
      <c r="AX179" s="2318"/>
      <c r="AY179" s="2318"/>
      <c r="AZ179" s="2318"/>
      <c r="BA179" s="2318"/>
      <c r="BB179" s="2318"/>
      <c r="BC179" s="2318"/>
      <c r="BD179" s="2318"/>
      <c r="BE179" s="2318"/>
      <c r="BF179" s="2318"/>
      <c r="BG179" s="2318"/>
      <c r="BH179" s="2318"/>
      <c r="BI179" s="2318"/>
      <c r="BJ179" s="2318"/>
      <c r="BK179" s="2318"/>
      <c r="BL179" s="2318"/>
      <c r="BM179" s="2318"/>
      <c r="BN179" s="2318"/>
      <c r="BO179" s="2318"/>
      <c r="BP179" s="2318"/>
      <c r="BQ179" s="2318"/>
      <c r="BR179" s="2318"/>
      <c r="BS179" s="2318"/>
      <c r="BT179" s="2318"/>
      <c r="BU179" s="2318"/>
      <c r="BV179" s="2318"/>
      <c r="BW179" s="2318"/>
      <c r="BX179" s="2318"/>
    </row>
    <row r="180" spans="1:76" s="2608" customFormat="1" ht="67.5" customHeight="1">
      <c r="A180" s="2632"/>
      <c r="B180" s="2632"/>
      <c r="C180" s="3794">
        <v>1</v>
      </c>
      <c r="D180" s="2446" t="s">
        <v>66</v>
      </c>
      <c r="E180" s="2446" t="s">
        <v>65</v>
      </c>
      <c r="F180" s="2446" t="s">
        <v>515</v>
      </c>
      <c r="G180" s="2446" t="s">
        <v>391</v>
      </c>
      <c r="H180" s="2446"/>
      <c r="I180" s="3168" t="s">
        <v>2374</v>
      </c>
      <c r="J180" s="2516" t="s">
        <v>2375</v>
      </c>
      <c r="K180" s="2290">
        <v>1</v>
      </c>
      <c r="L180" s="2292">
        <v>34000000000</v>
      </c>
      <c r="M180" s="2378">
        <f t="shared" si="43"/>
        <v>0.33333333333333331</v>
      </c>
      <c r="N180" s="2292">
        <v>4517922476</v>
      </c>
      <c r="O180" s="2310">
        <f t="shared" si="51"/>
        <v>0.16666666666666666</v>
      </c>
      <c r="P180" s="2292">
        <v>1583042185</v>
      </c>
      <c r="Q180" s="2311">
        <v>3.0000000000000001E-3</v>
      </c>
      <c r="R180" s="2304">
        <v>4960000</v>
      </c>
      <c r="S180" s="2875">
        <v>3.5000000000000003E-2</v>
      </c>
      <c r="T180" s="2304">
        <f>241533750-R180</f>
        <v>236573750</v>
      </c>
      <c r="U180" s="3266">
        <v>0.122</v>
      </c>
      <c r="V180" s="2304">
        <v>958477000</v>
      </c>
      <c r="W180" s="2632">
        <v>0</v>
      </c>
      <c r="X180" s="2304">
        <v>0</v>
      </c>
      <c r="Y180" s="2311">
        <f t="shared" si="52"/>
        <v>0.16</v>
      </c>
      <c r="Z180" s="2304">
        <f t="shared" si="53"/>
        <v>1200010750</v>
      </c>
      <c r="AA180" s="2308">
        <f t="shared" si="48"/>
        <v>0.49333333333333329</v>
      </c>
      <c r="AB180" s="2304">
        <f t="shared" si="48"/>
        <v>5717933226</v>
      </c>
      <c r="AC180" s="2308">
        <f t="shared" si="49"/>
        <v>0.49333333333333329</v>
      </c>
      <c r="AD180" s="2311">
        <f t="shared" si="50"/>
        <v>0.16817450664705882</v>
      </c>
      <c r="AE180" s="3160"/>
      <c r="AF180" s="2318"/>
      <c r="AG180" s="2318"/>
      <c r="AH180" s="2318"/>
      <c r="AI180" s="2318"/>
      <c r="AJ180" s="2318"/>
      <c r="AK180" s="2318"/>
      <c r="AL180" s="2318"/>
      <c r="AM180" s="2318"/>
      <c r="AN180" s="2318"/>
      <c r="AO180" s="2318"/>
      <c r="AP180" s="2318"/>
      <c r="AQ180" s="2318"/>
      <c r="AR180" s="2318"/>
      <c r="AS180" s="2318"/>
      <c r="AT180" s="2318"/>
      <c r="AU180" s="2318"/>
      <c r="AV180" s="2318"/>
      <c r="AW180" s="2318"/>
      <c r="AX180" s="2318"/>
      <c r="AY180" s="2318"/>
      <c r="AZ180" s="2318"/>
      <c r="BA180" s="2318"/>
      <c r="BB180" s="2318"/>
      <c r="BC180" s="2318"/>
      <c r="BD180" s="2318"/>
      <c r="BE180" s="2318"/>
      <c r="BF180" s="2318"/>
      <c r="BG180" s="2318"/>
      <c r="BH180" s="2318"/>
      <c r="BI180" s="2318"/>
      <c r="BJ180" s="2318"/>
      <c r="BK180" s="2318"/>
      <c r="BL180" s="2318"/>
      <c r="BM180" s="2318"/>
      <c r="BN180" s="2318"/>
      <c r="BO180" s="2318"/>
      <c r="BP180" s="2318"/>
      <c r="BQ180" s="2318"/>
      <c r="BR180" s="2318"/>
      <c r="BS180" s="2318"/>
      <c r="BT180" s="2318"/>
      <c r="BU180" s="2318"/>
      <c r="BV180" s="2318"/>
      <c r="BW180" s="2318"/>
      <c r="BX180" s="2318"/>
    </row>
    <row r="181" spans="1:76" s="2608" customFormat="1" ht="49.5" customHeight="1">
      <c r="A181" s="2632"/>
      <c r="B181" s="2632"/>
      <c r="C181" s="3794">
        <v>1</v>
      </c>
      <c r="D181" s="2446" t="s">
        <v>66</v>
      </c>
      <c r="E181" s="2446" t="s">
        <v>65</v>
      </c>
      <c r="F181" s="2446" t="s">
        <v>515</v>
      </c>
      <c r="G181" s="2446" t="s">
        <v>459</v>
      </c>
      <c r="H181" s="2446"/>
      <c r="I181" s="3168" t="s">
        <v>2376</v>
      </c>
      <c r="J181" s="2516" t="s">
        <v>2373</v>
      </c>
      <c r="K181" s="2290">
        <v>1</v>
      </c>
      <c r="L181" s="2292">
        <v>4150000000</v>
      </c>
      <c r="M181" s="2378">
        <f t="shared" si="43"/>
        <v>0.33333333333333331</v>
      </c>
      <c r="N181" s="2292">
        <v>461938750</v>
      </c>
      <c r="O181" s="2310">
        <f t="shared" si="51"/>
        <v>0.16666666666666666</v>
      </c>
      <c r="P181" s="2292">
        <v>287956502</v>
      </c>
      <c r="Q181" s="2311">
        <v>2.3E-2</v>
      </c>
      <c r="R181" s="2304">
        <v>20402900</v>
      </c>
      <c r="S181" s="2875">
        <v>2E-3</v>
      </c>
      <c r="T181" s="2304">
        <f>51752900-R181</f>
        <v>31350000</v>
      </c>
      <c r="U181" s="3266">
        <v>0.11500000000000002</v>
      </c>
      <c r="V181" s="2304">
        <v>12719600</v>
      </c>
      <c r="W181" s="2632">
        <v>0</v>
      </c>
      <c r="X181" s="2304">
        <v>0</v>
      </c>
      <c r="Y181" s="2311">
        <f t="shared" si="52"/>
        <v>0.14000000000000001</v>
      </c>
      <c r="Z181" s="2304">
        <f t="shared" si="53"/>
        <v>64472500</v>
      </c>
      <c r="AA181" s="2308">
        <f t="shared" si="48"/>
        <v>0.47333333333333333</v>
      </c>
      <c r="AB181" s="2304">
        <f t="shared" si="48"/>
        <v>526411250</v>
      </c>
      <c r="AC181" s="2308">
        <f t="shared" si="49"/>
        <v>0.47333333333333333</v>
      </c>
      <c r="AD181" s="2311">
        <f t="shared" si="50"/>
        <v>0.1268460843373494</v>
      </c>
      <c r="AE181" s="3160"/>
      <c r="AF181" s="2318"/>
      <c r="AG181" s="2318"/>
      <c r="AH181" s="2318"/>
      <c r="AI181" s="2318"/>
      <c r="AJ181" s="2318"/>
      <c r="AK181" s="2318"/>
      <c r="AL181" s="2318"/>
      <c r="AM181" s="2318"/>
      <c r="AN181" s="2318"/>
      <c r="AO181" s="2318"/>
      <c r="AP181" s="2318"/>
      <c r="AQ181" s="2318"/>
      <c r="AR181" s="2318"/>
      <c r="AS181" s="2318"/>
      <c r="AT181" s="2318"/>
      <c r="AU181" s="2318"/>
      <c r="AV181" s="2318"/>
      <c r="AW181" s="2318"/>
      <c r="AX181" s="2318"/>
      <c r="AY181" s="2318"/>
      <c r="AZ181" s="2318"/>
      <c r="BA181" s="2318"/>
      <c r="BB181" s="2318"/>
      <c r="BC181" s="2318"/>
      <c r="BD181" s="2318"/>
      <c r="BE181" s="2318"/>
      <c r="BF181" s="2318"/>
      <c r="BG181" s="2318"/>
      <c r="BH181" s="2318"/>
      <c r="BI181" s="2318"/>
      <c r="BJ181" s="2318"/>
      <c r="BK181" s="2318"/>
      <c r="BL181" s="2318"/>
      <c r="BM181" s="2318"/>
      <c r="BN181" s="2318"/>
      <c r="BO181" s="2318"/>
      <c r="BP181" s="2318"/>
      <c r="BQ181" s="2318"/>
      <c r="BR181" s="2318"/>
      <c r="BS181" s="2318"/>
      <c r="BT181" s="2318"/>
      <c r="BU181" s="2318"/>
      <c r="BV181" s="2318"/>
      <c r="BW181" s="2318"/>
      <c r="BX181" s="2318"/>
    </row>
    <row r="182" spans="1:76" s="2608" customFormat="1" ht="93" customHeight="1">
      <c r="A182" s="2632"/>
      <c r="B182" s="2632"/>
      <c r="C182" s="3794">
        <v>1</v>
      </c>
      <c r="D182" s="2446" t="s">
        <v>66</v>
      </c>
      <c r="E182" s="2446" t="s">
        <v>65</v>
      </c>
      <c r="F182" s="2446" t="s">
        <v>515</v>
      </c>
      <c r="G182" s="2446" t="s">
        <v>363</v>
      </c>
      <c r="H182" s="2446"/>
      <c r="I182" s="3168" t="s">
        <v>2377</v>
      </c>
      <c r="J182" s="2516" t="s">
        <v>2378</v>
      </c>
      <c r="K182" s="2290">
        <v>1</v>
      </c>
      <c r="L182" s="2292">
        <v>9850000000</v>
      </c>
      <c r="M182" s="2378">
        <f t="shared" si="43"/>
        <v>0.33333333333333331</v>
      </c>
      <c r="N182" s="2292">
        <v>1251868700</v>
      </c>
      <c r="O182" s="2310">
        <f t="shared" si="51"/>
        <v>0.16666666666666666</v>
      </c>
      <c r="P182" s="2292">
        <v>2728247343</v>
      </c>
      <c r="Q182" s="2407">
        <v>1.4999999999999999E-2</v>
      </c>
      <c r="R182" s="2304">
        <v>0</v>
      </c>
      <c r="S182" s="2875">
        <v>4.2000000000000003E-2</v>
      </c>
      <c r="T182" s="2304">
        <f>487663400-R182</f>
        <v>487663400</v>
      </c>
      <c r="U182" s="3266">
        <v>0.10299999999999999</v>
      </c>
      <c r="V182" s="2304">
        <v>1072040000</v>
      </c>
      <c r="W182" s="2632"/>
      <c r="X182" s="2304"/>
      <c r="Y182" s="2311">
        <f t="shared" si="52"/>
        <v>0.16</v>
      </c>
      <c r="Z182" s="2304">
        <f t="shared" si="53"/>
        <v>1559703400</v>
      </c>
      <c r="AA182" s="2308">
        <f t="shared" si="48"/>
        <v>0.49333333333333329</v>
      </c>
      <c r="AB182" s="2304">
        <f t="shared" si="48"/>
        <v>2811572100</v>
      </c>
      <c r="AC182" s="2308">
        <f t="shared" si="49"/>
        <v>0.49333333333333329</v>
      </c>
      <c r="AD182" s="2311">
        <f t="shared" si="50"/>
        <v>0.28543879187817262</v>
      </c>
      <c r="AE182" s="3160"/>
      <c r="AF182" s="2318"/>
      <c r="AG182" s="2318"/>
      <c r="AH182" s="2318"/>
      <c r="AI182" s="2318"/>
      <c r="AJ182" s="2318"/>
      <c r="AK182" s="2318"/>
      <c r="AL182" s="2318"/>
      <c r="AM182" s="2318"/>
      <c r="AN182" s="2318"/>
      <c r="AO182" s="2318"/>
      <c r="AP182" s="2318"/>
      <c r="AQ182" s="2318"/>
      <c r="AR182" s="2318"/>
      <c r="AS182" s="2318"/>
      <c r="AT182" s="2318"/>
      <c r="AU182" s="2318"/>
      <c r="AV182" s="2318"/>
      <c r="AW182" s="2318"/>
      <c r="AX182" s="2318"/>
      <c r="AY182" s="2318"/>
      <c r="AZ182" s="2318"/>
      <c r="BA182" s="2318"/>
      <c r="BB182" s="2318"/>
      <c r="BC182" s="2318"/>
      <c r="BD182" s="2318"/>
      <c r="BE182" s="2318"/>
      <c r="BF182" s="2318"/>
      <c r="BG182" s="2318"/>
      <c r="BH182" s="2318"/>
      <c r="BI182" s="2318"/>
      <c r="BJ182" s="2318"/>
      <c r="BK182" s="2318"/>
      <c r="BL182" s="2318"/>
      <c r="BM182" s="2318"/>
      <c r="BN182" s="2318"/>
      <c r="BO182" s="2318"/>
      <c r="BP182" s="2318"/>
      <c r="BQ182" s="2318"/>
      <c r="BR182" s="2318"/>
      <c r="BS182" s="2318"/>
      <c r="BT182" s="2318"/>
      <c r="BU182" s="2318"/>
      <c r="BV182" s="2318"/>
      <c r="BW182" s="2318"/>
      <c r="BX182" s="2318"/>
    </row>
    <row r="183" spans="1:76" s="2608" customFormat="1" ht="61.5" customHeight="1">
      <c r="A183" s="2632"/>
      <c r="B183" s="2632"/>
      <c r="C183" s="3794">
        <v>1</v>
      </c>
      <c r="D183" s="2446" t="s">
        <v>66</v>
      </c>
      <c r="E183" s="2446" t="s">
        <v>65</v>
      </c>
      <c r="F183" s="2446" t="s">
        <v>515</v>
      </c>
      <c r="G183" s="2446" t="s">
        <v>373</v>
      </c>
      <c r="H183" s="2446"/>
      <c r="I183" s="3168" t="s">
        <v>2379</v>
      </c>
      <c r="J183" s="2516" t="s">
        <v>2380</v>
      </c>
      <c r="K183" s="2290">
        <v>1</v>
      </c>
      <c r="L183" s="2292">
        <v>7400000000</v>
      </c>
      <c r="M183" s="2378">
        <f t="shared" si="43"/>
        <v>0.33333333333333331</v>
      </c>
      <c r="N183" s="2292">
        <v>679375000</v>
      </c>
      <c r="O183" s="2310">
        <f t="shared" si="51"/>
        <v>0.16666666666666666</v>
      </c>
      <c r="P183" s="2292">
        <v>833000000</v>
      </c>
      <c r="Q183" s="2407">
        <v>1.4999999999999999E-2</v>
      </c>
      <c r="R183" s="2632">
        <v>0</v>
      </c>
      <c r="S183" s="2875">
        <v>7.4999999999999997E-2</v>
      </c>
      <c r="T183" s="2304">
        <v>0</v>
      </c>
      <c r="U183" s="3266">
        <v>0.17</v>
      </c>
      <c r="V183" s="2304">
        <v>0</v>
      </c>
      <c r="W183" s="2632"/>
      <c r="X183" s="2304"/>
      <c r="Y183" s="2311">
        <f t="shared" si="52"/>
        <v>0.26</v>
      </c>
      <c r="Z183" s="2304">
        <f t="shared" si="53"/>
        <v>0</v>
      </c>
      <c r="AA183" s="2308">
        <f t="shared" si="48"/>
        <v>0.59333333333333327</v>
      </c>
      <c r="AB183" s="2304">
        <f t="shared" si="48"/>
        <v>679375000</v>
      </c>
      <c r="AC183" s="2308">
        <f t="shared" si="49"/>
        <v>0.59333333333333327</v>
      </c>
      <c r="AD183" s="2311">
        <f t="shared" si="50"/>
        <v>9.1807432432432431E-2</v>
      </c>
      <c r="AE183" s="3160"/>
      <c r="AF183" s="2318"/>
      <c r="AG183" s="2318"/>
      <c r="AH183" s="2318"/>
      <c r="AI183" s="2318"/>
      <c r="AJ183" s="2318"/>
      <c r="AK183" s="2318"/>
      <c r="AL183" s="2318"/>
      <c r="AM183" s="2318"/>
      <c r="AN183" s="2318"/>
      <c r="AO183" s="2318"/>
      <c r="AP183" s="2318"/>
      <c r="AQ183" s="2318"/>
      <c r="AR183" s="2318"/>
      <c r="AS183" s="2318"/>
      <c r="AT183" s="2318"/>
      <c r="AU183" s="2318"/>
      <c r="AV183" s="2318"/>
      <c r="AW183" s="2318"/>
      <c r="AX183" s="2318"/>
      <c r="AY183" s="2318"/>
      <c r="AZ183" s="2318"/>
      <c r="BA183" s="2318"/>
      <c r="BB183" s="2318"/>
      <c r="BC183" s="2318"/>
      <c r="BD183" s="2318"/>
      <c r="BE183" s="2318"/>
      <c r="BF183" s="2318"/>
      <c r="BG183" s="2318"/>
      <c r="BH183" s="2318"/>
      <c r="BI183" s="2318"/>
      <c r="BJ183" s="2318"/>
      <c r="BK183" s="2318"/>
      <c r="BL183" s="2318"/>
      <c r="BM183" s="2318"/>
      <c r="BN183" s="2318"/>
      <c r="BO183" s="2318"/>
      <c r="BP183" s="2318"/>
      <c r="BQ183" s="2318"/>
      <c r="BR183" s="2318"/>
      <c r="BS183" s="2318"/>
      <c r="BT183" s="2318"/>
      <c r="BU183" s="2318"/>
      <c r="BV183" s="2318"/>
      <c r="BW183" s="2318"/>
      <c r="BX183" s="2318"/>
    </row>
    <row r="184" spans="1:76" s="2608" customFormat="1" ht="61.5" customHeight="1">
      <c r="A184" s="2632"/>
      <c r="B184" s="2632"/>
      <c r="C184" s="3794">
        <v>1</v>
      </c>
      <c r="D184" s="2446" t="s">
        <v>66</v>
      </c>
      <c r="E184" s="2446" t="s">
        <v>65</v>
      </c>
      <c r="F184" s="2446" t="s">
        <v>515</v>
      </c>
      <c r="G184" s="2446" t="s">
        <v>2381</v>
      </c>
      <c r="H184" s="2446"/>
      <c r="I184" s="3168" t="s">
        <v>2382</v>
      </c>
      <c r="J184" s="2516" t="s">
        <v>2380</v>
      </c>
      <c r="K184" s="2290">
        <v>1</v>
      </c>
      <c r="L184" s="2292">
        <v>13800000000</v>
      </c>
      <c r="M184" s="2378">
        <f t="shared" si="43"/>
        <v>0.33333333333333331</v>
      </c>
      <c r="N184" s="2292">
        <v>1061304000</v>
      </c>
      <c r="O184" s="1396"/>
      <c r="P184" s="2292">
        <v>0</v>
      </c>
      <c r="Q184" s="2349">
        <v>0</v>
      </c>
      <c r="R184" s="2632">
        <v>0</v>
      </c>
      <c r="S184" s="2875">
        <v>0</v>
      </c>
      <c r="T184" s="2304">
        <v>0</v>
      </c>
      <c r="U184" s="3266">
        <v>0</v>
      </c>
      <c r="V184" s="2304">
        <v>0</v>
      </c>
      <c r="W184" s="2632"/>
      <c r="X184" s="2304"/>
      <c r="Y184" s="2311">
        <f t="shared" si="52"/>
        <v>0</v>
      </c>
      <c r="Z184" s="2304">
        <f t="shared" si="53"/>
        <v>0</v>
      </c>
      <c r="AA184" s="2308">
        <f t="shared" si="48"/>
        <v>0.33333333333333331</v>
      </c>
      <c r="AB184" s="2304">
        <f t="shared" si="48"/>
        <v>1061304000</v>
      </c>
      <c r="AC184" s="2308">
        <f t="shared" si="49"/>
        <v>0.33333333333333331</v>
      </c>
      <c r="AD184" s="2311">
        <f t="shared" si="50"/>
        <v>7.6906086956521735E-2</v>
      </c>
      <c r="AE184" s="3160"/>
      <c r="AF184" s="2318"/>
      <c r="AG184" s="2318"/>
      <c r="AH184" s="2318"/>
      <c r="AI184" s="2318"/>
      <c r="AJ184" s="2318"/>
      <c r="AK184" s="2318"/>
      <c r="AL184" s="2318"/>
      <c r="AM184" s="2318"/>
      <c r="AN184" s="2318"/>
      <c r="AO184" s="2318"/>
      <c r="AP184" s="2318"/>
      <c r="AQ184" s="2318"/>
      <c r="AR184" s="2318"/>
      <c r="AS184" s="2318"/>
      <c r="AT184" s="2318"/>
      <c r="AU184" s="2318"/>
      <c r="AV184" s="2318"/>
      <c r="AW184" s="2318"/>
      <c r="AX184" s="2318"/>
      <c r="AY184" s="2318"/>
      <c r="AZ184" s="2318"/>
      <c r="BA184" s="2318"/>
      <c r="BB184" s="2318"/>
      <c r="BC184" s="2318"/>
      <c r="BD184" s="2318"/>
      <c r="BE184" s="2318"/>
      <c r="BF184" s="2318"/>
      <c r="BG184" s="2318"/>
      <c r="BH184" s="2318"/>
      <c r="BI184" s="2318"/>
      <c r="BJ184" s="2318"/>
      <c r="BK184" s="2318"/>
      <c r="BL184" s="2318"/>
      <c r="BM184" s="2318"/>
      <c r="BN184" s="2318"/>
      <c r="BO184" s="2318"/>
      <c r="BP184" s="2318"/>
      <c r="BQ184" s="2318"/>
      <c r="BR184" s="2318"/>
      <c r="BS184" s="2318"/>
      <c r="BT184" s="2318"/>
      <c r="BU184" s="2318"/>
      <c r="BV184" s="2318"/>
      <c r="BW184" s="2318"/>
      <c r="BX184" s="2318"/>
    </row>
    <row r="185" spans="1:76" s="2271" customFormat="1" ht="53.25" customHeight="1">
      <c r="A185" s="3162">
        <v>12</v>
      </c>
      <c r="B185" s="2335" t="s">
        <v>2268</v>
      </c>
      <c r="C185" s="2874">
        <v>1</v>
      </c>
      <c r="D185" s="2447" t="s">
        <v>66</v>
      </c>
      <c r="E185" s="2447" t="s">
        <v>65</v>
      </c>
      <c r="F185" s="2447" t="s">
        <v>178</v>
      </c>
      <c r="G185" s="2874"/>
      <c r="H185" s="2874"/>
      <c r="I185" s="2359" t="s">
        <v>2383</v>
      </c>
      <c r="J185" s="2350" t="s">
        <v>2384</v>
      </c>
      <c r="K185" s="2336">
        <v>1</v>
      </c>
      <c r="L185" s="2357">
        <v>180684091900</v>
      </c>
      <c r="M185" s="2362">
        <f t="shared" si="43"/>
        <v>0.33333333333333331</v>
      </c>
      <c r="N185" s="2361">
        <f>SUM(N186:N189)</f>
        <v>27794258803</v>
      </c>
      <c r="O185" s="2351">
        <v>0.16600000000000001</v>
      </c>
      <c r="P185" s="2361">
        <f>SUM(P186:P189)</f>
        <v>26319071043</v>
      </c>
      <c r="Q185" s="2410">
        <f>SUM(Q186:Q189)/4</f>
        <v>2.0900000000000002E-2</v>
      </c>
      <c r="R185" s="2339">
        <f>SUM(R186:R189)</f>
        <v>31308800</v>
      </c>
      <c r="S185" s="2876">
        <f>SUM(S186:S189)/4</f>
        <v>4.9500000000000002E-2</v>
      </c>
      <c r="T185" s="2342">
        <f>SUM(T186:T189)</f>
        <v>8851927344</v>
      </c>
      <c r="U185" s="2876">
        <f>SUM(U186:U189)/4</f>
        <v>0.04</v>
      </c>
      <c r="V185" s="2342">
        <f>SUM(V186:V189)</f>
        <v>4901593745</v>
      </c>
      <c r="W185" s="2335"/>
      <c r="X185" s="2342"/>
      <c r="Y185" s="2410">
        <f t="shared" si="52"/>
        <v>0.1104</v>
      </c>
      <c r="Z185" s="2342">
        <f t="shared" si="53"/>
        <v>13784829889</v>
      </c>
      <c r="AA185" s="2362">
        <f t="shared" si="48"/>
        <v>0.44373333333333331</v>
      </c>
      <c r="AB185" s="2342">
        <f t="shared" si="48"/>
        <v>41579088692</v>
      </c>
      <c r="AC185" s="2362">
        <f t="shared" si="49"/>
        <v>0.44373333333333331</v>
      </c>
      <c r="AD185" s="2410">
        <f t="shared" si="50"/>
        <v>0.23012036231176364</v>
      </c>
      <c r="AE185" s="3138" t="s">
        <v>2272</v>
      </c>
      <c r="AF185" s="2620"/>
      <c r="AG185" s="2620"/>
      <c r="AH185" s="2620"/>
      <c r="AI185" s="2620"/>
      <c r="AJ185" s="2620"/>
      <c r="AK185" s="2620"/>
      <c r="AL185" s="2620"/>
      <c r="AM185" s="2620"/>
      <c r="AN185" s="2620"/>
      <c r="AO185" s="2620"/>
      <c r="AP185" s="2620"/>
      <c r="AQ185" s="2620"/>
      <c r="AR185" s="2620"/>
      <c r="AS185" s="2620"/>
      <c r="AT185" s="2620"/>
      <c r="AU185" s="2620"/>
      <c r="AV185" s="2620"/>
      <c r="AW185" s="2620"/>
      <c r="AX185" s="2620"/>
      <c r="AY185" s="2620"/>
      <c r="AZ185" s="2620"/>
      <c r="BA185" s="2620"/>
      <c r="BB185" s="2620"/>
      <c r="BC185" s="2620"/>
      <c r="BD185" s="2620"/>
      <c r="BE185" s="2620"/>
      <c r="BF185" s="2620"/>
      <c r="BG185" s="2620"/>
      <c r="BH185" s="2620"/>
      <c r="BI185" s="2620"/>
      <c r="BJ185" s="2620"/>
      <c r="BK185" s="2620"/>
      <c r="BL185" s="2620"/>
      <c r="BM185" s="2620"/>
      <c r="BN185" s="2620"/>
      <c r="BO185" s="2620"/>
      <c r="BP185" s="2620"/>
      <c r="BQ185" s="2620"/>
      <c r="BR185" s="2620"/>
      <c r="BS185" s="2620"/>
      <c r="BT185" s="2620"/>
      <c r="BU185" s="2620"/>
      <c r="BV185" s="2620"/>
      <c r="BW185" s="2620"/>
      <c r="BX185" s="2620"/>
    </row>
    <row r="186" spans="1:76" s="2608" customFormat="1" ht="58.5" customHeight="1">
      <c r="A186" s="2632"/>
      <c r="B186" s="2632"/>
      <c r="C186" s="3794">
        <v>1</v>
      </c>
      <c r="D186" s="2446" t="s">
        <v>66</v>
      </c>
      <c r="E186" s="2446" t="s">
        <v>65</v>
      </c>
      <c r="F186" s="2446" t="s">
        <v>178</v>
      </c>
      <c r="G186" s="2446" t="s">
        <v>66</v>
      </c>
      <c r="H186" s="2446"/>
      <c r="I186" s="3168" t="s">
        <v>2385</v>
      </c>
      <c r="J186" s="2516" t="s">
        <v>2386</v>
      </c>
      <c r="K186" s="2290">
        <v>1</v>
      </c>
      <c r="L186" s="2292">
        <v>38975000000</v>
      </c>
      <c r="M186" s="2378">
        <f t="shared" si="43"/>
        <v>0.33333333333333331</v>
      </c>
      <c r="N186" s="2292">
        <v>5976329650</v>
      </c>
      <c r="O186" s="2315">
        <v>0.16600000000000001</v>
      </c>
      <c r="P186" s="2292">
        <v>6239263375</v>
      </c>
      <c r="Q186" s="2311">
        <v>2.3E-2</v>
      </c>
      <c r="R186" s="2304">
        <v>9022000</v>
      </c>
      <c r="S186" s="2875">
        <v>5.7000000000000002E-2</v>
      </c>
      <c r="T186" s="2304">
        <f>3081288220-R186</f>
        <v>3072266220</v>
      </c>
      <c r="U186" s="3266">
        <v>0.04</v>
      </c>
      <c r="V186" s="2304">
        <v>8034400</v>
      </c>
      <c r="W186" s="2632"/>
      <c r="X186" s="2304"/>
      <c r="Y186" s="2311">
        <f t="shared" si="52"/>
        <v>0.12</v>
      </c>
      <c r="Z186" s="2304">
        <f t="shared" si="53"/>
        <v>3089322620</v>
      </c>
      <c r="AA186" s="2308">
        <f t="shared" si="48"/>
        <v>0.45333333333333331</v>
      </c>
      <c r="AB186" s="2304">
        <f t="shared" si="48"/>
        <v>9065652270</v>
      </c>
      <c r="AC186" s="2308">
        <f t="shared" si="49"/>
        <v>0.45333333333333331</v>
      </c>
      <c r="AD186" s="2311">
        <f t="shared" si="50"/>
        <v>0.23260172597819115</v>
      </c>
      <c r="AE186" s="3160"/>
      <c r="AF186" s="2318"/>
      <c r="AG186" s="2318"/>
      <c r="AH186" s="2318"/>
      <c r="AI186" s="2318"/>
      <c r="AJ186" s="2318"/>
      <c r="AK186" s="2318"/>
      <c r="AL186" s="2318"/>
      <c r="AM186" s="2318"/>
      <c r="AN186" s="2318"/>
      <c r="AO186" s="2318"/>
      <c r="AP186" s="2318"/>
      <c r="AQ186" s="2318"/>
      <c r="AR186" s="2318"/>
      <c r="AS186" s="2318"/>
      <c r="AT186" s="2318"/>
      <c r="AU186" s="2318"/>
      <c r="AV186" s="2318"/>
      <c r="AW186" s="2318"/>
      <c r="AX186" s="2318"/>
      <c r="AY186" s="2318"/>
      <c r="AZ186" s="2318"/>
      <c r="BA186" s="2318"/>
      <c r="BB186" s="2318"/>
      <c r="BC186" s="2318"/>
      <c r="BD186" s="2318"/>
      <c r="BE186" s="2318"/>
      <c r="BF186" s="2318"/>
      <c r="BG186" s="2318"/>
      <c r="BH186" s="2318"/>
      <c r="BI186" s="2318"/>
      <c r="BJ186" s="2318"/>
      <c r="BK186" s="2318"/>
      <c r="BL186" s="2318"/>
      <c r="BM186" s="2318"/>
      <c r="BN186" s="2318"/>
      <c r="BO186" s="2318"/>
      <c r="BP186" s="2318"/>
      <c r="BQ186" s="2318"/>
      <c r="BR186" s="2318"/>
      <c r="BS186" s="2318"/>
      <c r="BT186" s="2318"/>
      <c r="BU186" s="2318"/>
      <c r="BV186" s="2318"/>
      <c r="BW186" s="2318"/>
      <c r="BX186" s="2318"/>
    </row>
    <row r="187" spans="1:76" s="2608" customFormat="1" ht="58.5" customHeight="1">
      <c r="A187" s="2632"/>
      <c r="B187" s="2632"/>
      <c r="C187" s="3794">
        <v>1</v>
      </c>
      <c r="D187" s="2446" t="s">
        <v>66</v>
      </c>
      <c r="E187" s="2446" t="s">
        <v>65</v>
      </c>
      <c r="F187" s="3794">
        <v>28</v>
      </c>
      <c r="G187" s="2446" t="s">
        <v>201</v>
      </c>
      <c r="H187" s="2446"/>
      <c r="I187" s="3168" t="s">
        <v>2387</v>
      </c>
      <c r="J187" s="2516" t="s">
        <v>2388</v>
      </c>
      <c r="K187" s="2290">
        <v>0.9</v>
      </c>
      <c r="L187" s="2292">
        <v>4029091900</v>
      </c>
      <c r="M187" s="2378">
        <f t="shared" si="43"/>
        <v>0.3</v>
      </c>
      <c r="N187" s="2292">
        <v>542088528</v>
      </c>
      <c r="O187" s="2378">
        <f>K187/6</f>
        <v>0.15</v>
      </c>
      <c r="P187" s="2292">
        <v>1029807668</v>
      </c>
      <c r="Q187" s="2311">
        <v>2.1600000000000001E-2</v>
      </c>
      <c r="R187" s="2304">
        <v>22286800</v>
      </c>
      <c r="S187" s="2875">
        <v>3.5000000000000003E-2</v>
      </c>
      <c r="T187" s="2304">
        <f>169634250-R187</f>
        <v>147347450</v>
      </c>
      <c r="U187" s="3266">
        <v>5.0000000000000001E-3</v>
      </c>
      <c r="V187" s="2304">
        <v>197144275</v>
      </c>
      <c r="W187" s="2632"/>
      <c r="X187" s="2304"/>
      <c r="Y187" s="2311">
        <f t="shared" si="52"/>
        <v>6.1600000000000002E-2</v>
      </c>
      <c r="Z187" s="2304">
        <f t="shared" si="53"/>
        <v>366778525</v>
      </c>
      <c r="AA187" s="2308">
        <f t="shared" si="48"/>
        <v>0.36159999999999998</v>
      </c>
      <c r="AB187" s="2304">
        <f t="shared" si="48"/>
        <v>908867053</v>
      </c>
      <c r="AC187" s="2308">
        <f t="shared" si="49"/>
        <v>0.40177777777777773</v>
      </c>
      <c r="AD187" s="2311">
        <f t="shared" si="50"/>
        <v>0.22557615352481783</v>
      </c>
      <c r="AE187" s="3160"/>
      <c r="AF187" s="2318"/>
      <c r="AG187" s="2318"/>
      <c r="AH187" s="2318"/>
      <c r="AI187" s="2318"/>
      <c r="AJ187" s="2318"/>
      <c r="AK187" s="2318"/>
      <c r="AL187" s="2318"/>
      <c r="AM187" s="2318"/>
      <c r="AN187" s="2318"/>
      <c r="AO187" s="2318"/>
      <c r="AP187" s="2318"/>
      <c r="AQ187" s="2318"/>
      <c r="AR187" s="2318"/>
      <c r="AS187" s="2318"/>
      <c r="AT187" s="2318"/>
      <c r="AU187" s="2318"/>
      <c r="AV187" s="2318"/>
      <c r="AW187" s="2318"/>
      <c r="AX187" s="2318"/>
      <c r="AY187" s="2318"/>
      <c r="AZ187" s="2318"/>
      <c r="BA187" s="2318"/>
      <c r="BB187" s="2318"/>
      <c r="BC187" s="2318"/>
      <c r="BD187" s="2318"/>
      <c r="BE187" s="2318"/>
      <c r="BF187" s="2318"/>
      <c r="BG187" s="2318"/>
      <c r="BH187" s="2318"/>
      <c r="BI187" s="2318"/>
      <c r="BJ187" s="2318"/>
      <c r="BK187" s="2318"/>
      <c r="BL187" s="2318"/>
      <c r="BM187" s="2318"/>
      <c r="BN187" s="2318"/>
      <c r="BO187" s="2318"/>
      <c r="BP187" s="2318"/>
      <c r="BQ187" s="2318"/>
      <c r="BR187" s="2318"/>
      <c r="BS187" s="2318"/>
      <c r="BT187" s="2318"/>
      <c r="BU187" s="2318"/>
      <c r="BV187" s="2318"/>
      <c r="BW187" s="2318"/>
      <c r="BX187" s="2318"/>
    </row>
    <row r="188" spans="1:76" s="2608" customFormat="1" ht="58.5" customHeight="1">
      <c r="A188" s="2632"/>
      <c r="B188" s="2632"/>
      <c r="C188" s="3794">
        <v>1</v>
      </c>
      <c r="D188" s="2446" t="s">
        <v>66</v>
      </c>
      <c r="E188" s="2446" t="s">
        <v>65</v>
      </c>
      <c r="F188" s="3794">
        <v>28</v>
      </c>
      <c r="G188" s="2446" t="s">
        <v>417</v>
      </c>
      <c r="H188" s="2446"/>
      <c r="I188" s="3168" t="s">
        <v>2389</v>
      </c>
      <c r="J188" s="2516" t="s">
        <v>2388</v>
      </c>
      <c r="K188" s="2290">
        <v>1</v>
      </c>
      <c r="L188" s="2292">
        <v>123500000000</v>
      </c>
      <c r="M188" s="2378">
        <f t="shared" si="43"/>
        <v>0.33333333333333331</v>
      </c>
      <c r="N188" s="2292">
        <v>20165085838</v>
      </c>
      <c r="O188" s="2379">
        <f>K188/6</f>
        <v>0.16666666666666666</v>
      </c>
      <c r="P188" s="2292">
        <v>17500000000</v>
      </c>
      <c r="Q188" s="2311">
        <v>1.4999999999999999E-2</v>
      </c>
      <c r="R188" s="2276">
        <v>0</v>
      </c>
      <c r="S188" s="2875">
        <v>0.05</v>
      </c>
      <c r="T188" s="2304">
        <f>5104708571-R188</f>
        <v>5104708571</v>
      </c>
      <c r="U188" s="3266">
        <v>5.4999999999999993E-2</v>
      </c>
      <c r="V188" s="2304">
        <v>4301420559</v>
      </c>
      <c r="W188" s="2632"/>
      <c r="X188" s="2304"/>
      <c r="Y188" s="2311">
        <f t="shared" si="52"/>
        <v>0.12</v>
      </c>
      <c r="Z188" s="2304">
        <f t="shared" si="53"/>
        <v>9406129130</v>
      </c>
      <c r="AA188" s="2308">
        <f t="shared" si="48"/>
        <v>0.45333333333333331</v>
      </c>
      <c r="AB188" s="2304">
        <f t="shared" si="48"/>
        <v>29571214968</v>
      </c>
      <c r="AC188" s="2308">
        <f t="shared" si="49"/>
        <v>0.45333333333333331</v>
      </c>
      <c r="AD188" s="2311">
        <f t="shared" si="50"/>
        <v>0.23944303617813764</v>
      </c>
      <c r="AE188" s="3160"/>
      <c r="AF188" s="2318"/>
      <c r="AG188" s="2318"/>
      <c r="AH188" s="2318"/>
      <c r="AI188" s="2318"/>
      <c r="AJ188" s="2318"/>
      <c r="AK188" s="2318"/>
      <c r="AL188" s="2318"/>
      <c r="AM188" s="2318"/>
      <c r="AN188" s="2318"/>
      <c r="AO188" s="2318"/>
      <c r="AP188" s="2318"/>
      <c r="AQ188" s="2318"/>
      <c r="AR188" s="2318"/>
      <c r="AS188" s="2318"/>
      <c r="AT188" s="2318"/>
      <c r="AU188" s="2318"/>
      <c r="AV188" s="2318"/>
      <c r="AW188" s="2318"/>
      <c r="AX188" s="2318"/>
      <c r="AY188" s="2318"/>
      <c r="AZ188" s="2318"/>
      <c r="BA188" s="2318"/>
      <c r="BB188" s="2318"/>
      <c r="BC188" s="2318"/>
      <c r="BD188" s="2318"/>
      <c r="BE188" s="2318"/>
      <c r="BF188" s="2318"/>
      <c r="BG188" s="2318"/>
      <c r="BH188" s="2318"/>
      <c r="BI188" s="2318"/>
      <c r="BJ188" s="2318"/>
      <c r="BK188" s="2318"/>
      <c r="BL188" s="2318"/>
      <c r="BM188" s="2318"/>
      <c r="BN188" s="2318"/>
      <c r="BO188" s="2318"/>
      <c r="BP188" s="2318"/>
      <c r="BQ188" s="2318"/>
      <c r="BR188" s="2318"/>
      <c r="BS188" s="2318"/>
      <c r="BT188" s="2318"/>
      <c r="BU188" s="2318"/>
      <c r="BV188" s="2318"/>
      <c r="BW188" s="2318"/>
      <c r="BX188" s="2318"/>
    </row>
    <row r="189" spans="1:76" s="2608" customFormat="1" ht="58.5" customHeight="1">
      <c r="A189" s="2632"/>
      <c r="B189" s="2632"/>
      <c r="C189" s="3794">
        <v>1</v>
      </c>
      <c r="D189" s="2446" t="s">
        <v>66</v>
      </c>
      <c r="E189" s="2446" t="s">
        <v>65</v>
      </c>
      <c r="F189" s="3794">
        <v>28</v>
      </c>
      <c r="G189" s="2446" t="s">
        <v>160</v>
      </c>
      <c r="H189" s="2446"/>
      <c r="I189" s="3168" t="s">
        <v>2390</v>
      </c>
      <c r="J189" s="2516" t="s">
        <v>2388</v>
      </c>
      <c r="K189" s="2290">
        <v>0.9</v>
      </c>
      <c r="L189" s="2292">
        <v>13580000000</v>
      </c>
      <c r="M189" s="2378">
        <f t="shared" si="43"/>
        <v>0.3</v>
      </c>
      <c r="N189" s="2292">
        <v>1110754787</v>
      </c>
      <c r="O189" s="2405">
        <f>K189/6</f>
        <v>0.15</v>
      </c>
      <c r="P189" s="2292">
        <v>1550000000</v>
      </c>
      <c r="Q189" s="2407">
        <v>2.4E-2</v>
      </c>
      <c r="R189" s="2276">
        <v>0</v>
      </c>
      <c r="S189" s="2875">
        <v>5.6000000000000001E-2</v>
      </c>
      <c r="T189" s="2304">
        <f>527605103-R189</f>
        <v>527605103</v>
      </c>
      <c r="U189" s="3266">
        <v>6.0000000000000019E-2</v>
      </c>
      <c r="V189" s="2304">
        <v>394994511</v>
      </c>
      <c r="W189" s="2632"/>
      <c r="X189" s="2304"/>
      <c r="Y189" s="2311">
        <f t="shared" si="52"/>
        <v>0.14000000000000001</v>
      </c>
      <c r="Z189" s="2304">
        <f t="shared" si="53"/>
        <v>922599614</v>
      </c>
      <c r="AA189" s="2308">
        <f t="shared" si="48"/>
        <v>0.44</v>
      </c>
      <c r="AB189" s="2304">
        <f t="shared" si="48"/>
        <v>2033354401</v>
      </c>
      <c r="AC189" s="2308">
        <f t="shared" si="49"/>
        <v>0.48888888888888887</v>
      </c>
      <c r="AD189" s="2311">
        <f t="shared" si="50"/>
        <v>0.14973154646539028</v>
      </c>
      <c r="AE189" s="3160"/>
      <c r="AF189" s="2318"/>
      <c r="AG189" s="2318"/>
      <c r="AH189" s="2318"/>
      <c r="AI189" s="2318"/>
      <c r="AJ189" s="2318"/>
      <c r="AK189" s="2318"/>
      <c r="AL189" s="2318"/>
      <c r="AM189" s="2318"/>
      <c r="AN189" s="2318"/>
      <c r="AO189" s="2318"/>
      <c r="AP189" s="2318"/>
      <c r="AQ189" s="2318"/>
      <c r="AR189" s="2318"/>
      <c r="AS189" s="2318"/>
      <c r="AT189" s="2318"/>
      <c r="AU189" s="2318"/>
      <c r="AV189" s="2318"/>
      <c r="AW189" s="2318"/>
      <c r="AX189" s="2318"/>
      <c r="AY189" s="2318"/>
      <c r="AZ189" s="2318"/>
      <c r="BA189" s="2318"/>
      <c r="BB189" s="2318"/>
      <c r="BC189" s="2318"/>
      <c r="BD189" s="2318"/>
      <c r="BE189" s="2318"/>
      <c r="BF189" s="2318"/>
      <c r="BG189" s="2318"/>
      <c r="BH189" s="2318"/>
      <c r="BI189" s="2318"/>
      <c r="BJ189" s="2318"/>
      <c r="BK189" s="2318"/>
      <c r="BL189" s="2318"/>
      <c r="BM189" s="2318"/>
      <c r="BN189" s="2318"/>
      <c r="BO189" s="2318"/>
      <c r="BP189" s="2318"/>
      <c r="BQ189" s="2318"/>
      <c r="BR189" s="2318"/>
      <c r="BS189" s="2318"/>
      <c r="BT189" s="2318"/>
      <c r="BU189" s="2318"/>
      <c r="BV189" s="2318"/>
      <c r="BW189" s="2318"/>
      <c r="BX189" s="2318"/>
    </row>
    <row r="190" spans="1:76" s="2271" customFormat="1" ht="53.25" customHeight="1">
      <c r="A190" s="3162">
        <v>13</v>
      </c>
      <c r="B190" s="2335" t="s">
        <v>2391</v>
      </c>
      <c r="C190" s="2874">
        <v>1</v>
      </c>
      <c r="D190" s="2447" t="s">
        <v>66</v>
      </c>
      <c r="E190" s="2447" t="s">
        <v>65</v>
      </c>
      <c r="F190" s="2874">
        <v>30</v>
      </c>
      <c r="G190" s="2874"/>
      <c r="H190" s="2874"/>
      <c r="I190" s="2335" t="s">
        <v>2392</v>
      </c>
      <c r="J190" s="2501" t="s">
        <v>2393</v>
      </c>
      <c r="K190" s="2336">
        <f t="shared" ref="K190:R190" si="54">K191</f>
        <v>0.8</v>
      </c>
      <c r="L190" s="2337">
        <f t="shared" si="54"/>
        <v>535000000</v>
      </c>
      <c r="M190" s="2351">
        <f t="shared" si="54"/>
        <v>0.26666666666666666</v>
      </c>
      <c r="N190" s="3161">
        <f t="shared" si="54"/>
        <v>42569250</v>
      </c>
      <c r="O190" s="2346">
        <f t="shared" si="54"/>
        <v>0.13333333333333333</v>
      </c>
      <c r="P190" s="3161">
        <f>SUM(P191)</f>
        <v>175619042</v>
      </c>
      <c r="Q190" s="2410">
        <f t="shared" si="54"/>
        <v>1.4999999999999999E-2</v>
      </c>
      <c r="R190" s="2339">
        <f t="shared" si="54"/>
        <v>800000</v>
      </c>
      <c r="S190" s="2876">
        <f>S191</f>
        <v>6.3E-2</v>
      </c>
      <c r="T190" s="2339">
        <f>T191</f>
        <v>14700000</v>
      </c>
      <c r="U190" s="2876">
        <f>U191</f>
        <v>7.1999999999999995E-2</v>
      </c>
      <c r="V190" s="2339">
        <f>V191</f>
        <v>115261000</v>
      </c>
      <c r="W190" s="2335"/>
      <c r="X190" s="2342"/>
      <c r="Y190" s="2410">
        <f t="shared" si="52"/>
        <v>0.15</v>
      </c>
      <c r="Z190" s="2342">
        <f t="shared" si="53"/>
        <v>130761000</v>
      </c>
      <c r="AA190" s="2362">
        <f t="shared" si="48"/>
        <v>0.41666666666666663</v>
      </c>
      <c r="AB190" s="2342">
        <f t="shared" si="48"/>
        <v>173330250</v>
      </c>
      <c r="AC190" s="2362">
        <f t="shared" si="49"/>
        <v>0.52083333333333326</v>
      </c>
      <c r="AD190" s="2410">
        <f t="shared" si="50"/>
        <v>0.32398177570093456</v>
      </c>
      <c r="AE190" s="3138" t="s">
        <v>2272</v>
      </c>
      <c r="AF190" s="2620"/>
      <c r="AG190" s="2620"/>
      <c r="AH190" s="2620"/>
      <c r="AI190" s="2620"/>
      <c r="AJ190" s="2620"/>
      <c r="AK190" s="2620"/>
      <c r="AL190" s="2620"/>
      <c r="AM190" s="2620"/>
      <c r="AN190" s="2620"/>
      <c r="AO190" s="2620"/>
      <c r="AP190" s="2620"/>
      <c r="AQ190" s="2620"/>
      <c r="AR190" s="2620"/>
      <c r="AS190" s="2620"/>
      <c r="AT190" s="2620"/>
      <c r="AU190" s="2620"/>
      <c r="AV190" s="2620"/>
      <c r="AW190" s="2620"/>
      <c r="AX190" s="2620"/>
      <c r="AY190" s="2620"/>
      <c r="AZ190" s="2620"/>
      <c r="BA190" s="2620"/>
      <c r="BB190" s="2620"/>
      <c r="BC190" s="2620"/>
      <c r="BD190" s="2620"/>
      <c r="BE190" s="2620"/>
      <c r="BF190" s="2620"/>
      <c r="BG190" s="2620"/>
      <c r="BH190" s="2620"/>
      <c r="BI190" s="2620"/>
      <c r="BJ190" s="2620"/>
      <c r="BK190" s="2620"/>
      <c r="BL190" s="2620"/>
      <c r="BM190" s="2620"/>
      <c r="BN190" s="2620"/>
      <c r="BO190" s="2620"/>
      <c r="BP190" s="2620"/>
      <c r="BQ190" s="2620"/>
      <c r="BR190" s="2620"/>
      <c r="BS190" s="2620"/>
      <c r="BT190" s="2620"/>
      <c r="BU190" s="2620"/>
      <c r="BV190" s="2620"/>
      <c r="BW190" s="2620"/>
      <c r="BX190" s="2620"/>
    </row>
    <row r="191" spans="1:76" s="2608" customFormat="1" ht="53.25" customHeight="1">
      <c r="A191" s="2349"/>
      <c r="B191" s="2632"/>
      <c r="C191" s="3794">
        <v>1</v>
      </c>
      <c r="D191" s="2446" t="s">
        <v>66</v>
      </c>
      <c r="E191" s="2446" t="s">
        <v>65</v>
      </c>
      <c r="F191" s="2446" t="s">
        <v>373</v>
      </c>
      <c r="G191" s="2446" t="s">
        <v>66</v>
      </c>
      <c r="H191" s="2446"/>
      <c r="I191" s="3168" t="s">
        <v>2394</v>
      </c>
      <c r="J191" s="3154" t="s">
        <v>2393</v>
      </c>
      <c r="K191" s="2290">
        <v>0.8</v>
      </c>
      <c r="L191" s="2292">
        <v>535000000</v>
      </c>
      <c r="M191" s="2379">
        <f>(K191/6)*2</f>
        <v>0.26666666666666666</v>
      </c>
      <c r="N191" s="2292">
        <v>42569250</v>
      </c>
      <c r="O191" s="2379">
        <f>M191/2</f>
        <v>0.13333333333333333</v>
      </c>
      <c r="P191" s="2292">
        <v>175619042</v>
      </c>
      <c r="Q191" s="2311">
        <v>1.4999999999999999E-2</v>
      </c>
      <c r="R191" s="2304">
        <v>800000</v>
      </c>
      <c r="S191" s="2875">
        <v>6.3E-2</v>
      </c>
      <c r="T191" s="2304">
        <f>15500000-R191</f>
        <v>14700000</v>
      </c>
      <c r="U191" s="2632">
        <v>7.1999999999999995E-2</v>
      </c>
      <c r="V191" s="2304">
        <v>115261000</v>
      </c>
      <c r="W191" s="2632"/>
      <c r="X191" s="2304"/>
      <c r="Y191" s="2311">
        <f t="shared" si="52"/>
        <v>0.15</v>
      </c>
      <c r="Z191" s="2304">
        <f t="shared" si="53"/>
        <v>130761000</v>
      </c>
      <c r="AA191" s="2308">
        <f t="shared" si="48"/>
        <v>0.41666666666666663</v>
      </c>
      <c r="AB191" s="2304">
        <f t="shared" si="48"/>
        <v>173330250</v>
      </c>
      <c r="AC191" s="2308">
        <f t="shared" si="49"/>
        <v>0.52083333333333326</v>
      </c>
      <c r="AD191" s="2311">
        <f t="shared" si="50"/>
        <v>0.32398177570093456</v>
      </c>
      <c r="AE191" s="3160"/>
      <c r="AF191" s="2318"/>
      <c r="AG191" s="2318"/>
      <c r="AH191" s="2318"/>
      <c r="AI191" s="2318"/>
      <c r="AJ191" s="2318"/>
      <c r="AK191" s="2318"/>
      <c r="AL191" s="2318"/>
      <c r="AM191" s="2318"/>
      <c r="AN191" s="2318"/>
      <c r="AO191" s="2318"/>
      <c r="AP191" s="2318"/>
      <c r="AQ191" s="2318"/>
      <c r="AR191" s="2318"/>
      <c r="AS191" s="2318"/>
      <c r="AT191" s="2318"/>
      <c r="AU191" s="2318"/>
      <c r="AV191" s="2318"/>
      <c r="AW191" s="2318"/>
      <c r="AX191" s="2318"/>
      <c r="AY191" s="2318"/>
      <c r="AZ191" s="2318"/>
      <c r="BA191" s="2318"/>
      <c r="BB191" s="2318"/>
      <c r="BC191" s="2318"/>
      <c r="BD191" s="2318"/>
      <c r="BE191" s="2318"/>
      <c r="BF191" s="2318"/>
      <c r="BG191" s="2318"/>
      <c r="BH191" s="2318"/>
      <c r="BI191" s="2318"/>
      <c r="BJ191" s="2318"/>
      <c r="BK191" s="2318"/>
      <c r="BL191" s="2318"/>
      <c r="BM191" s="2318"/>
      <c r="BN191" s="2318"/>
      <c r="BO191" s="2318"/>
      <c r="BP191" s="2318"/>
      <c r="BQ191" s="2318"/>
      <c r="BR191" s="2318"/>
      <c r="BS191" s="2318"/>
      <c r="BT191" s="2318"/>
      <c r="BU191" s="2318"/>
      <c r="BV191" s="2318"/>
      <c r="BW191" s="2318"/>
      <c r="BX191" s="2318"/>
    </row>
    <row r="192" spans="1:76" s="2271" customFormat="1" ht="46.5" customHeight="1">
      <c r="A192" s="3162">
        <v>14</v>
      </c>
      <c r="B192" s="2335" t="s">
        <v>2391</v>
      </c>
      <c r="C192" s="2874">
        <v>1</v>
      </c>
      <c r="D192" s="2447" t="s">
        <v>66</v>
      </c>
      <c r="E192" s="2447" t="s">
        <v>65</v>
      </c>
      <c r="F192" s="2447" t="s">
        <v>401</v>
      </c>
      <c r="G192" s="2874"/>
      <c r="H192" s="2874"/>
      <c r="I192" s="2359" t="s">
        <v>2395</v>
      </c>
      <c r="J192" s="2368" t="s">
        <v>2396</v>
      </c>
      <c r="K192" s="2356">
        <f>SUM(K193:K195)/3</f>
        <v>0.91666666666666663</v>
      </c>
      <c r="L192" s="2357">
        <v>21607915700</v>
      </c>
      <c r="M192" s="2338">
        <f>SUM(M193:M195)/3</f>
        <v>0.30555555555555558</v>
      </c>
      <c r="N192" s="2361">
        <f>SUM(N193:N195)</f>
        <v>452445365</v>
      </c>
      <c r="O192" s="2338">
        <f>SUM(O193:O195)/3</f>
        <v>0.15277777777777779</v>
      </c>
      <c r="P192" s="3161">
        <f>SUM(P193:P195)</f>
        <v>3258002611</v>
      </c>
      <c r="Q192" s="2372">
        <v>3.5999999999999997E-2</v>
      </c>
      <c r="R192" s="3161">
        <f>SUM(R193:R195)</f>
        <v>12770000</v>
      </c>
      <c r="S192" s="2366">
        <f>SUM(S193:S195)/3</f>
        <v>0.03</v>
      </c>
      <c r="T192" s="2361">
        <f>SUM(T193:T195)</f>
        <v>82370507</v>
      </c>
      <c r="U192" s="2366">
        <f>SUM(U193:U195)/3</f>
        <v>7.2666666666666671E-2</v>
      </c>
      <c r="V192" s="2361">
        <f>SUM(V193:V195)</f>
        <v>1711051575</v>
      </c>
      <c r="W192" s="3162"/>
      <c r="X192" s="2342"/>
      <c r="Y192" s="2410">
        <f t="shared" si="52"/>
        <v>0.13866666666666666</v>
      </c>
      <c r="Z192" s="2342">
        <f t="shared" si="53"/>
        <v>1806192082</v>
      </c>
      <c r="AA192" s="2362">
        <f t="shared" si="48"/>
        <v>0.44422222222222224</v>
      </c>
      <c r="AB192" s="2342">
        <f t="shared" si="48"/>
        <v>2258637447</v>
      </c>
      <c r="AC192" s="2362">
        <f t="shared" si="49"/>
        <v>0.48460606060606065</v>
      </c>
      <c r="AD192" s="2410">
        <f t="shared" si="50"/>
        <v>0.10452824225892365</v>
      </c>
      <c r="AE192" s="3138" t="s">
        <v>2272</v>
      </c>
      <c r="AF192" s="2620"/>
      <c r="AG192" s="2620"/>
      <c r="AH192" s="2620"/>
      <c r="AI192" s="2620"/>
      <c r="AJ192" s="2620"/>
      <c r="AK192" s="2620"/>
      <c r="AL192" s="2620"/>
      <c r="AM192" s="2620"/>
      <c r="AN192" s="2620"/>
      <c r="AO192" s="2620"/>
      <c r="AP192" s="2620"/>
      <c r="AQ192" s="2620"/>
      <c r="AR192" s="2620"/>
      <c r="AS192" s="2620"/>
      <c r="AT192" s="2620"/>
      <c r="AU192" s="2620"/>
      <c r="AV192" s="2620"/>
      <c r="AW192" s="2620"/>
      <c r="AX192" s="2620"/>
      <c r="AY192" s="2620"/>
      <c r="AZ192" s="2620"/>
      <c r="BA192" s="2620"/>
      <c r="BB192" s="2620"/>
      <c r="BC192" s="2620"/>
      <c r="BD192" s="2620"/>
      <c r="BE192" s="2620"/>
      <c r="BF192" s="2620"/>
      <c r="BG192" s="2620"/>
      <c r="BH192" s="2620"/>
      <c r="BI192" s="2620"/>
      <c r="BJ192" s="2620"/>
      <c r="BK192" s="2620"/>
      <c r="BL192" s="2620"/>
      <c r="BM192" s="2620"/>
      <c r="BN192" s="2620"/>
      <c r="BO192" s="2620"/>
      <c r="BP192" s="2620"/>
      <c r="BQ192" s="2620"/>
      <c r="BR192" s="2620"/>
      <c r="BS192" s="2620"/>
      <c r="BT192" s="2620"/>
      <c r="BU192" s="2620"/>
      <c r="BV192" s="2620"/>
      <c r="BW192" s="2620"/>
      <c r="BX192" s="2620"/>
    </row>
    <row r="193" spans="1:76" s="2608" customFormat="1" ht="46.5" customHeight="1">
      <c r="A193" s="2632"/>
      <c r="B193" s="2632"/>
      <c r="C193" s="3794">
        <v>1</v>
      </c>
      <c r="D193" s="2446" t="s">
        <v>66</v>
      </c>
      <c r="E193" s="2446" t="s">
        <v>95</v>
      </c>
      <c r="F193" s="2446" t="s">
        <v>401</v>
      </c>
      <c r="G193" s="2446" t="s">
        <v>95</v>
      </c>
      <c r="H193" s="2446"/>
      <c r="I193" s="3168" t="s">
        <v>2397</v>
      </c>
      <c r="J193" s="1762" t="s">
        <v>2398</v>
      </c>
      <c r="K193" s="2290">
        <v>0.9</v>
      </c>
      <c r="L193" s="2292">
        <v>3587915700</v>
      </c>
      <c r="M193" s="2378">
        <f>(K193/6)*2</f>
        <v>0.3</v>
      </c>
      <c r="N193" s="2292">
        <v>339707787</v>
      </c>
      <c r="O193" s="2378">
        <f>M193/2</f>
        <v>0.15</v>
      </c>
      <c r="P193" s="2292">
        <v>126036522</v>
      </c>
      <c r="Q193" s="2407">
        <v>3.5999999999999997E-2</v>
      </c>
      <c r="R193" s="2304">
        <v>3525000</v>
      </c>
      <c r="S193" s="2875">
        <v>1.9E-2</v>
      </c>
      <c r="T193" s="2304">
        <f>39343007-R193</f>
        <v>35818007</v>
      </c>
      <c r="U193" s="3266">
        <v>7.5000000000000011E-2</v>
      </c>
      <c r="V193" s="2304">
        <v>28858000</v>
      </c>
      <c r="W193" s="2632"/>
      <c r="X193" s="2304"/>
      <c r="Y193" s="2311">
        <f t="shared" si="52"/>
        <v>0.13</v>
      </c>
      <c r="Z193" s="2304">
        <f t="shared" si="53"/>
        <v>68201007</v>
      </c>
      <c r="AA193" s="2308">
        <f t="shared" si="48"/>
        <v>0.43</v>
      </c>
      <c r="AB193" s="2304">
        <f t="shared" si="48"/>
        <v>407908794</v>
      </c>
      <c r="AC193" s="2308">
        <f t="shared" si="49"/>
        <v>0.47777777777777775</v>
      </c>
      <c r="AD193" s="2311">
        <f t="shared" si="50"/>
        <v>0.11368962598535969</v>
      </c>
      <c r="AE193" s="3160"/>
      <c r="AF193" s="2318"/>
      <c r="AG193" s="2318"/>
      <c r="AH193" s="2318"/>
      <c r="AI193" s="2318"/>
      <c r="AJ193" s="2318"/>
      <c r="AK193" s="2318"/>
      <c r="AL193" s="2318"/>
      <c r="AM193" s="2318"/>
      <c r="AN193" s="2318"/>
      <c r="AO193" s="2318"/>
      <c r="AP193" s="2318"/>
      <c r="AQ193" s="2318"/>
      <c r="AR193" s="2318"/>
      <c r="AS193" s="2318"/>
      <c r="AT193" s="2318"/>
      <c r="AU193" s="2318"/>
      <c r="AV193" s="2318"/>
      <c r="AW193" s="2318"/>
      <c r="AX193" s="2318"/>
      <c r="AY193" s="2318"/>
      <c r="AZ193" s="2318"/>
      <c r="BA193" s="2318"/>
      <c r="BB193" s="2318"/>
      <c r="BC193" s="2318"/>
      <c r="BD193" s="2318"/>
      <c r="BE193" s="2318"/>
      <c r="BF193" s="2318"/>
      <c r="BG193" s="2318"/>
      <c r="BH193" s="2318"/>
      <c r="BI193" s="2318"/>
      <c r="BJ193" s="2318"/>
      <c r="BK193" s="2318"/>
      <c r="BL193" s="2318"/>
      <c r="BM193" s="2318"/>
      <c r="BN193" s="2318"/>
      <c r="BO193" s="2318"/>
      <c r="BP193" s="2318"/>
      <c r="BQ193" s="2318"/>
      <c r="BR193" s="2318"/>
      <c r="BS193" s="2318"/>
      <c r="BT193" s="2318"/>
      <c r="BU193" s="2318"/>
      <c r="BV193" s="2318"/>
      <c r="BW193" s="2318"/>
      <c r="BX193" s="2318"/>
    </row>
    <row r="194" spans="1:76" s="2608" customFormat="1" ht="99" customHeight="1">
      <c r="A194" s="2632"/>
      <c r="B194" s="2632"/>
      <c r="C194" s="3794">
        <v>1</v>
      </c>
      <c r="D194" s="2446" t="s">
        <v>66</v>
      </c>
      <c r="E194" s="2446" t="s">
        <v>95</v>
      </c>
      <c r="F194" s="2446" t="s">
        <v>401</v>
      </c>
      <c r="G194" s="2446" t="s">
        <v>161</v>
      </c>
      <c r="H194" s="2446"/>
      <c r="I194" s="3168" t="s">
        <v>2399</v>
      </c>
      <c r="J194" s="2516" t="s">
        <v>2400</v>
      </c>
      <c r="K194" s="2290">
        <v>0.95</v>
      </c>
      <c r="L194" s="2292">
        <v>520000000</v>
      </c>
      <c r="M194" s="2378">
        <f>(K194/6)*2</f>
        <v>0.31666666666666665</v>
      </c>
      <c r="N194" s="2292">
        <v>66437800</v>
      </c>
      <c r="O194" s="2378">
        <f>M194/2</f>
        <v>0.15833333333333333</v>
      </c>
      <c r="P194" s="2292">
        <v>33086089</v>
      </c>
      <c r="Q194" s="2407">
        <v>2.3E-2</v>
      </c>
      <c r="R194" s="2632">
        <v>0</v>
      </c>
      <c r="S194" s="2877">
        <v>2.8000000000000001E-2</v>
      </c>
      <c r="T194" s="2304">
        <v>0</v>
      </c>
      <c r="U194" s="3266">
        <v>6.9000000000000006E-2</v>
      </c>
      <c r="V194" s="2304">
        <v>14145000</v>
      </c>
      <c r="W194" s="2632"/>
      <c r="X194" s="2304"/>
      <c r="Y194" s="2311">
        <f t="shared" si="52"/>
        <v>0.12000000000000001</v>
      </c>
      <c r="Z194" s="2304">
        <f t="shared" si="53"/>
        <v>14145000</v>
      </c>
      <c r="AA194" s="2308">
        <f t="shared" si="48"/>
        <v>0.43666666666666665</v>
      </c>
      <c r="AB194" s="2304">
        <f t="shared" si="48"/>
        <v>80582800</v>
      </c>
      <c r="AC194" s="2308">
        <f t="shared" si="49"/>
        <v>0.45964912280701753</v>
      </c>
      <c r="AD194" s="2311">
        <f t="shared" si="50"/>
        <v>0.15496692307692309</v>
      </c>
      <c r="AE194" s="3160"/>
      <c r="AF194" s="2318"/>
      <c r="AG194" s="2318"/>
      <c r="AH194" s="2318"/>
      <c r="AI194" s="2318"/>
      <c r="AJ194" s="2318"/>
      <c r="AK194" s="2318"/>
      <c r="AL194" s="2318"/>
      <c r="AM194" s="2318"/>
      <c r="AN194" s="2318"/>
      <c r="AO194" s="2318"/>
      <c r="AP194" s="2318"/>
      <c r="AQ194" s="2318"/>
      <c r="AR194" s="2318"/>
      <c r="AS194" s="2318"/>
      <c r="AT194" s="2318"/>
      <c r="AU194" s="2318"/>
      <c r="AV194" s="2318"/>
      <c r="AW194" s="2318"/>
      <c r="AX194" s="2318"/>
      <c r="AY194" s="2318"/>
      <c r="AZ194" s="2318"/>
      <c r="BA194" s="2318"/>
      <c r="BB194" s="2318"/>
      <c r="BC194" s="2318"/>
      <c r="BD194" s="2318"/>
      <c r="BE194" s="2318"/>
      <c r="BF194" s="2318"/>
      <c r="BG194" s="2318"/>
      <c r="BH194" s="2318"/>
      <c r="BI194" s="2318"/>
      <c r="BJ194" s="2318"/>
      <c r="BK194" s="2318"/>
      <c r="BL194" s="2318"/>
      <c r="BM194" s="2318"/>
      <c r="BN194" s="2318"/>
      <c r="BO194" s="2318"/>
      <c r="BP194" s="2318"/>
      <c r="BQ194" s="2318"/>
      <c r="BR194" s="2318"/>
      <c r="BS194" s="2318"/>
      <c r="BT194" s="2318"/>
      <c r="BU194" s="2318"/>
      <c r="BV194" s="2318"/>
      <c r="BW194" s="2318"/>
      <c r="BX194" s="2318"/>
    </row>
    <row r="195" spans="1:76" s="2608" customFormat="1" ht="101.25" customHeight="1">
      <c r="A195" s="2632"/>
      <c r="B195" s="2632"/>
      <c r="C195" s="3794">
        <v>1</v>
      </c>
      <c r="D195" s="2446" t="s">
        <v>66</v>
      </c>
      <c r="E195" s="2446" t="s">
        <v>95</v>
      </c>
      <c r="F195" s="2446" t="s">
        <v>401</v>
      </c>
      <c r="G195" s="2446" t="s">
        <v>197</v>
      </c>
      <c r="H195" s="2446"/>
      <c r="I195" s="3168" t="s">
        <v>2401</v>
      </c>
      <c r="J195" s="2516" t="s">
        <v>2402</v>
      </c>
      <c r="K195" s="2290">
        <v>0.9</v>
      </c>
      <c r="L195" s="2292">
        <v>17500000000</v>
      </c>
      <c r="M195" s="2378">
        <f>(K195/6)*2</f>
        <v>0.3</v>
      </c>
      <c r="N195" s="2292">
        <v>46299778</v>
      </c>
      <c r="O195" s="2378">
        <f>M195/2</f>
        <v>0.15</v>
      </c>
      <c r="P195" s="2292">
        <v>3098880000</v>
      </c>
      <c r="Q195" s="2407">
        <v>1.2999999999999999E-2</v>
      </c>
      <c r="R195" s="2304">
        <v>9245000</v>
      </c>
      <c r="S195" s="2875">
        <v>4.2999999999999997E-2</v>
      </c>
      <c r="T195" s="2276">
        <f>55797500-R195</f>
        <v>46552500</v>
      </c>
      <c r="U195" s="3266">
        <v>7.400000000000001E-2</v>
      </c>
      <c r="V195" s="2304">
        <v>1668048575</v>
      </c>
      <c r="W195" s="2632"/>
      <c r="X195" s="2304"/>
      <c r="Y195" s="2311">
        <f t="shared" si="52"/>
        <v>0.13</v>
      </c>
      <c r="Z195" s="2304">
        <f t="shared" si="53"/>
        <v>1723846075</v>
      </c>
      <c r="AA195" s="2308">
        <f t="shared" si="48"/>
        <v>0.43</v>
      </c>
      <c r="AB195" s="2304">
        <f t="shared" si="48"/>
        <v>1770145853</v>
      </c>
      <c r="AC195" s="2308">
        <f t="shared" si="49"/>
        <v>0.47777777777777775</v>
      </c>
      <c r="AD195" s="2311">
        <f t="shared" si="50"/>
        <v>0.1011511916</v>
      </c>
      <c r="AE195" s="3160"/>
      <c r="AF195" s="2318"/>
      <c r="AG195" s="2318"/>
      <c r="AH195" s="2318"/>
      <c r="AI195" s="2318"/>
      <c r="AJ195" s="2318"/>
      <c r="AK195" s="2318"/>
      <c r="AL195" s="2318"/>
      <c r="AM195" s="2318"/>
      <c r="AN195" s="2318"/>
      <c r="AO195" s="2318"/>
      <c r="AP195" s="2318"/>
      <c r="AQ195" s="2318"/>
      <c r="AR195" s="2318"/>
      <c r="AS195" s="2318"/>
      <c r="AT195" s="2318"/>
      <c r="AU195" s="2318"/>
      <c r="AV195" s="2318"/>
      <c r="AW195" s="2318"/>
      <c r="AX195" s="2318"/>
      <c r="AY195" s="2318"/>
      <c r="AZ195" s="2318"/>
      <c r="BA195" s="2318"/>
      <c r="BB195" s="2318"/>
      <c r="BC195" s="2318"/>
      <c r="BD195" s="2318"/>
      <c r="BE195" s="2318"/>
      <c r="BF195" s="2318"/>
      <c r="BG195" s="2318"/>
      <c r="BH195" s="2318"/>
      <c r="BI195" s="2318"/>
      <c r="BJ195" s="2318"/>
      <c r="BK195" s="2318"/>
      <c r="BL195" s="2318"/>
      <c r="BM195" s="2318"/>
      <c r="BN195" s="2318"/>
      <c r="BO195" s="2318"/>
      <c r="BP195" s="2318"/>
      <c r="BQ195" s="2318"/>
      <c r="BR195" s="2318"/>
      <c r="BS195" s="2318"/>
      <c r="BT195" s="2318"/>
      <c r="BU195" s="2318"/>
      <c r="BV195" s="2318"/>
      <c r="BW195" s="2318"/>
      <c r="BX195" s="2318"/>
    </row>
    <row r="196" spans="1:76" s="2271" customFormat="1" ht="42.75" customHeight="1">
      <c r="A196" s="3138">
        <v>15</v>
      </c>
      <c r="B196" s="2335" t="s">
        <v>2311</v>
      </c>
      <c r="C196" s="2874">
        <v>1</v>
      </c>
      <c r="D196" s="2447" t="s">
        <v>66</v>
      </c>
      <c r="E196" s="2447" t="s">
        <v>65</v>
      </c>
      <c r="F196" s="2447" t="s">
        <v>2403</v>
      </c>
      <c r="G196" s="2874"/>
      <c r="H196" s="2874"/>
      <c r="I196" s="2359" t="s">
        <v>2404</v>
      </c>
      <c r="J196" s="2350" t="s">
        <v>2405</v>
      </c>
      <c r="K196" s="2336">
        <v>0.7</v>
      </c>
      <c r="L196" s="2357">
        <v>3748186500</v>
      </c>
      <c r="M196" s="2373">
        <f>SUM(M197:M199)/3</f>
        <v>0.21666666666666665</v>
      </c>
      <c r="N196" s="2361">
        <f>SUM(N197:N199)</f>
        <v>323701947</v>
      </c>
      <c r="O196" s="2338">
        <f>SUM(O197:O200)/4</f>
        <v>0.13124999999999998</v>
      </c>
      <c r="P196" s="2361">
        <f>SUM(P197:P200)</f>
        <v>355653487</v>
      </c>
      <c r="Q196" s="2366">
        <f>SUM(Q197:Q200)/4</f>
        <v>2.325E-2</v>
      </c>
      <c r="R196" s="2339">
        <f>SUM(R197:R200)</f>
        <v>22555100</v>
      </c>
      <c r="S196" s="2876">
        <f>SUM(S197:S200)/4</f>
        <v>1.7750000000000002E-2</v>
      </c>
      <c r="T196" s="2342">
        <f>SUM(T197:T199)</f>
        <v>25601600</v>
      </c>
      <c r="U196" s="2876">
        <f>SUM(U197:U200)/4</f>
        <v>0.03</v>
      </c>
      <c r="V196" s="2342">
        <f>SUM(V197:V199)</f>
        <v>34710800</v>
      </c>
      <c r="W196" s="2335"/>
      <c r="X196" s="2342"/>
      <c r="Y196" s="2410">
        <f t="shared" si="52"/>
        <v>7.1000000000000008E-2</v>
      </c>
      <c r="Z196" s="2342">
        <f t="shared" si="53"/>
        <v>82867500</v>
      </c>
      <c r="AA196" s="2420">
        <f t="shared" si="48"/>
        <v>0.28766666666666663</v>
      </c>
      <c r="AB196" s="2342">
        <f t="shared" si="48"/>
        <v>406569447</v>
      </c>
      <c r="AC196" s="2362">
        <f t="shared" si="49"/>
        <v>0.4109523809523809</v>
      </c>
      <c r="AD196" s="2410">
        <f t="shared" si="50"/>
        <v>0.10847097576387942</v>
      </c>
      <c r="AE196" s="3138" t="s">
        <v>2272</v>
      </c>
      <c r="AF196" s="2620"/>
      <c r="AG196" s="2620"/>
      <c r="AH196" s="2620"/>
      <c r="AI196" s="2620"/>
      <c r="AJ196" s="2620"/>
      <c r="AK196" s="2620"/>
      <c r="AL196" s="2620"/>
      <c r="AM196" s="2620"/>
      <c r="AN196" s="2620"/>
      <c r="AO196" s="2620"/>
      <c r="AP196" s="2620"/>
      <c r="AQ196" s="2620"/>
      <c r="AR196" s="2620"/>
      <c r="AS196" s="2620"/>
      <c r="AT196" s="2620"/>
      <c r="AU196" s="2620"/>
      <c r="AV196" s="2620"/>
      <c r="AW196" s="2620"/>
      <c r="AX196" s="2620"/>
      <c r="AY196" s="2620"/>
      <c r="AZ196" s="2620"/>
      <c r="BA196" s="2620"/>
      <c r="BB196" s="2620"/>
      <c r="BC196" s="2620"/>
      <c r="BD196" s="2620"/>
      <c r="BE196" s="2620"/>
      <c r="BF196" s="2620"/>
      <c r="BG196" s="2620"/>
      <c r="BH196" s="2620"/>
      <c r="BI196" s="2620"/>
      <c r="BJ196" s="2620"/>
      <c r="BK196" s="2620"/>
      <c r="BL196" s="2620"/>
      <c r="BM196" s="2620"/>
      <c r="BN196" s="2620"/>
      <c r="BO196" s="2620"/>
      <c r="BP196" s="2620"/>
      <c r="BQ196" s="2620"/>
      <c r="BR196" s="2620"/>
      <c r="BS196" s="2620"/>
      <c r="BT196" s="2620"/>
      <c r="BU196" s="2620"/>
      <c r="BV196" s="2620"/>
      <c r="BW196" s="2620"/>
      <c r="BX196" s="2620"/>
    </row>
    <row r="197" spans="1:76" s="2608" customFormat="1" ht="63.75" customHeight="1">
      <c r="A197" s="2632"/>
      <c r="B197" s="2632"/>
      <c r="C197" s="3794">
        <v>1</v>
      </c>
      <c r="D197" s="2446" t="s">
        <v>66</v>
      </c>
      <c r="E197" s="2446" t="s">
        <v>65</v>
      </c>
      <c r="F197" s="2446" t="s">
        <v>2403</v>
      </c>
      <c r="G197" s="2446" t="s">
        <v>66</v>
      </c>
      <c r="H197" s="2446"/>
      <c r="I197" s="1762" t="s">
        <v>2406</v>
      </c>
      <c r="J197" s="2516" t="s">
        <v>2407</v>
      </c>
      <c r="K197" s="2290">
        <v>0.6</v>
      </c>
      <c r="L197" s="2292">
        <v>1160902500</v>
      </c>
      <c r="M197" s="2378">
        <f>(K197/6)*2</f>
        <v>0.19999999999999998</v>
      </c>
      <c r="N197" s="2292">
        <v>87380250</v>
      </c>
      <c r="O197" s="2378">
        <f>M197/2</f>
        <v>9.9999999999999992E-2</v>
      </c>
      <c r="P197" s="2292">
        <v>135522627</v>
      </c>
      <c r="Q197" s="2407">
        <v>2.1000000000000001E-2</v>
      </c>
      <c r="R197" s="2304">
        <v>3410200</v>
      </c>
      <c r="S197" s="2875">
        <v>5.0000000000000001E-3</v>
      </c>
      <c r="T197" s="2304">
        <f>14904200-R197</f>
        <v>11494000</v>
      </c>
      <c r="U197" s="3266">
        <v>5.0000000000000001E-3</v>
      </c>
      <c r="V197" s="2304">
        <v>14484200</v>
      </c>
      <c r="W197" s="2632"/>
      <c r="X197" s="2304"/>
      <c r="Y197" s="2311">
        <f t="shared" si="52"/>
        <v>3.1000000000000003E-2</v>
      </c>
      <c r="Z197" s="2304">
        <f t="shared" si="53"/>
        <v>29388400</v>
      </c>
      <c r="AA197" s="2308">
        <f t="shared" si="48"/>
        <v>0.23099999999999998</v>
      </c>
      <c r="AB197" s="2304">
        <f t="shared" si="48"/>
        <v>116768650</v>
      </c>
      <c r="AC197" s="2308">
        <f t="shared" si="49"/>
        <v>0.38500000000000001</v>
      </c>
      <c r="AD197" s="2311">
        <f t="shared" si="50"/>
        <v>0.10058437293398886</v>
      </c>
      <c r="AE197" s="3160"/>
      <c r="AF197" s="2318"/>
      <c r="AG197" s="2318"/>
      <c r="AH197" s="2318"/>
      <c r="AI197" s="2318"/>
      <c r="AJ197" s="2318"/>
      <c r="AK197" s="2318"/>
      <c r="AL197" s="2318"/>
      <c r="AM197" s="2318"/>
      <c r="AN197" s="2318"/>
      <c r="AO197" s="2318"/>
      <c r="AP197" s="2318"/>
      <c r="AQ197" s="2318"/>
      <c r="AR197" s="2318"/>
      <c r="AS197" s="2318"/>
      <c r="AT197" s="2318"/>
      <c r="AU197" s="2318"/>
      <c r="AV197" s="2318"/>
      <c r="AW197" s="2318"/>
      <c r="AX197" s="2318"/>
      <c r="AY197" s="2318"/>
      <c r="AZ197" s="2318"/>
      <c r="BA197" s="2318"/>
      <c r="BB197" s="2318"/>
      <c r="BC197" s="2318"/>
      <c r="BD197" s="2318"/>
      <c r="BE197" s="2318"/>
      <c r="BF197" s="2318"/>
      <c r="BG197" s="2318"/>
      <c r="BH197" s="2318"/>
      <c r="BI197" s="2318"/>
      <c r="BJ197" s="2318"/>
      <c r="BK197" s="2318"/>
      <c r="BL197" s="2318"/>
      <c r="BM197" s="2318"/>
      <c r="BN197" s="2318"/>
      <c r="BO197" s="2318"/>
      <c r="BP197" s="2318"/>
      <c r="BQ197" s="2318"/>
      <c r="BR197" s="2318"/>
      <c r="BS197" s="2318"/>
      <c r="BT197" s="2318"/>
      <c r="BU197" s="2318"/>
      <c r="BV197" s="2318"/>
      <c r="BW197" s="2318"/>
      <c r="BX197" s="2318"/>
    </row>
    <row r="198" spans="1:76" s="2608" customFormat="1" ht="63.75" customHeight="1">
      <c r="A198" s="2632"/>
      <c r="B198" s="2632"/>
      <c r="C198" s="3794">
        <v>1</v>
      </c>
      <c r="D198" s="2446" t="s">
        <v>66</v>
      </c>
      <c r="E198" s="2446" t="s">
        <v>65</v>
      </c>
      <c r="F198" s="2446" t="s">
        <v>2403</v>
      </c>
      <c r="G198" s="2446" t="s">
        <v>196</v>
      </c>
      <c r="H198" s="2446"/>
      <c r="I198" s="1762" t="s">
        <v>2408</v>
      </c>
      <c r="J198" s="2516" t="s">
        <v>2409</v>
      </c>
      <c r="K198" s="2290">
        <v>0.6</v>
      </c>
      <c r="L198" s="2292">
        <v>1475000000</v>
      </c>
      <c r="M198" s="2378">
        <f>(K198/6)*2</f>
        <v>0.19999999999999998</v>
      </c>
      <c r="N198" s="2292">
        <v>67584500</v>
      </c>
      <c r="O198" s="2378">
        <f>M198/2</f>
        <v>9.9999999999999992E-2</v>
      </c>
      <c r="P198" s="2292">
        <v>50893076</v>
      </c>
      <c r="Q198" s="2407">
        <v>2.5000000000000001E-2</v>
      </c>
      <c r="R198" s="2304">
        <v>7004700</v>
      </c>
      <c r="S198" s="2875">
        <v>3.5000000000000003E-2</v>
      </c>
      <c r="T198" s="2304">
        <f>10512000-R198</f>
        <v>3507300</v>
      </c>
      <c r="U198" s="3266">
        <v>5.9999999999999991E-2</v>
      </c>
      <c r="V198" s="2304">
        <v>18087000</v>
      </c>
      <c r="W198" s="2632"/>
      <c r="X198" s="2304"/>
      <c r="Y198" s="2311">
        <f t="shared" si="52"/>
        <v>0.12</v>
      </c>
      <c r="Z198" s="2304">
        <f t="shared" si="53"/>
        <v>28599000</v>
      </c>
      <c r="AA198" s="2308">
        <f t="shared" si="48"/>
        <v>0.31999999999999995</v>
      </c>
      <c r="AB198" s="2304">
        <f t="shared" si="48"/>
        <v>96183500</v>
      </c>
      <c r="AC198" s="2308">
        <f t="shared" si="49"/>
        <v>0.53333333333333333</v>
      </c>
      <c r="AD198" s="2311">
        <f t="shared" si="50"/>
        <v>6.5209152542372875E-2</v>
      </c>
      <c r="AE198" s="3160"/>
      <c r="AF198" s="2318"/>
      <c r="AG198" s="2318"/>
      <c r="AH198" s="2318"/>
      <c r="AI198" s="2318"/>
      <c r="AJ198" s="2318"/>
      <c r="AK198" s="2318"/>
      <c r="AL198" s="2318"/>
      <c r="AM198" s="2318"/>
      <c r="AN198" s="2318"/>
      <c r="AO198" s="2318"/>
      <c r="AP198" s="2318"/>
      <c r="AQ198" s="2318"/>
      <c r="AR198" s="2318"/>
      <c r="AS198" s="2318"/>
      <c r="AT198" s="2318"/>
      <c r="AU198" s="2318"/>
      <c r="AV198" s="2318"/>
      <c r="AW198" s="2318"/>
      <c r="AX198" s="2318"/>
      <c r="AY198" s="2318"/>
      <c r="AZ198" s="2318"/>
      <c r="BA198" s="2318"/>
      <c r="BB198" s="2318"/>
      <c r="BC198" s="2318"/>
      <c r="BD198" s="2318"/>
      <c r="BE198" s="2318"/>
      <c r="BF198" s="2318"/>
      <c r="BG198" s="2318"/>
      <c r="BH198" s="2318"/>
      <c r="BI198" s="2318"/>
      <c r="BJ198" s="2318"/>
      <c r="BK198" s="2318"/>
      <c r="BL198" s="2318"/>
      <c r="BM198" s="2318"/>
      <c r="BN198" s="2318"/>
      <c r="BO198" s="2318"/>
      <c r="BP198" s="2318"/>
      <c r="BQ198" s="2318"/>
      <c r="BR198" s="2318"/>
      <c r="BS198" s="2318"/>
      <c r="BT198" s="2318"/>
      <c r="BU198" s="2318"/>
      <c r="BV198" s="2318"/>
      <c r="BW198" s="2318"/>
      <c r="BX198" s="2318"/>
    </row>
    <row r="199" spans="1:76" s="2608" customFormat="1" ht="70.5" customHeight="1">
      <c r="A199" s="2632"/>
      <c r="B199" s="2632"/>
      <c r="C199" s="3794">
        <v>1</v>
      </c>
      <c r="D199" s="2446" t="s">
        <v>66</v>
      </c>
      <c r="E199" s="2446" t="s">
        <v>65</v>
      </c>
      <c r="F199" s="2446">
        <v>33</v>
      </c>
      <c r="G199" s="2446" t="s">
        <v>65</v>
      </c>
      <c r="H199" s="2446"/>
      <c r="I199" s="1762" t="s">
        <v>2410</v>
      </c>
      <c r="J199" s="2516" t="s">
        <v>2411</v>
      </c>
      <c r="K199" s="2290">
        <v>0.75</v>
      </c>
      <c r="L199" s="2292">
        <v>647284000</v>
      </c>
      <c r="M199" s="2378">
        <f>(K199/6)*2</f>
        <v>0.25</v>
      </c>
      <c r="N199" s="2292">
        <v>168737197</v>
      </c>
      <c r="O199" s="2378">
        <f>M199/2</f>
        <v>0.125</v>
      </c>
      <c r="P199" s="2292">
        <v>96378306</v>
      </c>
      <c r="Q199" s="2407">
        <v>2.3E-2</v>
      </c>
      <c r="R199" s="2307">
        <v>3649000</v>
      </c>
      <c r="S199" s="2878">
        <v>2E-3</v>
      </c>
      <c r="T199" s="2307">
        <f>14249300-R199</f>
        <v>10600300</v>
      </c>
      <c r="U199" s="3267">
        <v>8.0000000000000002E-3</v>
      </c>
      <c r="V199" s="2307">
        <v>2139600</v>
      </c>
      <c r="W199" s="2516"/>
      <c r="X199" s="2307"/>
      <c r="Y199" s="2311">
        <f t="shared" si="52"/>
        <v>3.3000000000000002E-2</v>
      </c>
      <c r="Z199" s="2304">
        <f t="shared" si="53"/>
        <v>16388900</v>
      </c>
      <c r="AA199" s="2308">
        <f t="shared" si="48"/>
        <v>0.28300000000000003</v>
      </c>
      <c r="AB199" s="2307">
        <f t="shared" si="48"/>
        <v>185126097</v>
      </c>
      <c r="AC199" s="2308">
        <f t="shared" si="49"/>
        <v>0.37733333333333335</v>
      </c>
      <c r="AD199" s="2311">
        <f t="shared" si="50"/>
        <v>0.28600443854629498</v>
      </c>
      <c r="AE199" s="2207"/>
      <c r="AF199" s="2318"/>
      <c r="AG199" s="2318"/>
      <c r="AH199" s="2318"/>
      <c r="AI199" s="2318"/>
      <c r="AJ199" s="2318"/>
      <c r="AK199" s="2318"/>
      <c r="AL199" s="2318"/>
      <c r="AM199" s="2318"/>
      <c r="AN199" s="2318"/>
      <c r="AO199" s="2318"/>
      <c r="AP199" s="2318"/>
      <c r="AQ199" s="2318"/>
      <c r="AR199" s="2318"/>
      <c r="AS199" s="2318"/>
      <c r="AT199" s="2318"/>
      <c r="AU199" s="2318"/>
      <c r="AV199" s="2318"/>
      <c r="AW199" s="2318"/>
      <c r="AX199" s="2318"/>
      <c r="AY199" s="2318"/>
      <c r="AZ199" s="2318"/>
      <c r="BA199" s="2318"/>
      <c r="BB199" s="2318"/>
      <c r="BC199" s="2318"/>
      <c r="BD199" s="2318"/>
      <c r="BE199" s="2318"/>
      <c r="BF199" s="2318"/>
      <c r="BG199" s="2318"/>
      <c r="BH199" s="2318"/>
      <c r="BI199" s="2318"/>
      <c r="BJ199" s="2318"/>
      <c r="BK199" s="2318"/>
      <c r="BL199" s="2318"/>
      <c r="BM199" s="2318"/>
      <c r="BN199" s="2318"/>
      <c r="BO199" s="2318"/>
      <c r="BP199" s="2318"/>
      <c r="BQ199" s="2318"/>
      <c r="BR199" s="2318"/>
      <c r="BS199" s="2318"/>
      <c r="BT199" s="2318"/>
      <c r="BU199" s="2318"/>
      <c r="BV199" s="2318"/>
      <c r="BW199" s="2318"/>
      <c r="BX199" s="2318"/>
    </row>
    <row r="200" spans="1:76" s="2608" customFormat="1" ht="63.75" customHeight="1">
      <c r="A200" s="2632"/>
      <c r="B200" s="2632"/>
      <c r="C200" s="3794">
        <v>1</v>
      </c>
      <c r="D200" s="2446" t="s">
        <v>66</v>
      </c>
      <c r="E200" s="2446" t="s">
        <v>65</v>
      </c>
      <c r="F200" s="2446">
        <v>33</v>
      </c>
      <c r="G200" s="2446" t="s">
        <v>95</v>
      </c>
      <c r="H200" s="2446"/>
      <c r="I200" s="1762" t="s">
        <v>2412</v>
      </c>
      <c r="J200" s="2516" t="s">
        <v>2413</v>
      </c>
      <c r="K200" s="2290">
        <v>1</v>
      </c>
      <c r="L200" s="2292">
        <v>465000000</v>
      </c>
      <c r="M200" s="2285"/>
      <c r="N200" s="2292"/>
      <c r="O200" s="2378">
        <f>K200/5</f>
        <v>0.2</v>
      </c>
      <c r="P200" s="2292">
        <v>72859478</v>
      </c>
      <c r="Q200" s="2407">
        <v>2.4E-2</v>
      </c>
      <c r="R200" s="2307">
        <v>8491200</v>
      </c>
      <c r="S200" s="2878">
        <v>2.9000000000000001E-2</v>
      </c>
      <c r="T200" s="2307">
        <f>12263200-R200</f>
        <v>3772000</v>
      </c>
      <c r="U200" s="3267">
        <v>4.7000000000000007E-2</v>
      </c>
      <c r="V200" s="2307">
        <v>23391000</v>
      </c>
      <c r="W200" s="2516"/>
      <c r="X200" s="2307"/>
      <c r="Y200" s="2311">
        <f t="shared" si="52"/>
        <v>0.1</v>
      </c>
      <c r="Z200" s="2304">
        <f t="shared" si="53"/>
        <v>35654200</v>
      </c>
      <c r="AA200" s="2308">
        <f t="shared" si="48"/>
        <v>0.1</v>
      </c>
      <c r="AB200" s="2307">
        <f t="shared" si="48"/>
        <v>35654200</v>
      </c>
      <c r="AC200" s="2308">
        <f t="shared" si="49"/>
        <v>0.1</v>
      </c>
      <c r="AD200" s="2311">
        <f t="shared" si="50"/>
        <v>7.6675698924731181E-2</v>
      </c>
      <c r="AE200" s="2207"/>
      <c r="AF200" s="2318"/>
      <c r="AG200" s="2318"/>
      <c r="AH200" s="2318"/>
      <c r="AI200" s="2318"/>
      <c r="AJ200" s="2318"/>
      <c r="AK200" s="2318"/>
      <c r="AL200" s="2318"/>
      <c r="AM200" s="2318"/>
      <c r="AN200" s="2318"/>
      <c r="AO200" s="2318"/>
      <c r="AP200" s="2318"/>
      <c r="AQ200" s="2318"/>
      <c r="AR200" s="2318"/>
      <c r="AS200" s="2318"/>
      <c r="AT200" s="2318"/>
      <c r="AU200" s="2318"/>
      <c r="AV200" s="2318"/>
      <c r="AW200" s="2318"/>
      <c r="AX200" s="2318"/>
      <c r="AY200" s="2318"/>
      <c r="AZ200" s="2318"/>
      <c r="BA200" s="2318"/>
      <c r="BB200" s="2318"/>
      <c r="BC200" s="2318"/>
      <c r="BD200" s="2318"/>
      <c r="BE200" s="2318"/>
      <c r="BF200" s="2318"/>
      <c r="BG200" s="2318"/>
      <c r="BH200" s="2318"/>
      <c r="BI200" s="2318"/>
      <c r="BJ200" s="2318"/>
      <c r="BK200" s="2318"/>
      <c r="BL200" s="2318"/>
      <c r="BM200" s="2318"/>
      <c r="BN200" s="2318"/>
      <c r="BO200" s="2318"/>
      <c r="BP200" s="2318"/>
      <c r="BQ200" s="2318"/>
      <c r="BR200" s="2318"/>
      <c r="BS200" s="2318"/>
      <c r="BT200" s="2318"/>
      <c r="BU200" s="2318"/>
      <c r="BV200" s="2318"/>
      <c r="BW200" s="2318"/>
      <c r="BX200" s="2318"/>
    </row>
    <row r="201" spans="1:76" s="2608" customFormat="1" ht="69.75" customHeight="1">
      <c r="A201" s="2874">
        <v>16</v>
      </c>
      <c r="B201" s="2335" t="s">
        <v>2268</v>
      </c>
      <c r="C201" s="2447" t="s">
        <v>65</v>
      </c>
      <c r="D201" s="2874">
        <v>1</v>
      </c>
      <c r="E201" s="2447" t="s">
        <v>66</v>
      </c>
      <c r="F201" s="2447" t="s">
        <v>65</v>
      </c>
      <c r="G201" s="2874">
        <v>38</v>
      </c>
      <c r="H201" s="2874"/>
      <c r="I201" s="2359" t="s">
        <v>2414</v>
      </c>
      <c r="J201" s="2501" t="s">
        <v>3952</v>
      </c>
      <c r="K201" s="2377">
        <v>0.9</v>
      </c>
      <c r="L201" s="3161">
        <v>86500000000</v>
      </c>
      <c r="M201" s="2377">
        <f>M202</f>
        <v>0.3</v>
      </c>
      <c r="N201" s="2361">
        <v>4430025584</v>
      </c>
      <c r="O201" s="2377">
        <f>O202</f>
        <v>0.15</v>
      </c>
      <c r="P201" s="2361">
        <f>SUM(P202)</f>
        <v>3000000000</v>
      </c>
      <c r="Q201" s="2410">
        <f t="shared" ref="Q201:V201" si="55">Q202</f>
        <v>2.5000000000000001E-2</v>
      </c>
      <c r="R201" s="2335">
        <f t="shared" si="55"/>
        <v>0</v>
      </c>
      <c r="S201" s="2876">
        <f t="shared" si="55"/>
        <v>6.0999999999999999E-2</v>
      </c>
      <c r="T201" s="2342">
        <f t="shared" si="55"/>
        <v>527645334</v>
      </c>
      <c r="U201" s="2876">
        <f t="shared" si="55"/>
        <v>0.13</v>
      </c>
      <c r="V201" s="2342">
        <f t="shared" si="55"/>
        <v>1259357032</v>
      </c>
      <c r="W201" s="2335"/>
      <c r="X201" s="2342"/>
      <c r="Y201" s="2410">
        <f t="shared" si="52"/>
        <v>0.216</v>
      </c>
      <c r="Z201" s="2342">
        <f t="shared" si="53"/>
        <v>1787002366</v>
      </c>
      <c r="AA201" s="2362">
        <f t="shared" si="48"/>
        <v>0.51600000000000001</v>
      </c>
      <c r="AB201" s="2342">
        <f t="shared" si="48"/>
        <v>6217027950</v>
      </c>
      <c r="AC201" s="2362">
        <f t="shared" si="49"/>
        <v>0.57333333333333336</v>
      </c>
      <c r="AD201" s="2410">
        <f t="shared" si="50"/>
        <v>7.1873155491329485E-2</v>
      </c>
      <c r="AE201" s="2874" t="s">
        <v>2272</v>
      </c>
      <c r="AF201" s="2318"/>
      <c r="AG201" s="2318"/>
      <c r="AH201" s="2318"/>
      <c r="AI201" s="2318"/>
      <c r="AJ201" s="2318"/>
      <c r="AK201" s="2318"/>
      <c r="AL201" s="2318"/>
      <c r="AM201" s="2318"/>
      <c r="AN201" s="2318"/>
      <c r="AO201" s="2318"/>
      <c r="AP201" s="2318"/>
      <c r="AQ201" s="2318"/>
      <c r="AR201" s="2318"/>
      <c r="AS201" s="2318"/>
      <c r="AT201" s="2318"/>
      <c r="AU201" s="2318"/>
      <c r="AV201" s="2318"/>
      <c r="AW201" s="2318"/>
      <c r="AX201" s="2318"/>
      <c r="AY201" s="2318"/>
      <c r="AZ201" s="2318"/>
      <c r="BA201" s="2318"/>
      <c r="BB201" s="2318"/>
      <c r="BC201" s="2318"/>
      <c r="BD201" s="2318"/>
      <c r="BE201" s="2318"/>
      <c r="BF201" s="2318"/>
      <c r="BG201" s="2318"/>
      <c r="BH201" s="2318"/>
      <c r="BI201" s="2318"/>
      <c r="BJ201" s="2318"/>
      <c r="BK201" s="2318"/>
      <c r="BL201" s="2318"/>
      <c r="BM201" s="2318"/>
      <c r="BN201" s="2318"/>
      <c r="BO201" s="2318"/>
      <c r="BP201" s="2318"/>
      <c r="BQ201" s="2318"/>
      <c r="BR201" s="2318"/>
      <c r="BS201" s="2318"/>
      <c r="BT201" s="2318"/>
      <c r="BU201" s="2318"/>
      <c r="BV201" s="2318"/>
      <c r="BW201" s="2318"/>
      <c r="BX201" s="2318"/>
    </row>
    <row r="202" spans="1:76" s="3205" customFormat="1" ht="51">
      <c r="A202" s="2516"/>
      <c r="B202" s="2516"/>
      <c r="C202" s="2207">
        <v>1</v>
      </c>
      <c r="D202" s="2448" t="s">
        <v>66</v>
      </c>
      <c r="E202" s="2448" t="s">
        <v>65</v>
      </c>
      <c r="F202" s="2207">
        <v>16</v>
      </c>
      <c r="G202" s="2448" t="s">
        <v>2403</v>
      </c>
      <c r="H202" s="2448"/>
      <c r="I202" s="3168" t="s">
        <v>2416</v>
      </c>
      <c r="J202" s="3154" t="s">
        <v>2415</v>
      </c>
      <c r="K202" s="2290">
        <v>0.9</v>
      </c>
      <c r="L202" s="2292">
        <f>L201</f>
        <v>86500000000</v>
      </c>
      <c r="M202" s="2378">
        <f>(K202/6)*2</f>
        <v>0.3</v>
      </c>
      <c r="N202" s="2292">
        <v>4430025584</v>
      </c>
      <c r="O202" s="2378">
        <f>M202/2</f>
        <v>0.15</v>
      </c>
      <c r="P202" s="2292">
        <v>3000000000</v>
      </c>
      <c r="Q202" s="2379">
        <v>2.5000000000000001E-2</v>
      </c>
      <c r="R202" s="2516">
        <v>0</v>
      </c>
      <c r="S202" s="2878">
        <v>6.0999999999999999E-2</v>
      </c>
      <c r="T202" s="2307">
        <f>527645334-R202</f>
        <v>527645334</v>
      </c>
      <c r="U202" s="3268">
        <v>0.13</v>
      </c>
      <c r="V202" s="2307">
        <v>1259357032</v>
      </c>
      <c r="W202" s="2516"/>
      <c r="X202" s="2307"/>
      <c r="Y202" s="2379">
        <f t="shared" si="52"/>
        <v>0.216</v>
      </c>
      <c r="Z202" s="2307">
        <f t="shared" si="53"/>
        <v>1787002366</v>
      </c>
      <c r="AA202" s="2308">
        <f t="shared" si="48"/>
        <v>0.51600000000000001</v>
      </c>
      <c r="AB202" s="2307">
        <f t="shared" si="48"/>
        <v>6217027950</v>
      </c>
      <c r="AC202" s="2308">
        <f t="shared" si="49"/>
        <v>0.57333333333333336</v>
      </c>
      <c r="AD202" s="2311">
        <f t="shared" si="50"/>
        <v>7.1873155491329485E-2</v>
      </c>
      <c r="AE202" s="2207"/>
      <c r="AF202" s="2318"/>
      <c r="AG202" s="2318"/>
      <c r="AH202" s="2318"/>
      <c r="AI202" s="2318"/>
      <c r="AJ202" s="2318"/>
      <c r="AK202" s="2318"/>
      <c r="AL202" s="2318"/>
      <c r="AM202" s="2318"/>
      <c r="AN202" s="2318"/>
      <c r="AO202" s="2318"/>
      <c r="AP202" s="2318"/>
      <c r="AQ202" s="2318"/>
      <c r="AR202" s="2318"/>
      <c r="AS202" s="2318"/>
      <c r="AT202" s="2318"/>
      <c r="AU202" s="2318"/>
      <c r="AV202" s="2318"/>
      <c r="AW202" s="2318"/>
      <c r="AX202" s="2318"/>
      <c r="AY202" s="2318"/>
      <c r="AZ202" s="2318"/>
      <c r="BA202" s="2318"/>
      <c r="BB202" s="2318"/>
      <c r="BC202" s="2318"/>
      <c r="BD202" s="2318"/>
      <c r="BE202" s="2318"/>
      <c r="BF202" s="2318"/>
      <c r="BG202" s="2318"/>
      <c r="BH202" s="2318"/>
      <c r="BI202" s="2318"/>
      <c r="BJ202" s="2318"/>
      <c r="BK202" s="2318"/>
      <c r="BL202" s="2318"/>
      <c r="BM202" s="2318"/>
      <c r="BN202" s="2318"/>
      <c r="BO202" s="2318"/>
      <c r="BP202" s="2318"/>
      <c r="BQ202" s="2318"/>
      <c r="BR202" s="2318"/>
      <c r="BS202" s="2318"/>
      <c r="BT202" s="2318"/>
      <c r="BU202" s="2318"/>
      <c r="BV202" s="2318"/>
      <c r="BW202" s="2318"/>
      <c r="BX202" s="2318"/>
    </row>
    <row r="203" spans="1:76" s="244" customFormat="1" ht="17.25" customHeight="1">
      <c r="A203" s="4243" t="s">
        <v>101</v>
      </c>
      <c r="B203" s="4243"/>
      <c r="C203" s="4243"/>
      <c r="D203" s="4243"/>
      <c r="E203" s="4243"/>
      <c r="F203" s="4243"/>
      <c r="G203" s="4243"/>
      <c r="H203" s="4243"/>
      <c r="I203" s="4243"/>
      <c r="J203" s="4243"/>
      <c r="K203" s="4243"/>
      <c r="L203" s="4243"/>
      <c r="M203" s="4243"/>
      <c r="N203" s="4243"/>
      <c r="O203" s="4243"/>
      <c r="P203" s="4243"/>
      <c r="Q203" s="4243"/>
      <c r="R203" s="4243"/>
      <c r="S203" s="4243"/>
      <c r="T203" s="4243"/>
      <c r="U203" s="4243"/>
      <c r="V203" s="4243"/>
      <c r="W203" s="4243"/>
      <c r="X203" s="4243"/>
      <c r="Y203" s="4243"/>
      <c r="Z203" s="4243"/>
      <c r="AA203" s="4243"/>
      <c r="AB203" s="4243"/>
      <c r="AC203" s="2325">
        <f>(AC112+AC129+AC131+AC134+AC139+AC145+AC151+AC155+AC163+AC171+AC177+AC185+AC190+AC192+AC196+AC201)/16</f>
        <v>0.46470098490709327</v>
      </c>
      <c r="AD203" s="2325">
        <f>(AD112+AD129+AD131+AD134+AD139+AD145+AD151+AD155+AD163+AD171+AD177+AD185+AD190+AD192+AD196+AD201)/16</f>
        <v>0.16877597254519219</v>
      </c>
      <c r="AE203" s="245"/>
      <c r="AF203" s="2266"/>
      <c r="AG203" s="2266"/>
      <c r="AH203" s="2266"/>
      <c r="AI203" s="2266"/>
      <c r="AJ203" s="2266"/>
      <c r="AK203" s="2266"/>
      <c r="AL203" s="2266"/>
      <c r="AM203" s="2266"/>
      <c r="AN203" s="2266"/>
      <c r="AO203" s="2266"/>
      <c r="AP203" s="2266"/>
      <c r="AQ203" s="2266"/>
      <c r="AR203" s="2266"/>
      <c r="AS203" s="2266"/>
      <c r="AT203" s="2266"/>
      <c r="AU203" s="2266"/>
      <c r="AV203" s="2266"/>
      <c r="AW203" s="2266"/>
      <c r="AX203" s="2266"/>
      <c r="AY203" s="2266"/>
      <c r="AZ203" s="2266"/>
      <c r="BA203" s="2266"/>
      <c r="BB203" s="2266"/>
      <c r="BC203" s="2266"/>
      <c r="BD203" s="2266"/>
      <c r="BE203" s="2266"/>
      <c r="BF203" s="2266"/>
      <c r="BG203" s="2266"/>
      <c r="BH203" s="2266"/>
      <c r="BI203" s="2266"/>
      <c r="BJ203" s="2266"/>
      <c r="BK203" s="2266"/>
      <c r="BL203" s="2266"/>
      <c r="BM203" s="2266"/>
      <c r="BN203" s="2266"/>
      <c r="BO203" s="2266"/>
      <c r="BP203" s="2266"/>
      <c r="BQ203" s="2266"/>
      <c r="BR203" s="2266"/>
      <c r="BS203" s="2266"/>
      <c r="BT203" s="2266"/>
      <c r="BU203" s="2266"/>
      <c r="BV203" s="2266"/>
      <c r="BW203" s="2266"/>
      <c r="BX203" s="2266"/>
    </row>
    <row r="204" spans="1:76" s="244" customFormat="1" ht="17.25" customHeight="1">
      <c r="A204" s="4243" t="s">
        <v>102</v>
      </c>
      <c r="B204" s="4243"/>
      <c r="C204" s="4243"/>
      <c r="D204" s="4243"/>
      <c r="E204" s="4243"/>
      <c r="F204" s="4243"/>
      <c r="G204" s="4243"/>
      <c r="H204" s="4243"/>
      <c r="I204" s="4243"/>
      <c r="J204" s="4243"/>
      <c r="K204" s="4243"/>
      <c r="L204" s="4243"/>
      <c r="M204" s="4243"/>
      <c r="N204" s="4243"/>
      <c r="O204" s="4243"/>
      <c r="P204" s="4243"/>
      <c r="Q204" s="4243"/>
      <c r="R204" s="4243"/>
      <c r="S204" s="4243"/>
      <c r="T204" s="4243"/>
      <c r="U204" s="4243"/>
      <c r="V204" s="4243"/>
      <c r="W204" s="4243"/>
      <c r="X204" s="4243"/>
      <c r="Y204" s="4243"/>
      <c r="Z204" s="4243"/>
      <c r="AA204" s="4243"/>
      <c r="AB204" s="4243"/>
      <c r="AC204" s="3152" t="str">
        <f>IF(AC203&gt;=91%,"ST",IF(AC203&gt;=76%,"T",IF(AC203&gt;=66%,"S",IF(AC203&gt;=51%,"R","SR"))))</f>
        <v>SR</v>
      </c>
      <c r="AD204" s="3152" t="str">
        <f>IF(AD203&gt;=91,"ST",IF(AD203&gt;=76,"T",IF(AD203&gt;=66,"S",IF(AD203&gt;=51,"R","SR"))))</f>
        <v>SR</v>
      </c>
      <c r="AE204" s="245"/>
      <c r="AF204" s="2266"/>
      <c r="AG204" s="2266"/>
      <c r="AH204" s="2266"/>
      <c r="AI204" s="2266"/>
      <c r="AJ204" s="2266"/>
      <c r="AK204" s="2266"/>
      <c r="AL204" s="2266"/>
      <c r="AM204" s="2266"/>
      <c r="AN204" s="2266"/>
      <c r="AO204" s="2266"/>
      <c r="AP204" s="2266"/>
      <c r="AQ204" s="2266"/>
      <c r="AR204" s="2266"/>
      <c r="AS204" s="2266"/>
      <c r="AT204" s="2266"/>
      <c r="AU204" s="2266"/>
      <c r="AV204" s="2266"/>
      <c r="AW204" s="2266"/>
      <c r="AX204" s="2266"/>
      <c r="AY204" s="2266"/>
      <c r="AZ204" s="2266"/>
      <c r="BA204" s="2266"/>
      <c r="BB204" s="2266"/>
      <c r="BC204" s="2266"/>
      <c r="BD204" s="2266"/>
      <c r="BE204" s="2266"/>
      <c r="BF204" s="2266"/>
      <c r="BG204" s="2266"/>
      <c r="BH204" s="2266"/>
      <c r="BI204" s="2266"/>
      <c r="BJ204" s="2266"/>
      <c r="BK204" s="2266"/>
      <c r="BL204" s="2266"/>
      <c r="BM204" s="2266"/>
      <c r="BN204" s="2266"/>
      <c r="BO204" s="2266"/>
      <c r="BP204" s="2266"/>
      <c r="BQ204" s="2266"/>
      <c r="BR204" s="2266"/>
      <c r="BS204" s="2266"/>
      <c r="BT204" s="2266"/>
      <c r="BU204" s="2266"/>
      <c r="BV204" s="2266"/>
      <c r="BW204" s="2266"/>
      <c r="BX204" s="2266"/>
    </row>
    <row r="205" spans="1:76" s="3205" customFormat="1" ht="21.75" customHeight="1">
      <c r="A205" s="3199" t="s">
        <v>3123</v>
      </c>
      <c r="B205" s="3199"/>
      <c r="C205" s="3840"/>
      <c r="D205" s="3840"/>
      <c r="E205" s="3840"/>
      <c r="F205" s="3840"/>
      <c r="G205" s="3840"/>
      <c r="H205" s="3840"/>
      <c r="I205" s="3199"/>
      <c r="J205" s="3199"/>
      <c r="K205" s="3199"/>
      <c r="L205" s="3206">
        <f>L206+L208+L210</f>
        <v>409800898000</v>
      </c>
      <c r="M205" s="3199"/>
      <c r="N205" s="3201">
        <f>N206+N208+N210</f>
        <v>60928788000</v>
      </c>
      <c r="O205" s="3199"/>
      <c r="P205" s="3201">
        <f>P206+P208+P210</f>
        <v>54649435000</v>
      </c>
      <c r="Q205" s="3199"/>
      <c r="R205" s="3201">
        <f>R206+R208+R210</f>
        <v>9802086000</v>
      </c>
      <c r="S205" s="2921"/>
      <c r="T205" s="2922">
        <f>T206+T208+T210</f>
        <v>23552595000</v>
      </c>
      <c r="U205" s="3199"/>
      <c r="V205" s="3201">
        <f>V206+V208+V210</f>
        <v>9298098000</v>
      </c>
      <c r="W205" s="3199"/>
      <c r="X205" s="3199"/>
      <c r="Y205" s="3199"/>
      <c r="Z205" s="3201">
        <f>R205+T205+V205</f>
        <v>42652779000</v>
      </c>
      <c r="AA205" s="3199"/>
      <c r="AB205" s="3201">
        <f>AB206+AB208+AB210</f>
        <v>103581567000</v>
      </c>
      <c r="AC205" s="3199"/>
      <c r="AD205" s="3199"/>
      <c r="AE205" s="3203"/>
      <c r="AF205" s="2318"/>
      <c r="AG205" s="2318"/>
      <c r="AH205" s="2318"/>
      <c r="AI205" s="2318"/>
      <c r="AJ205" s="2318"/>
      <c r="AK205" s="2318"/>
      <c r="AL205" s="2318"/>
      <c r="AM205" s="2318"/>
      <c r="AN205" s="2318"/>
      <c r="AO205" s="2318"/>
      <c r="AP205" s="2318"/>
      <c r="AQ205" s="2318"/>
      <c r="AR205" s="2318"/>
      <c r="AS205" s="2318"/>
      <c r="AT205" s="2318"/>
      <c r="AU205" s="2318"/>
      <c r="AV205" s="2318"/>
      <c r="AW205" s="2318"/>
      <c r="AX205" s="2318"/>
      <c r="AY205" s="2318"/>
      <c r="AZ205" s="2318"/>
      <c r="BA205" s="2318"/>
      <c r="BB205" s="2318"/>
      <c r="BC205" s="2318"/>
      <c r="BD205" s="2318"/>
      <c r="BE205" s="2318"/>
      <c r="BF205" s="2318"/>
      <c r="BG205" s="2318"/>
      <c r="BH205" s="2318"/>
      <c r="BI205" s="2318"/>
      <c r="BJ205" s="2318"/>
      <c r="BK205" s="2318"/>
      <c r="BL205" s="2318"/>
      <c r="BM205" s="2318"/>
      <c r="BN205" s="2318"/>
      <c r="BO205" s="2318"/>
      <c r="BP205" s="2318"/>
      <c r="BQ205" s="2318"/>
      <c r="BR205" s="2318"/>
      <c r="BS205" s="2318"/>
      <c r="BT205" s="2318"/>
      <c r="BU205" s="2318"/>
      <c r="BV205" s="2318"/>
      <c r="BW205" s="2318"/>
      <c r="BX205" s="2318"/>
    </row>
    <row r="206" spans="1:76" ht="87.75" customHeight="1">
      <c r="A206" s="2873">
        <v>1</v>
      </c>
      <c r="B206" s="2873"/>
      <c r="C206" s="2352">
        <v>1</v>
      </c>
      <c r="D206" s="2352" t="s">
        <v>66</v>
      </c>
      <c r="E206" s="2352" t="s">
        <v>65</v>
      </c>
      <c r="F206" s="2352">
        <v>2</v>
      </c>
      <c r="G206" s="2352">
        <v>34</v>
      </c>
      <c r="H206" s="2873"/>
      <c r="I206" s="2335" t="s">
        <v>3124</v>
      </c>
      <c r="J206" s="2335" t="s">
        <v>3953</v>
      </c>
      <c r="K206" s="2338">
        <v>1</v>
      </c>
      <c r="L206" s="2568">
        <f>SUM(L207:L207)</f>
        <v>364250898000</v>
      </c>
      <c r="M206" s="2861">
        <f>M207</f>
        <v>0.83330000000000004</v>
      </c>
      <c r="N206" s="2568">
        <f>SUM(N207:N207)</f>
        <v>48114193000</v>
      </c>
      <c r="O206" s="2336">
        <v>0.1</v>
      </c>
      <c r="P206" s="2568">
        <f>SUM(P207:P207)</f>
        <v>50270900000</v>
      </c>
      <c r="Q206" s="2356">
        <v>0.02</v>
      </c>
      <c r="R206" s="2569">
        <f>SUM(R207:R207)</f>
        <v>9802086000</v>
      </c>
      <c r="S206" s="2898">
        <v>0.04</v>
      </c>
      <c r="T206" s="2569">
        <f>T207</f>
        <v>22646477000</v>
      </c>
      <c r="U206" s="2898">
        <v>0.02</v>
      </c>
      <c r="V206" s="2571">
        <f>SUM(V207)</f>
        <v>8613663000</v>
      </c>
      <c r="W206" s="2570"/>
      <c r="X206" s="2570"/>
      <c r="Y206" s="2336">
        <f t="shared" ref="Y206:Y217" si="56">Q206+S206+U206+W206</f>
        <v>0.08</v>
      </c>
      <c r="Z206" s="2571">
        <f t="shared" ref="Z206:Z217" si="57">R206+T206+V206+X206</f>
        <v>41062226000</v>
      </c>
      <c r="AA206" s="2346">
        <f>M206+Y206</f>
        <v>0.9133</v>
      </c>
      <c r="AB206" s="2571">
        <f>SUM(AB207:AB207)</f>
        <v>89176419000</v>
      </c>
      <c r="AC206" s="2861">
        <f>AA206/K206</f>
        <v>0.9133</v>
      </c>
      <c r="AD206" s="2861">
        <f>AB206/L206*100%</f>
        <v>0.2448214115315647</v>
      </c>
      <c r="AE206" s="3138" t="s">
        <v>3125</v>
      </c>
    </row>
    <row r="207" spans="1:76" ht="43.5" customHeight="1">
      <c r="A207" s="64"/>
      <c r="B207" s="2632" t="s">
        <v>3126</v>
      </c>
      <c r="C207" s="1715">
        <v>1</v>
      </c>
      <c r="D207" s="1715" t="s">
        <v>66</v>
      </c>
      <c r="E207" s="3792" t="s">
        <v>65</v>
      </c>
      <c r="F207" s="1715" t="s">
        <v>65</v>
      </c>
      <c r="G207" s="1715">
        <v>34</v>
      </c>
      <c r="H207" s="1715" t="s">
        <v>66</v>
      </c>
      <c r="I207" s="2632" t="s">
        <v>3127</v>
      </c>
      <c r="J207" s="2632" t="s">
        <v>3128</v>
      </c>
      <c r="K207" s="2994">
        <v>1</v>
      </c>
      <c r="L207" s="2529">
        <f>60708483000*6</f>
        <v>364250898000</v>
      </c>
      <c r="M207" s="2995">
        <v>0.83330000000000004</v>
      </c>
      <c r="N207" s="2391">
        <v>48114193000</v>
      </c>
      <c r="O207" s="2994">
        <v>0.1</v>
      </c>
      <c r="P207" s="2530">
        <v>50270900000</v>
      </c>
      <c r="Q207" s="2996">
        <v>0.02</v>
      </c>
      <c r="R207" s="1689">
        <v>9802086000</v>
      </c>
      <c r="S207" s="2997">
        <v>0.04</v>
      </c>
      <c r="T207" s="1689">
        <v>22646477000</v>
      </c>
      <c r="U207" s="2924">
        <v>0.02</v>
      </c>
      <c r="V207" s="2280">
        <v>8613663000</v>
      </c>
      <c r="W207" s="64"/>
      <c r="X207" s="64"/>
      <c r="Y207" s="2313">
        <f t="shared" si="56"/>
        <v>0.08</v>
      </c>
      <c r="Z207" s="2280">
        <f>R207+T207+V207</f>
        <v>41062226000</v>
      </c>
      <c r="AA207" s="2998">
        <f>Y207+M207</f>
        <v>0.9133</v>
      </c>
      <c r="AB207" s="2280">
        <f>N207+Z207</f>
        <v>89176419000</v>
      </c>
      <c r="AC207" s="2998">
        <f>(AA207/K207)</f>
        <v>0.9133</v>
      </c>
      <c r="AD207" s="2998">
        <f>(AB207/L207)</f>
        <v>0.2448214115315647</v>
      </c>
      <c r="AE207" s="2207"/>
    </row>
    <row r="208" spans="1:76" ht="69.75" customHeight="1">
      <c r="A208" s="2873">
        <v>2</v>
      </c>
      <c r="B208" s="2873"/>
      <c r="C208" s="2352">
        <v>1</v>
      </c>
      <c r="D208" s="2352" t="s">
        <v>66</v>
      </c>
      <c r="E208" s="2352" t="s">
        <v>65</v>
      </c>
      <c r="F208" s="2352" t="s">
        <v>65</v>
      </c>
      <c r="G208" s="2352">
        <v>16</v>
      </c>
      <c r="H208" s="2873"/>
      <c r="I208" s="2335" t="s">
        <v>3129</v>
      </c>
      <c r="J208" s="2335" t="s">
        <v>3130</v>
      </c>
      <c r="K208" s="2380">
        <f>6*O208</f>
        <v>180</v>
      </c>
      <c r="L208" s="2522">
        <f t="shared" ref="L208:Q208" si="58">L209</f>
        <v>1000000000</v>
      </c>
      <c r="M208" s="2380">
        <f t="shared" si="58"/>
        <v>42.05</v>
      </c>
      <c r="N208" s="2522">
        <f t="shared" si="58"/>
        <v>125315000</v>
      </c>
      <c r="O208" s="2380">
        <f t="shared" si="58"/>
        <v>30</v>
      </c>
      <c r="P208" s="2522">
        <v>150000000</v>
      </c>
      <c r="Q208" s="2380">
        <f t="shared" si="58"/>
        <v>18</v>
      </c>
      <c r="R208" s="2354"/>
      <c r="S208" s="2355">
        <v>35</v>
      </c>
      <c r="T208" s="2355"/>
      <c r="U208" s="2355"/>
      <c r="V208" s="2494">
        <f>SUM(V209)</f>
        <v>103538000</v>
      </c>
      <c r="W208" s="2355"/>
      <c r="X208" s="2355"/>
      <c r="Y208" s="2380">
        <f t="shared" si="56"/>
        <v>53</v>
      </c>
      <c r="Z208" s="2494">
        <f t="shared" si="57"/>
        <v>103538000</v>
      </c>
      <c r="AA208" s="2380">
        <f>M208+Y208</f>
        <v>95.05</v>
      </c>
      <c r="AB208" s="2494">
        <f>N208+Z208</f>
        <v>228853000</v>
      </c>
      <c r="AC208" s="2353">
        <f>(AA208/K208)*100%</f>
        <v>0.5280555555555555</v>
      </c>
      <c r="AD208" s="2353">
        <f>(AB208/L208)*100%</f>
        <v>0.228853</v>
      </c>
      <c r="AE208" s="3138" t="s">
        <v>3125</v>
      </c>
    </row>
    <row r="209" spans="1:76" ht="62.25" customHeight="1">
      <c r="A209" s="64"/>
      <c r="B209" s="2632"/>
      <c r="C209" s="1715">
        <v>1</v>
      </c>
      <c r="D209" s="1715" t="s">
        <v>66</v>
      </c>
      <c r="E209" s="3792" t="s">
        <v>65</v>
      </c>
      <c r="F209" s="1715" t="s">
        <v>65</v>
      </c>
      <c r="G209" s="1715">
        <v>16</v>
      </c>
      <c r="H209" s="1715">
        <v>11</v>
      </c>
      <c r="I209" s="2632" t="s">
        <v>3131</v>
      </c>
      <c r="J209" s="2632" t="s">
        <v>3132</v>
      </c>
      <c r="K209" s="3136">
        <v>180</v>
      </c>
      <c r="L209" s="2529">
        <f>200000000*5</f>
        <v>1000000000</v>
      </c>
      <c r="M209" s="2999">
        <v>42.05</v>
      </c>
      <c r="N209" s="2391">
        <v>125315000</v>
      </c>
      <c r="O209" s="3136">
        <v>30</v>
      </c>
      <c r="P209" s="2530">
        <v>150000000</v>
      </c>
      <c r="Q209" s="2999">
        <v>18</v>
      </c>
      <c r="R209" s="1689"/>
      <c r="S209" s="64">
        <v>35</v>
      </c>
      <c r="T209" s="64"/>
      <c r="U209" s="64">
        <v>40</v>
      </c>
      <c r="V209" s="2280">
        <v>103538000</v>
      </c>
      <c r="W209" s="64"/>
      <c r="X209" s="64"/>
      <c r="Y209" s="3136">
        <f t="shared" si="56"/>
        <v>93</v>
      </c>
      <c r="Z209" s="2280">
        <f t="shared" si="57"/>
        <v>103538000</v>
      </c>
      <c r="AA209" s="3136">
        <f>M209+Y209</f>
        <v>135.05000000000001</v>
      </c>
      <c r="AB209" s="2280">
        <f>N209+Z209</f>
        <v>228853000</v>
      </c>
      <c r="AC209" s="2998">
        <f>(AA209/K209)*100%</f>
        <v>0.75027777777777782</v>
      </c>
      <c r="AD209" s="3000">
        <f>(AB209/L209)*100%</f>
        <v>0.228853</v>
      </c>
      <c r="AE209" s="2207"/>
    </row>
    <row r="210" spans="1:76" ht="106.5" customHeight="1">
      <c r="A210" s="2873">
        <v>3</v>
      </c>
      <c r="B210" s="2873"/>
      <c r="C210" s="2873">
        <v>1</v>
      </c>
      <c r="D210" s="2352" t="s">
        <v>65</v>
      </c>
      <c r="E210" s="2352" t="s">
        <v>65</v>
      </c>
      <c r="F210" s="2352" t="s">
        <v>66</v>
      </c>
      <c r="G210" s="2352">
        <v>26</v>
      </c>
      <c r="H210" s="2873"/>
      <c r="I210" s="2335" t="s">
        <v>3133</v>
      </c>
      <c r="J210" s="2335" t="s">
        <v>3954</v>
      </c>
      <c r="K210" s="2338">
        <v>1</v>
      </c>
      <c r="L210" s="2568">
        <f>SUM(L211:L217)</f>
        <v>44550000000</v>
      </c>
      <c r="M210" s="2346">
        <v>0.78280000000000005</v>
      </c>
      <c r="N210" s="2568">
        <f>SUM(N211:N217)</f>
        <v>12689280000</v>
      </c>
      <c r="O210" s="2861">
        <f>(100-78.28)%</f>
        <v>0.21719999999999998</v>
      </c>
      <c r="P210" s="2568">
        <f>SUM(P211:P212)</f>
        <v>4228535000</v>
      </c>
      <c r="Q210" s="2861">
        <f>O210/4</f>
        <v>5.4299999999999994E-2</v>
      </c>
      <c r="R210" s="2594">
        <f>SUM(R211:R217)</f>
        <v>0</v>
      </c>
      <c r="S210" s="2570"/>
      <c r="T210" s="2569">
        <f>SUM(T211:T212)</f>
        <v>906118000</v>
      </c>
      <c r="U210" s="2570"/>
      <c r="V210" s="2571">
        <f>SUM(V212)</f>
        <v>580897000</v>
      </c>
      <c r="W210" s="2570"/>
      <c r="X210" s="2570"/>
      <c r="Y210" s="2861">
        <f t="shared" si="56"/>
        <v>5.4299999999999994E-2</v>
      </c>
      <c r="Z210" s="2571">
        <f t="shared" si="57"/>
        <v>1487015000</v>
      </c>
      <c r="AA210" s="2861">
        <f>M210+Y210</f>
        <v>0.83710000000000007</v>
      </c>
      <c r="AB210" s="2571">
        <f>N210+Z210</f>
        <v>14176295000</v>
      </c>
      <c r="AC210" s="2861">
        <f>AA210/K210*100%</f>
        <v>0.83710000000000007</v>
      </c>
      <c r="AD210" s="2861">
        <f>(AB210/L210)*100%</f>
        <v>0.31821088664421998</v>
      </c>
      <c r="AE210" s="3138" t="s">
        <v>3125</v>
      </c>
    </row>
    <row r="211" spans="1:76" ht="36" customHeight="1">
      <c r="A211" s="3146"/>
      <c r="B211" s="3146"/>
      <c r="C211" s="1381"/>
      <c r="D211" s="1381"/>
      <c r="E211" s="1381"/>
      <c r="F211" s="1381"/>
      <c r="G211" s="1381"/>
      <c r="H211" s="3146"/>
      <c r="I211" s="2516" t="s">
        <v>3698</v>
      </c>
      <c r="J211" s="2207"/>
      <c r="K211" s="2310">
        <v>1</v>
      </c>
      <c r="L211" s="2295">
        <v>6300000000</v>
      </c>
      <c r="M211" s="3166"/>
      <c r="N211" s="2295"/>
      <c r="O211" s="3166"/>
      <c r="P211" s="2295">
        <v>87350000</v>
      </c>
      <c r="Q211" s="3166">
        <v>0</v>
      </c>
      <c r="R211" s="3001">
        <v>0</v>
      </c>
      <c r="S211" s="1389"/>
      <c r="T211" s="3625">
        <v>16700000</v>
      </c>
      <c r="U211" s="1389"/>
      <c r="V211" s="2615"/>
      <c r="W211" s="1389"/>
      <c r="X211" s="1389"/>
      <c r="Y211" s="3166">
        <f t="shared" si="56"/>
        <v>0</v>
      </c>
      <c r="Z211" s="2615">
        <f t="shared" si="57"/>
        <v>16700000</v>
      </c>
      <c r="AA211" s="3166">
        <f>M211+Y211</f>
        <v>0</v>
      </c>
      <c r="AB211" s="2280">
        <f>N211+Z211</f>
        <v>16700000</v>
      </c>
      <c r="AC211" s="2418">
        <f>(AA211/K211)*100%</f>
        <v>0</v>
      </c>
      <c r="AD211" s="2418">
        <f>(AB211/L211)*100%</f>
        <v>2.650793650793651E-3</v>
      </c>
      <c r="AE211" s="2207"/>
    </row>
    <row r="212" spans="1:76" ht="36" customHeight="1">
      <c r="A212" s="3146"/>
      <c r="B212" s="3146"/>
      <c r="C212" s="1381"/>
      <c r="D212" s="1381"/>
      <c r="E212" s="1381"/>
      <c r="F212" s="1381"/>
      <c r="G212" s="1381"/>
      <c r="H212" s="3146"/>
      <c r="I212" s="2516" t="s">
        <v>3699</v>
      </c>
      <c r="J212" s="2207" t="s">
        <v>3700</v>
      </c>
      <c r="K212" s="2310"/>
      <c r="L212" s="2295"/>
      <c r="M212" s="3166"/>
      <c r="N212" s="2295"/>
      <c r="O212" s="3166"/>
      <c r="P212" s="2295">
        <v>4141185000</v>
      </c>
      <c r="Q212" s="3166"/>
      <c r="R212" s="3001"/>
      <c r="S212" s="3626">
        <v>67</v>
      </c>
      <c r="T212" s="3627">
        <v>889418000</v>
      </c>
      <c r="U212" s="3627">
        <v>31</v>
      </c>
      <c r="V212" s="3627">
        <v>580897000</v>
      </c>
      <c r="W212" s="1389"/>
      <c r="X212" s="1389"/>
      <c r="Y212" s="3166"/>
      <c r="Z212" s="2615">
        <f>T212+V212</f>
        <v>1470315000</v>
      </c>
      <c r="AA212" s="3166"/>
      <c r="AB212" s="2280"/>
      <c r="AC212" s="2418"/>
      <c r="AD212" s="2418"/>
      <c r="AE212" s="2207"/>
    </row>
    <row r="213" spans="1:76" ht="37.5" customHeight="1">
      <c r="A213" s="3146"/>
      <c r="B213" s="3146"/>
      <c r="C213" s="1381"/>
      <c r="D213" s="1381"/>
      <c r="E213" s="1381"/>
      <c r="F213" s="1381"/>
      <c r="G213" s="1381"/>
      <c r="H213" s="3146"/>
      <c r="I213" s="2516" t="s">
        <v>3134</v>
      </c>
      <c r="J213" s="2207" t="s">
        <v>3135</v>
      </c>
      <c r="K213" s="2310">
        <v>1</v>
      </c>
      <c r="L213" s="2295">
        <v>400000000</v>
      </c>
      <c r="M213" s="3166"/>
      <c r="N213" s="2295"/>
      <c r="O213" s="3166"/>
      <c r="P213" s="2295"/>
      <c r="Q213" s="3166"/>
      <c r="R213" s="3001"/>
      <c r="S213" s="1389"/>
      <c r="T213" s="1389"/>
      <c r="U213" s="1389"/>
      <c r="V213" s="2615"/>
      <c r="W213" s="1389"/>
      <c r="X213" s="1389"/>
      <c r="Y213" s="3166">
        <f t="shared" si="56"/>
        <v>0</v>
      </c>
      <c r="Z213" s="2615">
        <f t="shared" si="57"/>
        <v>0</v>
      </c>
      <c r="AA213" s="3166">
        <f>M213+Y213</f>
        <v>0</v>
      </c>
      <c r="AB213" s="2280">
        <f>N213+Z213</f>
        <v>0</v>
      </c>
      <c r="AC213" s="2418">
        <f>(AA213/K213)*100%</f>
        <v>0</v>
      </c>
      <c r="AD213" s="2418">
        <f>(AB213/L213)*100%</f>
        <v>0</v>
      </c>
      <c r="AE213" s="2207"/>
    </row>
    <row r="214" spans="1:76" ht="32.25" customHeight="1">
      <c r="A214" s="3146"/>
      <c r="B214" s="3146"/>
      <c r="C214" s="1381"/>
      <c r="D214" s="1381"/>
      <c r="E214" s="1381"/>
      <c r="F214" s="1381"/>
      <c r="G214" s="1381"/>
      <c r="H214" s="3146"/>
      <c r="I214" s="2516" t="s">
        <v>3136</v>
      </c>
      <c r="J214" s="2207" t="s">
        <v>3137</v>
      </c>
      <c r="K214" s="2310">
        <v>1</v>
      </c>
      <c r="L214" s="2295">
        <v>3500000000</v>
      </c>
      <c r="M214" s="3166"/>
      <c r="N214" s="2295"/>
      <c r="O214" s="3166"/>
      <c r="P214" s="2295"/>
      <c r="Q214" s="2310"/>
      <c r="R214" s="3001"/>
      <c r="S214" s="1389"/>
      <c r="T214" s="1389"/>
      <c r="U214" s="1389"/>
      <c r="V214" s="2615"/>
      <c r="W214" s="1389"/>
      <c r="X214" s="1389"/>
      <c r="Y214" s="3166">
        <f t="shared" si="56"/>
        <v>0</v>
      </c>
      <c r="Z214" s="2615">
        <f t="shared" si="57"/>
        <v>0</v>
      </c>
      <c r="AA214" s="3166">
        <f>M214+Y214</f>
        <v>0</v>
      </c>
      <c r="AB214" s="2280">
        <f>N214+Z214</f>
        <v>0</v>
      </c>
      <c r="AC214" s="2418">
        <f>(AA214/K214)*100%</f>
        <v>0</v>
      </c>
      <c r="AD214" s="2418">
        <f>(AB214/L214)*100%</f>
        <v>0</v>
      </c>
      <c r="AE214" s="2207"/>
    </row>
    <row r="215" spans="1:76" ht="31.5" customHeight="1">
      <c r="A215" s="3146"/>
      <c r="B215" s="3146"/>
      <c r="C215" s="1381"/>
      <c r="D215" s="1381"/>
      <c r="E215" s="1381"/>
      <c r="F215" s="1381"/>
      <c r="G215" s="1381"/>
      <c r="H215" s="3146"/>
      <c r="I215" s="2516" t="s">
        <v>3138</v>
      </c>
      <c r="J215" s="2207" t="s">
        <v>3139</v>
      </c>
      <c r="K215" s="2310">
        <v>1</v>
      </c>
      <c r="L215" s="2295">
        <v>25000000000</v>
      </c>
      <c r="M215" s="2310">
        <v>0.78</v>
      </c>
      <c r="N215" s="2295">
        <v>9632753000</v>
      </c>
      <c r="O215" s="3166"/>
      <c r="P215" s="2295"/>
      <c r="Q215" s="3166"/>
      <c r="R215" s="3001"/>
      <c r="S215" s="1389"/>
      <c r="T215" s="1389"/>
      <c r="U215" s="1389"/>
      <c r="V215" s="2615"/>
      <c r="W215" s="1389"/>
      <c r="X215" s="1389"/>
      <c r="Y215" s="3166">
        <f t="shared" si="56"/>
        <v>0</v>
      </c>
      <c r="Z215" s="2615">
        <f t="shared" si="57"/>
        <v>0</v>
      </c>
      <c r="AA215" s="3166"/>
      <c r="AB215" s="2280"/>
      <c r="AC215" s="2418"/>
      <c r="AD215" s="2418"/>
      <c r="AE215" s="2207"/>
    </row>
    <row r="216" spans="1:76" ht="27.75" customHeight="1">
      <c r="A216" s="3146"/>
      <c r="B216" s="3146"/>
      <c r="C216" s="1381"/>
      <c r="D216" s="1381"/>
      <c r="E216" s="1381"/>
      <c r="F216" s="1381"/>
      <c r="G216" s="1381"/>
      <c r="H216" s="3146"/>
      <c r="I216" s="2516" t="s">
        <v>3140</v>
      </c>
      <c r="J216" s="2207" t="s">
        <v>3141</v>
      </c>
      <c r="K216" s="2310">
        <v>1</v>
      </c>
      <c r="L216" s="2295">
        <v>6000000000</v>
      </c>
      <c r="M216" s="2310">
        <v>1</v>
      </c>
      <c r="N216" s="2295">
        <v>1700000000</v>
      </c>
      <c r="O216" s="3166"/>
      <c r="P216" s="2295"/>
      <c r="Q216" s="3166"/>
      <c r="R216" s="3001"/>
      <c r="S216" s="1389"/>
      <c r="T216" s="1389"/>
      <c r="U216" s="1389"/>
      <c r="V216" s="2615"/>
      <c r="W216" s="1389"/>
      <c r="X216" s="1389"/>
      <c r="Y216" s="3166">
        <f t="shared" si="56"/>
        <v>0</v>
      </c>
      <c r="Z216" s="2615">
        <f t="shared" si="57"/>
        <v>0</v>
      </c>
      <c r="AA216" s="3166">
        <v>0</v>
      </c>
      <c r="AB216" s="2280"/>
      <c r="AC216" s="2418"/>
      <c r="AD216" s="2418"/>
      <c r="AE216" s="2207"/>
    </row>
    <row r="217" spans="1:76" ht="28.5" customHeight="1">
      <c r="A217" s="3146"/>
      <c r="B217" s="3146"/>
      <c r="C217" s="1381"/>
      <c r="D217" s="1381"/>
      <c r="E217" s="1381"/>
      <c r="F217" s="1381"/>
      <c r="G217" s="1381"/>
      <c r="H217" s="3146"/>
      <c r="I217" s="2516" t="s">
        <v>3142</v>
      </c>
      <c r="J217" s="2207" t="s">
        <v>3143</v>
      </c>
      <c r="K217" s="2310">
        <v>1</v>
      </c>
      <c r="L217" s="2295">
        <v>3350000000</v>
      </c>
      <c r="M217" s="2310">
        <v>1</v>
      </c>
      <c r="N217" s="2295">
        <v>1356527000</v>
      </c>
      <c r="O217" s="3166"/>
      <c r="P217" s="2295"/>
      <c r="Q217" s="3166"/>
      <c r="R217" s="3001"/>
      <c r="S217" s="1389"/>
      <c r="T217" s="1389"/>
      <c r="U217" s="1389"/>
      <c r="V217" s="2615"/>
      <c r="W217" s="1389"/>
      <c r="X217" s="1389"/>
      <c r="Y217" s="3166">
        <f t="shared" si="56"/>
        <v>0</v>
      </c>
      <c r="Z217" s="2615">
        <f t="shared" si="57"/>
        <v>0</v>
      </c>
      <c r="AA217" s="3166">
        <v>0</v>
      </c>
      <c r="AB217" s="2280"/>
      <c r="AC217" s="2418"/>
      <c r="AD217" s="2418"/>
      <c r="AE217" s="2207"/>
    </row>
    <row r="218" spans="1:76" s="244" customFormat="1" ht="17.25" customHeight="1">
      <c r="A218" s="4243" t="s">
        <v>101</v>
      </c>
      <c r="B218" s="4243"/>
      <c r="C218" s="4243"/>
      <c r="D218" s="4243"/>
      <c r="E218" s="4243"/>
      <c r="F218" s="4243"/>
      <c r="G218" s="4243"/>
      <c r="H218" s="4243"/>
      <c r="I218" s="4243"/>
      <c r="J218" s="4243"/>
      <c r="K218" s="4243"/>
      <c r="L218" s="4243"/>
      <c r="M218" s="4243"/>
      <c r="N218" s="4243"/>
      <c r="O218" s="4243"/>
      <c r="P218" s="4243"/>
      <c r="Q218" s="4243"/>
      <c r="R218" s="4243"/>
      <c r="S218" s="4243"/>
      <c r="T218" s="4243"/>
      <c r="U218" s="4243"/>
      <c r="V218" s="4243"/>
      <c r="W218" s="4243"/>
      <c r="X218" s="4243"/>
      <c r="Y218" s="4243"/>
      <c r="Z218" s="4243"/>
      <c r="AA218" s="4243"/>
      <c r="AB218" s="4243"/>
      <c r="AC218" s="2325">
        <f>(AC206+AC208+AC210)/3</f>
        <v>0.75948518518518515</v>
      </c>
      <c r="AD218" s="2325">
        <f>(AD206+AD208+AD210)/3</f>
        <v>0.26396176605859489</v>
      </c>
      <c r="AE218" s="245"/>
      <c r="AF218" s="2266"/>
      <c r="AG218" s="2266"/>
      <c r="AH218" s="2266"/>
      <c r="AI218" s="2266"/>
      <c r="AJ218" s="2266"/>
      <c r="AK218" s="2266"/>
      <c r="AL218" s="2266"/>
      <c r="AM218" s="2266"/>
      <c r="AN218" s="2266"/>
      <c r="AO218" s="2266"/>
      <c r="AP218" s="2266"/>
      <c r="AQ218" s="2266"/>
      <c r="AR218" s="2266"/>
      <c r="AS218" s="2266"/>
      <c r="AT218" s="2266"/>
      <c r="AU218" s="2266"/>
      <c r="AV218" s="2266"/>
      <c r="AW218" s="2266"/>
      <c r="AX218" s="2266"/>
      <c r="AY218" s="2266"/>
      <c r="AZ218" s="2266"/>
      <c r="BA218" s="2266"/>
      <c r="BB218" s="2266"/>
      <c r="BC218" s="2266"/>
      <c r="BD218" s="2266"/>
      <c r="BE218" s="2266"/>
      <c r="BF218" s="2266"/>
      <c r="BG218" s="2266"/>
      <c r="BH218" s="2266"/>
      <c r="BI218" s="2266"/>
      <c r="BJ218" s="2266"/>
      <c r="BK218" s="2266"/>
      <c r="BL218" s="2266"/>
      <c r="BM218" s="2266"/>
      <c r="BN218" s="2266"/>
      <c r="BO218" s="2266"/>
      <c r="BP218" s="2266"/>
      <c r="BQ218" s="2266"/>
      <c r="BR218" s="2266"/>
      <c r="BS218" s="2266"/>
      <c r="BT218" s="2266"/>
      <c r="BU218" s="2266"/>
      <c r="BV218" s="2266"/>
      <c r="BW218" s="2266"/>
      <c r="BX218" s="2266"/>
    </row>
    <row r="219" spans="1:76" s="244" customFormat="1" ht="17.25" customHeight="1">
      <c r="A219" s="4243" t="s">
        <v>102</v>
      </c>
      <c r="B219" s="4243"/>
      <c r="C219" s="4243"/>
      <c r="D219" s="4243"/>
      <c r="E219" s="4243"/>
      <c r="F219" s="4243"/>
      <c r="G219" s="4243"/>
      <c r="H219" s="4243"/>
      <c r="I219" s="4243"/>
      <c r="J219" s="4243"/>
      <c r="K219" s="4243"/>
      <c r="L219" s="4243"/>
      <c r="M219" s="4243"/>
      <c r="N219" s="4243"/>
      <c r="O219" s="4243"/>
      <c r="P219" s="4243"/>
      <c r="Q219" s="4243"/>
      <c r="R219" s="4243"/>
      <c r="S219" s="4243"/>
      <c r="T219" s="4243"/>
      <c r="U219" s="4243"/>
      <c r="V219" s="4243"/>
      <c r="W219" s="4243"/>
      <c r="X219" s="4243"/>
      <c r="Y219" s="4243"/>
      <c r="Z219" s="4243"/>
      <c r="AA219" s="4243"/>
      <c r="AB219" s="4243"/>
      <c r="AC219" s="3152" t="str">
        <f>IF(AC218&gt;=91%,"ST",IF(AC218&gt;=76%,"T",IF(AC218&gt;=66%,"S",IF(AC218&gt;=51%,"R","SR"))))</f>
        <v>S</v>
      </c>
      <c r="AD219" s="3152" t="str">
        <f>IF(AD218&gt;=91,"ST",IF(AD218&gt;=76,"T",IF(AD218&gt;=66,"S",IF(AD218&gt;=51,"R","SR"))))</f>
        <v>SR</v>
      </c>
      <c r="AE219" s="245"/>
      <c r="AF219" s="2266"/>
      <c r="AG219" s="2266"/>
      <c r="AH219" s="2266"/>
      <c r="AI219" s="2266"/>
      <c r="AJ219" s="2266"/>
      <c r="AK219" s="2266"/>
      <c r="AL219" s="2266"/>
      <c r="AM219" s="2266"/>
      <c r="AN219" s="2266"/>
      <c r="AO219" s="2266"/>
      <c r="AP219" s="2266"/>
      <c r="AQ219" s="2266"/>
      <c r="AR219" s="2266"/>
      <c r="AS219" s="2266"/>
      <c r="AT219" s="2266"/>
      <c r="AU219" s="2266"/>
      <c r="AV219" s="2266"/>
      <c r="AW219" s="2266"/>
      <c r="AX219" s="2266"/>
      <c r="AY219" s="2266"/>
      <c r="AZ219" s="2266"/>
      <c r="BA219" s="2266"/>
      <c r="BB219" s="2266"/>
      <c r="BC219" s="2266"/>
      <c r="BD219" s="2266"/>
      <c r="BE219" s="2266"/>
      <c r="BF219" s="2266"/>
      <c r="BG219" s="2266"/>
      <c r="BH219" s="2266"/>
      <c r="BI219" s="2266"/>
      <c r="BJ219" s="2266"/>
      <c r="BK219" s="2266"/>
      <c r="BL219" s="2266"/>
      <c r="BM219" s="2266"/>
      <c r="BN219" s="2266"/>
      <c r="BO219" s="2266"/>
      <c r="BP219" s="2266"/>
      <c r="BQ219" s="2266"/>
      <c r="BR219" s="2266"/>
      <c r="BS219" s="2266"/>
      <c r="BT219" s="2266"/>
      <c r="BU219" s="2266"/>
      <c r="BV219" s="2266"/>
      <c r="BW219" s="2266"/>
      <c r="BX219" s="2266"/>
    </row>
    <row r="220" spans="1:76" s="145" customFormat="1" ht="39" customHeight="1">
      <c r="A220" s="2546" t="s">
        <v>122</v>
      </c>
      <c r="B220" s="2915"/>
      <c r="C220" s="3193"/>
      <c r="D220" s="3193"/>
      <c r="E220" s="3193"/>
      <c r="F220" s="3193"/>
      <c r="G220" s="3193"/>
      <c r="H220" s="3193"/>
      <c r="I220" s="2515" t="s">
        <v>117</v>
      </c>
      <c r="J220" s="2915"/>
      <c r="K220" s="2917"/>
      <c r="L220" s="3198">
        <f>L221+L374</f>
        <v>1035180899374.25</v>
      </c>
      <c r="M220" s="2917"/>
      <c r="N220" s="3195">
        <f>N221+N374</f>
        <v>402907721648.75</v>
      </c>
      <c r="O220" s="2917"/>
      <c r="P220" s="3195">
        <f>P221+P374</f>
        <v>225192696881.03</v>
      </c>
      <c r="Q220" s="2917"/>
      <c r="R220" s="2916">
        <f>R221+R374</f>
        <v>11835918077</v>
      </c>
      <c r="S220" s="2915"/>
      <c r="T220" s="3207">
        <f>T221+T374</f>
        <v>37804654231</v>
      </c>
      <c r="U220" s="2915"/>
      <c r="V220" s="3252">
        <f>V221+V374</f>
        <v>46657653663</v>
      </c>
      <c r="W220" s="2915"/>
      <c r="X220" s="2915"/>
      <c r="Y220" s="2917"/>
      <c r="Z220" s="2916">
        <f t="shared" ref="Z220:Z305" si="59">R220+T220+V220+X220</f>
        <v>96298225971</v>
      </c>
      <c r="AA220" s="2917"/>
      <c r="AB220" s="2916">
        <f>AB221+AB374</f>
        <v>489444649352.75</v>
      </c>
      <c r="AC220" s="2917"/>
      <c r="AD220" s="2917"/>
      <c r="AE220" s="3196"/>
    </row>
    <row r="221" spans="1:76" s="145" customFormat="1" ht="26.25" customHeight="1">
      <c r="A221" s="3199" t="s">
        <v>3631</v>
      </c>
      <c r="B221" s="3199"/>
      <c r="C221" s="3840"/>
      <c r="D221" s="3840"/>
      <c r="E221" s="3840"/>
      <c r="F221" s="3840"/>
      <c r="G221" s="3840"/>
      <c r="H221" s="3840"/>
      <c r="I221" s="3199"/>
      <c r="J221" s="3199"/>
      <c r="K221" s="3199"/>
      <c r="L221" s="3200">
        <f>L222+L234+L258+L260+L264+L268+L276+L280+L285+L290+L292+L343+L346+L348+L353+L360+L362+L367</f>
        <v>736732442759.25</v>
      </c>
      <c r="M221" s="3199"/>
      <c r="N221" s="3201">
        <f>N222+N234+N258+N260+N264+N268+N276+N280+N285+N290+N292+N343+N346+N348+N353+N360+N362+N367</f>
        <v>104909265033.75</v>
      </c>
      <c r="O221" s="3199"/>
      <c r="P221" s="3201">
        <f>SUM(P222+P234+P258+P260+P264+P268+P276+P280+P285+P290+P292+P343+P346+P348+P353+P360+P362+P365+P367)</f>
        <v>201021460333.03</v>
      </c>
      <c r="Q221" s="3199"/>
      <c r="R221" s="3201">
        <f>R222+R234+R258+R260+R264+R268+R276+R280+R285+R290+R292+R343+R346+R348+R353+R360+R362+R367</f>
        <v>11401614348</v>
      </c>
      <c r="S221" s="2921"/>
      <c r="T221" s="2922">
        <f>T222+T234+T258+T260+T264+T268+T276+T280+T285+T290+T292+T343+T346+T348+T353+T360+T362+T367</f>
        <v>35110541276</v>
      </c>
      <c r="U221" s="3199"/>
      <c r="V221" s="3201">
        <f>V222+V234+V258+V260+V264+V268+V276+V280+V285+V290+V292+V343+V346+V348+V353+V360+V362+V367</f>
        <v>40268257337</v>
      </c>
      <c r="W221" s="3199"/>
      <c r="X221" s="3199"/>
      <c r="Y221" s="3199"/>
      <c r="Z221" s="3201">
        <f t="shared" si="59"/>
        <v>86780412961</v>
      </c>
      <c r="AA221" s="3199"/>
      <c r="AB221" s="3201">
        <f>AB222+AB234+AB258+AB260+AB264+AB268+AB276+AB280+AB285+AB290+AB292+AB343+AB346+AB348+AB353+AB360+AB362+AB367</f>
        <v>191446192737.75</v>
      </c>
      <c r="AC221" s="3199"/>
      <c r="AD221" s="3199"/>
      <c r="AE221" s="3203"/>
    </row>
    <row r="222" spans="1:76" s="145" customFormat="1" ht="62.25" customHeight="1">
      <c r="A222" s="3138">
        <v>1</v>
      </c>
      <c r="B222" s="2335"/>
      <c r="C222" s="2567" t="s">
        <v>196</v>
      </c>
      <c r="D222" s="2567" t="s">
        <v>66</v>
      </c>
      <c r="E222" s="2567" t="s">
        <v>66</v>
      </c>
      <c r="F222" s="2567"/>
      <c r="G222" s="2567"/>
      <c r="H222" s="3795"/>
      <c r="I222" s="2335" t="s">
        <v>1662</v>
      </c>
      <c r="J222" s="3156" t="s">
        <v>3145</v>
      </c>
      <c r="K222" s="2397">
        <v>72</v>
      </c>
      <c r="L222" s="2357">
        <f>SUM(L223:L233)</f>
        <v>3344398167</v>
      </c>
      <c r="M222" s="2603">
        <v>24</v>
      </c>
      <c r="N222" s="2681">
        <f>SUM(N223:N233)</f>
        <v>1618629948</v>
      </c>
      <c r="O222" s="2381">
        <v>12</v>
      </c>
      <c r="P222" s="2442">
        <f>SUM(P223:P233)</f>
        <v>1489764570.5</v>
      </c>
      <c r="Q222" s="2412">
        <v>3</v>
      </c>
      <c r="R222" s="2347">
        <f>SUM(R223:R233)</f>
        <v>197781177</v>
      </c>
      <c r="S222" s="3370">
        <v>3</v>
      </c>
      <c r="T222" s="2347">
        <f>SUM(T223:T233)</f>
        <v>461789379</v>
      </c>
      <c r="U222" s="2905">
        <v>3</v>
      </c>
      <c r="V222" s="2342">
        <f>SUM(V223:V233)</f>
        <v>312279112</v>
      </c>
      <c r="W222" s="2341"/>
      <c r="X222" s="2347"/>
      <c r="Y222" s="2412">
        <f t="shared" ref="Y222:Y305" si="60">Q222+S222+U222+W222</f>
        <v>9</v>
      </c>
      <c r="Z222" s="2342">
        <f t="shared" si="59"/>
        <v>971849668</v>
      </c>
      <c r="AA222" s="2412">
        <f>M222+Y222</f>
        <v>33</v>
      </c>
      <c r="AB222" s="2342">
        <f>N222+Z222</f>
        <v>2590479616</v>
      </c>
      <c r="AC222" s="2490">
        <f>AA222/K222*100</f>
        <v>45.833333333333329</v>
      </c>
      <c r="AD222" s="2490">
        <f>(AB222/L222)*100</f>
        <v>77.457272927634634</v>
      </c>
      <c r="AE222" s="3138" t="s">
        <v>1664</v>
      </c>
    </row>
    <row r="223" spans="1:76" s="63" customFormat="1" ht="44.25" customHeight="1">
      <c r="A223" s="384"/>
      <c r="B223" s="384"/>
      <c r="C223" s="1218" t="s">
        <v>196</v>
      </c>
      <c r="D223" s="1218" t="s">
        <v>66</v>
      </c>
      <c r="E223" s="1218" t="s">
        <v>66</v>
      </c>
      <c r="F223" s="1218" t="s">
        <v>65</v>
      </c>
      <c r="G223" s="1218"/>
      <c r="H223" s="1218"/>
      <c r="I223" s="1200" t="s">
        <v>195</v>
      </c>
      <c r="J223" s="384" t="s">
        <v>1665</v>
      </c>
      <c r="K223" s="1992">
        <v>72</v>
      </c>
      <c r="L223" s="2767">
        <v>423636480</v>
      </c>
      <c r="M223" s="2524">
        <v>24</v>
      </c>
      <c r="N223" s="2767">
        <v>269145011</v>
      </c>
      <c r="O223" s="1992">
        <v>12</v>
      </c>
      <c r="P223" s="1232">
        <v>303100000</v>
      </c>
      <c r="Q223" s="1992">
        <v>3</v>
      </c>
      <c r="R223" s="590">
        <v>23844293</v>
      </c>
      <c r="S223" s="3371">
        <v>3</v>
      </c>
      <c r="T223" s="1400">
        <v>77429758</v>
      </c>
      <c r="U223" s="2902">
        <v>3</v>
      </c>
      <c r="V223" s="1202">
        <v>67471257</v>
      </c>
      <c r="W223" s="1195"/>
      <c r="X223" s="1202"/>
      <c r="Y223" s="1992">
        <f t="shared" si="60"/>
        <v>9</v>
      </c>
      <c r="Z223" s="2148">
        <f t="shared" si="59"/>
        <v>168745308</v>
      </c>
      <c r="AA223" s="1992">
        <f t="shared" ref="AA223:AA241" si="61">M223+Y223</f>
        <v>33</v>
      </c>
      <c r="AB223" s="1202">
        <f t="shared" ref="AB223:AB241" si="62">N223+Z223</f>
        <v>437890319</v>
      </c>
      <c r="AC223" s="2525">
        <f t="shared" ref="AC223:AC241" si="63">AA223/K223*100</f>
        <v>45.833333333333329</v>
      </c>
      <c r="AD223" s="2525">
        <f t="shared" ref="AD223:AD241" si="64">(AB223/L223)*100</f>
        <v>103.36463918310339</v>
      </c>
      <c r="AE223" s="390"/>
      <c r="AF223" s="2814"/>
    </row>
    <row r="224" spans="1:76" s="63" customFormat="1" ht="45" customHeight="1">
      <c r="A224" s="384"/>
      <c r="B224" s="384"/>
      <c r="C224" s="1218" t="s">
        <v>196</v>
      </c>
      <c r="D224" s="1218" t="s">
        <v>66</v>
      </c>
      <c r="E224" s="1218" t="s">
        <v>66</v>
      </c>
      <c r="F224" s="1218" t="s">
        <v>161</v>
      </c>
      <c r="G224" s="1218"/>
      <c r="H224" s="1218"/>
      <c r="I224" s="1200" t="s">
        <v>1666</v>
      </c>
      <c r="J224" s="384" t="s">
        <v>3580</v>
      </c>
      <c r="K224" s="1992">
        <v>72</v>
      </c>
      <c r="L224" s="1232">
        <v>54033736</v>
      </c>
      <c r="M224" s="1992">
        <v>24</v>
      </c>
      <c r="N224" s="1232" t="s">
        <v>3629</v>
      </c>
      <c r="O224" s="1992">
        <v>12</v>
      </c>
      <c r="P224" s="1232">
        <v>11513211.5</v>
      </c>
      <c r="Q224" s="1992">
        <v>3</v>
      </c>
      <c r="R224" s="590">
        <v>0</v>
      </c>
      <c r="S224" s="3371">
        <v>3</v>
      </c>
      <c r="T224" s="2304">
        <v>2518957</v>
      </c>
      <c r="U224" s="2902">
        <v>3</v>
      </c>
      <c r="V224" s="1202">
        <v>600000</v>
      </c>
      <c r="W224" s="1195"/>
      <c r="X224" s="1202"/>
      <c r="Y224" s="1992">
        <f t="shared" si="60"/>
        <v>9</v>
      </c>
      <c r="Z224" s="2148">
        <f t="shared" si="59"/>
        <v>3118957</v>
      </c>
      <c r="AA224" s="1992">
        <f t="shared" si="61"/>
        <v>33</v>
      </c>
      <c r="AB224" s="1202">
        <f>Z224+R224</f>
        <v>3118957</v>
      </c>
      <c r="AC224" s="2525">
        <f t="shared" si="63"/>
        <v>45.833333333333329</v>
      </c>
      <c r="AD224" s="2525">
        <f t="shared" si="64"/>
        <v>5.7722401427138044</v>
      </c>
      <c r="AE224" s="390"/>
    </row>
    <row r="225" spans="1:31" s="63" customFormat="1" ht="45" customHeight="1">
      <c r="A225" s="384"/>
      <c r="B225" s="384"/>
      <c r="C225" s="1218" t="s">
        <v>196</v>
      </c>
      <c r="D225" s="1218" t="s">
        <v>66</v>
      </c>
      <c r="E225" s="1218" t="s">
        <v>66</v>
      </c>
      <c r="F225" s="1218" t="s">
        <v>198</v>
      </c>
      <c r="G225" s="1218"/>
      <c r="H225" s="1218"/>
      <c r="I225" s="1200" t="s">
        <v>199</v>
      </c>
      <c r="J225" s="384" t="s">
        <v>1669</v>
      </c>
      <c r="K225" s="1992">
        <v>72</v>
      </c>
      <c r="L225" s="1232">
        <v>534055680</v>
      </c>
      <c r="M225" s="1992">
        <v>24</v>
      </c>
      <c r="N225" s="1232">
        <v>299800000</v>
      </c>
      <c r="O225" s="1992">
        <v>12</v>
      </c>
      <c r="P225" s="1232">
        <v>366250000</v>
      </c>
      <c r="Q225" s="1992">
        <v>3</v>
      </c>
      <c r="R225" s="590">
        <v>62800000</v>
      </c>
      <c r="S225" s="3371">
        <v>3</v>
      </c>
      <c r="T225" s="1400">
        <v>140150000</v>
      </c>
      <c r="U225" s="2902">
        <v>3</v>
      </c>
      <c r="V225" s="1202">
        <v>60500000</v>
      </c>
      <c r="W225" s="1195"/>
      <c r="X225" s="1202"/>
      <c r="Y225" s="1992">
        <f t="shared" si="60"/>
        <v>9</v>
      </c>
      <c r="Z225" s="2148">
        <f t="shared" si="59"/>
        <v>263450000</v>
      </c>
      <c r="AA225" s="1992">
        <f t="shared" si="61"/>
        <v>33</v>
      </c>
      <c r="AB225" s="1202">
        <f t="shared" si="62"/>
        <v>563250000</v>
      </c>
      <c r="AC225" s="2525">
        <f t="shared" si="63"/>
        <v>45.833333333333329</v>
      </c>
      <c r="AD225" s="2525">
        <f t="shared" si="64"/>
        <v>105.4665311302372</v>
      </c>
      <c r="AE225" s="390"/>
    </row>
    <row r="226" spans="1:31" s="63" customFormat="1" ht="45" customHeight="1">
      <c r="A226" s="384"/>
      <c r="B226" s="384"/>
      <c r="C226" s="1218" t="s">
        <v>196</v>
      </c>
      <c r="D226" s="1218" t="s">
        <v>66</v>
      </c>
      <c r="E226" s="1218" t="s">
        <v>66</v>
      </c>
      <c r="F226" s="1218" t="s">
        <v>93</v>
      </c>
      <c r="G226" s="1218"/>
      <c r="H226" s="1218"/>
      <c r="I226" s="1200" t="s">
        <v>200</v>
      </c>
      <c r="J226" s="384" t="s">
        <v>3579</v>
      </c>
      <c r="K226" s="1992">
        <v>72</v>
      </c>
      <c r="L226" s="1232">
        <v>305916134</v>
      </c>
      <c r="M226" s="1992">
        <v>24</v>
      </c>
      <c r="N226" s="1232">
        <v>216429000</v>
      </c>
      <c r="O226" s="1992">
        <v>12</v>
      </c>
      <c r="P226" s="1232">
        <v>204750000</v>
      </c>
      <c r="Q226" s="1992">
        <v>3</v>
      </c>
      <c r="R226" s="590">
        <v>0</v>
      </c>
      <c r="S226" s="3371">
        <v>3</v>
      </c>
      <c r="T226" s="2304">
        <v>95950151</v>
      </c>
      <c r="U226" s="2902">
        <v>3</v>
      </c>
      <c r="V226" s="1202">
        <v>30905270</v>
      </c>
      <c r="W226" s="1195"/>
      <c r="X226" s="1202"/>
      <c r="Y226" s="1992">
        <f t="shared" si="60"/>
        <v>9</v>
      </c>
      <c r="Z226" s="2148">
        <f t="shared" si="59"/>
        <v>126855421</v>
      </c>
      <c r="AA226" s="1992">
        <f t="shared" si="61"/>
        <v>33</v>
      </c>
      <c r="AB226" s="1202">
        <f t="shared" si="62"/>
        <v>343284421</v>
      </c>
      <c r="AC226" s="2525">
        <f t="shared" si="63"/>
        <v>45.833333333333329</v>
      </c>
      <c r="AD226" s="2525">
        <f t="shared" si="64"/>
        <v>112.21520634148705</v>
      </c>
      <c r="AE226" s="390"/>
    </row>
    <row r="227" spans="1:31" s="63" customFormat="1" ht="45" customHeight="1">
      <c r="A227" s="384"/>
      <c r="B227" s="384"/>
      <c r="C227" s="1218" t="s">
        <v>196</v>
      </c>
      <c r="D227" s="1218" t="s">
        <v>66</v>
      </c>
      <c r="E227" s="1218" t="s">
        <v>66</v>
      </c>
      <c r="F227" s="1218">
        <v>10</v>
      </c>
      <c r="G227" s="1218"/>
      <c r="H227" s="1218"/>
      <c r="I227" s="1200" t="s">
        <v>203</v>
      </c>
      <c r="J227" s="384" t="s">
        <v>3578</v>
      </c>
      <c r="K227" s="1992">
        <v>72</v>
      </c>
      <c r="L227" s="1232">
        <v>72572981</v>
      </c>
      <c r="M227" s="1992">
        <v>24</v>
      </c>
      <c r="N227" s="1232">
        <v>34993344</v>
      </c>
      <c r="O227" s="1992">
        <v>12</v>
      </c>
      <c r="P227" s="1232">
        <v>23653236</v>
      </c>
      <c r="Q227" s="1992">
        <v>3</v>
      </c>
      <c r="R227" s="590">
        <v>12255644</v>
      </c>
      <c r="S227" s="3371">
        <v>3</v>
      </c>
      <c r="T227" s="2304">
        <v>0</v>
      </c>
      <c r="U227" s="2902">
        <v>3</v>
      </c>
      <c r="V227" s="1202">
        <v>7084726</v>
      </c>
      <c r="W227" s="1195"/>
      <c r="X227" s="1202"/>
      <c r="Y227" s="1992">
        <f t="shared" si="60"/>
        <v>9</v>
      </c>
      <c r="Z227" s="2148">
        <f t="shared" si="59"/>
        <v>19340370</v>
      </c>
      <c r="AA227" s="1992">
        <f t="shared" si="61"/>
        <v>33</v>
      </c>
      <c r="AB227" s="1202">
        <f t="shared" si="62"/>
        <v>54333714</v>
      </c>
      <c r="AC227" s="2525">
        <f t="shared" si="63"/>
        <v>45.833333333333329</v>
      </c>
      <c r="AD227" s="2525">
        <f t="shared" si="64"/>
        <v>74.867689395313661</v>
      </c>
      <c r="AE227" s="390"/>
    </row>
    <row r="228" spans="1:31" s="63" customFormat="1" ht="45" customHeight="1">
      <c r="A228" s="384"/>
      <c r="B228" s="384"/>
      <c r="C228" s="1218" t="s">
        <v>196</v>
      </c>
      <c r="D228" s="1218" t="s">
        <v>66</v>
      </c>
      <c r="E228" s="1218" t="s">
        <v>66</v>
      </c>
      <c r="F228" s="1218">
        <v>11</v>
      </c>
      <c r="G228" s="1218"/>
      <c r="H228" s="1218"/>
      <c r="I228" s="1200" t="s">
        <v>204</v>
      </c>
      <c r="J228" s="384" t="s">
        <v>1672</v>
      </c>
      <c r="K228" s="1992">
        <v>72</v>
      </c>
      <c r="L228" s="1232">
        <v>89202125</v>
      </c>
      <c r="M228" s="1992">
        <v>24</v>
      </c>
      <c r="N228" s="1232">
        <v>32225200</v>
      </c>
      <c r="O228" s="1992">
        <v>12</v>
      </c>
      <c r="P228" s="1232">
        <v>42404123</v>
      </c>
      <c r="Q228" s="1992">
        <v>3</v>
      </c>
      <c r="R228" s="590">
        <v>11773365</v>
      </c>
      <c r="S228" s="3371" t="s">
        <v>602</v>
      </c>
      <c r="T228" s="2304">
        <v>5350000</v>
      </c>
      <c r="U228" s="2902">
        <v>3</v>
      </c>
      <c r="V228" s="1202">
        <v>4965000</v>
      </c>
      <c r="W228" s="1195"/>
      <c r="X228" s="1202"/>
      <c r="Y228" s="1992">
        <f t="shared" si="60"/>
        <v>9</v>
      </c>
      <c r="Z228" s="2148">
        <f t="shared" si="59"/>
        <v>22088365</v>
      </c>
      <c r="AA228" s="1992">
        <f t="shared" si="61"/>
        <v>33</v>
      </c>
      <c r="AB228" s="1202">
        <f t="shared" si="62"/>
        <v>54313565</v>
      </c>
      <c r="AC228" s="2525">
        <f t="shared" si="63"/>
        <v>45.833333333333329</v>
      </c>
      <c r="AD228" s="2525">
        <f t="shared" si="64"/>
        <v>60.888196329403584</v>
      </c>
      <c r="AE228" s="390"/>
    </row>
    <row r="229" spans="1:31" s="63" customFormat="1" ht="51" customHeight="1">
      <c r="A229" s="384"/>
      <c r="B229" s="384"/>
      <c r="C229" s="1218" t="s">
        <v>196</v>
      </c>
      <c r="D229" s="1218" t="s">
        <v>66</v>
      </c>
      <c r="E229" s="1218" t="s">
        <v>66</v>
      </c>
      <c r="F229" s="1218">
        <v>12</v>
      </c>
      <c r="G229" s="1218"/>
      <c r="H229" s="1218"/>
      <c r="I229" s="1200" t="s">
        <v>205</v>
      </c>
      <c r="J229" s="384" t="s">
        <v>3577</v>
      </c>
      <c r="K229" s="1992">
        <v>72</v>
      </c>
      <c r="L229" s="1232">
        <v>10355558</v>
      </c>
      <c r="M229" s="1992">
        <v>24</v>
      </c>
      <c r="N229" s="1232">
        <v>4953000</v>
      </c>
      <c r="O229" s="1992">
        <v>12</v>
      </c>
      <c r="P229" s="1232">
        <v>4994000</v>
      </c>
      <c r="Q229" s="1992">
        <v>3</v>
      </c>
      <c r="R229" s="590">
        <v>0</v>
      </c>
      <c r="S229" s="3371" t="s">
        <v>602</v>
      </c>
      <c r="T229" s="2556">
        <v>0</v>
      </c>
      <c r="U229" s="2902">
        <v>3</v>
      </c>
      <c r="V229" s="1202">
        <v>4994000</v>
      </c>
      <c r="W229" s="1195"/>
      <c r="X229" s="1202"/>
      <c r="Y229" s="1992">
        <f t="shared" si="60"/>
        <v>9</v>
      </c>
      <c r="Z229" s="2148">
        <f t="shared" si="59"/>
        <v>4994000</v>
      </c>
      <c r="AA229" s="1992">
        <f t="shared" si="61"/>
        <v>33</v>
      </c>
      <c r="AB229" s="1202">
        <f t="shared" si="62"/>
        <v>9947000</v>
      </c>
      <c r="AC229" s="2525">
        <f t="shared" si="63"/>
        <v>45.833333333333329</v>
      </c>
      <c r="AD229" s="2525">
        <f t="shared" si="64"/>
        <v>96.054698356187089</v>
      </c>
      <c r="AE229" s="390"/>
    </row>
    <row r="230" spans="1:31" s="63" customFormat="1" ht="45.75" customHeight="1">
      <c r="A230" s="384"/>
      <c r="B230" s="384"/>
      <c r="C230" s="1218" t="s">
        <v>196</v>
      </c>
      <c r="D230" s="1218" t="s">
        <v>66</v>
      </c>
      <c r="E230" s="1218" t="s">
        <v>66</v>
      </c>
      <c r="F230" s="1218">
        <v>13</v>
      </c>
      <c r="G230" s="1218"/>
      <c r="H230" s="1218"/>
      <c r="I230" s="1200" t="s">
        <v>1674</v>
      </c>
      <c r="J230" s="384" t="s">
        <v>3576</v>
      </c>
      <c r="K230" s="1992">
        <v>72</v>
      </c>
      <c r="L230" s="1232">
        <v>107827200</v>
      </c>
      <c r="M230" s="1992">
        <v>24</v>
      </c>
      <c r="N230" s="1232">
        <v>135820000</v>
      </c>
      <c r="O230" s="1992">
        <v>12</v>
      </c>
      <c r="P230" s="1232">
        <v>91250000</v>
      </c>
      <c r="Q230" s="1992">
        <v>3</v>
      </c>
      <c r="R230" s="590">
        <v>0</v>
      </c>
      <c r="S230" s="3371" t="s">
        <v>602</v>
      </c>
      <c r="T230" s="2304">
        <v>27876400</v>
      </c>
      <c r="U230" s="2902">
        <v>3</v>
      </c>
      <c r="V230" s="1202">
        <v>30349000</v>
      </c>
      <c r="W230" s="1195"/>
      <c r="X230" s="1202"/>
      <c r="Y230" s="1992">
        <f t="shared" si="60"/>
        <v>9</v>
      </c>
      <c r="Z230" s="2148">
        <f t="shared" si="59"/>
        <v>58225400</v>
      </c>
      <c r="AA230" s="1992">
        <f t="shared" si="61"/>
        <v>33</v>
      </c>
      <c r="AB230" s="1202">
        <f t="shared" si="62"/>
        <v>194045400</v>
      </c>
      <c r="AC230" s="2525">
        <f t="shared" si="63"/>
        <v>45.833333333333329</v>
      </c>
      <c r="AD230" s="2525">
        <f t="shared" si="64"/>
        <v>179.95960202991452</v>
      </c>
      <c r="AE230" s="390"/>
    </row>
    <row r="231" spans="1:31" s="63" customFormat="1" ht="45.75" customHeight="1">
      <c r="A231" s="384"/>
      <c r="B231" s="384"/>
      <c r="C231" s="1218" t="s">
        <v>196</v>
      </c>
      <c r="D231" s="1218" t="s">
        <v>66</v>
      </c>
      <c r="E231" s="1218" t="s">
        <v>66</v>
      </c>
      <c r="F231" s="1218">
        <v>17</v>
      </c>
      <c r="G231" s="1218"/>
      <c r="H231" s="1218"/>
      <c r="I231" s="1200" t="s">
        <v>206</v>
      </c>
      <c r="J231" s="384" t="s">
        <v>3575</v>
      </c>
      <c r="K231" s="1992">
        <v>72</v>
      </c>
      <c r="L231" s="1232">
        <v>146748672</v>
      </c>
      <c r="M231" s="1992">
        <v>24</v>
      </c>
      <c r="N231" s="1232">
        <v>63825500</v>
      </c>
      <c r="O231" s="1992">
        <v>12</v>
      </c>
      <c r="P231" s="1232">
        <v>78750000</v>
      </c>
      <c r="Q231" s="1992">
        <v>3</v>
      </c>
      <c r="R231" s="590">
        <v>19277500</v>
      </c>
      <c r="S231" s="3371" t="s">
        <v>602</v>
      </c>
      <c r="T231" s="1400">
        <v>10527500</v>
      </c>
      <c r="U231" s="2902">
        <v>3</v>
      </c>
      <c r="V231" s="1202">
        <v>18132500</v>
      </c>
      <c r="W231" s="1195"/>
      <c r="X231" s="1202"/>
      <c r="Y231" s="1992">
        <f t="shared" si="60"/>
        <v>9</v>
      </c>
      <c r="Z231" s="2148">
        <f t="shared" si="59"/>
        <v>47937500</v>
      </c>
      <c r="AA231" s="1992">
        <f t="shared" si="61"/>
        <v>33</v>
      </c>
      <c r="AB231" s="1202">
        <f t="shared" si="62"/>
        <v>111763000</v>
      </c>
      <c r="AC231" s="2525">
        <f t="shared" si="63"/>
        <v>45.833333333333329</v>
      </c>
      <c r="AD231" s="2525">
        <f t="shared" si="64"/>
        <v>76.159462621917285</v>
      </c>
      <c r="AE231" s="390"/>
    </row>
    <row r="232" spans="1:31" s="63" customFormat="1" ht="45.75" customHeight="1">
      <c r="A232" s="384"/>
      <c r="B232" s="384"/>
      <c r="C232" s="1218" t="s">
        <v>196</v>
      </c>
      <c r="D232" s="1218" t="s">
        <v>66</v>
      </c>
      <c r="E232" s="1218" t="s">
        <v>66</v>
      </c>
      <c r="F232" s="1218">
        <v>18</v>
      </c>
      <c r="G232" s="1218"/>
      <c r="H232" s="1218"/>
      <c r="I232" s="1200" t="s">
        <v>207</v>
      </c>
      <c r="J232" s="384" t="s">
        <v>3574</v>
      </c>
      <c r="K232" s="1992">
        <v>72</v>
      </c>
      <c r="L232" s="1232">
        <f>N232*3</f>
        <v>1375540929</v>
      </c>
      <c r="M232" s="1992">
        <v>24</v>
      </c>
      <c r="N232" s="1232">
        <v>458513643</v>
      </c>
      <c r="O232" s="1992">
        <v>12</v>
      </c>
      <c r="P232" s="1232">
        <v>285500000</v>
      </c>
      <c r="Q232" s="1992">
        <v>3</v>
      </c>
      <c r="R232" s="590">
        <v>44671375</v>
      </c>
      <c r="S232" s="3371" t="s">
        <v>602</v>
      </c>
      <c r="T232" s="2304">
        <v>78116613</v>
      </c>
      <c r="U232" s="2902">
        <v>3</v>
      </c>
      <c r="V232" s="1202">
        <v>68764859</v>
      </c>
      <c r="W232" s="1195"/>
      <c r="X232" s="1202"/>
      <c r="Y232" s="1992">
        <f t="shared" si="60"/>
        <v>9</v>
      </c>
      <c r="Z232" s="2148">
        <f t="shared" si="59"/>
        <v>191552847</v>
      </c>
      <c r="AA232" s="1992">
        <f t="shared" si="61"/>
        <v>33</v>
      </c>
      <c r="AB232" s="1202">
        <f t="shared" si="62"/>
        <v>650066490</v>
      </c>
      <c r="AC232" s="2525">
        <f t="shared" si="63"/>
        <v>45.833333333333329</v>
      </c>
      <c r="AD232" s="2525">
        <f t="shared" si="64"/>
        <v>47.258971092382524</v>
      </c>
      <c r="AE232" s="390"/>
    </row>
    <row r="233" spans="1:31" s="63" customFormat="1" ht="45.75" customHeight="1">
      <c r="A233" s="384"/>
      <c r="B233" s="384"/>
      <c r="C233" s="1218" t="s">
        <v>196</v>
      </c>
      <c r="D233" s="1218" t="s">
        <v>66</v>
      </c>
      <c r="E233" s="1218" t="s">
        <v>66</v>
      </c>
      <c r="F233" s="1218">
        <v>20</v>
      </c>
      <c r="G233" s="1218"/>
      <c r="H233" s="1218"/>
      <c r="I233" s="1200" t="s">
        <v>208</v>
      </c>
      <c r="J233" s="384" t="s">
        <v>3573</v>
      </c>
      <c r="K233" s="1992">
        <v>72</v>
      </c>
      <c r="L233" s="1232">
        <v>224508672</v>
      </c>
      <c r="M233" s="1992">
        <v>24</v>
      </c>
      <c r="N233" s="1232">
        <v>102925250</v>
      </c>
      <c r="O233" s="1992">
        <v>12</v>
      </c>
      <c r="P233" s="1232">
        <v>77600000</v>
      </c>
      <c r="Q233" s="1992">
        <v>3</v>
      </c>
      <c r="R233" s="590">
        <v>23159000</v>
      </c>
      <c r="S233" s="3371" t="s">
        <v>602</v>
      </c>
      <c r="T233" s="2304">
        <v>23870000</v>
      </c>
      <c r="U233" s="2902">
        <v>3</v>
      </c>
      <c r="V233" s="1202">
        <v>18512500</v>
      </c>
      <c r="W233" s="1195"/>
      <c r="X233" s="1202"/>
      <c r="Y233" s="1992">
        <f t="shared" si="60"/>
        <v>9</v>
      </c>
      <c r="Z233" s="2148">
        <f t="shared" si="59"/>
        <v>65541500</v>
      </c>
      <c r="AA233" s="1992">
        <f t="shared" si="61"/>
        <v>33</v>
      </c>
      <c r="AB233" s="1202">
        <f t="shared" si="62"/>
        <v>168466750</v>
      </c>
      <c r="AC233" s="2525">
        <f t="shared" si="63"/>
        <v>45.833333333333329</v>
      </c>
      <c r="AD233" s="2525">
        <f t="shared" si="64"/>
        <v>75.037970025496392</v>
      </c>
      <c r="AE233" s="390"/>
    </row>
    <row r="234" spans="1:31" s="145" customFormat="1" ht="57.75" customHeight="1">
      <c r="A234" s="3138">
        <v>2</v>
      </c>
      <c r="B234" s="2335" t="s">
        <v>1680</v>
      </c>
      <c r="C234" s="2352" t="s">
        <v>196</v>
      </c>
      <c r="D234" s="2352" t="s">
        <v>66</v>
      </c>
      <c r="E234" s="2352" t="s">
        <v>65</v>
      </c>
      <c r="F234" s="2352"/>
      <c r="G234" s="2352"/>
      <c r="H234" s="2874"/>
      <c r="I234" s="2335" t="s">
        <v>1681</v>
      </c>
      <c r="J234" s="3156" t="s">
        <v>4531</v>
      </c>
      <c r="K234" s="2397">
        <v>72</v>
      </c>
      <c r="L234" s="2357">
        <f>SUM(L235:L257)</f>
        <v>100269064312</v>
      </c>
      <c r="M234" s="2381">
        <v>24</v>
      </c>
      <c r="N234" s="2361">
        <f>SUM(N235:N257)</f>
        <v>14978225273</v>
      </c>
      <c r="O234" s="2381">
        <v>12</v>
      </c>
      <c r="P234" s="2523">
        <f>SUM(P235:P257)</f>
        <v>32080456642</v>
      </c>
      <c r="Q234" s="2508">
        <v>3</v>
      </c>
      <c r="R234" s="2340">
        <f>SUM(R235:R257)</f>
        <v>7282475546</v>
      </c>
      <c r="S234" s="2759">
        <v>3</v>
      </c>
      <c r="T234" s="2340">
        <f>SUM(T235:T257)</f>
        <v>7849875485</v>
      </c>
      <c r="U234" s="2905">
        <v>3</v>
      </c>
      <c r="V234" s="2340">
        <f>SUM(V235:V257)</f>
        <v>7893234388</v>
      </c>
      <c r="W234" s="2341"/>
      <c r="X234" s="2342"/>
      <c r="Y234" s="2412">
        <f t="shared" si="60"/>
        <v>9</v>
      </c>
      <c r="Z234" s="2342">
        <f>SUM(Z235:Z257)</f>
        <v>23025585419</v>
      </c>
      <c r="AA234" s="2412">
        <f t="shared" si="61"/>
        <v>33</v>
      </c>
      <c r="AB234" s="2342">
        <f>SUM(AB235:AB257)</f>
        <v>38003810692</v>
      </c>
      <c r="AC234" s="2490">
        <f t="shared" si="63"/>
        <v>45.833333333333329</v>
      </c>
      <c r="AD234" s="2490">
        <f t="shared" si="64"/>
        <v>37.901830392818155</v>
      </c>
      <c r="AE234" s="3138" t="s">
        <v>3216</v>
      </c>
    </row>
    <row r="235" spans="1:31" s="63" customFormat="1" ht="51">
      <c r="A235" s="384"/>
      <c r="B235" s="384"/>
      <c r="C235" s="1218" t="s">
        <v>196</v>
      </c>
      <c r="D235" s="3792" t="s">
        <v>66</v>
      </c>
      <c r="E235" s="3792" t="s">
        <v>65</v>
      </c>
      <c r="F235" s="1218" t="s">
        <v>196</v>
      </c>
      <c r="G235" s="1218"/>
      <c r="H235" s="1218"/>
      <c r="I235" s="1200" t="s">
        <v>1683</v>
      </c>
      <c r="J235" s="384" t="s">
        <v>4143</v>
      </c>
      <c r="K235" s="1992">
        <v>23</v>
      </c>
      <c r="L235" s="2348">
        <v>75970779032</v>
      </c>
      <c r="M235" s="1992">
        <v>2</v>
      </c>
      <c r="N235" s="1232">
        <v>14247940816</v>
      </c>
      <c r="O235" s="1992">
        <v>3</v>
      </c>
      <c r="P235" s="1232">
        <v>25683396269.5</v>
      </c>
      <c r="Q235" s="1992"/>
      <c r="R235" s="590">
        <v>7218230143</v>
      </c>
      <c r="S235" s="2305"/>
      <c r="T235" s="1400">
        <v>6604664870</v>
      </c>
      <c r="U235" s="1195"/>
      <c r="V235" s="1202">
        <v>6715909738</v>
      </c>
      <c r="W235" s="1195"/>
      <c r="X235" s="1202"/>
      <c r="Y235" s="1992">
        <f t="shared" si="60"/>
        <v>0</v>
      </c>
      <c r="Z235" s="1202">
        <f t="shared" si="59"/>
        <v>20538804751</v>
      </c>
      <c r="AA235" s="1992">
        <f t="shared" si="61"/>
        <v>2</v>
      </c>
      <c r="AB235" s="1202">
        <f t="shared" si="62"/>
        <v>34786745567</v>
      </c>
      <c r="AC235" s="2525">
        <f t="shared" si="63"/>
        <v>8.695652173913043</v>
      </c>
      <c r="AD235" s="2525">
        <f t="shared" si="64"/>
        <v>45.789639135261886</v>
      </c>
      <c r="AE235" s="390" t="s">
        <v>1686</v>
      </c>
    </row>
    <row r="236" spans="1:31" s="63" customFormat="1" ht="33.75" customHeight="1">
      <c r="A236" s="384"/>
      <c r="B236" s="384"/>
      <c r="C236" s="1218" t="s">
        <v>196</v>
      </c>
      <c r="D236" s="3792" t="s">
        <v>66</v>
      </c>
      <c r="E236" s="3792" t="s">
        <v>65</v>
      </c>
      <c r="F236" s="1218">
        <v>120</v>
      </c>
      <c r="G236" s="1218"/>
      <c r="H236" s="1218"/>
      <c r="I236" s="1200" t="s">
        <v>1687</v>
      </c>
      <c r="J236" s="384" t="s">
        <v>4532</v>
      </c>
      <c r="K236" s="1992">
        <v>30</v>
      </c>
      <c r="L236" s="2348">
        <v>3000000000</v>
      </c>
      <c r="M236" s="1992">
        <v>10</v>
      </c>
      <c r="N236" s="1232">
        <v>533629460</v>
      </c>
      <c r="O236" s="1992">
        <v>3</v>
      </c>
      <c r="P236" s="1232">
        <v>310032879</v>
      </c>
      <c r="Q236" s="1992"/>
      <c r="R236" s="590">
        <v>1515928</v>
      </c>
      <c r="S236" s="2894"/>
      <c r="T236" s="1400">
        <v>2051017</v>
      </c>
      <c r="U236" s="1195"/>
      <c r="V236" s="1202">
        <v>0</v>
      </c>
      <c r="W236" s="1195"/>
      <c r="X236" s="1202"/>
      <c r="Y236" s="1992">
        <f t="shared" si="60"/>
        <v>0</v>
      </c>
      <c r="Z236" s="1202">
        <f t="shared" si="59"/>
        <v>3566945</v>
      </c>
      <c r="AA236" s="1992">
        <f t="shared" si="61"/>
        <v>10</v>
      </c>
      <c r="AB236" s="1202">
        <f t="shared" si="62"/>
        <v>537196405</v>
      </c>
      <c r="AC236" s="2525">
        <f t="shared" si="63"/>
        <v>33.333333333333329</v>
      </c>
      <c r="AD236" s="2525">
        <f t="shared" si="64"/>
        <v>17.906546833333334</v>
      </c>
      <c r="AE236" s="390"/>
    </row>
    <row r="237" spans="1:31" s="63" customFormat="1" ht="51">
      <c r="A237" s="384"/>
      <c r="B237" s="384"/>
      <c r="C237" s="1218" t="s">
        <v>196</v>
      </c>
      <c r="D237" s="3792" t="s">
        <v>66</v>
      </c>
      <c r="E237" s="3792" t="s">
        <v>65</v>
      </c>
      <c r="F237" s="1218">
        <v>24</v>
      </c>
      <c r="G237" s="1218"/>
      <c r="H237" s="1218"/>
      <c r="I237" s="1200" t="s">
        <v>1697</v>
      </c>
      <c r="J237" s="384" t="s">
        <v>4533</v>
      </c>
      <c r="K237" s="1992">
        <v>72</v>
      </c>
      <c r="L237" s="1232">
        <v>862108782</v>
      </c>
      <c r="M237" s="1992">
        <v>24</v>
      </c>
      <c r="N237" s="1232">
        <v>129297327</v>
      </c>
      <c r="O237" s="1992">
        <v>12</v>
      </c>
      <c r="P237" s="1232">
        <v>139192000</v>
      </c>
      <c r="Q237" s="1992">
        <v>3</v>
      </c>
      <c r="R237" s="590">
        <v>22242136</v>
      </c>
      <c r="S237" s="2894">
        <v>3</v>
      </c>
      <c r="T237" s="1400">
        <v>33708450</v>
      </c>
      <c r="U237" s="2326">
        <v>3</v>
      </c>
      <c r="V237" s="1202">
        <v>10035400</v>
      </c>
      <c r="W237" s="2326"/>
      <c r="X237" s="2327"/>
      <c r="Y237" s="1992">
        <f t="shared" si="60"/>
        <v>9</v>
      </c>
      <c r="Z237" s="1202">
        <f t="shared" si="59"/>
        <v>65985986</v>
      </c>
      <c r="AA237" s="2769">
        <f t="shared" si="61"/>
        <v>33</v>
      </c>
      <c r="AB237" s="1202">
        <f t="shared" si="62"/>
        <v>195283313</v>
      </c>
      <c r="AC237" s="2525">
        <f t="shared" si="63"/>
        <v>45.833333333333329</v>
      </c>
      <c r="AD237" s="2525">
        <f t="shared" si="64"/>
        <v>22.651818085759857</v>
      </c>
      <c r="AE237" s="390"/>
    </row>
    <row r="238" spans="1:31" s="63" customFormat="1" ht="42.75" customHeight="1">
      <c r="A238" s="384"/>
      <c r="B238" s="384"/>
      <c r="C238" s="1218" t="s">
        <v>196</v>
      </c>
      <c r="D238" s="3792" t="s">
        <v>66</v>
      </c>
      <c r="E238" s="3792" t="s">
        <v>65</v>
      </c>
      <c r="F238" s="1218">
        <v>28</v>
      </c>
      <c r="G238" s="1218"/>
      <c r="H238" s="1218"/>
      <c r="I238" s="1200" t="s">
        <v>1699</v>
      </c>
      <c r="J238" s="384" t="s">
        <v>1700</v>
      </c>
      <c r="K238" s="1992">
        <v>72</v>
      </c>
      <c r="L238" s="2348">
        <v>307954958</v>
      </c>
      <c r="M238" s="1992">
        <v>24</v>
      </c>
      <c r="N238" s="1232">
        <v>17660000</v>
      </c>
      <c r="O238" s="1992">
        <v>12</v>
      </c>
      <c r="P238" s="1232">
        <v>25600000</v>
      </c>
      <c r="Q238" s="1992">
        <v>3</v>
      </c>
      <c r="R238" s="590">
        <v>1940000</v>
      </c>
      <c r="S238" s="2894">
        <v>3</v>
      </c>
      <c r="T238" s="1400">
        <v>3431000</v>
      </c>
      <c r="U238" s="1195">
        <v>3</v>
      </c>
      <c r="V238" s="1202">
        <v>260000</v>
      </c>
      <c r="W238" s="1195"/>
      <c r="X238" s="1202"/>
      <c r="Y238" s="1992">
        <f t="shared" si="60"/>
        <v>9</v>
      </c>
      <c r="Z238" s="1202">
        <f t="shared" si="59"/>
        <v>5631000</v>
      </c>
      <c r="AA238" s="2769">
        <f t="shared" si="61"/>
        <v>33</v>
      </c>
      <c r="AB238" s="1202">
        <f t="shared" si="62"/>
        <v>23291000</v>
      </c>
      <c r="AC238" s="2525">
        <f t="shared" si="63"/>
        <v>45.833333333333329</v>
      </c>
      <c r="AD238" s="2525">
        <f t="shared" si="64"/>
        <v>7.563119019502845</v>
      </c>
      <c r="AE238" s="390"/>
    </row>
    <row r="239" spans="1:31" s="63" customFormat="1" ht="37.5" customHeight="1">
      <c r="A239" s="384"/>
      <c r="B239" s="384"/>
      <c r="C239" s="1218" t="s">
        <v>196</v>
      </c>
      <c r="D239" s="3792" t="s">
        <v>66</v>
      </c>
      <c r="E239" s="3792" t="s">
        <v>65</v>
      </c>
      <c r="F239" s="1218">
        <v>22</v>
      </c>
      <c r="G239" s="1218"/>
      <c r="H239" s="1218"/>
      <c r="I239" s="1200" t="s">
        <v>1701</v>
      </c>
      <c r="J239" s="384" t="s">
        <v>1702</v>
      </c>
      <c r="K239" s="1992">
        <v>72</v>
      </c>
      <c r="L239" s="2348">
        <v>276281562</v>
      </c>
      <c r="M239" s="1992">
        <v>24</v>
      </c>
      <c r="N239" s="1232">
        <v>49697670</v>
      </c>
      <c r="O239" s="1992">
        <v>12</v>
      </c>
      <c r="P239" s="1232">
        <v>48389770</v>
      </c>
      <c r="Q239" s="1992">
        <v>3</v>
      </c>
      <c r="R239" s="590">
        <v>24693000</v>
      </c>
      <c r="S239" s="2894">
        <v>3</v>
      </c>
      <c r="T239" s="1400">
        <v>20916170</v>
      </c>
      <c r="U239" s="1195">
        <v>3</v>
      </c>
      <c r="V239" s="1202">
        <v>2169000</v>
      </c>
      <c r="W239" s="591"/>
      <c r="X239" s="1202"/>
      <c r="Y239" s="1992">
        <f t="shared" si="60"/>
        <v>9</v>
      </c>
      <c r="Z239" s="1202">
        <f t="shared" si="59"/>
        <v>47778170</v>
      </c>
      <c r="AA239" s="2769">
        <f t="shared" si="61"/>
        <v>33</v>
      </c>
      <c r="AB239" s="1202">
        <f t="shared" si="62"/>
        <v>97475840</v>
      </c>
      <c r="AC239" s="2525">
        <f t="shared" si="63"/>
        <v>45.833333333333329</v>
      </c>
      <c r="AD239" s="2525">
        <f t="shared" si="64"/>
        <v>35.281340996617068</v>
      </c>
      <c r="AE239" s="390"/>
    </row>
    <row r="240" spans="1:31" s="63" customFormat="1" ht="37.5" customHeight="1">
      <c r="A240" s="384"/>
      <c r="B240" s="384"/>
      <c r="C240" s="1218" t="s">
        <v>196</v>
      </c>
      <c r="D240" s="3792" t="s">
        <v>66</v>
      </c>
      <c r="E240" s="3792" t="s">
        <v>65</v>
      </c>
      <c r="F240" s="1218">
        <v>21</v>
      </c>
      <c r="G240" s="1218"/>
      <c r="H240" s="1218"/>
      <c r="I240" s="1200" t="s">
        <v>1711</v>
      </c>
      <c r="J240" s="384" t="s">
        <v>1708</v>
      </c>
      <c r="K240" s="1992">
        <v>1</v>
      </c>
      <c r="L240" s="2348">
        <v>261939978</v>
      </c>
      <c r="M240" s="1992">
        <v>0</v>
      </c>
      <c r="N240" s="1232">
        <v>0</v>
      </c>
      <c r="O240" s="1992">
        <v>1</v>
      </c>
      <c r="P240" s="1232">
        <v>261939978.5</v>
      </c>
      <c r="Q240" s="1992">
        <v>0</v>
      </c>
      <c r="R240" s="590">
        <v>839978</v>
      </c>
      <c r="S240" s="2894">
        <v>1</v>
      </c>
      <c r="T240" s="1400">
        <v>200520000</v>
      </c>
      <c r="U240" s="1195">
        <v>0</v>
      </c>
      <c r="V240" s="1202">
        <v>1600000</v>
      </c>
      <c r="W240" s="591"/>
      <c r="X240" s="1202"/>
      <c r="Y240" s="1992">
        <f t="shared" si="60"/>
        <v>1</v>
      </c>
      <c r="Z240" s="1202">
        <f t="shared" si="59"/>
        <v>202959978</v>
      </c>
      <c r="AA240" s="1992">
        <f t="shared" si="61"/>
        <v>1</v>
      </c>
      <c r="AB240" s="1202">
        <f t="shared" si="62"/>
        <v>202959978</v>
      </c>
      <c r="AC240" s="2525">
        <f t="shared" si="63"/>
        <v>100</v>
      </c>
      <c r="AD240" s="2525">
        <f t="shared" si="64"/>
        <v>77.48339125232728</v>
      </c>
      <c r="AE240" s="390"/>
    </row>
    <row r="241" spans="1:31" s="63" customFormat="1" ht="37.5" customHeight="1">
      <c r="A241" s="384"/>
      <c r="B241" s="384"/>
      <c r="C241" s="1218" t="s">
        <v>196</v>
      </c>
      <c r="D241" s="3792" t="s">
        <v>66</v>
      </c>
      <c r="E241" s="3792" t="s">
        <v>65</v>
      </c>
      <c r="F241" s="1218">
        <v>42</v>
      </c>
      <c r="G241" s="1218"/>
      <c r="H241" s="1218"/>
      <c r="I241" s="1200" t="s">
        <v>1712</v>
      </c>
      <c r="J241" s="384" t="s">
        <v>4144</v>
      </c>
      <c r="K241" s="2768">
        <v>1</v>
      </c>
      <c r="L241" s="2348">
        <v>17700000000</v>
      </c>
      <c r="M241" s="1992">
        <v>0</v>
      </c>
      <c r="N241" s="1232">
        <v>0</v>
      </c>
      <c r="O241" s="1992">
        <v>1</v>
      </c>
      <c r="P241" s="1232">
        <v>3721905745</v>
      </c>
      <c r="Q241" s="1992">
        <v>0</v>
      </c>
      <c r="R241" s="590">
        <v>13014361</v>
      </c>
      <c r="S241" s="2553">
        <v>0</v>
      </c>
      <c r="T241" s="1400">
        <v>984583978</v>
      </c>
      <c r="U241" s="1195">
        <v>0</v>
      </c>
      <c r="V241" s="1202">
        <v>1163260250</v>
      </c>
      <c r="W241" s="591"/>
      <c r="X241" s="1202"/>
      <c r="Y241" s="1992">
        <f t="shared" si="60"/>
        <v>0</v>
      </c>
      <c r="Z241" s="1202">
        <f t="shared" si="59"/>
        <v>2160858589</v>
      </c>
      <c r="AA241" s="1992">
        <f t="shared" si="61"/>
        <v>0</v>
      </c>
      <c r="AB241" s="1202">
        <f t="shared" si="62"/>
        <v>2160858589</v>
      </c>
      <c r="AC241" s="2525">
        <f t="shared" si="63"/>
        <v>0</v>
      </c>
      <c r="AD241" s="2525">
        <f t="shared" si="64"/>
        <v>12.208240615819209</v>
      </c>
      <c r="AE241" s="390"/>
    </row>
    <row r="242" spans="1:31" s="63" customFormat="1" ht="37.5" customHeight="1">
      <c r="A242" s="384"/>
      <c r="B242" s="384"/>
      <c r="C242" s="1218"/>
      <c r="D242" s="3792"/>
      <c r="E242" s="3792"/>
      <c r="F242" s="1218"/>
      <c r="G242" s="1218"/>
      <c r="H242" s="1218"/>
      <c r="I242" s="1200" t="s">
        <v>4145</v>
      </c>
      <c r="J242" s="384" t="s">
        <v>4146</v>
      </c>
      <c r="K242" s="2768">
        <v>1</v>
      </c>
      <c r="L242" s="2348">
        <v>100000000</v>
      </c>
      <c r="M242" s="1992">
        <v>0</v>
      </c>
      <c r="N242" s="1232">
        <v>0</v>
      </c>
      <c r="O242" s="1992">
        <v>1</v>
      </c>
      <c r="P242" s="1232">
        <v>100000000</v>
      </c>
      <c r="Q242" s="1992">
        <v>0</v>
      </c>
      <c r="R242" s="590">
        <v>0</v>
      </c>
      <c r="S242" s="2899">
        <v>0</v>
      </c>
      <c r="T242" s="1400">
        <v>0</v>
      </c>
      <c r="U242" s="1195"/>
      <c r="V242" s="1202">
        <v>0</v>
      </c>
      <c r="W242" s="591"/>
      <c r="X242" s="1202"/>
      <c r="Y242" s="1992">
        <f t="shared" ref="Y242:Y257" si="65">Q242+S242+U242+W242</f>
        <v>0</v>
      </c>
      <c r="Z242" s="1202">
        <f t="shared" ref="Z242:Z257" si="66">R242+T242+V242+X242</f>
        <v>0</v>
      </c>
      <c r="AA242" s="1992">
        <f t="shared" ref="AA242:AA257" si="67">M242+Y242</f>
        <v>0</v>
      </c>
      <c r="AB242" s="1202">
        <f t="shared" ref="AB242:AB257" si="68">N242+Z242</f>
        <v>0</v>
      </c>
      <c r="AC242" s="2525">
        <f t="shared" ref="AC242:AC257" si="69">AA242/K242*100</f>
        <v>0</v>
      </c>
      <c r="AD242" s="2525">
        <f t="shared" ref="AD242:AD257" si="70">(AB242/L242)*100</f>
        <v>0</v>
      </c>
      <c r="AE242" s="3275"/>
    </row>
    <row r="243" spans="1:31" s="63" customFormat="1" ht="37.5" customHeight="1">
      <c r="A243" s="384"/>
      <c r="B243" s="384"/>
      <c r="C243" s="1218"/>
      <c r="D243" s="3792"/>
      <c r="E243" s="3792"/>
      <c r="F243" s="1218"/>
      <c r="G243" s="1218"/>
      <c r="H243" s="1218"/>
      <c r="I243" s="1200" t="s">
        <v>4147</v>
      </c>
      <c r="J243" s="384" t="s">
        <v>4146</v>
      </c>
      <c r="K243" s="2768">
        <v>1</v>
      </c>
      <c r="L243" s="2348">
        <v>100000000</v>
      </c>
      <c r="M243" s="1992">
        <v>0</v>
      </c>
      <c r="N243" s="1232">
        <v>0</v>
      </c>
      <c r="O243" s="1992">
        <v>1</v>
      </c>
      <c r="P243" s="1232">
        <v>100000000</v>
      </c>
      <c r="Q243" s="1992">
        <v>0</v>
      </c>
      <c r="R243" s="590">
        <v>0</v>
      </c>
      <c r="S243" s="2899">
        <v>0</v>
      </c>
      <c r="T243" s="1400">
        <v>0</v>
      </c>
      <c r="U243" s="1195"/>
      <c r="V243" s="1202">
        <v>0</v>
      </c>
      <c r="W243" s="591"/>
      <c r="X243" s="1202"/>
      <c r="Y243" s="1992">
        <f t="shared" si="65"/>
        <v>0</v>
      </c>
      <c r="Z243" s="1202">
        <f t="shared" si="66"/>
        <v>0</v>
      </c>
      <c r="AA243" s="1992">
        <f t="shared" si="67"/>
        <v>0</v>
      </c>
      <c r="AB243" s="1202">
        <f t="shared" si="68"/>
        <v>0</v>
      </c>
      <c r="AC243" s="2525">
        <f t="shared" si="69"/>
        <v>0</v>
      </c>
      <c r="AD243" s="2525">
        <f t="shared" si="70"/>
        <v>0</v>
      </c>
      <c r="AE243" s="3275"/>
    </row>
    <row r="244" spans="1:31" s="63" customFormat="1" ht="37.5" customHeight="1">
      <c r="A244" s="384"/>
      <c r="B244" s="384"/>
      <c r="C244" s="1218"/>
      <c r="D244" s="3792"/>
      <c r="E244" s="3792"/>
      <c r="F244" s="1218"/>
      <c r="G244" s="1218"/>
      <c r="H244" s="1218"/>
      <c r="I244" s="1200" t="s">
        <v>4148</v>
      </c>
      <c r="J244" s="384" t="s">
        <v>4149</v>
      </c>
      <c r="K244" s="2768">
        <v>1</v>
      </c>
      <c r="L244" s="2348">
        <v>200000000</v>
      </c>
      <c r="M244" s="1992">
        <v>0</v>
      </c>
      <c r="N244" s="1232">
        <v>0</v>
      </c>
      <c r="O244" s="1992">
        <v>1</v>
      </c>
      <c r="P244" s="1232">
        <v>200000000</v>
      </c>
      <c r="Q244" s="1992">
        <v>0</v>
      </c>
      <c r="R244" s="590">
        <v>0</v>
      </c>
      <c r="S244" s="2899">
        <v>0</v>
      </c>
      <c r="T244" s="1400">
        <v>0</v>
      </c>
      <c r="U244" s="1195"/>
      <c r="V244" s="1202">
        <v>0</v>
      </c>
      <c r="W244" s="591"/>
      <c r="X244" s="1202"/>
      <c r="Y244" s="1992">
        <f t="shared" si="65"/>
        <v>0</v>
      </c>
      <c r="Z244" s="1202">
        <f t="shared" si="66"/>
        <v>0</v>
      </c>
      <c r="AA244" s="1992">
        <f t="shared" si="67"/>
        <v>0</v>
      </c>
      <c r="AB244" s="1202">
        <f t="shared" si="68"/>
        <v>0</v>
      </c>
      <c r="AC244" s="2525">
        <f t="shared" si="69"/>
        <v>0</v>
      </c>
      <c r="AD244" s="2525">
        <f t="shared" si="70"/>
        <v>0</v>
      </c>
      <c r="AE244" s="3275"/>
    </row>
    <row r="245" spans="1:31" s="63" customFormat="1" ht="37.5" customHeight="1">
      <c r="A245" s="384"/>
      <c r="B245" s="384"/>
      <c r="C245" s="1218"/>
      <c r="D245" s="3792"/>
      <c r="E245" s="3792"/>
      <c r="F245" s="1218"/>
      <c r="G245" s="1218"/>
      <c r="H245" s="1218"/>
      <c r="I245" s="1200" t="s">
        <v>4150</v>
      </c>
      <c r="J245" s="384" t="s">
        <v>4146</v>
      </c>
      <c r="K245" s="2768">
        <v>1</v>
      </c>
      <c r="L245" s="2348">
        <v>150000000</v>
      </c>
      <c r="M245" s="1992">
        <v>0</v>
      </c>
      <c r="N245" s="1232">
        <v>0</v>
      </c>
      <c r="O245" s="1992">
        <v>1</v>
      </c>
      <c r="P245" s="1232">
        <v>150000000</v>
      </c>
      <c r="Q245" s="1992">
        <v>0</v>
      </c>
      <c r="R245" s="590">
        <v>0</v>
      </c>
      <c r="S245" s="2899">
        <v>0</v>
      </c>
      <c r="T245" s="1400">
        <v>0</v>
      </c>
      <c r="U245" s="1195"/>
      <c r="V245" s="1202">
        <v>0</v>
      </c>
      <c r="W245" s="591"/>
      <c r="X245" s="1202"/>
      <c r="Y245" s="1992">
        <f t="shared" si="65"/>
        <v>0</v>
      </c>
      <c r="Z245" s="1202">
        <f t="shared" si="66"/>
        <v>0</v>
      </c>
      <c r="AA245" s="1992">
        <f t="shared" si="67"/>
        <v>0</v>
      </c>
      <c r="AB245" s="1202">
        <f t="shared" si="68"/>
        <v>0</v>
      </c>
      <c r="AC245" s="2525">
        <f t="shared" si="69"/>
        <v>0</v>
      </c>
      <c r="AD245" s="2525">
        <f t="shared" si="70"/>
        <v>0</v>
      </c>
      <c r="AE245" s="3275"/>
    </row>
    <row r="246" spans="1:31" s="63" customFormat="1" ht="37.5" customHeight="1">
      <c r="A246" s="384"/>
      <c r="B246" s="384"/>
      <c r="C246" s="1218"/>
      <c r="D246" s="3792"/>
      <c r="E246" s="3792"/>
      <c r="F246" s="1218"/>
      <c r="G246" s="1218"/>
      <c r="H246" s="1218"/>
      <c r="I246" s="1200" t="s">
        <v>4151</v>
      </c>
      <c r="J246" s="384" t="s">
        <v>4146</v>
      </c>
      <c r="K246" s="2768">
        <v>1</v>
      </c>
      <c r="L246" s="2348">
        <v>45000000</v>
      </c>
      <c r="M246" s="1992">
        <v>0</v>
      </c>
      <c r="N246" s="1232">
        <v>0</v>
      </c>
      <c r="O246" s="1992">
        <v>1</v>
      </c>
      <c r="P246" s="1232">
        <v>45000000</v>
      </c>
      <c r="Q246" s="1992">
        <v>0</v>
      </c>
      <c r="R246" s="590">
        <v>0</v>
      </c>
      <c r="S246" s="2899">
        <v>0</v>
      </c>
      <c r="T246" s="1400">
        <v>0</v>
      </c>
      <c r="U246" s="1195"/>
      <c r="V246" s="1202">
        <v>0</v>
      </c>
      <c r="W246" s="591"/>
      <c r="X246" s="1202"/>
      <c r="Y246" s="1992">
        <f t="shared" si="65"/>
        <v>0</v>
      </c>
      <c r="Z246" s="1202">
        <f t="shared" si="66"/>
        <v>0</v>
      </c>
      <c r="AA246" s="1992">
        <f t="shared" si="67"/>
        <v>0</v>
      </c>
      <c r="AB246" s="1202">
        <f t="shared" si="68"/>
        <v>0</v>
      </c>
      <c r="AC246" s="2525">
        <f t="shared" si="69"/>
        <v>0</v>
      </c>
      <c r="AD246" s="2525">
        <f t="shared" si="70"/>
        <v>0</v>
      </c>
      <c r="AE246" s="3275"/>
    </row>
    <row r="247" spans="1:31" s="63" customFormat="1" ht="37.5" customHeight="1">
      <c r="A247" s="384"/>
      <c r="B247" s="384"/>
      <c r="C247" s="1218"/>
      <c r="D247" s="3792"/>
      <c r="E247" s="3792"/>
      <c r="F247" s="1218"/>
      <c r="G247" s="1218"/>
      <c r="H247" s="1218"/>
      <c r="I247" s="1200" t="s">
        <v>4152</v>
      </c>
      <c r="J247" s="384" t="s">
        <v>4146</v>
      </c>
      <c r="K247" s="2768">
        <v>1</v>
      </c>
      <c r="L247" s="2348">
        <v>45000000</v>
      </c>
      <c r="M247" s="1992">
        <v>0</v>
      </c>
      <c r="N247" s="1232">
        <v>0</v>
      </c>
      <c r="O247" s="1992">
        <v>1</v>
      </c>
      <c r="P247" s="1232">
        <v>45000000</v>
      </c>
      <c r="Q247" s="1992">
        <v>0</v>
      </c>
      <c r="R247" s="590">
        <v>0</v>
      </c>
      <c r="S247" s="2899">
        <v>0</v>
      </c>
      <c r="T247" s="1400">
        <v>0</v>
      </c>
      <c r="U247" s="1195"/>
      <c r="V247" s="1202">
        <v>0</v>
      </c>
      <c r="W247" s="591"/>
      <c r="X247" s="1202"/>
      <c r="Y247" s="1992">
        <f t="shared" si="65"/>
        <v>0</v>
      </c>
      <c r="Z247" s="1202">
        <f t="shared" si="66"/>
        <v>0</v>
      </c>
      <c r="AA247" s="1992">
        <f t="shared" si="67"/>
        <v>0</v>
      </c>
      <c r="AB247" s="1202">
        <f t="shared" si="68"/>
        <v>0</v>
      </c>
      <c r="AC247" s="2525">
        <f t="shared" si="69"/>
        <v>0</v>
      </c>
      <c r="AD247" s="2525">
        <f t="shared" si="70"/>
        <v>0</v>
      </c>
      <c r="AE247" s="3275"/>
    </row>
    <row r="248" spans="1:31" s="63" customFormat="1" ht="37.5" customHeight="1">
      <c r="A248" s="384"/>
      <c r="B248" s="384"/>
      <c r="C248" s="1218"/>
      <c r="D248" s="3792"/>
      <c r="E248" s="3792"/>
      <c r="F248" s="1218"/>
      <c r="G248" s="1218"/>
      <c r="H248" s="1218"/>
      <c r="I248" s="1200" t="s">
        <v>4153</v>
      </c>
      <c r="J248" s="384" t="s">
        <v>4146</v>
      </c>
      <c r="K248" s="2768">
        <v>1</v>
      </c>
      <c r="L248" s="2348">
        <v>100000000</v>
      </c>
      <c r="M248" s="1992">
        <v>0</v>
      </c>
      <c r="N248" s="1232">
        <v>0</v>
      </c>
      <c r="O248" s="1992">
        <v>1</v>
      </c>
      <c r="P248" s="1232">
        <v>100000000</v>
      </c>
      <c r="Q248" s="1992">
        <v>0</v>
      </c>
      <c r="R248" s="590">
        <v>0</v>
      </c>
      <c r="S248" s="2899">
        <v>0</v>
      </c>
      <c r="T248" s="1400">
        <v>0</v>
      </c>
      <c r="U248" s="1195"/>
      <c r="V248" s="1202">
        <v>0</v>
      </c>
      <c r="W248" s="591"/>
      <c r="X248" s="1202"/>
      <c r="Y248" s="1992">
        <f t="shared" si="65"/>
        <v>0</v>
      </c>
      <c r="Z248" s="1202">
        <f t="shared" si="66"/>
        <v>0</v>
      </c>
      <c r="AA248" s="1992">
        <f t="shared" si="67"/>
        <v>0</v>
      </c>
      <c r="AB248" s="1202">
        <f t="shared" si="68"/>
        <v>0</v>
      </c>
      <c r="AC248" s="2525">
        <f t="shared" si="69"/>
        <v>0</v>
      </c>
      <c r="AD248" s="2525">
        <f t="shared" si="70"/>
        <v>0</v>
      </c>
      <c r="AE248" s="3275"/>
    </row>
    <row r="249" spans="1:31" s="63" customFormat="1" ht="37.5" customHeight="1">
      <c r="A249" s="384"/>
      <c r="B249" s="384"/>
      <c r="C249" s="1218"/>
      <c r="D249" s="3792"/>
      <c r="E249" s="3792"/>
      <c r="F249" s="1218"/>
      <c r="G249" s="1218"/>
      <c r="H249" s="1218"/>
      <c r="I249" s="1200" t="s">
        <v>4154</v>
      </c>
      <c r="J249" s="384" t="s">
        <v>4146</v>
      </c>
      <c r="K249" s="2768">
        <v>1</v>
      </c>
      <c r="L249" s="2348">
        <v>100000000</v>
      </c>
      <c r="M249" s="1992">
        <v>0</v>
      </c>
      <c r="N249" s="1232">
        <v>0</v>
      </c>
      <c r="O249" s="1992">
        <v>1</v>
      </c>
      <c r="P249" s="1232">
        <v>100000000</v>
      </c>
      <c r="Q249" s="1992">
        <v>0</v>
      </c>
      <c r="R249" s="590">
        <v>0</v>
      </c>
      <c r="S249" s="2899">
        <v>0</v>
      </c>
      <c r="T249" s="1400">
        <v>0</v>
      </c>
      <c r="U249" s="1195"/>
      <c r="V249" s="1202">
        <v>0</v>
      </c>
      <c r="W249" s="591"/>
      <c r="X249" s="1202"/>
      <c r="Y249" s="1992">
        <f t="shared" si="65"/>
        <v>0</v>
      </c>
      <c r="Z249" s="1202">
        <f t="shared" si="66"/>
        <v>0</v>
      </c>
      <c r="AA249" s="1992">
        <f t="shared" si="67"/>
        <v>0</v>
      </c>
      <c r="AB249" s="1202">
        <f t="shared" si="68"/>
        <v>0</v>
      </c>
      <c r="AC249" s="2525">
        <f t="shared" si="69"/>
        <v>0</v>
      </c>
      <c r="AD249" s="2525">
        <f t="shared" si="70"/>
        <v>0</v>
      </c>
      <c r="AE249" s="3275"/>
    </row>
    <row r="250" spans="1:31" s="63" customFormat="1" ht="37.5" customHeight="1">
      <c r="A250" s="384"/>
      <c r="B250" s="384"/>
      <c r="C250" s="1218"/>
      <c r="D250" s="3792"/>
      <c r="E250" s="3792"/>
      <c r="F250" s="1218"/>
      <c r="G250" s="1218"/>
      <c r="H250" s="1218"/>
      <c r="I250" s="1200" t="s">
        <v>4155</v>
      </c>
      <c r="J250" s="384" t="s">
        <v>4146</v>
      </c>
      <c r="K250" s="2768">
        <v>1</v>
      </c>
      <c r="L250" s="2348">
        <v>100000000</v>
      </c>
      <c r="M250" s="1992">
        <v>0</v>
      </c>
      <c r="N250" s="1232">
        <v>0</v>
      </c>
      <c r="O250" s="1992">
        <v>1</v>
      </c>
      <c r="P250" s="1232">
        <v>100000000</v>
      </c>
      <c r="Q250" s="1992">
        <v>0</v>
      </c>
      <c r="R250" s="590">
        <v>0</v>
      </c>
      <c r="S250" s="2899">
        <v>0</v>
      </c>
      <c r="T250" s="1400">
        <v>0</v>
      </c>
      <c r="U250" s="1195"/>
      <c r="V250" s="1202">
        <v>0</v>
      </c>
      <c r="W250" s="591"/>
      <c r="X250" s="1202"/>
      <c r="Y250" s="1992">
        <f t="shared" si="65"/>
        <v>0</v>
      </c>
      <c r="Z250" s="1202">
        <f t="shared" si="66"/>
        <v>0</v>
      </c>
      <c r="AA250" s="1992">
        <f t="shared" si="67"/>
        <v>0</v>
      </c>
      <c r="AB250" s="1202">
        <f t="shared" si="68"/>
        <v>0</v>
      </c>
      <c r="AC250" s="2525">
        <f t="shared" si="69"/>
        <v>0</v>
      </c>
      <c r="AD250" s="2525">
        <f t="shared" si="70"/>
        <v>0</v>
      </c>
      <c r="AE250" s="3275"/>
    </row>
    <row r="251" spans="1:31" s="63" customFormat="1" ht="37.5" customHeight="1">
      <c r="A251" s="384"/>
      <c r="B251" s="384"/>
      <c r="C251" s="1218"/>
      <c r="D251" s="3792"/>
      <c r="E251" s="3792"/>
      <c r="F251" s="1218"/>
      <c r="G251" s="1218"/>
      <c r="H251" s="1218"/>
      <c r="I251" s="1200" t="s">
        <v>4156</v>
      </c>
      <c r="J251" s="384" t="s">
        <v>4146</v>
      </c>
      <c r="K251" s="2768">
        <v>1</v>
      </c>
      <c r="L251" s="2348">
        <v>150000000</v>
      </c>
      <c r="M251" s="1992">
        <v>0</v>
      </c>
      <c r="N251" s="1232">
        <v>0</v>
      </c>
      <c r="O251" s="1992">
        <v>1</v>
      </c>
      <c r="P251" s="1232">
        <v>150000000</v>
      </c>
      <c r="Q251" s="1992">
        <v>0</v>
      </c>
      <c r="R251" s="590">
        <v>0</v>
      </c>
      <c r="S251" s="2899">
        <v>0</v>
      </c>
      <c r="T251" s="1400">
        <v>0</v>
      </c>
      <c r="U251" s="1195"/>
      <c r="V251" s="1202">
        <v>0</v>
      </c>
      <c r="W251" s="591"/>
      <c r="X251" s="1202"/>
      <c r="Y251" s="1992">
        <f t="shared" si="65"/>
        <v>0</v>
      </c>
      <c r="Z251" s="1202">
        <f t="shared" si="66"/>
        <v>0</v>
      </c>
      <c r="AA251" s="1992">
        <f t="shared" si="67"/>
        <v>0</v>
      </c>
      <c r="AB251" s="1202">
        <f t="shared" si="68"/>
        <v>0</v>
      </c>
      <c r="AC251" s="2525">
        <f t="shared" si="69"/>
        <v>0</v>
      </c>
      <c r="AD251" s="2525">
        <f t="shared" si="70"/>
        <v>0</v>
      </c>
      <c r="AE251" s="3275"/>
    </row>
    <row r="252" spans="1:31" s="63" customFormat="1" ht="37.5" customHeight="1">
      <c r="A252" s="384"/>
      <c r="B252" s="384"/>
      <c r="C252" s="1218"/>
      <c r="D252" s="3792"/>
      <c r="E252" s="3792"/>
      <c r="F252" s="1218"/>
      <c r="G252" s="1218"/>
      <c r="H252" s="1218"/>
      <c r="I252" s="1200" t="s">
        <v>4157</v>
      </c>
      <c r="J252" s="384" t="s">
        <v>4146</v>
      </c>
      <c r="K252" s="2768">
        <v>1</v>
      </c>
      <c r="L252" s="2348">
        <v>100000000</v>
      </c>
      <c r="M252" s="1992">
        <v>0</v>
      </c>
      <c r="N252" s="1232">
        <v>0</v>
      </c>
      <c r="O252" s="1992">
        <v>1</v>
      </c>
      <c r="P252" s="1232">
        <v>100000000</v>
      </c>
      <c r="Q252" s="1992">
        <v>0</v>
      </c>
      <c r="R252" s="590">
        <v>0</v>
      </c>
      <c r="S252" s="2899">
        <v>0</v>
      </c>
      <c r="T252" s="1400">
        <v>0</v>
      </c>
      <c r="U252" s="1195"/>
      <c r="V252" s="1202">
        <v>0</v>
      </c>
      <c r="W252" s="591"/>
      <c r="X252" s="1202"/>
      <c r="Y252" s="1992">
        <f t="shared" si="65"/>
        <v>0</v>
      </c>
      <c r="Z252" s="1202">
        <f t="shared" si="66"/>
        <v>0</v>
      </c>
      <c r="AA252" s="1992">
        <f t="shared" si="67"/>
        <v>0</v>
      </c>
      <c r="AB252" s="1202">
        <f t="shared" si="68"/>
        <v>0</v>
      </c>
      <c r="AC252" s="2525">
        <f t="shared" si="69"/>
        <v>0</v>
      </c>
      <c r="AD252" s="2525">
        <f t="shared" si="70"/>
        <v>0</v>
      </c>
      <c r="AE252" s="3275"/>
    </row>
    <row r="253" spans="1:31" s="63" customFormat="1" ht="37.5" customHeight="1">
      <c r="A253" s="384"/>
      <c r="B253" s="384"/>
      <c r="C253" s="1218"/>
      <c r="D253" s="3792"/>
      <c r="E253" s="3792"/>
      <c r="F253" s="1218"/>
      <c r="G253" s="1218"/>
      <c r="H253" s="1218"/>
      <c r="I253" s="1200" t="s">
        <v>4158</v>
      </c>
      <c r="J253" s="384" t="s">
        <v>4146</v>
      </c>
      <c r="K253" s="2768">
        <v>1</v>
      </c>
      <c r="L253" s="2348">
        <v>150000000</v>
      </c>
      <c r="M253" s="1992">
        <v>0</v>
      </c>
      <c r="N253" s="1232">
        <v>0</v>
      </c>
      <c r="O253" s="1992">
        <v>1</v>
      </c>
      <c r="P253" s="1232">
        <v>150000000</v>
      </c>
      <c r="Q253" s="1992">
        <v>0</v>
      </c>
      <c r="R253" s="590">
        <v>0</v>
      </c>
      <c r="S253" s="2899">
        <v>0</v>
      </c>
      <c r="T253" s="1400">
        <v>0</v>
      </c>
      <c r="U253" s="1195"/>
      <c r="V253" s="1202">
        <v>0</v>
      </c>
      <c r="W253" s="591"/>
      <c r="X253" s="1202"/>
      <c r="Y253" s="1992">
        <f t="shared" si="65"/>
        <v>0</v>
      </c>
      <c r="Z253" s="1202">
        <f t="shared" si="66"/>
        <v>0</v>
      </c>
      <c r="AA253" s="1992">
        <f t="shared" si="67"/>
        <v>0</v>
      </c>
      <c r="AB253" s="1202">
        <f t="shared" si="68"/>
        <v>0</v>
      </c>
      <c r="AC253" s="2525">
        <f t="shared" si="69"/>
        <v>0</v>
      </c>
      <c r="AD253" s="2525">
        <f t="shared" si="70"/>
        <v>0</v>
      </c>
      <c r="AE253" s="3275"/>
    </row>
    <row r="254" spans="1:31" s="63" customFormat="1" ht="37.5" customHeight="1">
      <c r="A254" s="384"/>
      <c r="B254" s="384"/>
      <c r="C254" s="1218"/>
      <c r="D254" s="3792"/>
      <c r="E254" s="3792"/>
      <c r="F254" s="1218"/>
      <c r="G254" s="1218"/>
      <c r="H254" s="1218"/>
      <c r="I254" s="1200" t="s">
        <v>4159</v>
      </c>
      <c r="J254" s="384" t="s">
        <v>4146</v>
      </c>
      <c r="K254" s="2768">
        <v>1</v>
      </c>
      <c r="L254" s="2348">
        <v>150000000</v>
      </c>
      <c r="M254" s="1992">
        <v>0</v>
      </c>
      <c r="N254" s="1232">
        <v>0</v>
      </c>
      <c r="O254" s="1992">
        <v>1</v>
      </c>
      <c r="P254" s="1232">
        <v>150000000</v>
      </c>
      <c r="Q254" s="1992">
        <v>0</v>
      </c>
      <c r="R254" s="590">
        <v>0</v>
      </c>
      <c r="S254" s="2899">
        <v>0</v>
      </c>
      <c r="T254" s="1400">
        <v>0</v>
      </c>
      <c r="U254" s="1195"/>
      <c r="V254" s="1202">
        <v>0</v>
      </c>
      <c r="W254" s="591"/>
      <c r="X254" s="1202"/>
      <c r="Y254" s="1992">
        <f t="shared" si="65"/>
        <v>0</v>
      </c>
      <c r="Z254" s="1202">
        <f t="shared" si="66"/>
        <v>0</v>
      </c>
      <c r="AA254" s="1992">
        <f t="shared" si="67"/>
        <v>0</v>
      </c>
      <c r="AB254" s="1202">
        <f t="shared" si="68"/>
        <v>0</v>
      </c>
      <c r="AC254" s="2525">
        <f t="shared" si="69"/>
        <v>0</v>
      </c>
      <c r="AD254" s="2525">
        <f t="shared" si="70"/>
        <v>0</v>
      </c>
      <c r="AE254" s="3275"/>
    </row>
    <row r="255" spans="1:31" s="63" customFormat="1" ht="37.5" customHeight="1">
      <c r="A255" s="384"/>
      <c r="B255" s="384"/>
      <c r="C255" s="1218"/>
      <c r="D255" s="3792"/>
      <c r="E255" s="3792"/>
      <c r="F255" s="1218"/>
      <c r="G255" s="1218"/>
      <c r="H255" s="1218"/>
      <c r="I255" s="1200" t="s">
        <v>4160</v>
      </c>
      <c r="J255" s="384" t="s">
        <v>4146</v>
      </c>
      <c r="K255" s="2768">
        <v>1</v>
      </c>
      <c r="L255" s="2348">
        <v>150000000</v>
      </c>
      <c r="M255" s="1992">
        <v>0</v>
      </c>
      <c r="N255" s="1232">
        <v>0</v>
      </c>
      <c r="O255" s="1992">
        <v>1</v>
      </c>
      <c r="P255" s="1232">
        <v>150000000</v>
      </c>
      <c r="Q255" s="1992">
        <v>0</v>
      </c>
      <c r="R255" s="590">
        <v>0</v>
      </c>
      <c r="S255" s="2899">
        <v>0</v>
      </c>
      <c r="T255" s="1400">
        <v>0</v>
      </c>
      <c r="U255" s="1195"/>
      <c r="V255" s="1202">
        <v>0</v>
      </c>
      <c r="W255" s="591"/>
      <c r="X255" s="1202"/>
      <c r="Y255" s="1992">
        <f t="shared" si="65"/>
        <v>0</v>
      </c>
      <c r="Z255" s="1202">
        <f t="shared" si="66"/>
        <v>0</v>
      </c>
      <c r="AA255" s="1992">
        <f t="shared" si="67"/>
        <v>0</v>
      </c>
      <c r="AB255" s="1202">
        <f t="shared" si="68"/>
        <v>0</v>
      </c>
      <c r="AC255" s="2525">
        <f t="shared" si="69"/>
        <v>0</v>
      </c>
      <c r="AD255" s="2525">
        <f t="shared" si="70"/>
        <v>0</v>
      </c>
      <c r="AE255" s="3275"/>
    </row>
    <row r="256" spans="1:31" s="63" customFormat="1" ht="37.5" customHeight="1">
      <c r="A256" s="384"/>
      <c r="B256" s="384"/>
      <c r="C256" s="1218"/>
      <c r="D256" s="3792"/>
      <c r="E256" s="3792"/>
      <c r="F256" s="1218"/>
      <c r="G256" s="1218"/>
      <c r="H256" s="1218"/>
      <c r="I256" s="1200" t="s">
        <v>4161</v>
      </c>
      <c r="J256" s="384" t="s">
        <v>4146</v>
      </c>
      <c r="K256" s="2768">
        <v>1</v>
      </c>
      <c r="L256" s="2348">
        <v>150000000</v>
      </c>
      <c r="M256" s="1992">
        <v>0</v>
      </c>
      <c r="N256" s="1232">
        <v>0</v>
      </c>
      <c r="O256" s="1992">
        <v>1</v>
      </c>
      <c r="P256" s="1232">
        <v>150000000</v>
      </c>
      <c r="Q256" s="1992">
        <v>0</v>
      </c>
      <c r="R256" s="590">
        <v>0</v>
      </c>
      <c r="S256" s="2899">
        <v>0</v>
      </c>
      <c r="T256" s="1400">
        <v>0</v>
      </c>
      <c r="U256" s="1195"/>
      <c r="V256" s="1202">
        <v>0</v>
      </c>
      <c r="W256" s="591"/>
      <c r="X256" s="1202"/>
      <c r="Y256" s="1992">
        <f t="shared" si="65"/>
        <v>0</v>
      </c>
      <c r="Z256" s="1202">
        <f t="shared" si="66"/>
        <v>0</v>
      </c>
      <c r="AA256" s="1992">
        <f t="shared" si="67"/>
        <v>0</v>
      </c>
      <c r="AB256" s="1202">
        <f t="shared" si="68"/>
        <v>0</v>
      </c>
      <c r="AC256" s="2525">
        <f t="shared" si="69"/>
        <v>0</v>
      </c>
      <c r="AD256" s="2525">
        <f t="shared" si="70"/>
        <v>0</v>
      </c>
      <c r="AE256" s="3275"/>
    </row>
    <row r="257" spans="1:31" s="63" customFormat="1" ht="37.5" customHeight="1">
      <c r="A257" s="384"/>
      <c r="B257" s="384"/>
      <c r="C257" s="1218"/>
      <c r="D257" s="3792"/>
      <c r="E257" s="3792"/>
      <c r="F257" s="1218"/>
      <c r="G257" s="1218"/>
      <c r="H257" s="1218"/>
      <c r="I257" s="1200" t="s">
        <v>4162</v>
      </c>
      <c r="J257" s="384" t="s">
        <v>4146</v>
      </c>
      <c r="K257" s="2768">
        <v>1</v>
      </c>
      <c r="L257" s="2348">
        <v>100000000</v>
      </c>
      <c r="M257" s="1992">
        <v>0</v>
      </c>
      <c r="N257" s="1232">
        <v>0</v>
      </c>
      <c r="O257" s="1992">
        <v>1</v>
      </c>
      <c r="P257" s="1232">
        <v>100000000</v>
      </c>
      <c r="Q257" s="1992">
        <v>0</v>
      </c>
      <c r="R257" s="590">
        <v>0</v>
      </c>
      <c r="S257" s="2899">
        <v>0</v>
      </c>
      <c r="T257" s="1400">
        <v>0</v>
      </c>
      <c r="U257" s="1195"/>
      <c r="V257" s="1202">
        <v>0</v>
      </c>
      <c r="W257" s="591"/>
      <c r="X257" s="1202"/>
      <c r="Y257" s="1992">
        <f t="shared" si="65"/>
        <v>0</v>
      </c>
      <c r="Z257" s="1202">
        <f t="shared" si="66"/>
        <v>0</v>
      </c>
      <c r="AA257" s="1992">
        <f t="shared" si="67"/>
        <v>0</v>
      </c>
      <c r="AB257" s="1202">
        <f t="shared" si="68"/>
        <v>0</v>
      </c>
      <c r="AC257" s="2525">
        <f t="shared" si="69"/>
        <v>0</v>
      </c>
      <c r="AD257" s="2525">
        <f t="shared" si="70"/>
        <v>0</v>
      </c>
      <c r="AE257" s="3275"/>
    </row>
    <row r="258" spans="1:31" s="63" customFormat="1" ht="45.75" customHeight="1">
      <c r="A258" s="3138">
        <v>3</v>
      </c>
      <c r="B258" s="2335"/>
      <c r="C258" s="2352" t="s">
        <v>196</v>
      </c>
      <c r="D258" s="2352" t="s">
        <v>66</v>
      </c>
      <c r="E258" s="2352" t="s">
        <v>196</v>
      </c>
      <c r="F258" s="2352"/>
      <c r="G258" s="2352"/>
      <c r="H258" s="2874"/>
      <c r="I258" s="2335" t="s">
        <v>1467</v>
      </c>
      <c r="J258" s="3156" t="s">
        <v>1717</v>
      </c>
      <c r="K258" s="2397">
        <v>100</v>
      </c>
      <c r="L258" s="2357">
        <f>L259</f>
        <v>200000000</v>
      </c>
      <c r="M258" s="2381">
        <v>85</v>
      </c>
      <c r="N258" s="3161">
        <f>N259</f>
        <v>38998000</v>
      </c>
      <c r="O258" s="2381">
        <v>10</v>
      </c>
      <c r="P258" s="3161">
        <f>P259</f>
        <v>55600000</v>
      </c>
      <c r="Q258" s="2412">
        <v>4</v>
      </c>
      <c r="R258" s="2340">
        <f>R259</f>
        <v>35600000</v>
      </c>
      <c r="S258" s="2361">
        <v>2</v>
      </c>
      <c r="T258" s="2340">
        <f>T259</f>
        <v>0</v>
      </c>
      <c r="U258" s="2905">
        <v>2</v>
      </c>
      <c r="V258" s="2340">
        <f>V259</f>
        <v>0</v>
      </c>
      <c r="W258" s="2343"/>
      <c r="X258" s="2339"/>
      <c r="Y258" s="2419">
        <f t="shared" si="60"/>
        <v>8</v>
      </c>
      <c r="Z258" s="2360">
        <f t="shared" si="59"/>
        <v>35600000</v>
      </c>
      <c r="AA258" s="2419">
        <f t="shared" ref="AA258:AA267" si="71">M258+Y258</f>
        <v>93</v>
      </c>
      <c r="AB258" s="2360">
        <f t="shared" ref="AB258:AB267" si="72">N258+Z258</f>
        <v>74598000</v>
      </c>
      <c r="AC258" s="2489">
        <f t="shared" ref="AC258:AC284" si="73">AA258/K258*100</f>
        <v>93</v>
      </c>
      <c r="AD258" s="2489">
        <f t="shared" ref="AD258:AD268" si="74">(AB258/L258)*100</f>
        <v>37.298999999999999</v>
      </c>
      <c r="AE258" s="3138" t="s">
        <v>3216</v>
      </c>
    </row>
    <row r="259" spans="1:31" s="145" customFormat="1" ht="36.75" customHeight="1">
      <c r="A259" s="384"/>
      <c r="B259" s="384"/>
      <c r="C259" s="1218" t="s">
        <v>196</v>
      </c>
      <c r="D259" s="1218" t="s">
        <v>66</v>
      </c>
      <c r="E259" s="1218" t="s">
        <v>196</v>
      </c>
      <c r="F259" s="1218" t="s">
        <v>196</v>
      </c>
      <c r="G259" s="1218"/>
      <c r="H259" s="1218"/>
      <c r="I259" s="2269" t="s">
        <v>1718</v>
      </c>
      <c r="J259" s="384" t="s">
        <v>3581</v>
      </c>
      <c r="K259" s="1992">
        <v>6</v>
      </c>
      <c r="L259" s="2524">
        <f>4*50000000</f>
        <v>200000000</v>
      </c>
      <c r="M259" s="1992">
        <v>2</v>
      </c>
      <c r="N259" s="1232">
        <v>38998000</v>
      </c>
      <c r="O259" s="1992">
        <v>1</v>
      </c>
      <c r="P259" s="1232">
        <v>55600000</v>
      </c>
      <c r="Q259" s="1992">
        <v>0.5</v>
      </c>
      <c r="R259" s="590">
        <v>35600000</v>
      </c>
      <c r="S259" s="3020"/>
      <c r="T259" s="1388">
        <v>0</v>
      </c>
      <c r="U259" s="1195"/>
      <c r="V259" s="1202"/>
      <c r="W259" s="1195"/>
      <c r="X259" s="1202"/>
      <c r="Y259" s="1992">
        <f t="shared" si="60"/>
        <v>0.5</v>
      </c>
      <c r="Z259" s="1202">
        <f t="shared" si="59"/>
        <v>35600000</v>
      </c>
      <c r="AA259" s="1992">
        <f t="shared" si="71"/>
        <v>2.5</v>
      </c>
      <c r="AB259" s="1202">
        <f t="shared" si="72"/>
        <v>74598000</v>
      </c>
      <c r="AC259" s="2525">
        <f t="shared" si="73"/>
        <v>41.666666666666671</v>
      </c>
      <c r="AD259" s="2525">
        <f t="shared" si="74"/>
        <v>37.298999999999999</v>
      </c>
      <c r="AE259" s="390"/>
    </row>
    <row r="260" spans="1:31" s="63" customFormat="1" ht="78.75" customHeight="1">
      <c r="A260" s="2374">
        <v>4</v>
      </c>
      <c r="B260" s="2335" t="s">
        <v>1680</v>
      </c>
      <c r="C260" s="2352" t="s">
        <v>66</v>
      </c>
      <c r="D260" s="2352" t="s">
        <v>196</v>
      </c>
      <c r="E260" s="2352" t="s">
        <v>66</v>
      </c>
      <c r="F260" s="2874">
        <v>26</v>
      </c>
      <c r="G260" s="2874"/>
      <c r="H260" s="2874"/>
      <c r="I260" s="2359" t="s">
        <v>1720</v>
      </c>
      <c r="J260" s="2359" t="s">
        <v>4534</v>
      </c>
      <c r="K260" s="2770">
        <v>100</v>
      </c>
      <c r="L260" s="2357">
        <f>SUM(L261:L263)</f>
        <v>63646800305</v>
      </c>
      <c r="M260" s="2412">
        <v>0</v>
      </c>
      <c r="N260" s="2361">
        <f>SUM(N261:N263)</f>
        <v>0</v>
      </c>
      <c r="O260" s="2412">
        <v>100</v>
      </c>
      <c r="P260" s="2361">
        <f>SUM(P261:P263)</f>
        <v>63646800305</v>
      </c>
      <c r="Q260" s="2412">
        <v>0</v>
      </c>
      <c r="R260" s="2340">
        <f>SUM(R261:R263)</f>
        <v>0</v>
      </c>
      <c r="S260" s="2343"/>
      <c r="T260" s="2360">
        <f>SUM(T261:T263)</f>
        <v>0</v>
      </c>
      <c r="U260" s="2341"/>
      <c r="V260" s="2342">
        <f>SUM(V261:V263)</f>
        <v>0</v>
      </c>
      <c r="W260" s="2341"/>
      <c r="X260" s="2342"/>
      <c r="Y260" s="2419">
        <f t="shared" si="60"/>
        <v>0</v>
      </c>
      <c r="Z260" s="2776">
        <f t="shared" si="59"/>
        <v>0</v>
      </c>
      <c r="AA260" s="2412">
        <f t="shared" si="71"/>
        <v>0</v>
      </c>
      <c r="AB260" s="2777">
        <f t="shared" si="72"/>
        <v>0</v>
      </c>
      <c r="AC260" s="2778">
        <f t="shared" si="73"/>
        <v>0</v>
      </c>
      <c r="AD260" s="2778">
        <f t="shared" si="74"/>
        <v>0</v>
      </c>
      <c r="AE260" s="3138" t="s">
        <v>3216</v>
      </c>
    </row>
    <row r="261" spans="1:31" s="63" customFormat="1" ht="42.75" customHeight="1">
      <c r="A261" s="384"/>
      <c r="B261" s="384"/>
      <c r="C261" s="1218" t="s">
        <v>66</v>
      </c>
      <c r="D261" s="1218" t="s">
        <v>196</v>
      </c>
      <c r="E261" s="1218" t="s">
        <v>66</v>
      </c>
      <c r="F261" s="1218">
        <v>26</v>
      </c>
      <c r="G261" s="3790">
        <v>78</v>
      </c>
      <c r="H261" s="3790"/>
      <c r="I261" s="1277" t="s">
        <v>1725</v>
      </c>
      <c r="J261" s="384" t="s">
        <v>4535</v>
      </c>
      <c r="K261" s="2771">
        <v>1</v>
      </c>
      <c r="L261" s="2348">
        <v>226293805</v>
      </c>
      <c r="M261" s="1992">
        <v>0</v>
      </c>
      <c r="N261" s="1232"/>
      <c r="O261" s="1992">
        <v>1</v>
      </c>
      <c r="P261" s="1232">
        <v>226293805</v>
      </c>
      <c r="Q261" s="1992">
        <v>0</v>
      </c>
      <c r="R261" s="590">
        <v>0</v>
      </c>
      <c r="S261" s="1992">
        <v>0</v>
      </c>
      <c r="T261" s="590">
        <v>0</v>
      </c>
      <c r="U261" s="1992">
        <v>0</v>
      </c>
      <c r="V261" s="590">
        <v>0</v>
      </c>
      <c r="W261" s="1195"/>
      <c r="X261" s="1202"/>
      <c r="Y261" s="1992">
        <f t="shared" si="60"/>
        <v>0</v>
      </c>
      <c r="Z261" s="2327">
        <f t="shared" si="59"/>
        <v>0</v>
      </c>
      <c r="AA261" s="1992">
        <f t="shared" si="71"/>
        <v>0</v>
      </c>
      <c r="AB261" s="2327">
        <f t="shared" si="72"/>
        <v>0</v>
      </c>
      <c r="AC261" s="2774">
        <f t="shared" si="73"/>
        <v>0</v>
      </c>
      <c r="AD261" s="2774">
        <f t="shared" si="74"/>
        <v>0</v>
      </c>
      <c r="AE261" s="390" t="s">
        <v>1724</v>
      </c>
    </row>
    <row r="262" spans="1:31" s="63" customFormat="1" ht="43.5" customHeight="1">
      <c r="A262" s="384"/>
      <c r="B262" s="384"/>
      <c r="C262" s="1218" t="s">
        <v>66</v>
      </c>
      <c r="D262" s="1218" t="s">
        <v>196</v>
      </c>
      <c r="E262" s="1218" t="s">
        <v>66</v>
      </c>
      <c r="F262" s="1218">
        <v>26</v>
      </c>
      <c r="G262" s="3790">
        <v>80</v>
      </c>
      <c r="H262" s="3790"/>
      <c r="I262" s="1277" t="s">
        <v>1729</v>
      </c>
      <c r="J262" s="384" t="s">
        <v>4536</v>
      </c>
      <c r="K262" s="2771">
        <v>1</v>
      </c>
      <c r="L262" s="2348">
        <v>383121500</v>
      </c>
      <c r="M262" s="1992">
        <v>0</v>
      </c>
      <c r="N262" s="1232"/>
      <c r="O262" s="1992">
        <v>1</v>
      </c>
      <c r="P262" s="1232">
        <v>383121500</v>
      </c>
      <c r="Q262" s="1992">
        <v>0</v>
      </c>
      <c r="R262" s="590">
        <v>0</v>
      </c>
      <c r="S262" s="1992">
        <v>0</v>
      </c>
      <c r="T262" s="590">
        <v>0</v>
      </c>
      <c r="U262" s="1992">
        <v>0</v>
      </c>
      <c r="V262" s="590">
        <v>0</v>
      </c>
      <c r="W262" s="1195"/>
      <c r="X262" s="1202"/>
      <c r="Y262" s="1992">
        <f t="shared" si="60"/>
        <v>0</v>
      </c>
      <c r="Z262" s="2327">
        <f t="shared" si="59"/>
        <v>0</v>
      </c>
      <c r="AA262" s="1992">
        <f t="shared" si="71"/>
        <v>0</v>
      </c>
      <c r="AB262" s="2327">
        <f t="shared" si="72"/>
        <v>0</v>
      </c>
      <c r="AC262" s="2774">
        <f t="shared" si="73"/>
        <v>0</v>
      </c>
      <c r="AD262" s="2774">
        <f t="shared" si="74"/>
        <v>0</v>
      </c>
      <c r="AE262" s="390" t="s">
        <v>1731</v>
      </c>
    </row>
    <row r="263" spans="1:31" s="63" customFormat="1" ht="43.5" customHeight="1">
      <c r="A263" s="384"/>
      <c r="B263" s="384"/>
      <c r="C263" s="1218" t="s">
        <v>66</v>
      </c>
      <c r="D263" s="1218" t="s">
        <v>196</v>
      </c>
      <c r="E263" s="1218" t="s">
        <v>66</v>
      </c>
      <c r="F263" s="1218">
        <v>26</v>
      </c>
      <c r="G263" s="3790">
        <v>56</v>
      </c>
      <c r="H263" s="3790"/>
      <c r="I263" s="1277" t="s">
        <v>1732</v>
      </c>
      <c r="J263" s="1277" t="s">
        <v>4537</v>
      </c>
      <c r="K263" s="2771">
        <v>1</v>
      </c>
      <c r="L263" s="2348">
        <v>63037385000</v>
      </c>
      <c r="M263" s="1992">
        <v>0</v>
      </c>
      <c r="N263" s="739"/>
      <c r="O263" s="1992">
        <v>1</v>
      </c>
      <c r="P263" s="1232">
        <v>63037385000</v>
      </c>
      <c r="Q263" s="1992">
        <v>0</v>
      </c>
      <c r="R263" s="590">
        <v>0</v>
      </c>
      <c r="S263" s="1992">
        <v>0</v>
      </c>
      <c r="T263" s="590">
        <v>0</v>
      </c>
      <c r="U263" s="1992">
        <v>0</v>
      </c>
      <c r="V263" s="590">
        <v>0</v>
      </c>
      <c r="W263" s="1195"/>
      <c r="X263" s="1202"/>
      <c r="Y263" s="1992">
        <f t="shared" si="60"/>
        <v>0</v>
      </c>
      <c r="Z263" s="2327">
        <f t="shared" si="59"/>
        <v>0</v>
      </c>
      <c r="AA263" s="1992">
        <f t="shared" si="71"/>
        <v>0</v>
      </c>
      <c r="AB263" s="2327">
        <f t="shared" si="72"/>
        <v>0</v>
      </c>
      <c r="AC263" s="2774">
        <f t="shared" si="73"/>
        <v>0</v>
      </c>
      <c r="AD263" s="2774">
        <f t="shared" si="74"/>
        <v>0</v>
      </c>
      <c r="AE263" s="390" t="s">
        <v>1731</v>
      </c>
    </row>
    <row r="264" spans="1:31" s="145" customFormat="1" ht="63.75" customHeight="1">
      <c r="A264" s="2374">
        <v>5</v>
      </c>
      <c r="B264" s="2359"/>
      <c r="C264" s="2567" t="s">
        <v>66</v>
      </c>
      <c r="D264" s="2567" t="s">
        <v>196</v>
      </c>
      <c r="E264" s="2567" t="s">
        <v>66</v>
      </c>
      <c r="F264" s="3795">
        <v>16</v>
      </c>
      <c r="G264" s="3795"/>
      <c r="H264" s="3795"/>
      <c r="I264" s="2359" t="s">
        <v>1734</v>
      </c>
      <c r="J264" s="2440" t="s">
        <v>4538</v>
      </c>
      <c r="K264" s="2770">
        <v>60</v>
      </c>
      <c r="L264" s="2357">
        <f>SUM(L265:L267)</f>
        <v>11111208000</v>
      </c>
      <c r="M264" s="2412">
        <v>42</v>
      </c>
      <c r="N264" s="2361">
        <f>SUM(N265:N267)</f>
        <v>288895980</v>
      </c>
      <c r="O264" s="2412">
        <v>4</v>
      </c>
      <c r="P264" s="2523">
        <f>SUM(P265:P267)</f>
        <v>2240132606.3800001</v>
      </c>
      <c r="Q264" s="2412">
        <v>1</v>
      </c>
      <c r="R264" s="2340">
        <f>SUM(R265:R267)</f>
        <v>79347552</v>
      </c>
      <c r="S264" s="2508">
        <v>1</v>
      </c>
      <c r="T264" s="2340">
        <f>SUM(T265:T267)</f>
        <v>126152052</v>
      </c>
      <c r="U264" s="2905">
        <v>1</v>
      </c>
      <c r="V264" s="2342">
        <f>SUM(V265:V267)</f>
        <v>832888600</v>
      </c>
      <c r="W264" s="2341"/>
      <c r="X264" s="2342">
        <f>SUM(X265:X267)</f>
        <v>0</v>
      </c>
      <c r="Y264" s="2412">
        <f t="shared" si="60"/>
        <v>3</v>
      </c>
      <c r="Z264" s="2342">
        <f t="shared" si="59"/>
        <v>1038388204</v>
      </c>
      <c r="AA264" s="2412">
        <f t="shared" si="71"/>
        <v>45</v>
      </c>
      <c r="AB264" s="2342">
        <f t="shared" si="72"/>
        <v>1327284184</v>
      </c>
      <c r="AC264" s="2490">
        <f t="shared" si="73"/>
        <v>75</v>
      </c>
      <c r="AD264" s="2490">
        <f t="shared" si="74"/>
        <v>11.945453491645551</v>
      </c>
      <c r="AE264" s="3138" t="s">
        <v>3216</v>
      </c>
    </row>
    <row r="265" spans="1:31" s="63" customFormat="1" ht="40.5" customHeight="1">
      <c r="A265" s="384"/>
      <c r="B265" s="384"/>
      <c r="C265" s="1218" t="s">
        <v>66</v>
      </c>
      <c r="D265" s="1218" t="s">
        <v>196</v>
      </c>
      <c r="E265" s="1218" t="s">
        <v>66</v>
      </c>
      <c r="F265" s="1218">
        <v>16</v>
      </c>
      <c r="G265" s="1218">
        <v>29</v>
      </c>
      <c r="H265" s="1218"/>
      <c r="I265" s="1200" t="s">
        <v>1738</v>
      </c>
      <c r="J265" s="1200" t="s">
        <v>4539</v>
      </c>
      <c r="K265" s="2771">
        <v>72</v>
      </c>
      <c r="L265" s="2348">
        <v>3731208000</v>
      </c>
      <c r="M265" s="1217">
        <v>24</v>
      </c>
      <c r="N265" s="1232">
        <v>288895980</v>
      </c>
      <c r="O265" s="1217">
        <v>12</v>
      </c>
      <c r="P265" s="1232">
        <v>397250297</v>
      </c>
      <c r="Q265" s="1217">
        <v>3</v>
      </c>
      <c r="R265" s="590">
        <v>74589172</v>
      </c>
      <c r="S265" s="2899">
        <v>3</v>
      </c>
      <c r="T265" s="2304">
        <v>105944620</v>
      </c>
      <c r="U265" s="2902">
        <v>3</v>
      </c>
      <c r="V265" s="1202">
        <v>100000000</v>
      </c>
      <c r="W265" s="1195"/>
      <c r="X265" s="1202"/>
      <c r="Y265" s="2950">
        <f t="shared" si="60"/>
        <v>9</v>
      </c>
      <c r="Z265" s="1202">
        <f t="shared" si="59"/>
        <v>280533792</v>
      </c>
      <c r="AA265" s="2950">
        <f t="shared" si="71"/>
        <v>33</v>
      </c>
      <c r="AB265" s="1202">
        <f t="shared" si="72"/>
        <v>569429772</v>
      </c>
      <c r="AC265" s="2525">
        <f t="shared" si="73"/>
        <v>45.833333333333329</v>
      </c>
      <c r="AD265" s="2525">
        <f t="shared" si="74"/>
        <v>15.261271202248707</v>
      </c>
      <c r="AE265" s="390"/>
    </row>
    <row r="266" spans="1:31" s="63" customFormat="1" ht="38.25">
      <c r="A266" s="384"/>
      <c r="B266" s="1200"/>
      <c r="C266" s="1218" t="s">
        <v>66</v>
      </c>
      <c r="D266" s="1218" t="s">
        <v>196</v>
      </c>
      <c r="E266" s="1218" t="s">
        <v>66</v>
      </c>
      <c r="F266" s="1218">
        <v>16</v>
      </c>
      <c r="G266" s="1218" t="s">
        <v>196</v>
      </c>
      <c r="H266" s="1218"/>
      <c r="I266" s="2437" t="s">
        <v>1742</v>
      </c>
      <c r="J266" s="2437" t="s">
        <v>4540</v>
      </c>
      <c r="K266" s="2779">
        <v>12</v>
      </c>
      <c r="L266" s="3145">
        <v>6900000000</v>
      </c>
      <c r="M266" s="1217">
        <v>6</v>
      </c>
      <c r="N266" s="1232">
        <v>0</v>
      </c>
      <c r="O266" s="1217">
        <v>3</v>
      </c>
      <c r="P266" s="1232">
        <v>1731404675.8800001</v>
      </c>
      <c r="Q266" s="1217"/>
      <c r="R266" s="590">
        <v>4030749</v>
      </c>
      <c r="S266" s="2899"/>
      <c r="T266" s="2304">
        <v>20207432</v>
      </c>
      <c r="U266" s="3609">
        <v>1</v>
      </c>
      <c r="V266" s="1202">
        <v>732888600</v>
      </c>
      <c r="W266" s="1193"/>
      <c r="X266" s="1202"/>
      <c r="Y266" s="2950">
        <f t="shared" si="60"/>
        <v>1</v>
      </c>
      <c r="Z266" s="1202">
        <f t="shared" si="59"/>
        <v>757126781</v>
      </c>
      <c r="AA266" s="2950">
        <f t="shared" si="71"/>
        <v>7</v>
      </c>
      <c r="AB266" s="1202">
        <f t="shared" si="72"/>
        <v>757126781</v>
      </c>
      <c r="AC266" s="2525">
        <f t="shared" si="73"/>
        <v>58.333333333333336</v>
      </c>
      <c r="AD266" s="2525">
        <f t="shared" si="74"/>
        <v>10.972851898550724</v>
      </c>
      <c r="AE266" s="390"/>
    </row>
    <row r="267" spans="1:31" s="63" customFormat="1" ht="42.75" customHeight="1">
      <c r="A267" s="384"/>
      <c r="B267" s="1200"/>
      <c r="C267" s="1218" t="s">
        <v>66</v>
      </c>
      <c r="D267" s="1218" t="s">
        <v>196</v>
      </c>
      <c r="E267" s="1218" t="s">
        <v>66</v>
      </c>
      <c r="F267" s="1218">
        <v>16</v>
      </c>
      <c r="G267" s="1218" t="s">
        <v>66</v>
      </c>
      <c r="H267" s="1218"/>
      <c r="I267" s="2437" t="s">
        <v>1744</v>
      </c>
      <c r="J267" s="384" t="s">
        <v>4532</v>
      </c>
      <c r="K267" s="2771">
        <v>1</v>
      </c>
      <c r="L267" s="3145">
        <v>480000000</v>
      </c>
      <c r="M267" s="1217">
        <v>0</v>
      </c>
      <c r="N267" s="1232">
        <v>0</v>
      </c>
      <c r="O267" s="1217">
        <v>1</v>
      </c>
      <c r="P267" s="1232">
        <v>111477633.5</v>
      </c>
      <c r="Q267" s="1217">
        <v>0</v>
      </c>
      <c r="R267" s="590">
        <v>727631</v>
      </c>
      <c r="S267" s="2899"/>
      <c r="T267" s="2304">
        <v>0</v>
      </c>
      <c r="U267" s="3609"/>
      <c r="V267" s="1202">
        <v>0</v>
      </c>
      <c r="W267" s="1193"/>
      <c r="X267" s="1202"/>
      <c r="Y267" s="2950">
        <f t="shared" si="60"/>
        <v>0</v>
      </c>
      <c r="Z267" s="1202">
        <f t="shared" si="59"/>
        <v>727631</v>
      </c>
      <c r="AA267" s="2950">
        <f t="shared" si="71"/>
        <v>0</v>
      </c>
      <c r="AB267" s="1202">
        <f t="shared" si="72"/>
        <v>727631</v>
      </c>
      <c r="AC267" s="2525">
        <f t="shared" si="73"/>
        <v>0</v>
      </c>
      <c r="AD267" s="2525">
        <f t="shared" si="74"/>
        <v>0.15158979166666667</v>
      </c>
      <c r="AE267" s="390"/>
    </row>
    <row r="268" spans="1:31" s="145" customFormat="1" ht="57" customHeight="1">
      <c r="A268" s="2335">
        <v>7</v>
      </c>
      <c r="B268" s="2335" t="s">
        <v>1745</v>
      </c>
      <c r="C268" s="2352" t="s">
        <v>66</v>
      </c>
      <c r="D268" s="2352" t="s">
        <v>196</v>
      </c>
      <c r="E268" s="2352" t="s">
        <v>66</v>
      </c>
      <c r="F268" s="2874">
        <v>18</v>
      </c>
      <c r="G268" s="2874"/>
      <c r="H268" s="2874"/>
      <c r="I268" s="2359" t="s">
        <v>1746</v>
      </c>
      <c r="J268" s="2441" t="s">
        <v>3582</v>
      </c>
      <c r="K268" s="2770">
        <v>1730</v>
      </c>
      <c r="L268" s="2357">
        <f>SUM(L270:L275)</f>
        <v>69530000000</v>
      </c>
      <c r="M268" s="2773">
        <v>250</v>
      </c>
      <c r="N268" s="2442">
        <f>SUM(N270:N275)</f>
        <v>10914611897</v>
      </c>
      <c r="O268" s="2773">
        <v>150</v>
      </c>
      <c r="P268" s="2442">
        <f>SUM(P270:P275)</f>
        <v>9030847424.3999996</v>
      </c>
      <c r="Q268" s="2412">
        <f>0.13*O268</f>
        <v>19.5</v>
      </c>
      <c r="R268" s="2340">
        <f>SUM(R270:R275)</f>
        <v>673363000</v>
      </c>
      <c r="S268" s="2901">
        <f>80%*O268</f>
        <v>120</v>
      </c>
      <c r="T268" s="2340">
        <f>SUM(T270:T275)</f>
        <v>2257274448</v>
      </c>
      <c r="U268" s="2436"/>
      <c r="V268" s="3249">
        <f>SUM(V270:V275)</f>
        <v>2677505383</v>
      </c>
      <c r="W268" s="2436"/>
      <c r="X268" s="2342"/>
      <c r="Y268" s="2412">
        <f t="shared" si="60"/>
        <v>139.5</v>
      </c>
      <c r="Z268" s="2342">
        <f>SUM(Z270:Z275)</f>
        <v>5364657574</v>
      </c>
      <c r="AA268" s="2598">
        <f t="shared" ref="AA268:AA284" si="75">M268+Y268</f>
        <v>389.5</v>
      </c>
      <c r="AB268" s="2342">
        <f>SUM(AB270:AB275)</f>
        <v>16279269471</v>
      </c>
      <c r="AC268" s="2490">
        <f t="shared" si="73"/>
        <v>22.514450867052023</v>
      </c>
      <c r="AD268" s="2490">
        <f t="shared" si="74"/>
        <v>23.41330284912987</v>
      </c>
      <c r="AE268" s="3138" t="s">
        <v>3216</v>
      </c>
    </row>
    <row r="269" spans="1:31" s="145" customFormat="1" ht="54" customHeight="1">
      <c r="A269" s="2335"/>
      <c r="B269" s="2335"/>
      <c r="C269" s="2352"/>
      <c r="D269" s="2352"/>
      <c r="E269" s="2352"/>
      <c r="F269" s="2874"/>
      <c r="G269" s="2874"/>
      <c r="H269" s="2874"/>
      <c r="I269" s="2359"/>
      <c r="J269" s="2441" t="s">
        <v>3583</v>
      </c>
      <c r="K269" s="2770">
        <v>82.2</v>
      </c>
      <c r="L269" s="2337"/>
      <c r="M269" s="2773">
        <v>68.5</v>
      </c>
      <c r="N269" s="2442"/>
      <c r="O269" s="2773">
        <f>71.91-M269</f>
        <v>3.4099999999999966</v>
      </c>
      <c r="P269" s="2442"/>
      <c r="Q269" s="2412">
        <v>0</v>
      </c>
      <c r="R269" s="2340"/>
      <c r="S269" s="2343"/>
      <c r="T269" s="2360"/>
      <c r="U269" s="2436"/>
      <c r="V269" s="3277"/>
      <c r="W269" s="2436"/>
      <c r="X269" s="2342"/>
      <c r="Y269" s="2412">
        <f t="shared" si="60"/>
        <v>0</v>
      </c>
      <c r="Z269" s="2342">
        <f t="shared" si="59"/>
        <v>0</v>
      </c>
      <c r="AA269" s="2598">
        <f t="shared" si="75"/>
        <v>68.5</v>
      </c>
      <c r="AB269" s="2342">
        <f t="shared" ref="AB269:AB275" si="76">N269+Z269</f>
        <v>0</v>
      </c>
      <c r="AC269" s="2490">
        <f t="shared" si="73"/>
        <v>83.333333333333329</v>
      </c>
      <c r="AD269" s="2490"/>
      <c r="AE269" s="3276"/>
    </row>
    <row r="270" spans="1:31" s="63" customFormat="1" ht="26.25" customHeight="1">
      <c r="A270" s="384"/>
      <c r="B270" s="384"/>
      <c r="C270" s="1416" t="s">
        <v>66</v>
      </c>
      <c r="D270" s="1416" t="s">
        <v>196</v>
      </c>
      <c r="E270" s="1416" t="s">
        <v>66</v>
      </c>
      <c r="F270" s="3790">
        <v>18</v>
      </c>
      <c r="G270" s="3790">
        <v>56</v>
      </c>
      <c r="H270" s="3790"/>
      <c r="I270" s="1200" t="s">
        <v>1748</v>
      </c>
      <c r="J270" s="1200" t="s">
        <v>4541</v>
      </c>
      <c r="K270" s="2605">
        <v>72</v>
      </c>
      <c r="L270" s="2348">
        <v>22500000000</v>
      </c>
      <c r="M270" s="3847">
        <v>24</v>
      </c>
      <c r="N270" s="1232">
        <v>4150050750</v>
      </c>
      <c r="O270" s="3847">
        <v>12</v>
      </c>
      <c r="P270" s="1232">
        <v>3112168967.6999998</v>
      </c>
      <c r="Q270" s="3847">
        <v>3</v>
      </c>
      <c r="R270" s="590">
        <v>580530000</v>
      </c>
      <c r="S270" s="3848">
        <v>3</v>
      </c>
      <c r="T270" s="2304">
        <v>1582649248</v>
      </c>
      <c r="U270" s="3849">
        <v>3</v>
      </c>
      <c r="V270" s="1202">
        <v>911771042</v>
      </c>
      <c r="W270" s="2438"/>
      <c r="X270" s="1202"/>
      <c r="Y270" s="3847">
        <f t="shared" si="60"/>
        <v>9</v>
      </c>
      <c r="Z270" s="1202">
        <f t="shared" si="59"/>
        <v>3074950290</v>
      </c>
      <c r="AA270" s="3847">
        <f t="shared" si="75"/>
        <v>33</v>
      </c>
      <c r="AB270" s="1202">
        <f t="shared" si="76"/>
        <v>7225001040</v>
      </c>
      <c r="AC270" s="2525">
        <f t="shared" si="73"/>
        <v>45.833333333333329</v>
      </c>
      <c r="AD270" s="2525">
        <f t="shared" ref="AD270:AD284" si="77">(AB270/L270)*100</f>
        <v>32.111115733333335</v>
      </c>
      <c r="AE270" s="390"/>
    </row>
    <row r="271" spans="1:31" s="63" customFormat="1" ht="45" customHeight="1">
      <c r="A271" s="384"/>
      <c r="B271" s="384"/>
      <c r="C271" s="1416"/>
      <c r="D271" s="1416"/>
      <c r="E271" s="1416"/>
      <c r="F271" s="3790"/>
      <c r="G271" s="3790"/>
      <c r="H271" s="3790"/>
      <c r="I271" s="1200" t="s">
        <v>1750</v>
      </c>
      <c r="J271" s="1200" t="s">
        <v>4542</v>
      </c>
      <c r="K271" s="2605">
        <v>72</v>
      </c>
      <c r="L271" s="2348">
        <v>16000000000</v>
      </c>
      <c r="M271" s="3847">
        <v>24</v>
      </c>
      <c r="N271" s="1232">
        <v>1395884400</v>
      </c>
      <c r="O271" s="3847">
        <v>12</v>
      </c>
      <c r="P271" s="1232">
        <v>737814953.95000005</v>
      </c>
      <c r="Q271" s="3847">
        <v>3</v>
      </c>
      <c r="R271" s="590">
        <v>92833000</v>
      </c>
      <c r="S271" s="3849">
        <v>3</v>
      </c>
      <c r="T271" s="1202">
        <v>410030000</v>
      </c>
      <c r="U271" s="3849">
        <v>3</v>
      </c>
      <c r="V271" s="1202">
        <v>150652257</v>
      </c>
      <c r="W271" s="2438"/>
      <c r="X271" s="1202"/>
      <c r="Y271" s="3847">
        <f>SUM(S271)</f>
        <v>3</v>
      </c>
      <c r="Z271" s="1202">
        <f>T271</f>
        <v>410030000</v>
      </c>
      <c r="AA271" s="3847">
        <f t="shared" si="75"/>
        <v>27</v>
      </c>
      <c r="AB271" s="1202">
        <f t="shared" si="76"/>
        <v>1805914400</v>
      </c>
      <c r="AC271" s="2525">
        <f t="shared" si="73"/>
        <v>37.5</v>
      </c>
      <c r="AD271" s="2525">
        <f t="shared" si="77"/>
        <v>11.286965</v>
      </c>
      <c r="AE271" s="390"/>
    </row>
    <row r="272" spans="1:31" s="63" customFormat="1" ht="33" customHeight="1">
      <c r="A272" s="384"/>
      <c r="B272" s="384"/>
      <c r="C272" s="1416" t="s">
        <v>66</v>
      </c>
      <c r="D272" s="1416" t="s">
        <v>196</v>
      </c>
      <c r="E272" s="1416" t="s">
        <v>66</v>
      </c>
      <c r="F272" s="3790">
        <v>18</v>
      </c>
      <c r="G272" s="3790">
        <v>69</v>
      </c>
      <c r="H272" s="3790"/>
      <c r="I272" s="1200" t="s">
        <v>1754</v>
      </c>
      <c r="J272" s="1200" t="s">
        <v>4543</v>
      </c>
      <c r="K272" s="2605">
        <v>72</v>
      </c>
      <c r="L272" s="2348">
        <v>30450000000</v>
      </c>
      <c r="M272" s="3847">
        <v>24</v>
      </c>
      <c r="N272" s="1232">
        <v>5368676747</v>
      </c>
      <c r="O272" s="3847">
        <v>12</v>
      </c>
      <c r="P272" s="1232">
        <v>4600863502.75</v>
      </c>
      <c r="Q272" s="3847">
        <v>0</v>
      </c>
      <c r="R272" s="590">
        <v>0</v>
      </c>
      <c r="S272" s="3848">
        <v>0</v>
      </c>
      <c r="T272" s="2304">
        <v>264595200</v>
      </c>
      <c r="U272" s="3849">
        <v>0</v>
      </c>
      <c r="V272" s="1202">
        <v>1615082084</v>
      </c>
      <c r="W272" s="2438"/>
      <c r="X272" s="1202"/>
      <c r="Y272" s="3847">
        <f t="shared" si="60"/>
        <v>0</v>
      </c>
      <c r="Z272" s="1202">
        <f t="shared" si="59"/>
        <v>1879677284</v>
      </c>
      <c r="AA272" s="3847">
        <f t="shared" si="75"/>
        <v>24</v>
      </c>
      <c r="AB272" s="1202">
        <f t="shared" si="76"/>
        <v>7248354031</v>
      </c>
      <c r="AC272" s="2525">
        <f t="shared" si="73"/>
        <v>33.333333333333329</v>
      </c>
      <c r="AD272" s="2525">
        <f t="shared" si="77"/>
        <v>23.804118328407224</v>
      </c>
      <c r="AE272" s="390"/>
    </row>
    <row r="273" spans="1:31" s="63" customFormat="1" ht="89.25">
      <c r="A273" s="384"/>
      <c r="B273" s="384"/>
      <c r="C273" s="1416"/>
      <c r="D273" s="1416"/>
      <c r="E273" s="1416"/>
      <c r="F273" s="3790"/>
      <c r="G273" s="3790"/>
      <c r="H273" s="3790"/>
      <c r="I273" s="1200" t="s">
        <v>4163</v>
      </c>
      <c r="J273" s="1200" t="s">
        <v>1755</v>
      </c>
      <c r="K273" s="2605">
        <v>1</v>
      </c>
      <c r="L273" s="2348">
        <v>190000000</v>
      </c>
      <c r="M273" s="3847">
        <v>1</v>
      </c>
      <c r="N273" s="1232">
        <v>0</v>
      </c>
      <c r="O273" s="3847">
        <v>1</v>
      </c>
      <c r="P273" s="1232">
        <v>190000000</v>
      </c>
      <c r="Q273" s="3847">
        <v>0</v>
      </c>
      <c r="R273" s="590">
        <v>0</v>
      </c>
      <c r="S273" s="3848">
        <v>0</v>
      </c>
      <c r="T273" s="2304">
        <v>0</v>
      </c>
      <c r="U273" s="3849">
        <v>0</v>
      </c>
      <c r="V273" s="1202">
        <v>0</v>
      </c>
      <c r="W273" s="2438"/>
      <c r="X273" s="1202"/>
      <c r="Y273" s="3847">
        <f t="shared" ref="Y273:Z275" si="78">Q273+S273+U273+W273</f>
        <v>0</v>
      </c>
      <c r="Z273" s="1202">
        <f t="shared" si="78"/>
        <v>0</v>
      </c>
      <c r="AA273" s="3847">
        <f t="shared" si="75"/>
        <v>1</v>
      </c>
      <c r="AB273" s="1202">
        <f t="shared" si="76"/>
        <v>0</v>
      </c>
      <c r="AC273" s="2525">
        <f t="shared" si="73"/>
        <v>100</v>
      </c>
      <c r="AD273" s="2525">
        <f t="shared" si="77"/>
        <v>0</v>
      </c>
      <c r="AE273" s="3275"/>
    </row>
    <row r="274" spans="1:31" s="63" customFormat="1" ht="81" customHeight="1">
      <c r="A274" s="384"/>
      <c r="B274" s="384"/>
      <c r="C274" s="1416"/>
      <c r="D274" s="1416"/>
      <c r="E274" s="1416"/>
      <c r="F274" s="3790"/>
      <c r="G274" s="3790"/>
      <c r="H274" s="3790"/>
      <c r="I274" s="1200" t="s">
        <v>4164</v>
      </c>
      <c r="J274" s="1200" t="s">
        <v>1755</v>
      </c>
      <c r="K274" s="2605">
        <v>1</v>
      </c>
      <c r="L274" s="2348">
        <v>190000000</v>
      </c>
      <c r="M274" s="3847">
        <v>1</v>
      </c>
      <c r="N274" s="1232">
        <v>0</v>
      </c>
      <c r="O274" s="3847">
        <v>1</v>
      </c>
      <c r="P274" s="1232">
        <v>190000000</v>
      </c>
      <c r="Q274" s="3847">
        <v>0</v>
      </c>
      <c r="R274" s="590">
        <v>0</v>
      </c>
      <c r="S274" s="3848">
        <v>0</v>
      </c>
      <c r="T274" s="2304">
        <v>0</v>
      </c>
      <c r="U274" s="3849">
        <v>0</v>
      </c>
      <c r="V274" s="1202">
        <v>0</v>
      </c>
      <c r="W274" s="2438"/>
      <c r="X274" s="1202"/>
      <c r="Y274" s="3847">
        <f t="shared" si="78"/>
        <v>0</v>
      </c>
      <c r="Z274" s="1202">
        <f t="shared" si="78"/>
        <v>0</v>
      </c>
      <c r="AA274" s="3847">
        <f t="shared" si="75"/>
        <v>1</v>
      </c>
      <c r="AB274" s="1202">
        <f t="shared" si="76"/>
        <v>0</v>
      </c>
      <c r="AC274" s="2525">
        <f t="shared" si="73"/>
        <v>100</v>
      </c>
      <c r="AD274" s="2525">
        <f t="shared" si="77"/>
        <v>0</v>
      </c>
      <c r="AE274" s="3275"/>
    </row>
    <row r="275" spans="1:31" s="63" customFormat="1" ht="89.25">
      <c r="A275" s="384"/>
      <c r="B275" s="384"/>
      <c r="C275" s="1416"/>
      <c r="D275" s="1416"/>
      <c r="E275" s="1416"/>
      <c r="F275" s="3790"/>
      <c r="G275" s="3790"/>
      <c r="H275" s="3790"/>
      <c r="I275" s="1200" t="s">
        <v>4165</v>
      </c>
      <c r="J275" s="1200" t="s">
        <v>1755</v>
      </c>
      <c r="K275" s="2605">
        <v>1</v>
      </c>
      <c r="L275" s="2348">
        <v>200000000</v>
      </c>
      <c r="M275" s="3847">
        <v>1</v>
      </c>
      <c r="N275" s="1232">
        <v>0</v>
      </c>
      <c r="O275" s="3847">
        <v>1</v>
      </c>
      <c r="P275" s="1232">
        <v>200000000</v>
      </c>
      <c r="Q275" s="3847">
        <v>0</v>
      </c>
      <c r="R275" s="590">
        <v>0</v>
      </c>
      <c r="S275" s="3848">
        <v>0</v>
      </c>
      <c r="T275" s="2304">
        <v>0</v>
      </c>
      <c r="U275" s="3849">
        <v>0</v>
      </c>
      <c r="V275" s="1202">
        <v>0</v>
      </c>
      <c r="W275" s="2438"/>
      <c r="X275" s="1202"/>
      <c r="Y275" s="3847">
        <f t="shared" si="78"/>
        <v>0</v>
      </c>
      <c r="Z275" s="1202">
        <f t="shared" si="78"/>
        <v>0</v>
      </c>
      <c r="AA275" s="3847">
        <f t="shared" si="75"/>
        <v>1</v>
      </c>
      <c r="AB275" s="1202">
        <f t="shared" si="76"/>
        <v>0</v>
      </c>
      <c r="AC275" s="2525">
        <f t="shared" si="73"/>
        <v>100</v>
      </c>
      <c r="AD275" s="2525">
        <f t="shared" si="77"/>
        <v>0</v>
      </c>
      <c r="AE275" s="3275"/>
    </row>
    <row r="276" spans="1:31" s="63" customFormat="1" ht="51">
      <c r="A276" s="2335">
        <v>8</v>
      </c>
      <c r="B276" s="2335" t="s">
        <v>1680</v>
      </c>
      <c r="C276" s="2352" t="s">
        <v>66</v>
      </c>
      <c r="D276" s="2352" t="s">
        <v>196</v>
      </c>
      <c r="E276" s="2352" t="s">
        <v>66</v>
      </c>
      <c r="F276" s="2874">
        <v>29</v>
      </c>
      <c r="G276" s="2874"/>
      <c r="H276" s="2874"/>
      <c r="I276" s="2359" t="s">
        <v>1756</v>
      </c>
      <c r="J276" s="2359" t="s">
        <v>3584</v>
      </c>
      <c r="K276" s="2419">
        <v>100</v>
      </c>
      <c r="L276" s="3161">
        <f>SUM(L277:L279)</f>
        <v>18927133211</v>
      </c>
      <c r="M276" s="2412">
        <v>60</v>
      </c>
      <c r="N276" s="2523">
        <f>SUM(N277:N279)</f>
        <v>1354426400</v>
      </c>
      <c r="O276" s="2412">
        <v>10</v>
      </c>
      <c r="P276" s="2523">
        <f>SUM(P277:P279)</f>
        <v>8363622294</v>
      </c>
      <c r="Q276" s="2412">
        <v>1</v>
      </c>
      <c r="R276" s="2347">
        <f>SUM(R277:R279)</f>
        <v>13526996</v>
      </c>
      <c r="S276" s="2900">
        <v>1</v>
      </c>
      <c r="T276" s="2347">
        <f>SUM(T277:T279)</f>
        <v>516341114</v>
      </c>
      <c r="U276" s="2508">
        <v>4</v>
      </c>
      <c r="V276" s="2347">
        <f>SUM(V277:V279)</f>
        <v>3191744645</v>
      </c>
      <c r="W276" s="2341"/>
      <c r="X276" s="2342"/>
      <c r="Y276" s="2412">
        <f t="shared" si="60"/>
        <v>6</v>
      </c>
      <c r="Z276" s="2342">
        <f>SUM(Z277:Z279)</f>
        <v>3721612755</v>
      </c>
      <c r="AA276" s="2412">
        <f t="shared" si="75"/>
        <v>66</v>
      </c>
      <c r="AB276" s="2342">
        <f>SUM(AB277:AB279)</f>
        <v>5076039155</v>
      </c>
      <c r="AC276" s="2489">
        <f t="shared" si="73"/>
        <v>66</v>
      </c>
      <c r="AD276" s="2489">
        <f t="shared" si="77"/>
        <v>26.818848361303477</v>
      </c>
      <c r="AE276" s="3138" t="s">
        <v>3216</v>
      </c>
    </row>
    <row r="277" spans="1:31" s="63" customFormat="1" ht="61.5" customHeight="1">
      <c r="A277" s="384"/>
      <c r="B277" s="384"/>
      <c r="C277" s="3792" t="s">
        <v>66</v>
      </c>
      <c r="D277" s="3792" t="s">
        <v>196</v>
      </c>
      <c r="E277" s="3792" t="s">
        <v>66</v>
      </c>
      <c r="F277" s="3790">
        <v>29</v>
      </c>
      <c r="G277" s="1218" t="s">
        <v>65</v>
      </c>
      <c r="H277" s="1218"/>
      <c r="I277" s="1200" t="s">
        <v>1758</v>
      </c>
      <c r="J277" s="1200" t="s">
        <v>1759</v>
      </c>
      <c r="K277" s="1992">
        <v>25</v>
      </c>
      <c r="L277" s="2348">
        <f>5000000000+P277</f>
        <v>8662213211</v>
      </c>
      <c r="M277" s="1992">
        <v>1</v>
      </c>
      <c r="N277" s="1232">
        <v>462102200</v>
      </c>
      <c r="O277" s="1992">
        <v>8</v>
      </c>
      <c r="P277" s="1232">
        <v>3662213211</v>
      </c>
      <c r="Q277" s="1992">
        <v>0</v>
      </c>
      <c r="R277" s="590">
        <v>9594622</v>
      </c>
      <c r="S277" s="2899">
        <v>0</v>
      </c>
      <c r="T277" s="2304">
        <v>125426545</v>
      </c>
      <c r="U277" s="1217">
        <v>0.1275</v>
      </c>
      <c r="V277" s="1202">
        <v>1564933114</v>
      </c>
      <c r="W277" s="1193"/>
      <c r="X277" s="1202"/>
      <c r="Y277" s="1992">
        <f t="shared" si="60"/>
        <v>0.1275</v>
      </c>
      <c r="Z277" s="1202">
        <f t="shared" si="59"/>
        <v>1699954281</v>
      </c>
      <c r="AA277" s="1992">
        <f t="shared" si="75"/>
        <v>1.1274999999999999</v>
      </c>
      <c r="AB277" s="1202">
        <f t="shared" ref="AB277:AB284" si="79">N277+Z277</f>
        <v>2162056481</v>
      </c>
      <c r="AC277" s="2525">
        <f t="shared" si="73"/>
        <v>4.51</v>
      </c>
      <c r="AD277" s="2525">
        <f t="shared" si="77"/>
        <v>24.959631312866328</v>
      </c>
      <c r="AE277" s="390"/>
    </row>
    <row r="278" spans="1:31" s="63" customFormat="1" ht="53.25" customHeight="1">
      <c r="A278" s="384"/>
      <c r="B278" s="384"/>
      <c r="C278" s="3792" t="s">
        <v>66</v>
      </c>
      <c r="D278" s="3792" t="s">
        <v>196</v>
      </c>
      <c r="E278" s="3792" t="s">
        <v>66</v>
      </c>
      <c r="F278" s="3790">
        <v>29</v>
      </c>
      <c r="G278" s="1218">
        <v>12</v>
      </c>
      <c r="H278" s="1218"/>
      <c r="I278" s="1200" t="s">
        <v>1761</v>
      </c>
      <c r="J278" s="1200" t="s">
        <v>4544</v>
      </c>
      <c r="K278" s="1992">
        <v>20</v>
      </c>
      <c r="L278" s="2348">
        <v>9000000000</v>
      </c>
      <c r="M278" s="1992">
        <v>2</v>
      </c>
      <c r="N278" s="1232">
        <v>892324200</v>
      </c>
      <c r="O278" s="1992">
        <v>5</v>
      </c>
      <c r="P278" s="1232">
        <v>3436489083</v>
      </c>
      <c r="Q278" s="1992">
        <v>0</v>
      </c>
      <c r="R278" s="590">
        <v>3932374</v>
      </c>
      <c r="S278" s="2899">
        <v>0</v>
      </c>
      <c r="T278" s="2304">
        <v>390914569</v>
      </c>
      <c r="U278" s="1217">
        <v>3</v>
      </c>
      <c r="V278" s="1202">
        <v>1626811531</v>
      </c>
      <c r="W278" s="1195"/>
      <c r="X278" s="1202"/>
      <c r="Y278" s="1992">
        <f t="shared" si="60"/>
        <v>3</v>
      </c>
      <c r="Z278" s="1202">
        <f t="shared" si="59"/>
        <v>2021658474</v>
      </c>
      <c r="AA278" s="1992">
        <f t="shared" si="75"/>
        <v>5</v>
      </c>
      <c r="AB278" s="1202">
        <f t="shared" si="79"/>
        <v>2913982674</v>
      </c>
      <c r="AC278" s="2525">
        <f t="shared" si="73"/>
        <v>25</v>
      </c>
      <c r="AD278" s="2525">
        <f t="shared" si="77"/>
        <v>32.377585266666664</v>
      </c>
      <c r="AE278" s="390"/>
    </row>
    <row r="279" spans="1:31" s="63" customFormat="1" ht="57.75" customHeight="1">
      <c r="A279" s="384"/>
      <c r="B279" s="384"/>
      <c r="C279" s="3792"/>
      <c r="D279" s="3792"/>
      <c r="E279" s="3792"/>
      <c r="F279" s="3790"/>
      <c r="G279" s="1218"/>
      <c r="H279" s="1218"/>
      <c r="I279" s="1200" t="s">
        <v>4166</v>
      </c>
      <c r="J279" s="1200" t="s">
        <v>4167</v>
      </c>
      <c r="K279" s="1992">
        <v>1</v>
      </c>
      <c r="L279" s="2348">
        <v>1264920000</v>
      </c>
      <c r="M279" s="1992">
        <v>0</v>
      </c>
      <c r="N279" s="1232">
        <v>0</v>
      </c>
      <c r="O279" s="1992">
        <v>1</v>
      </c>
      <c r="P279" s="1232">
        <v>1264920000</v>
      </c>
      <c r="Q279" s="1992">
        <v>0</v>
      </c>
      <c r="R279" s="590">
        <v>0</v>
      </c>
      <c r="S279" s="2899">
        <v>0</v>
      </c>
      <c r="T279" s="2304">
        <v>0</v>
      </c>
      <c r="U279" s="1217"/>
      <c r="V279" s="1202">
        <v>0</v>
      </c>
      <c r="W279" s="1195"/>
      <c r="X279" s="1202"/>
      <c r="Y279" s="1992">
        <f>Q279+S279+U279+W279</f>
        <v>0</v>
      </c>
      <c r="Z279" s="1202">
        <f>R279+T279+V279+X279</f>
        <v>0</v>
      </c>
      <c r="AA279" s="1992">
        <f t="shared" si="75"/>
        <v>0</v>
      </c>
      <c r="AB279" s="1202">
        <f t="shared" si="79"/>
        <v>0</v>
      </c>
      <c r="AC279" s="2525">
        <f t="shared" si="73"/>
        <v>0</v>
      </c>
      <c r="AD279" s="2525">
        <f t="shared" si="77"/>
        <v>0</v>
      </c>
      <c r="AE279" s="3275"/>
    </row>
    <row r="280" spans="1:31" s="145" customFormat="1" ht="96" customHeight="1">
      <c r="A280" s="3162">
        <v>9</v>
      </c>
      <c r="B280" s="3156" t="s">
        <v>1770</v>
      </c>
      <c r="C280" s="2567" t="s">
        <v>66</v>
      </c>
      <c r="D280" s="2567" t="s">
        <v>196</v>
      </c>
      <c r="E280" s="2567" t="s">
        <v>66</v>
      </c>
      <c r="F280" s="3795">
        <v>30</v>
      </c>
      <c r="G280" s="3795"/>
      <c r="H280" s="3795"/>
      <c r="I280" s="2363" t="s">
        <v>1771</v>
      </c>
      <c r="J280" s="2363" t="s">
        <v>4168</v>
      </c>
      <c r="K280" s="2412">
        <v>100</v>
      </c>
      <c r="L280" s="3161">
        <f>SUM(L281:L284)</f>
        <v>18880000000</v>
      </c>
      <c r="M280" s="2412">
        <v>60</v>
      </c>
      <c r="N280" s="2442">
        <f>SUM(N281:N284)</f>
        <v>2582262450</v>
      </c>
      <c r="O280" s="2412">
        <v>15</v>
      </c>
      <c r="P280" s="3161">
        <f>SUM(P281:P284)</f>
        <v>3599747762</v>
      </c>
      <c r="Q280" s="2412">
        <v>1</v>
      </c>
      <c r="R280" s="2361">
        <f>SUM(R281:R284)</f>
        <v>9372230</v>
      </c>
      <c r="S280" s="2508">
        <v>2</v>
      </c>
      <c r="T280" s="2342">
        <f>SUM(T281:T284)</f>
        <v>41025953</v>
      </c>
      <c r="U280" s="2508">
        <v>0.01</v>
      </c>
      <c r="V280" s="2361">
        <f>SUM(V281:V284)</f>
        <v>893693642</v>
      </c>
      <c r="W280" s="2413"/>
      <c r="X280" s="2361">
        <f>SUM(X281:X284)</f>
        <v>0</v>
      </c>
      <c r="Y280" s="2412">
        <f t="shared" si="60"/>
        <v>3.01</v>
      </c>
      <c r="Z280" s="2361">
        <f t="shared" si="59"/>
        <v>944091825</v>
      </c>
      <c r="AA280" s="2412">
        <f t="shared" si="75"/>
        <v>63.01</v>
      </c>
      <c r="AB280" s="2361">
        <f t="shared" si="79"/>
        <v>3526354275</v>
      </c>
      <c r="AC280" s="2490">
        <f t="shared" si="73"/>
        <v>63.01</v>
      </c>
      <c r="AD280" s="2490">
        <f t="shared" si="77"/>
        <v>18.677723914194917</v>
      </c>
      <c r="AE280" s="3138" t="s">
        <v>3216</v>
      </c>
    </row>
    <row r="281" spans="1:31" s="63" customFormat="1" ht="45" customHeight="1">
      <c r="A281" s="384"/>
      <c r="B281" s="384"/>
      <c r="C281" s="3792" t="s">
        <v>66</v>
      </c>
      <c r="D281" s="3792" t="s">
        <v>196</v>
      </c>
      <c r="E281" s="3792" t="s">
        <v>66</v>
      </c>
      <c r="F281" s="3790">
        <v>30</v>
      </c>
      <c r="G281" s="3790">
        <v>50</v>
      </c>
      <c r="H281" s="3790"/>
      <c r="I281" s="1200" t="s">
        <v>1774</v>
      </c>
      <c r="J281" s="384" t="s">
        <v>1775</v>
      </c>
      <c r="K281" s="1992">
        <v>8</v>
      </c>
      <c r="L281" s="2348">
        <v>5500000000</v>
      </c>
      <c r="M281" s="1992">
        <v>1</v>
      </c>
      <c r="N281" s="1232">
        <v>1050000000</v>
      </c>
      <c r="O281" s="1992">
        <v>1</v>
      </c>
      <c r="P281" s="2348">
        <v>500000000</v>
      </c>
      <c r="Q281" s="1992">
        <v>0</v>
      </c>
      <c r="R281" s="1202">
        <v>0</v>
      </c>
      <c r="S281" s="384">
        <v>0</v>
      </c>
      <c r="T281" s="384">
        <v>0</v>
      </c>
      <c r="U281" s="2902">
        <v>0</v>
      </c>
      <c r="V281" s="1202">
        <v>225000000</v>
      </c>
      <c r="W281" s="591"/>
      <c r="X281" s="1202"/>
      <c r="Y281" s="1992">
        <f t="shared" si="60"/>
        <v>0</v>
      </c>
      <c r="Z281" s="1202">
        <f t="shared" si="59"/>
        <v>225000000</v>
      </c>
      <c r="AA281" s="1992">
        <f t="shared" si="75"/>
        <v>1</v>
      </c>
      <c r="AB281" s="1202">
        <f t="shared" si="79"/>
        <v>1275000000</v>
      </c>
      <c r="AC281" s="2525">
        <f t="shared" si="73"/>
        <v>12.5</v>
      </c>
      <c r="AD281" s="2525">
        <f t="shared" si="77"/>
        <v>23.18181818181818</v>
      </c>
      <c r="AE281" s="390"/>
    </row>
    <row r="282" spans="1:31" s="63" customFormat="1" ht="45" customHeight="1">
      <c r="A282" s="384"/>
      <c r="B282" s="384"/>
      <c r="C282" s="3792" t="s">
        <v>66</v>
      </c>
      <c r="D282" s="3792" t="s">
        <v>196</v>
      </c>
      <c r="E282" s="3792" t="s">
        <v>66</v>
      </c>
      <c r="F282" s="3790">
        <v>30</v>
      </c>
      <c r="G282" s="3790">
        <v>51</v>
      </c>
      <c r="H282" s="3790"/>
      <c r="I282" s="1200" t="s">
        <v>1776</v>
      </c>
      <c r="J282" s="1200" t="s">
        <v>1777</v>
      </c>
      <c r="K282" s="1992">
        <v>72</v>
      </c>
      <c r="L282" s="2348">
        <f>5*300000000</f>
        <v>1500000000</v>
      </c>
      <c r="M282" s="1992">
        <v>24</v>
      </c>
      <c r="N282" s="1232">
        <v>215912450</v>
      </c>
      <c r="O282" s="1992">
        <v>12</v>
      </c>
      <c r="P282" s="2348">
        <v>169747762</v>
      </c>
      <c r="Q282" s="1992">
        <v>3</v>
      </c>
      <c r="R282" s="1202">
        <v>8094594</v>
      </c>
      <c r="S282" s="2899">
        <v>3</v>
      </c>
      <c r="T282" s="2304">
        <v>8269100</v>
      </c>
      <c r="U282" s="2902">
        <v>3</v>
      </c>
      <c r="V282" s="1202">
        <v>35377332</v>
      </c>
      <c r="W282" s="591"/>
      <c r="X282" s="1202"/>
      <c r="Y282" s="1992">
        <f t="shared" si="60"/>
        <v>9</v>
      </c>
      <c r="Z282" s="1202">
        <f t="shared" si="59"/>
        <v>51741026</v>
      </c>
      <c r="AA282" s="1992">
        <f t="shared" si="75"/>
        <v>33</v>
      </c>
      <c r="AB282" s="1202">
        <f t="shared" si="79"/>
        <v>267653476</v>
      </c>
      <c r="AC282" s="2525">
        <f t="shared" si="73"/>
        <v>45.833333333333329</v>
      </c>
      <c r="AD282" s="2525">
        <f t="shared" si="77"/>
        <v>17.843565066666667</v>
      </c>
      <c r="AE282" s="390"/>
    </row>
    <row r="283" spans="1:31" s="63" customFormat="1" ht="45" customHeight="1">
      <c r="A283" s="384"/>
      <c r="B283" s="384"/>
      <c r="C283" s="3792" t="s">
        <v>66</v>
      </c>
      <c r="D283" s="3792" t="s">
        <v>196</v>
      </c>
      <c r="E283" s="3792" t="s">
        <v>66</v>
      </c>
      <c r="F283" s="3790">
        <v>30</v>
      </c>
      <c r="G283" s="3790">
        <v>55</v>
      </c>
      <c r="H283" s="3790"/>
      <c r="I283" s="1200" t="s">
        <v>1782</v>
      </c>
      <c r="J283" s="384" t="s">
        <v>4545</v>
      </c>
      <c r="K283" s="1992">
        <v>12</v>
      </c>
      <c r="L283" s="2348">
        <f>6*1000000000</f>
        <v>6000000000</v>
      </c>
      <c r="M283" s="1992">
        <v>2</v>
      </c>
      <c r="N283" s="1232">
        <v>336359000</v>
      </c>
      <c r="O283" s="1992">
        <v>8</v>
      </c>
      <c r="P283" s="2348">
        <v>1950000000</v>
      </c>
      <c r="Q283" s="1992">
        <v>0</v>
      </c>
      <c r="R283" s="1202">
        <v>1277636</v>
      </c>
      <c r="S283" s="2902">
        <v>0</v>
      </c>
      <c r="T283" s="2304">
        <v>32756853</v>
      </c>
      <c r="U283" s="2902">
        <v>0</v>
      </c>
      <c r="V283" s="1202">
        <v>261756310</v>
      </c>
      <c r="W283" s="1195"/>
      <c r="X283" s="1202"/>
      <c r="Y283" s="1992">
        <f t="shared" si="60"/>
        <v>0</v>
      </c>
      <c r="Z283" s="1202">
        <f t="shared" si="59"/>
        <v>295790799</v>
      </c>
      <c r="AA283" s="1992">
        <f t="shared" si="75"/>
        <v>2</v>
      </c>
      <c r="AB283" s="1202">
        <f t="shared" si="79"/>
        <v>632149799</v>
      </c>
      <c r="AC283" s="2525">
        <f t="shared" si="73"/>
        <v>16.666666666666664</v>
      </c>
      <c r="AD283" s="2525">
        <f t="shared" si="77"/>
        <v>10.535829983333333</v>
      </c>
      <c r="AE283" s="390"/>
    </row>
    <row r="284" spans="1:31" s="63" customFormat="1" ht="45" customHeight="1">
      <c r="A284" s="384"/>
      <c r="B284" s="384"/>
      <c r="C284" s="3792" t="s">
        <v>66</v>
      </c>
      <c r="D284" s="3792" t="s">
        <v>196</v>
      </c>
      <c r="E284" s="3792" t="s">
        <v>66</v>
      </c>
      <c r="F284" s="3790">
        <v>30</v>
      </c>
      <c r="G284" s="3790">
        <v>56</v>
      </c>
      <c r="H284" s="3790"/>
      <c r="I284" s="1200" t="s">
        <v>1783</v>
      </c>
      <c r="J284" s="384" t="s">
        <v>1775</v>
      </c>
      <c r="K284" s="1992">
        <v>10</v>
      </c>
      <c r="L284" s="2348">
        <f>6*980000000</f>
        <v>5880000000</v>
      </c>
      <c r="M284" s="1992">
        <v>4</v>
      </c>
      <c r="N284" s="1232">
        <v>979991000</v>
      </c>
      <c r="O284" s="1992">
        <v>4</v>
      </c>
      <c r="P284" s="2348">
        <v>980000000</v>
      </c>
      <c r="Q284" s="1992">
        <v>0</v>
      </c>
      <c r="R284" s="1202">
        <v>0</v>
      </c>
      <c r="S284" s="2902">
        <v>0</v>
      </c>
      <c r="T284" s="1202">
        <v>0</v>
      </c>
      <c r="U284" s="2902">
        <v>0</v>
      </c>
      <c r="V284" s="1202">
        <v>371560000</v>
      </c>
      <c r="W284" s="1195"/>
      <c r="X284" s="1202"/>
      <c r="Y284" s="1992">
        <f t="shared" si="60"/>
        <v>0</v>
      </c>
      <c r="Z284" s="1202">
        <f t="shared" si="59"/>
        <v>371560000</v>
      </c>
      <c r="AA284" s="1992">
        <f t="shared" si="75"/>
        <v>4</v>
      </c>
      <c r="AB284" s="1202">
        <f t="shared" si="79"/>
        <v>1351551000</v>
      </c>
      <c r="AC284" s="2525">
        <f t="shared" si="73"/>
        <v>40</v>
      </c>
      <c r="AD284" s="2525">
        <f t="shared" si="77"/>
        <v>22.985561224489796</v>
      </c>
      <c r="AE284" s="390"/>
    </row>
    <row r="285" spans="1:31" s="63" customFormat="1" ht="42.75" customHeight="1">
      <c r="A285" s="2335">
        <v>10</v>
      </c>
      <c r="B285" s="2345"/>
      <c r="C285" s="2352" t="s">
        <v>66</v>
      </c>
      <c r="D285" s="2352" t="s">
        <v>196</v>
      </c>
      <c r="E285" s="2352" t="s">
        <v>66</v>
      </c>
      <c r="F285" s="2874">
        <v>33</v>
      </c>
      <c r="G285" s="2874"/>
      <c r="H285" s="2874"/>
      <c r="I285" s="2443" t="s">
        <v>4648</v>
      </c>
      <c r="J285" s="2443" t="s">
        <v>3585</v>
      </c>
      <c r="K285" s="2419">
        <v>100</v>
      </c>
      <c r="L285" s="2357">
        <f>SUM(L286:L289)</f>
        <v>2267625641.25</v>
      </c>
      <c r="M285" s="2381">
        <v>65</v>
      </c>
      <c r="N285" s="2442">
        <f>SUM(N286:N289)</f>
        <v>755875213.75</v>
      </c>
      <c r="O285" s="2381">
        <v>8</v>
      </c>
      <c r="P285" s="2442">
        <f>SUM(P286:P289)</f>
        <v>382456336.75</v>
      </c>
      <c r="Q285" s="2412">
        <v>1</v>
      </c>
      <c r="R285" s="2347">
        <f>SUM(R286:R289)</f>
        <v>53205612</v>
      </c>
      <c r="S285" s="2759">
        <v>3</v>
      </c>
      <c r="T285" s="2347">
        <f>SUM(T286:T289)</f>
        <v>110909186</v>
      </c>
      <c r="U285" s="2905">
        <v>2</v>
      </c>
      <c r="V285" s="2347">
        <f>SUM(V286:V289)</f>
        <v>143839658</v>
      </c>
      <c r="W285" s="2341"/>
      <c r="X285" s="2342"/>
      <c r="Y285" s="2412">
        <f t="shared" si="60"/>
        <v>6</v>
      </c>
      <c r="Z285" s="2342">
        <f t="shared" si="59"/>
        <v>307954456</v>
      </c>
      <c r="AA285" s="2419">
        <f t="shared" ref="AA285:AB289" si="80">M285+Y285</f>
        <v>71</v>
      </c>
      <c r="AB285" s="2360">
        <f t="shared" si="80"/>
        <v>1063829669.75</v>
      </c>
      <c r="AC285" s="2489">
        <f>AA285/K285*100</f>
        <v>71</v>
      </c>
      <c r="AD285" s="2489">
        <f>AB285/L285*100</f>
        <v>46.913813744123004</v>
      </c>
      <c r="AE285" s="3138" t="s">
        <v>3216</v>
      </c>
    </row>
    <row r="286" spans="1:31" s="63" customFormat="1" ht="45" customHeight="1">
      <c r="A286" s="384"/>
      <c r="B286" s="384"/>
      <c r="C286" s="3792" t="s">
        <v>66</v>
      </c>
      <c r="D286" s="3792" t="s">
        <v>196</v>
      </c>
      <c r="E286" s="3792" t="s">
        <v>66</v>
      </c>
      <c r="F286" s="3790">
        <v>33</v>
      </c>
      <c r="G286" s="1218" t="s">
        <v>66</v>
      </c>
      <c r="H286" s="1218"/>
      <c r="I286" s="1279" t="s">
        <v>1788</v>
      </c>
      <c r="J286" s="1279" t="s">
        <v>4169</v>
      </c>
      <c r="K286" s="1992">
        <v>24</v>
      </c>
      <c r="L286" s="1232">
        <f>N286*3</f>
        <v>691749275.25</v>
      </c>
      <c r="M286" s="1992">
        <v>8</v>
      </c>
      <c r="N286" s="1232">
        <f>102410516+P286</f>
        <v>230583091.75</v>
      </c>
      <c r="O286" s="1992">
        <v>4</v>
      </c>
      <c r="P286" s="1232">
        <v>128172575.75</v>
      </c>
      <c r="Q286" s="1992">
        <v>1</v>
      </c>
      <c r="R286" s="590">
        <v>6969459</v>
      </c>
      <c r="S286" s="2899">
        <v>1</v>
      </c>
      <c r="T286" s="1400">
        <v>39214459</v>
      </c>
      <c r="U286" s="2902">
        <v>1</v>
      </c>
      <c r="V286" s="1202">
        <v>31909259</v>
      </c>
      <c r="W286" s="1195"/>
      <c r="X286" s="1202"/>
      <c r="Y286" s="2142">
        <f t="shared" si="60"/>
        <v>3</v>
      </c>
      <c r="Z286" s="1202">
        <f t="shared" si="59"/>
        <v>78093177</v>
      </c>
      <c r="AA286" s="1992">
        <f t="shared" si="80"/>
        <v>11</v>
      </c>
      <c r="AB286" s="1202">
        <f t="shared" si="80"/>
        <v>308676268.75</v>
      </c>
      <c r="AC286" s="2525">
        <f t="shared" ref="AC286:AC291" si="81">AA286/K286*100</f>
        <v>45.833333333333329</v>
      </c>
      <c r="AD286" s="2525">
        <f t="shared" ref="AD286:AD291" si="82">(AB286/L286)*100</f>
        <v>44.622564821400587</v>
      </c>
      <c r="AE286" s="390"/>
    </row>
    <row r="287" spans="1:31" s="63" customFormat="1" ht="45" customHeight="1">
      <c r="A287" s="384"/>
      <c r="B287" s="384"/>
      <c r="C287" s="3792" t="s">
        <v>66</v>
      </c>
      <c r="D287" s="3792" t="s">
        <v>196</v>
      </c>
      <c r="E287" s="3792" t="s">
        <v>66</v>
      </c>
      <c r="F287" s="3790">
        <v>33</v>
      </c>
      <c r="G287" s="1218" t="s">
        <v>95</v>
      </c>
      <c r="H287" s="1218"/>
      <c r="I287" s="1279" t="s">
        <v>1790</v>
      </c>
      <c r="J287" s="384" t="s">
        <v>4170</v>
      </c>
      <c r="K287" s="1992">
        <v>72</v>
      </c>
      <c r="L287" s="1232">
        <f>3*N287</f>
        <v>1310888979.75</v>
      </c>
      <c r="M287" s="1992">
        <v>24</v>
      </c>
      <c r="N287" s="1232">
        <f>226809873+P287</f>
        <v>436962993.25</v>
      </c>
      <c r="O287" s="1992">
        <v>12</v>
      </c>
      <c r="P287" s="1232">
        <v>210153120.25</v>
      </c>
      <c r="Q287" s="1992">
        <v>3</v>
      </c>
      <c r="R287" s="590">
        <v>41640600</v>
      </c>
      <c r="S287" s="2899">
        <v>3</v>
      </c>
      <c r="T287" s="1400">
        <v>63088864</v>
      </c>
      <c r="U287" s="2902">
        <v>3</v>
      </c>
      <c r="V287" s="1202">
        <v>106658399</v>
      </c>
      <c r="W287" s="1195"/>
      <c r="X287" s="1202"/>
      <c r="Y287" s="2142">
        <f t="shared" si="60"/>
        <v>9</v>
      </c>
      <c r="Z287" s="1202">
        <f t="shared" si="59"/>
        <v>211387863</v>
      </c>
      <c r="AA287" s="1992">
        <f t="shared" si="80"/>
        <v>33</v>
      </c>
      <c r="AB287" s="1202">
        <f t="shared" si="80"/>
        <v>648350856.25</v>
      </c>
      <c r="AC287" s="2525">
        <f t="shared" si="81"/>
        <v>45.833333333333329</v>
      </c>
      <c r="AD287" s="2525">
        <f t="shared" si="82"/>
        <v>49.458868467537741</v>
      </c>
      <c r="AE287" s="390"/>
    </row>
    <row r="288" spans="1:31" s="63" customFormat="1" ht="45" customHeight="1">
      <c r="A288" s="384"/>
      <c r="B288" s="384"/>
      <c r="C288" s="3792" t="s">
        <v>66</v>
      </c>
      <c r="D288" s="3792" t="s">
        <v>196</v>
      </c>
      <c r="E288" s="3792" t="s">
        <v>66</v>
      </c>
      <c r="F288" s="3790">
        <v>33</v>
      </c>
      <c r="G288" s="1218">
        <v>16</v>
      </c>
      <c r="H288" s="1218"/>
      <c r="I288" s="1277" t="s">
        <v>1792</v>
      </c>
      <c r="J288" s="1277" t="s">
        <v>1793</v>
      </c>
      <c r="K288" s="1992">
        <v>6</v>
      </c>
      <c r="L288" s="1232">
        <f>3*N288</f>
        <v>207711566.25</v>
      </c>
      <c r="M288" s="1992">
        <v>2</v>
      </c>
      <c r="N288" s="1232">
        <f>35289072+P288</f>
        <v>69237188.75</v>
      </c>
      <c r="O288" s="1992">
        <v>1</v>
      </c>
      <c r="P288" s="1232">
        <v>33948116.75</v>
      </c>
      <c r="Q288" s="1992">
        <v>0</v>
      </c>
      <c r="R288" s="590">
        <v>2518029</v>
      </c>
      <c r="S288" s="2899">
        <v>0</v>
      </c>
      <c r="T288" s="2304">
        <v>5022339</v>
      </c>
      <c r="U288" s="2902">
        <v>0</v>
      </c>
      <c r="V288" s="1202">
        <v>3616000</v>
      </c>
      <c r="W288" s="1195"/>
      <c r="X288" s="1202"/>
      <c r="Y288" s="2142">
        <f t="shared" si="60"/>
        <v>0</v>
      </c>
      <c r="Z288" s="1202">
        <f t="shared" si="59"/>
        <v>11156368</v>
      </c>
      <c r="AA288" s="1992">
        <f t="shared" si="80"/>
        <v>2</v>
      </c>
      <c r="AB288" s="1202">
        <f t="shared" si="80"/>
        <v>80393556.75</v>
      </c>
      <c r="AC288" s="2525">
        <f t="shared" si="81"/>
        <v>33.333333333333329</v>
      </c>
      <c r="AD288" s="2525">
        <f t="shared" si="82"/>
        <v>38.704419884465629</v>
      </c>
      <c r="AE288" s="390"/>
    </row>
    <row r="289" spans="1:31" s="63" customFormat="1" ht="45" customHeight="1">
      <c r="A289" s="384"/>
      <c r="B289" s="384"/>
      <c r="C289" s="3792" t="s">
        <v>66</v>
      </c>
      <c r="D289" s="3792" t="s">
        <v>196</v>
      </c>
      <c r="E289" s="3792" t="s">
        <v>66</v>
      </c>
      <c r="F289" s="3790">
        <v>33</v>
      </c>
      <c r="G289" s="1218">
        <v>18</v>
      </c>
      <c r="H289" s="1218"/>
      <c r="I289" s="2439" t="s">
        <v>1794</v>
      </c>
      <c r="J289" s="1277" t="s">
        <v>1794</v>
      </c>
      <c r="K289" s="1992">
        <v>6</v>
      </c>
      <c r="L289" s="1232">
        <f>3*N289</f>
        <v>57275820</v>
      </c>
      <c r="M289" s="1992">
        <v>2</v>
      </c>
      <c r="N289" s="1232">
        <f>19091940</f>
        <v>19091940</v>
      </c>
      <c r="O289" s="1992">
        <v>1</v>
      </c>
      <c r="P289" s="1232">
        <v>10182524</v>
      </c>
      <c r="Q289" s="1992">
        <v>0</v>
      </c>
      <c r="R289" s="590">
        <v>2077524</v>
      </c>
      <c r="S289" s="2899">
        <v>0</v>
      </c>
      <c r="T289" s="2304">
        <v>3583524</v>
      </c>
      <c r="U289" s="737">
        <v>0.5</v>
      </c>
      <c r="V289" s="1202">
        <v>1656000</v>
      </c>
      <c r="W289" s="1195"/>
      <c r="X289" s="1202"/>
      <c r="Y289" s="2142">
        <f t="shared" si="60"/>
        <v>0.5</v>
      </c>
      <c r="Z289" s="1202">
        <f t="shared" si="59"/>
        <v>7317048</v>
      </c>
      <c r="AA289" s="1992">
        <f t="shared" si="80"/>
        <v>2.5</v>
      </c>
      <c r="AB289" s="1202">
        <f t="shared" si="80"/>
        <v>26408988</v>
      </c>
      <c r="AC289" s="2525">
        <f t="shared" si="81"/>
        <v>41.666666666666671</v>
      </c>
      <c r="AD289" s="2525">
        <f t="shared" si="82"/>
        <v>46.108441572726498</v>
      </c>
      <c r="AE289" s="390"/>
    </row>
    <row r="290" spans="1:31" s="63" customFormat="1" ht="51">
      <c r="A290" s="3162">
        <v>11</v>
      </c>
      <c r="B290" s="3156" t="s">
        <v>1795</v>
      </c>
      <c r="C290" s="2352" t="s">
        <v>66</v>
      </c>
      <c r="D290" s="2352" t="s">
        <v>196</v>
      </c>
      <c r="E290" s="2352" t="s">
        <v>66</v>
      </c>
      <c r="F290" s="2874">
        <v>35</v>
      </c>
      <c r="G290" s="2874"/>
      <c r="H290" s="2874"/>
      <c r="I290" s="2363" t="s">
        <v>1796</v>
      </c>
      <c r="J290" s="2441" t="s">
        <v>3586</v>
      </c>
      <c r="K290" s="2770">
        <v>100</v>
      </c>
      <c r="L290" s="2357">
        <f>SUM(L291:L291)</f>
        <v>3715575840</v>
      </c>
      <c r="M290" s="2412">
        <v>70</v>
      </c>
      <c r="N290" s="2361">
        <f>SUM(N291:N291)</f>
        <v>920595496</v>
      </c>
      <c r="O290" s="2412">
        <v>10</v>
      </c>
      <c r="P290" s="2361">
        <f>P291</f>
        <v>693208691</v>
      </c>
      <c r="Q290" s="2412">
        <v>2</v>
      </c>
      <c r="R290" s="2361">
        <f>R291</f>
        <v>142539510</v>
      </c>
      <c r="S290" s="2764">
        <v>5</v>
      </c>
      <c r="T290" s="2342">
        <f>T291</f>
        <v>236582050</v>
      </c>
      <c r="U290" s="2413"/>
      <c r="V290" s="2342">
        <f>V291</f>
        <v>131250200</v>
      </c>
      <c r="W290" s="2413"/>
      <c r="X290" s="2361"/>
      <c r="Y290" s="2412">
        <f t="shared" si="60"/>
        <v>7</v>
      </c>
      <c r="Z290" s="2361">
        <f t="shared" si="59"/>
        <v>510371760</v>
      </c>
      <c r="AA290" s="2412">
        <f>M290+Y290</f>
        <v>77</v>
      </c>
      <c r="AB290" s="2361">
        <f>N290+Z290</f>
        <v>1430967256</v>
      </c>
      <c r="AC290" s="2490">
        <f t="shared" si="81"/>
        <v>77</v>
      </c>
      <c r="AD290" s="2490">
        <f t="shared" si="82"/>
        <v>38.512664459568668</v>
      </c>
      <c r="AE290" s="3138" t="s">
        <v>3216</v>
      </c>
    </row>
    <row r="291" spans="1:31" s="63" customFormat="1" ht="41.25" customHeight="1">
      <c r="A291" s="1259"/>
      <c r="B291" s="1259"/>
      <c r="C291" s="3792" t="s">
        <v>66</v>
      </c>
      <c r="D291" s="3792" t="s">
        <v>196</v>
      </c>
      <c r="E291" s="3792" t="s">
        <v>66</v>
      </c>
      <c r="F291" s="3790">
        <v>35</v>
      </c>
      <c r="G291" s="1218" t="s">
        <v>65</v>
      </c>
      <c r="H291" s="1218"/>
      <c r="I291" s="728" t="s">
        <v>1798</v>
      </c>
      <c r="J291" s="3140" t="s">
        <v>3587</v>
      </c>
      <c r="K291" s="1992">
        <v>72</v>
      </c>
      <c r="L291" s="2348">
        <f>3*1238525280</f>
        <v>3715575840</v>
      </c>
      <c r="M291" s="1992">
        <v>24</v>
      </c>
      <c r="N291" s="1232">
        <v>920595496</v>
      </c>
      <c r="O291" s="1992">
        <v>12</v>
      </c>
      <c r="P291" s="2348">
        <v>693208691</v>
      </c>
      <c r="Q291" s="1992">
        <v>1</v>
      </c>
      <c r="R291" s="1232">
        <v>142539510</v>
      </c>
      <c r="S291" s="2899">
        <v>5</v>
      </c>
      <c r="T291" s="2304">
        <v>236582050</v>
      </c>
      <c r="U291" s="2344"/>
      <c r="V291" s="2348">
        <v>131250200</v>
      </c>
      <c r="W291" s="2344"/>
      <c r="X291" s="2348"/>
      <c r="Y291" s="1992">
        <f t="shared" si="60"/>
        <v>6</v>
      </c>
      <c r="Z291" s="2348">
        <f t="shared" si="59"/>
        <v>510371760</v>
      </c>
      <c r="AA291" s="1992">
        <f>M291+Y291</f>
        <v>30</v>
      </c>
      <c r="AB291" s="2348">
        <f>N291+Z291</f>
        <v>1430967256</v>
      </c>
      <c r="AC291" s="2525">
        <f t="shared" si="81"/>
        <v>41.666666666666671</v>
      </c>
      <c r="AD291" s="2525">
        <f t="shared" si="82"/>
        <v>38.512664459568668</v>
      </c>
      <c r="AE291" s="390"/>
    </row>
    <row r="292" spans="1:31" s="145" customFormat="1" ht="39" customHeight="1">
      <c r="A292" s="3138">
        <v>12</v>
      </c>
      <c r="B292" s="2335" t="s">
        <v>1745</v>
      </c>
      <c r="C292" s="2567" t="s">
        <v>66</v>
      </c>
      <c r="D292" s="2567" t="s">
        <v>196</v>
      </c>
      <c r="E292" s="2567" t="s">
        <v>66</v>
      </c>
      <c r="F292" s="3795">
        <v>15</v>
      </c>
      <c r="G292" s="3795"/>
      <c r="H292" s="3795"/>
      <c r="I292" s="2359" t="s">
        <v>1802</v>
      </c>
      <c r="J292" s="2335" t="s">
        <v>3588</v>
      </c>
      <c r="K292" s="2412">
        <v>40.43</v>
      </c>
      <c r="L292" s="3161">
        <f>SUM(L293:L342)</f>
        <v>395844510380</v>
      </c>
      <c r="M292" s="2412">
        <v>37</v>
      </c>
      <c r="N292" s="2523">
        <f>SUM(N293:N342)</f>
        <v>66607064576</v>
      </c>
      <c r="O292" s="2412">
        <v>0.86</v>
      </c>
      <c r="P292" s="2523">
        <f>SUM(P293:P342)</f>
        <v>56960683342.5</v>
      </c>
      <c r="Q292" s="2412">
        <v>0</v>
      </c>
      <c r="R292" s="2342">
        <f>SUM(R293:R342)</f>
        <v>1970670656</v>
      </c>
      <c r="S292" s="2895"/>
      <c r="T292" s="2361">
        <f>SUM(T293:T342)</f>
        <v>19349891543</v>
      </c>
      <c r="U292" s="2341"/>
      <c r="V292" s="2361">
        <f>SUM(V293:V342)</f>
        <v>17440619949</v>
      </c>
      <c r="W292" s="2341"/>
      <c r="X292" s="2342"/>
      <c r="Y292" s="2412">
        <f t="shared" si="60"/>
        <v>0</v>
      </c>
      <c r="Z292" s="2342">
        <f>SUM(Z293:Z342)</f>
        <v>38761182148</v>
      </c>
      <c r="AA292" s="2412">
        <f t="shared" ref="AA292:AA317" si="83">M292+Y292</f>
        <v>37</v>
      </c>
      <c r="AB292" s="3149">
        <f>SUM(AB293:AB342)</f>
        <v>105368246724</v>
      </c>
      <c r="AC292" s="2490">
        <f t="shared" ref="AC292:AC317" si="84">AA292/K292*100</f>
        <v>91.516200840959684</v>
      </c>
      <c r="AD292" s="2490">
        <f t="shared" ref="AD292:AD317" si="85">(AB292/L292)*100</f>
        <v>26.618594918203954</v>
      </c>
      <c r="AE292" s="3138" t="s">
        <v>3216</v>
      </c>
    </row>
    <row r="293" spans="1:31" s="145" customFormat="1" ht="39" customHeight="1">
      <c r="A293" s="753"/>
      <c r="B293" s="383"/>
      <c r="C293" s="623"/>
      <c r="D293" s="623"/>
      <c r="E293" s="623"/>
      <c r="F293" s="753"/>
      <c r="G293" s="753"/>
      <c r="H293" s="753"/>
      <c r="I293" s="1200" t="s">
        <v>4131</v>
      </c>
      <c r="J293" s="384" t="s">
        <v>4132</v>
      </c>
      <c r="K293" s="2142">
        <v>60</v>
      </c>
      <c r="L293" s="2524">
        <v>3400000000</v>
      </c>
      <c r="M293" s="2142"/>
      <c r="N293" s="3177"/>
      <c r="O293" s="1992">
        <v>10</v>
      </c>
      <c r="P293" s="2291">
        <v>690207163.5</v>
      </c>
      <c r="Q293" s="2142"/>
      <c r="R293" s="629"/>
      <c r="S293" s="1217">
        <v>1</v>
      </c>
      <c r="T293" s="2348">
        <v>187500000</v>
      </c>
      <c r="U293" s="3609"/>
      <c r="V293" s="1202">
        <v>119288657</v>
      </c>
      <c r="W293" s="1193"/>
      <c r="X293" s="629"/>
      <c r="Y293" s="1217">
        <f>S293</f>
        <v>1</v>
      </c>
      <c r="Z293" s="1202">
        <f t="shared" si="59"/>
        <v>306788657</v>
      </c>
      <c r="AA293" s="1992">
        <f t="shared" ref="AA293" si="86">M293+Y293</f>
        <v>1</v>
      </c>
      <c r="AB293" s="3173">
        <f t="shared" ref="AB293" si="87">N293+Z293</f>
        <v>306788657</v>
      </c>
      <c r="AC293" s="2525">
        <f t="shared" ref="AC293" si="88">AA293/K293*100</f>
        <v>1.6666666666666667</v>
      </c>
      <c r="AD293" s="2525">
        <f t="shared" ref="AD293" si="89">(AB293/L293)*100</f>
        <v>9.0231957941176475</v>
      </c>
      <c r="AE293" s="753"/>
    </row>
    <row r="294" spans="1:31" s="145" customFormat="1" ht="38.25" customHeight="1">
      <c r="A294" s="383"/>
      <c r="B294" s="383"/>
      <c r="C294" s="3792" t="s">
        <v>66</v>
      </c>
      <c r="D294" s="3792" t="s">
        <v>196</v>
      </c>
      <c r="E294" s="3792" t="s">
        <v>66</v>
      </c>
      <c r="F294" s="3790">
        <v>15</v>
      </c>
      <c r="G294" s="1218">
        <v>25</v>
      </c>
      <c r="H294" s="1218"/>
      <c r="I294" s="1200" t="s">
        <v>1805</v>
      </c>
      <c r="J294" s="384" t="s">
        <v>3632</v>
      </c>
      <c r="K294" s="1992">
        <v>60</v>
      </c>
      <c r="L294" s="2348">
        <v>200000000000</v>
      </c>
      <c r="M294" s="1992">
        <v>20</v>
      </c>
      <c r="N294" s="2291">
        <v>34209300500</v>
      </c>
      <c r="O294" s="2769">
        <v>6</v>
      </c>
      <c r="P294" s="1232">
        <v>26001887000</v>
      </c>
      <c r="Q294" s="1992">
        <v>0</v>
      </c>
      <c r="R294" s="590">
        <v>6419064</v>
      </c>
      <c r="S294" s="2904"/>
      <c r="T294" s="2306">
        <v>9989461109</v>
      </c>
      <c r="U294" s="2902">
        <v>7</v>
      </c>
      <c r="V294" s="1202">
        <v>11484503963</v>
      </c>
      <c r="W294" s="1195"/>
      <c r="X294" s="1202"/>
      <c r="Y294" s="1217">
        <f t="shared" si="60"/>
        <v>7</v>
      </c>
      <c r="Z294" s="1202">
        <f t="shared" si="59"/>
        <v>21480384136</v>
      </c>
      <c r="AA294" s="1992">
        <f t="shared" si="83"/>
        <v>27</v>
      </c>
      <c r="AB294" s="1202">
        <f t="shared" ref="AB294:AB317" si="90">N294+Z294</f>
        <v>55689684636</v>
      </c>
      <c r="AC294" s="2525">
        <f t="shared" si="84"/>
        <v>45</v>
      </c>
      <c r="AD294" s="2525">
        <f t="shared" si="85"/>
        <v>27.844842318000001</v>
      </c>
      <c r="AE294" s="753"/>
    </row>
    <row r="295" spans="1:31" s="145" customFormat="1" ht="33.75" customHeight="1">
      <c r="A295" s="383"/>
      <c r="B295" s="383"/>
      <c r="C295" s="3792" t="s">
        <v>66</v>
      </c>
      <c r="D295" s="3792" t="s">
        <v>196</v>
      </c>
      <c r="E295" s="3792" t="s">
        <v>66</v>
      </c>
      <c r="F295" s="3790">
        <v>15</v>
      </c>
      <c r="G295" s="1218">
        <v>26</v>
      </c>
      <c r="H295" s="1218"/>
      <c r="I295" s="1200" t="s">
        <v>1806</v>
      </c>
      <c r="J295" s="384" t="s">
        <v>1803</v>
      </c>
      <c r="K295" s="1992">
        <v>20</v>
      </c>
      <c r="L295" s="2348">
        <f>P295*5</f>
        <v>44074510380</v>
      </c>
      <c r="M295" s="1992">
        <v>8</v>
      </c>
      <c r="N295" s="2402">
        <v>15075057494</v>
      </c>
      <c r="O295" s="2769">
        <v>4</v>
      </c>
      <c r="P295" s="1232">
        <v>8814902076</v>
      </c>
      <c r="Q295" s="1992">
        <v>0</v>
      </c>
      <c r="R295" s="590">
        <v>35102546</v>
      </c>
      <c r="S295" s="2904">
        <v>2</v>
      </c>
      <c r="T295" s="2306">
        <v>3668723982</v>
      </c>
      <c r="U295" s="2902">
        <v>1</v>
      </c>
      <c r="V295" s="1202">
        <v>2606028640</v>
      </c>
      <c r="W295" s="1195"/>
      <c r="X295" s="1202"/>
      <c r="Y295" s="1217">
        <f t="shared" si="60"/>
        <v>3</v>
      </c>
      <c r="Z295" s="1202">
        <f t="shared" si="59"/>
        <v>6309855168</v>
      </c>
      <c r="AA295" s="1992">
        <f t="shared" si="83"/>
        <v>11</v>
      </c>
      <c r="AB295" s="1202">
        <f t="shared" si="90"/>
        <v>21384912662</v>
      </c>
      <c r="AC295" s="2525">
        <f t="shared" si="84"/>
        <v>55.000000000000007</v>
      </c>
      <c r="AD295" s="2525">
        <f t="shared" si="85"/>
        <v>48.519909756510835</v>
      </c>
      <c r="AE295" s="753"/>
    </row>
    <row r="296" spans="1:31" s="145" customFormat="1" ht="41.25" customHeight="1">
      <c r="A296" s="383"/>
      <c r="B296" s="383"/>
      <c r="C296" s="3792" t="s">
        <v>66</v>
      </c>
      <c r="D296" s="3792" t="s">
        <v>196</v>
      </c>
      <c r="E296" s="3792" t="s">
        <v>66</v>
      </c>
      <c r="F296" s="3790">
        <v>15</v>
      </c>
      <c r="G296" s="1218" t="s">
        <v>161</v>
      </c>
      <c r="H296" s="1218"/>
      <c r="I296" s="1200" t="s">
        <v>1807</v>
      </c>
      <c r="J296" s="384" t="s">
        <v>3589</v>
      </c>
      <c r="K296" s="1992">
        <v>10</v>
      </c>
      <c r="L296" s="2348">
        <f>5*5300000000</f>
        <v>26500000000</v>
      </c>
      <c r="M296" s="1992">
        <v>1</v>
      </c>
      <c r="N296" s="2402">
        <v>951976100</v>
      </c>
      <c r="O296" s="2769">
        <v>3</v>
      </c>
      <c r="P296" s="1232">
        <v>5840771180</v>
      </c>
      <c r="Q296" s="1992">
        <v>0</v>
      </c>
      <c r="R296" s="590">
        <v>1795216465</v>
      </c>
      <c r="S296" s="2904"/>
      <c r="T296" s="2306">
        <v>3611216702</v>
      </c>
      <c r="U296" s="2902"/>
      <c r="V296" s="1202">
        <v>457083152</v>
      </c>
      <c r="W296" s="1195"/>
      <c r="X296" s="1202"/>
      <c r="Y296" s="1217">
        <f t="shared" si="60"/>
        <v>0</v>
      </c>
      <c r="Z296" s="1202">
        <f t="shared" si="59"/>
        <v>5863516319</v>
      </c>
      <c r="AA296" s="1992">
        <f t="shared" si="83"/>
        <v>1</v>
      </c>
      <c r="AB296" s="1202">
        <f t="shared" si="90"/>
        <v>6815492419</v>
      </c>
      <c r="AC296" s="2525">
        <f t="shared" si="84"/>
        <v>10</v>
      </c>
      <c r="AD296" s="2525">
        <f t="shared" si="85"/>
        <v>25.718839316981136</v>
      </c>
      <c r="AE296" s="753" t="s">
        <v>1809</v>
      </c>
    </row>
    <row r="297" spans="1:31" s="145" customFormat="1" ht="48.75" customHeight="1">
      <c r="A297" s="383"/>
      <c r="B297" s="383"/>
      <c r="C297" s="3792" t="s">
        <v>66</v>
      </c>
      <c r="D297" s="3792" t="s">
        <v>196</v>
      </c>
      <c r="E297" s="3792" t="s">
        <v>66</v>
      </c>
      <c r="F297" s="3790">
        <v>15</v>
      </c>
      <c r="G297" s="1218">
        <v>24</v>
      </c>
      <c r="H297" s="1218"/>
      <c r="I297" s="1200" t="s">
        <v>1812</v>
      </c>
      <c r="J297" s="384" t="s">
        <v>1811</v>
      </c>
      <c r="K297" s="1992">
        <v>6</v>
      </c>
      <c r="L297" s="2348">
        <f>3*500000000</f>
        <v>1500000000</v>
      </c>
      <c r="M297" s="1992"/>
      <c r="N297" s="2402"/>
      <c r="O297" s="2769">
        <v>1</v>
      </c>
      <c r="P297" s="1232">
        <v>474461332.75</v>
      </c>
      <c r="Q297" s="1992">
        <v>1</v>
      </c>
      <c r="R297" s="590">
        <v>7906022</v>
      </c>
      <c r="S297" s="2904">
        <v>0</v>
      </c>
      <c r="T297" s="2306"/>
      <c r="U297" s="2902">
        <v>0</v>
      </c>
      <c r="V297" s="1202">
        <v>6210342</v>
      </c>
      <c r="W297" s="1195"/>
      <c r="X297" s="1202"/>
      <c r="Y297" s="1217">
        <f t="shared" si="60"/>
        <v>1</v>
      </c>
      <c r="Z297" s="1202">
        <f t="shared" si="59"/>
        <v>14116364</v>
      </c>
      <c r="AA297" s="1992">
        <f t="shared" si="83"/>
        <v>1</v>
      </c>
      <c r="AB297" s="1202">
        <f t="shared" si="90"/>
        <v>14116364</v>
      </c>
      <c r="AC297" s="2525">
        <f t="shared" si="84"/>
        <v>16.666666666666664</v>
      </c>
      <c r="AD297" s="2525">
        <f t="shared" si="85"/>
        <v>0.94109093333333338</v>
      </c>
      <c r="AE297" s="753"/>
    </row>
    <row r="298" spans="1:31" s="145" customFormat="1" ht="48.75" customHeight="1">
      <c r="A298" s="383"/>
      <c r="B298" s="383"/>
      <c r="C298" s="3792" t="s">
        <v>66</v>
      </c>
      <c r="D298" s="3792" t="s">
        <v>196</v>
      </c>
      <c r="E298" s="3792" t="s">
        <v>66</v>
      </c>
      <c r="F298" s="3790">
        <v>15</v>
      </c>
      <c r="G298" s="1218" t="s">
        <v>95</v>
      </c>
      <c r="H298" s="1218"/>
      <c r="I298" s="1279" t="s">
        <v>1813</v>
      </c>
      <c r="J298" s="384" t="s">
        <v>1814</v>
      </c>
      <c r="K298" s="1992">
        <v>60</v>
      </c>
      <c r="L298" s="2348">
        <v>1550000000</v>
      </c>
      <c r="M298" s="1992">
        <v>20</v>
      </c>
      <c r="N298" s="2402">
        <v>333278266</v>
      </c>
      <c r="O298" s="2769">
        <v>10</v>
      </c>
      <c r="P298" s="1232">
        <v>175192152</v>
      </c>
      <c r="Q298" s="1992"/>
      <c r="R298" s="590">
        <v>0</v>
      </c>
      <c r="S298" s="1217">
        <v>3</v>
      </c>
      <c r="T298" s="2348">
        <v>95477500</v>
      </c>
      <c r="U298" s="2902">
        <v>3</v>
      </c>
      <c r="V298" s="1202">
        <v>1550000</v>
      </c>
      <c r="W298" s="1195"/>
      <c r="X298" s="1202"/>
      <c r="Y298" s="1217">
        <f t="shared" si="60"/>
        <v>6</v>
      </c>
      <c r="Z298" s="1202">
        <f t="shared" si="59"/>
        <v>97027500</v>
      </c>
      <c r="AA298" s="1992">
        <f t="shared" si="83"/>
        <v>26</v>
      </c>
      <c r="AB298" s="1202">
        <f t="shared" si="90"/>
        <v>430305766</v>
      </c>
      <c r="AC298" s="2525">
        <f t="shared" si="84"/>
        <v>43.333333333333336</v>
      </c>
      <c r="AD298" s="2525">
        <f t="shared" si="85"/>
        <v>27.761662322580644</v>
      </c>
      <c r="AE298" s="753"/>
    </row>
    <row r="299" spans="1:31" s="145" customFormat="1" ht="42" customHeight="1">
      <c r="A299" s="383"/>
      <c r="B299" s="383"/>
      <c r="C299" s="3792" t="s">
        <v>66</v>
      </c>
      <c r="D299" s="3792" t="s">
        <v>196</v>
      </c>
      <c r="E299" s="3792" t="s">
        <v>66</v>
      </c>
      <c r="F299" s="3790">
        <v>15</v>
      </c>
      <c r="G299" s="1218" t="s">
        <v>198</v>
      </c>
      <c r="H299" s="1218"/>
      <c r="I299" s="1279" t="s">
        <v>1818</v>
      </c>
      <c r="J299" s="384" t="s">
        <v>3590</v>
      </c>
      <c r="K299" s="1992">
        <v>20</v>
      </c>
      <c r="L299" s="2348">
        <v>8000000000</v>
      </c>
      <c r="M299" s="1992">
        <v>5</v>
      </c>
      <c r="N299" s="2402">
        <v>1838862920</v>
      </c>
      <c r="O299" s="2769">
        <v>3</v>
      </c>
      <c r="P299" s="1232">
        <v>634214550</v>
      </c>
      <c r="Q299" s="1992"/>
      <c r="R299" s="590">
        <v>2687500</v>
      </c>
      <c r="S299" s="2904">
        <v>0.05</v>
      </c>
      <c r="T299" s="2306">
        <v>47339624</v>
      </c>
      <c r="U299" s="2902">
        <v>3</v>
      </c>
      <c r="V299" s="1202">
        <v>102924222</v>
      </c>
      <c r="W299" s="1195"/>
      <c r="X299" s="1202"/>
      <c r="Y299" s="1217">
        <f>S299</f>
        <v>0.05</v>
      </c>
      <c r="Z299" s="1202">
        <f t="shared" si="59"/>
        <v>152951346</v>
      </c>
      <c r="AA299" s="1992">
        <f t="shared" si="83"/>
        <v>5.05</v>
      </c>
      <c r="AB299" s="1202">
        <f t="shared" si="90"/>
        <v>1991814266</v>
      </c>
      <c r="AC299" s="2525">
        <f t="shared" si="84"/>
        <v>25.25</v>
      </c>
      <c r="AD299" s="2525">
        <f t="shared" si="85"/>
        <v>24.897678325000001</v>
      </c>
      <c r="AE299" s="753"/>
    </row>
    <row r="300" spans="1:31" s="145" customFormat="1" ht="42" customHeight="1">
      <c r="A300" s="383"/>
      <c r="B300" s="383"/>
      <c r="C300" s="3792" t="s">
        <v>66</v>
      </c>
      <c r="D300" s="3792" t="s">
        <v>196</v>
      </c>
      <c r="E300" s="3792" t="s">
        <v>66</v>
      </c>
      <c r="F300" s="3790">
        <v>15</v>
      </c>
      <c r="G300" s="1218" t="s">
        <v>93</v>
      </c>
      <c r="H300" s="1218"/>
      <c r="I300" s="1279" t="s">
        <v>1819</v>
      </c>
      <c r="J300" s="384" t="s">
        <v>1803</v>
      </c>
      <c r="K300" s="1992">
        <v>20</v>
      </c>
      <c r="L300" s="2348">
        <v>8000000000</v>
      </c>
      <c r="M300" s="1992">
        <v>5</v>
      </c>
      <c r="N300" s="2402">
        <v>1588811520</v>
      </c>
      <c r="O300" s="2769">
        <v>3</v>
      </c>
      <c r="P300" s="1232">
        <v>2190500000</v>
      </c>
      <c r="Q300" s="1992"/>
      <c r="R300" s="590">
        <v>0</v>
      </c>
      <c r="S300" s="2896"/>
      <c r="T300" s="2306">
        <v>99512124</v>
      </c>
      <c r="U300" s="2902">
        <v>3</v>
      </c>
      <c r="V300" s="1202">
        <v>207505997</v>
      </c>
      <c r="W300" s="1195"/>
      <c r="X300" s="1202"/>
      <c r="Y300" s="1992">
        <f t="shared" si="60"/>
        <v>3</v>
      </c>
      <c r="Z300" s="1202">
        <f t="shared" si="59"/>
        <v>307018121</v>
      </c>
      <c r="AA300" s="1992">
        <f t="shared" si="83"/>
        <v>8</v>
      </c>
      <c r="AB300" s="1202">
        <f t="shared" si="90"/>
        <v>1895829641</v>
      </c>
      <c r="AC300" s="2525">
        <f t="shared" si="84"/>
        <v>40</v>
      </c>
      <c r="AD300" s="2525">
        <f t="shared" si="85"/>
        <v>23.6978705125</v>
      </c>
      <c r="AE300" s="753"/>
    </row>
    <row r="301" spans="1:31" s="145" customFormat="1" ht="38.25" customHeight="1">
      <c r="A301" s="383"/>
      <c r="B301" s="383"/>
      <c r="C301" s="3792" t="s">
        <v>66</v>
      </c>
      <c r="D301" s="3792" t="s">
        <v>196</v>
      </c>
      <c r="E301" s="3792" t="s">
        <v>66</v>
      </c>
      <c r="F301" s="3790">
        <v>15</v>
      </c>
      <c r="G301" s="1218" t="s">
        <v>201</v>
      </c>
      <c r="H301" s="1218"/>
      <c r="I301" s="1279" t="s">
        <v>1820</v>
      </c>
      <c r="J301" s="384" t="s">
        <v>1803</v>
      </c>
      <c r="K301" s="1992">
        <v>20</v>
      </c>
      <c r="L301" s="2348">
        <v>8000000000</v>
      </c>
      <c r="M301" s="1992">
        <v>5</v>
      </c>
      <c r="N301" s="2402">
        <v>776689000</v>
      </c>
      <c r="O301" s="2769">
        <v>3</v>
      </c>
      <c r="P301" s="1232">
        <v>361500000</v>
      </c>
      <c r="Q301" s="1992"/>
      <c r="R301" s="590">
        <v>0</v>
      </c>
      <c r="S301" s="2896"/>
      <c r="T301" s="2306">
        <v>57760724</v>
      </c>
      <c r="U301" s="2902">
        <v>1</v>
      </c>
      <c r="V301" s="1202">
        <v>1474447</v>
      </c>
      <c r="W301" s="1195"/>
      <c r="X301" s="1202"/>
      <c r="Y301" s="1992">
        <f t="shared" si="60"/>
        <v>1</v>
      </c>
      <c r="Z301" s="1202">
        <f t="shared" si="59"/>
        <v>59235171</v>
      </c>
      <c r="AA301" s="1992">
        <f t="shared" si="83"/>
        <v>6</v>
      </c>
      <c r="AB301" s="1202">
        <f t="shared" si="90"/>
        <v>835924171</v>
      </c>
      <c r="AC301" s="2525">
        <f t="shared" si="84"/>
        <v>30</v>
      </c>
      <c r="AD301" s="2525">
        <f t="shared" si="85"/>
        <v>10.449052137500001</v>
      </c>
      <c r="AE301" s="753"/>
    </row>
    <row r="302" spans="1:31" s="145" customFormat="1" ht="40.5" customHeight="1">
      <c r="A302" s="383"/>
      <c r="B302" s="383"/>
      <c r="C302" s="3792" t="s">
        <v>66</v>
      </c>
      <c r="D302" s="3792" t="s">
        <v>196</v>
      </c>
      <c r="E302" s="3792" t="s">
        <v>66</v>
      </c>
      <c r="F302" s="3790">
        <v>15</v>
      </c>
      <c r="G302" s="1218">
        <v>10</v>
      </c>
      <c r="H302" s="1218"/>
      <c r="I302" s="1279" t="s">
        <v>1821</v>
      </c>
      <c r="J302" s="384" t="s">
        <v>1803</v>
      </c>
      <c r="K302" s="1992">
        <v>30</v>
      </c>
      <c r="L302" s="2348">
        <v>8000000000</v>
      </c>
      <c r="M302" s="1992">
        <v>5</v>
      </c>
      <c r="N302" s="2402">
        <v>2230839976</v>
      </c>
      <c r="O302" s="2769">
        <v>3</v>
      </c>
      <c r="P302" s="1232">
        <v>1707973702.5</v>
      </c>
      <c r="Q302" s="1992">
        <v>0</v>
      </c>
      <c r="R302" s="590">
        <v>630000</v>
      </c>
      <c r="S302" s="2904">
        <v>0</v>
      </c>
      <c r="T302" s="2306">
        <v>47339624</v>
      </c>
      <c r="U302" s="2902">
        <v>3</v>
      </c>
      <c r="V302" s="1202">
        <v>140209556</v>
      </c>
      <c r="W302" s="1195"/>
      <c r="X302" s="1202"/>
      <c r="Y302" s="1992">
        <f t="shared" si="60"/>
        <v>3</v>
      </c>
      <c r="Z302" s="1202">
        <f t="shared" si="59"/>
        <v>188179180</v>
      </c>
      <c r="AA302" s="1992">
        <f t="shared" si="83"/>
        <v>8</v>
      </c>
      <c r="AB302" s="1202">
        <f t="shared" si="90"/>
        <v>2419019156</v>
      </c>
      <c r="AC302" s="2525">
        <f t="shared" si="84"/>
        <v>26.666666666666668</v>
      </c>
      <c r="AD302" s="2525">
        <f t="shared" si="85"/>
        <v>30.237739449999999</v>
      </c>
      <c r="AE302" s="753"/>
    </row>
    <row r="303" spans="1:31" s="145" customFormat="1" ht="40.5" customHeight="1">
      <c r="A303" s="383"/>
      <c r="B303" s="383"/>
      <c r="C303" s="3792" t="s">
        <v>66</v>
      </c>
      <c r="D303" s="3792" t="s">
        <v>196</v>
      </c>
      <c r="E303" s="3792" t="s">
        <v>66</v>
      </c>
      <c r="F303" s="3790">
        <v>15</v>
      </c>
      <c r="G303" s="1218">
        <v>11</v>
      </c>
      <c r="H303" s="1218"/>
      <c r="I303" s="1279" t="s">
        <v>1822</v>
      </c>
      <c r="J303" s="384" t="s">
        <v>1803</v>
      </c>
      <c r="K303" s="1992">
        <v>20</v>
      </c>
      <c r="L303" s="2348">
        <v>8000000000</v>
      </c>
      <c r="M303" s="1992">
        <v>5</v>
      </c>
      <c r="N303" s="2402">
        <v>875367460</v>
      </c>
      <c r="O303" s="2769">
        <v>3</v>
      </c>
      <c r="P303" s="1232">
        <v>1221500000</v>
      </c>
      <c r="Q303" s="1992">
        <v>0</v>
      </c>
      <c r="R303" s="590">
        <v>1675000</v>
      </c>
      <c r="S303" s="2904">
        <v>0</v>
      </c>
      <c r="T303" s="2306">
        <v>99512124</v>
      </c>
      <c r="U303" s="2902">
        <v>3</v>
      </c>
      <c r="V303" s="1202">
        <v>413101784</v>
      </c>
      <c r="W303" s="1195"/>
      <c r="X303" s="1202"/>
      <c r="Y303" s="1992">
        <f t="shared" si="60"/>
        <v>3</v>
      </c>
      <c r="Z303" s="1202">
        <f t="shared" si="59"/>
        <v>514288908</v>
      </c>
      <c r="AA303" s="1992">
        <f t="shared" si="83"/>
        <v>8</v>
      </c>
      <c r="AB303" s="1202">
        <f t="shared" si="90"/>
        <v>1389656368</v>
      </c>
      <c r="AC303" s="2525">
        <f t="shared" si="84"/>
        <v>40</v>
      </c>
      <c r="AD303" s="2525">
        <f t="shared" si="85"/>
        <v>17.3707046</v>
      </c>
      <c r="AE303" s="753"/>
    </row>
    <row r="304" spans="1:31" s="145" customFormat="1" ht="40.5" customHeight="1">
      <c r="A304" s="383"/>
      <c r="B304" s="383"/>
      <c r="C304" s="3792" t="s">
        <v>66</v>
      </c>
      <c r="D304" s="3792" t="s">
        <v>196</v>
      </c>
      <c r="E304" s="3792" t="s">
        <v>66</v>
      </c>
      <c r="F304" s="3790">
        <v>15</v>
      </c>
      <c r="G304" s="1218">
        <v>12</v>
      </c>
      <c r="H304" s="1218"/>
      <c r="I304" s="1279" t="s">
        <v>1823</v>
      </c>
      <c r="J304" s="384" t="s">
        <v>1803</v>
      </c>
      <c r="K304" s="1992">
        <v>20</v>
      </c>
      <c r="L304" s="2348">
        <v>8000000000</v>
      </c>
      <c r="M304" s="1992">
        <v>5</v>
      </c>
      <c r="N304" s="2402">
        <v>1892245120</v>
      </c>
      <c r="O304" s="2769">
        <v>3</v>
      </c>
      <c r="P304" s="1232">
        <v>246452744</v>
      </c>
      <c r="Q304" s="1992"/>
      <c r="R304" s="590">
        <v>610000</v>
      </c>
      <c r="S304" s="2904">
        <v>0</v>
      </c>
      <c r="T304" s="2306">
        <v>57760724</v>
      </c>
      <c r="U304" s="2902">
        <v>3</v>
      </c>
      <c r="V304" s="1202">
        <v>6485613</v>
      </c>
      <c r="W304" s="1195"/>
      <c r="X304" s="1202"/>
      <c r="Y304" s="1992">
        <f t="shared" si="60"/>
        <v>3</v>
      </c>
      <c r="Z304" s="1202">
        <f t="shared" si="59"/>
        <v>64856337</v>
      </c>
      <c r="AA304" s="1992">
        <f t="shared" si="83"/>
        <v>8</v>
      </c>
      <c r="AB304" s="1202">
        <f t="shared" si="90"/>
        <v>1957101457</v>
      </c>
      <c r="AC304" s="2525">
        <f t="shared" si="84"/>
        <v>40</v>
      </c>
      <c r="AD304" s="2525">
        <f t="shared" si="85"/>
        <v>24.4637682125</v>
      </c>
      <c r="AE304" s="753"/>
    </row>
    <row r="305" spans="1:31" s="145" customFormat="1" ht="42.75" customHeight="1">
      <c r="A305" s="383"/>
      <c r="B305" s="383"/>
      <c r="C305" s="3792" t="s">
        <v>66</v>
      </c>
      <c r="D305" s="3792" t="s">
        <v>196</v>
      </c>
      <c r="E305" s="3792" t="s">
        <v>66</v>
      </c>
      <c r="F305" s="3790">
        <v>15</v>
      </c>
      <c r="G305" s="1218">
        <v>13</v>
      </c>
      <c r="H305" s="1218"/>
      <c r="I305" s="1279" t="s">
        <v>1824</v>
      </c>
      <c r="J305" s="384" t="s">
        <v>1803</v>
      </c>
      <c r="K305" s="1992">
        <v>20</v>
      </c>
      <c r="L305" s="2348">
        <v>8000000000</v>
      </c>
      <c r="M305" s="1992">
        <v>5</v>
      </c>
      <c r="N305" s="2402">
        <v>2613216772</v>
      </c>
      <c r="O305" s="2769">
        <v>3</v>
      </c>
      <c r="P305" s="1232">
        <v>898555629.5</v>
      </c>
      <c r="Q305" s="1992">
        <v>0</v>
      </c>
      <c r="R305" s="590">
        <v>875000</v>
      </c>
      <c r="S305" s="2904">
        <v>3</v>
      </c>
      <c r="T305" s="2306">
        <v>739893724</v>
      </c>
      <c r="U305" s="2902">
        <v>3</v>
      </c>
      <c r="V305" s="1202">
        <v>297309005</v>
      </c>
      <c r="W305" s="1195"/>
      <c r="X305" s="1202"/>
      <c r="Y305" s="1992">
        <f t="shared" si="60"/>
        <v>6</v>
      </c>
      <c r="Z305" s="1202">
        <f t="shared" si="59"/>
        <v>1038077729</v>
      </c>
      <c r="AA305" s="1992">
        <f t="shared" si="83"/>
        <v>11</v>
      </c>
      <c r="AB305" s="1202">
        <f t="shared" si="90"/>
        <v>3651294501</v>
      </c>
      <c r="AC305" s="2525">
        <f t="shared" si="84"/>
        <v>55.000000000000007</v>
      </c>
      <c r="AD305" s="2525">
        <f t="shared" si="85"/>
        <v>45.641181262500005</v>
      </c>
      <c r="AE305" s="753"/>
    </row>
    <row r="306" spans="1:31" s="145" customFormat="1" ht="44.25" customHeight="1">
      <c r="A306" s="383"/>
      <c r="B306" s="383"/>
      <c r="C306" s="3792" t="s">
        <v>66</v>
      </c>
      <c r="D306" s="3792" t="s">
        <v>196</v>
      </c>
      <c r="E306" s="3792" t="s">
        <v>66</v>
      </c>
      <c r="F306" s="3790">
        <v>15</v>
      </c>
      <c r="G306" s="1218">
        <v>14</v>
      </c>
      <c r="H306" s="1218"/>
      <c r="I306" s="1279" t="s">
        <v>1825</v>
      </c>
      <c r="J306" s="384" t="s">
        <v>1803</v>
      </c>
      <c r="K306" s="1992">
        <v>20</v>
      </c>
      <c r="L306" s="2348">
        <v>8000000000</v>
      </c>
      <c r="M306" s="1992">
        <v>5</v>
      </c>
      <c r="N306" s="2402">
        <v>1094605048</v>
      </c>
      <c r="O306" s="2769">
        <v>3</v>
      </c>
      <c r="P306" s="1232">
        <v>295462438</v>
      </c>
      <c r="Q306" s="1992"/>
      <c r="R306" s="590">
        <v>987500</v>
      </c>
      <c r="S306" s="1217">
        <v>3</v>
      </c>
      <c r="T306" s="2348">
        <f>P306-R306</f>
        <v>294474938</v>
      </c>
      <c r="U306" s="2902">
        <v>3</v>
      </c>
      <c r="V306" s="1202">
        <v>285977102</v>
      </c>
      <c r="W306" s="1195"/>
      <c r="X306" s="1202"/>
      <c r="Y306" s="1992">
        <f t="shared" ref="Y306:Z370" si="91">Q306+S306+U306+W306</f>
        <v>6</v>
      </c>
      <c r="Z306" s="1202">
        <f t="shared" si="91"/>
        <v>581439540</v>
      </c>
      <c r="AA306" s="1992">
        <f t="shared" si="83"/>
        <v>11</v>
      </c>
      <c r="AB306" s="1202">
        <f t="shared" si="90"/>
        <v>1676044588</v>
      </c>
      <c r="AC306" s="2525">
        <f t="shared" si="84"/>
        <v>55.000000000000007</v>
      </c>
      <c r="AD306" s="2525">
        <f t="shared" si="85"/>
        <v>20.950557349999997</v>
      </c>
      <c r="AE306" s="753"/>
    </row>
    <row r="307" spans="1:31" s="145" customFormat="1" ht="38.25" customHeight="1">
      <c r="A307" s="383"/>
      <c r="B307" s="383"/>
      <c r="C307" s="3792" t="s">
        <v>66</v>
      </c>
      <c r="D307" s="3792" t="s">
        <v>196</v>
      </c>
      <c r="E307" s="3792" t="s">
        <v>66</v>
      </c>
      <c r="F307" s="3790">
        <v>15</v>
      </c>
      <c r="G307" s="1218">
        <v>15</v>
      </c>
      <c r="H307" s="1218"/>
      <c r="I307" s="1279" t="s">
        <v>1826</v>
      </c>
      <c r="J307" s="384" t="s">
        <v>1803</v>
      </c>
      <c r="K307" s="1992">
        <v>20</v>
      </c>
      <c r="L307" s="2348">
        <v>8000000000</v>
      </c>
      <c r="M307" s="1992">
        <v>5</v>
      </c>
      <c r="N307" s="2402">
        <v>879674500</v>
      </c>
      <c r="O307" s="2769">
        <v>3</v>
      </c>
      <c r="P307" s="1232">
        <v>744000000</v>
      </c>
      <c r="Q307" s="1992"/>
      <c r="R307" s="590">
        <v>1037500</v>
      </c>
      <c r="S307" s="2645">
        <v>0</v>
      </c>
      <c r="T307" s="2306">
        <v>97391462</v>
      </c>
      <c r="U307" s="2902">
        <v>3</v>
      </c>
      <c r="V307" s="1202">
        <v>582654392</v>
      </c>
      <c r="W307" s="1195"/>
      <c r="X307" s="1202"/>
      <c r="Y307" s="1992">
        <f t="shared" si="91"/>
        <v>3</v>
      </c>
      <c r="Z307" s="1202">
        <f t="shared" si="91"/>
        <v>681083354</v>
      </c>
      <c r="AA307" s="1992">
        <f t="shared" si="83"/>
        <v>8</v>
      </c>
      <c r="AB307" s="1202">
        <f t="shared" si="90"/>
        <v>1560757854</v>
      </c>
      <c r="AC307" s="2525">
        <f t="shared" si="84"/>
        <v>40</v>
      </c>
      <c r="AD307" s="2525">
        <f t="shared" si="85"/>
        <v>19.509473175</v>
      </c>
      <c r="AE307" s="753"/>
    </row>
    <row r="308" spans="1:31" s="145" customFormat="1" ht="42" customHeight="1">
      <c r="A308" s="383"/>
      <c r="B308" s="383"/>
      <c r="C308" s="3792" t="s">
        <v>66</v>
      </c>
      <c r="D308" s="3792" t="s">
        <v>196</v>
      </c>
      <c r="E308" s="3792" t="s">
        <v>66</v>
      </c>
      <c r="F308" s="3790">
        <v>15</v>
      </c>
      <c r="G308" s="1218">
        <v>16</v>
      </c>
      <c r="H308" s="1218"/>
      <c r="I308" s="1279" t="s">
        <v>1827</v>
      </c>
      <c r="J308" s="384" t="s">
        <v>1803</v>
      </c>
      <c r="K308" s="1992">
        <v>10</v>
      </c>
      <c r="L308" s="2348">
        <v>6000000000</v>
      </c>
      <c r="M308" s="1992">
        <v>5</v>
      </c>
      <c r="N308" s="3145">
        <v>142410000</v>
      </c>
      <c r="O308" s="2769">
        <v>3</v>
      </c>
      <c r="P308" s="1232">
        <v>147000000</v>
      </c>
      <c r="Q308" s="1992"/>
      <c r="R308" s="590">
        <v>0</v>
      </c>
      <c r="S308" s="2950">
        <v>3</v>
      </c>
      <c r="T308" s="2348">
        <f>P308</f>
        <v>147000000</v>
      </c>
      <c r="U308" s="2902">
        <v>3</v>
      </c>
      <c r="V308" s="1202">
        <v>3294434</v>
      </c>
      <c r="W308" s="1195"/>
      <c r="X308" s="1202"/>
      <c r="Y308" s="1992">
        <f t="shared" si="91"/>
        <v>6</v>
      </c>
      <c r="Z308" s="1202">
        <f t="shared" si="91"/>
        <v>150294434</v>
      </c>
      <c r="AA308" s="1992">
        <f t="shared" si="83"/>
        <v>11</v>
      </c>
      <c r="AB308" s="1202">
        <f t="shared" si="90"/>
        <v>292704434</v>
      </c>
      <c r="AC308" s="2525">
        <f t="shared" si="84"/>
        <v>110.00000000000001</v>
      </c>
      <c r="AD308" s="2525">
        <f t="shared" si="85"/>
        <v>4.8784072333333333</v>
      </c>
      <c r="AE308" s="753"/>
    </row>
    <row r="309" spans="1:31" s="145" customFormat="1" ht="41.25" customHeight="1">
      <c r="A309" s="383"/>
      <c r="B309" s="383"/>
      <c r="C309" s="3792" t="s">
        <v>66</v>
      </c>
      <c r="D309" s="3792" t="s">
        <v>196</v>
      </c>
      <c r="E309" s="3792" t="s">
        <v>66</v>
      </c>
      <c r="F309" s="3790">
        <v>15</v>
      </c>
      <c r="G309" s="1218">
        <v>17</v>
      </c>
      <c r="H309" s="1218"/>
      <c r="I309" s="1279" t="s">
        <v>1828</v>
      </c>
      <c r="J309" s="384" t="s">
        <v>1803</v>
      </c>
      <c r="K309" s="1992">
        <v>15</v>
      </c>
      <c r="L309" s="2348">
        <v>6000000000</v>
      </c>
      <c r="M309" s="1992">
        <v>5</v>
      </c>
      <c r="N309" s="2402">
        <v>228741000</v>
      </c>
      <c r="O309" s="2769">
        <v>3</v>
      </c>
      <c r="P309" s="1232">
        <v>490308938</v>
      </c>
      <c r="Q309" s="1992"/>
      <c r="R309" s="590">
        <v>0</v>
      </c>
      <c r="S309" s="2904">
        <v>0</v>
      </c>
      <c r="T309" s="2306">
        <v>1239624</v>
      </c>
      <c r="U309" s="2902">
        <v>3</v>
      </c>
      <c r="V309" s="1202">
        <v>340731275</v>
      </c>
      <c r="W309" s="1195"/>
      <c r="X309" s="1202"/>
      <c r="Y309" s="1992">
        <f t="shared" si="91"/>
        <v>3</v>
      </c>
      <c r="Z309" s="1202">
        <f t="shared" si="91"/>
        <v>341970899</v>
      </c>
      <c r="AA309" s="1992">
        <f t="shared" si="83"/>
        <v>8</v>
      </c>
      <c r="AB309" s="1202">
        <f t="shared" si="90"/>
        <v>570711899</v>
      </c>
      <c r="AC309" s="2525">
        <f t="shared" si="84"/>
        <v>53.333333333333336</v>
      </c>
      <c r="AD309" s="2525">
        <f t="shared" si="85"/>
        <v>9.511864983333334</v>
      </c>
      <c r="AE309" s="753"/>
    </row>
    <row r="310" spans="1:31" s="145" customFormat="1" ht="38.25" customHeight="1">
      <c r="A310" s="383"/>
      <c r="B310" s="383"/>
      <c r="C310" s="3792" t="s">
        <v>66</v>
      </c>
      <c r="D310" s="3792" t="s">
        <v>196</v>
      </c>
      <c r="E310" s="3792" t="s">
        <v>66</v>
      </c>
      <c r="F310" s="3790">
        <v>15</v>
      </c>
      <c r="G310" s="1218">
        <v>18</v>
      </c>
      <c r="H310" s="1218"/>
      <c r="I310" s="1279" t="s">
        <v>1829</v>
      </c>
      <c r="J310" s="384" t="s">
        <v>1803</v>
      </c>
      <c r="K310" s="1992">
        <v>15</v>
      </c>
      <c r="L310" s="2348">
        <v>6000000000</v>
      </c>
      <c r="M310" s="1992">
        <v>5</v>
      </c>
      <c r="N310" s="2402">
        <v>96477000</v>
      </c>
      <c r="O310" s="2769">
        <v>3</v>
      </c>
      <c r="P310" s="1232">
        <v>199127579.5</v>
      </c>
      <c r="Q310" s="1992"/>
      <c r="R310" s="590">
        <v>1212500</v>
      </c>
      <c r="S310" s="2904">
        <v>2</v>
      </c>
      <c r="T310" s="2306">
        <v>100439624</v>
      </c>
      <c r="U310" s="2902">
        <v>1</v>
      </c>
      <c r="V310" s="1202">
        <v>923000</v>
      </c>
      <c r="W310" s="1195"/>
      <c r="X310" s="1202"/>
      <c r="Y310" s="1992">
        <f t="shared" si="91"/>
        <v>3</v>
      </c>
      <c r="Z310" s="1202">
        <f t="shared" si="91"/>
        <v>102575124</v>
      </c>
      <c r="AA310" s="1992">
        <f t="shared" si="83"/>
        <v>8</v>
      </c>
      <c r="AB310" s="1202">
        <f t="shared" si="90"/>
        <v>199052124</v>
      </c>
      <c r="AC310" s="2525">
        <f t="shared" si="84"/>
        <v>53.333333333333336</v>
      </c>
      <c r="AD310" s="2525">
        <f t="shared" si="85"/>
        <v>3.3175353999999997</v>
      </c>
      <c r="AE310" s="753"/>
    </row>
    <row r="311" spans="1:31" s="145" customFormat="1" ht="38.25" customHeight="1">
      <c r="A311" s="383"/>
      <c r="B311" s="383"/>
      <c r="C311" s="3792" t="s">
        <v>66</v>
      </c>
      <c r="D311" s="3792" t="s">
        <v>196</v>
      </c>
      <c r="E311" s="3792" t="s">
        <v>66</v>
      </c>
      <c r="F311" s="3790">
        <v>15</v>
      </c>
      <c r="G311" s="1218">
        <v>19</v>
      </c>
      <c r="H311" s="1218"/>
      <c r="I311" s="1279" t="s">
        <v>1830</v>
      </c>
      <c r="J311" s="384" t="s">
        <v>1803</v>
      </c>
      <c r="K311" s="1992">
        <v>10</v>
      </c>
      <c r="L311" s="2348">
        <v>6000000000</v>
      </c>
      <c r="M311" s="1992">
        <v>5</v>
      </c>
      <c r="N311" s="2402">
        <v>149656500</v>
      </c>
      <c r="O311" s="2769">
        <v>3</v>
      </c>
      <c r="P311" s="1232">
        <v>195000000</v>
      </c>
      <c r="Q311" s="1992"/>
      <c r="R311" s="590">
        <v>0</v>
      </c>
      <c r="S311" s="2904">
        <v>0</v>
      </c>
      <c r="T311" s="2306">
        <v>1116062</v>
      </c>
      <c r="U311" s="2902">
        <v>1</v>
      </c>
      <c r="V311" s="1202">
        <v>192808496</v>
      </c>
      <c r="W311" s="1195"/>
      <c r="X311" s="1202"/>
      <c r="Y311" s="1992">
        <f t="shared" si="91"/>
        <v>1</v>
      </c>
      <c r="Z311" s="1202">
        <f t="shared" si="91"/>
        <v>193924558</v>
      </c>
      <c r="AA311" s="1992">
        <f t="shared" si="83"/>
        <v>6</v>
      </c>
      <c r="AB311" s="1202">
        <f t="shared" si="90"/>
        <v>343581058</v>
      </c>
      <c r="AC311" s="2525">
        <f t="shared" si="84"/>
        <v>60</v>
      </c>
      <c r="AD311" s="2525">
        <f t="shared" si="85"/>
        <v>5.7263509666666668</v>
      </c>
      <c r="AE311" s="753"/>
    </row>
    <row r="312" spans="1:31" s="145" customFormat="1" ht="40.5" customHeight="1">
      <c r="A312" s="383"/>
      <c r="B312" s="383"/>
      <c r="C312" s="3792" t="s">
        <v>66</v>
      </c>
      <c r="D312" s="3792" t="s">
        <v>196</v>
      </c>
      <c r="E312" s="3792" t="s">
        <v>66</v>
      </c>
      <c r="F312" s="3790">
        <v>15</v>
      </c>
      <c r="G312" s="1218">
        <v>20</v>
      </c>
      <c r="H312" s="1218"/>
      <c r="I312" s="1279" t="s">
        <v>1831</v>
      </c>
      <c r="J312" s="384" t="s">
        <v>1803</v>
      </c>
      <c r="K312" s="1992">
        <v>10</v>
      </c>
      <c r="L312" s="2348">
        <v>6000000000</v>
      </c>
      <c r="M312" s="1992">
        <v>5</v>
      </c>
      <c r="N312" s="2402">
        <v>831746000</v>
      </c>
      <c r="O312" s="2769">
        <v>3</v>
      </c>
      <c r="P312" s="1232">
        <v>292500000</v>
      </c>
      <c r="Q312" s="1992"/>
      <c r="R312" s="590">
        <v>1250000</v>
      </c>
      <c r="S312" s="2904">
        <v>0</v>
      </c>
      <c r="T312" s="2306">
        <v>2532124</v>
      </c>
      <c r="U312" s="2902">
        <v>1</v>
      </c>
      <c r="V312" s="1202">
        <v>98710916</v>
      </c>
      <c r="W312" s="1195"/>
      <c r="X312" s="1202"/>
      <c r="Y312" s="1992">
        <f t="shared" si="91"/>
        <v>1</v>
      </c>
      <c r="Z312" s="1202">
        <f t="shared" si="91"/>
        <v>102493040</v>
      </c>
      <c r="AA312" s="1992">
        <f t="shared" si="83"/>
        <v>6</v>
      </c>
      <c r="AB312" s="1202">
        <f t="shared" si="90"/>
        <v>934239040</v>
      </c>
      <c r="AC312" s="2525">
        <f t="shared" si="84"/>
        <v>60</v>
      </c>
      <c r="AD312" s="2525">
        <f t="shared" si="85"/>
        <v>15.570650666666666</v>
      </c>
      <c r="AE312" s="753"/>
    </row>
    <row r="313" spans="1:31" s="145" customFormat="1" ht="42.75" customHeight="1">
      <c r="A313" s="383"/>
      <c r="B313" s="383"/>
      <c r="C313" s="3792" t="s">
        <v>66</v>
      </c>
      <c r="D313" s="3792" t="s">
        <v>196</v>
      </c>
      <c r="E313" s="3792" t="s">
        <v>66</v>
      </c>
      <c r="F313" s="3790">
        <v>43</v>
      </c>
      <c r="G313" s="3157">
        <v>82</v>
      </c>
      <c r="H313" s="3157"/>
      <c r="I313" s="1279" t="s">
        <v>1832</v>
      </c>
      <c r="J313" s="384" t="s">
        <v>1803</v>
      </c>
      <c r="K313" s="1992">
        <v>15</v>
      </c>
      <c r="L313" s="2348">
        <v>6000000000</v>
      </c>
      <c r="M313" s="1992">
        <v>5</v>
      </c>
      <c r="N313" s="2402">
        <v>479965800</v>
      </c>
      <c r="O313" s="2769">
        <v>3</v>
      </c>
      <c r="P313" s="1232">
        <v>0</v>
      </c>
      <c r="Q313" s="1992"/>
      <c r="R313" s="590"/>
      <c r="S313" s="2896"/>
      <c r="T313" s="2306">
        <v>2797624</v>
      </c>
      <c r="U313" s="2902">
        <v>3</v>
      </c>
      <c r="V313" s="1202">
        <v>24097994</v>
      </c>
      <c r="W313" s="1195"/>
      <c r="X313" s="1202"/>
      <c r="Y313" s="1992">
        <f t="shared" si="91"/>
        <v>3</v>
      </c>
      <c r="Z313" s="1202">
        <f t="shared" si="91"/>
        <v>26895618</v>
      </c>
      <c r="AA313" s="1992">
        <f t="shared" si="83"/>
        <v>8</v>
      </c>
      <c r="AB313" s="1202">
        <f t="shared" si="90"/>
        <v>506861418</v>
      </c>
      <c r="AC313" s="2525">
        <f t="shared" si="84"/>
        <v>53.333333333333336</v>
      </c>
      <c r="AD313" s="2525">
        <f t="shared" si="85"/>
        <v>8.4476903000000014</v>
      </c>
      <c r="AE313" s="753"/>
    </row>
    <row r="314" spans="1:31" s="145" customFormat="1" ht="34.5" customHeight="1">
      <c r="A314" s="383"/>
      <c r="B314" s="383"/>
      <c r="C314" s="3792" t="s">
        <v>66</v>
      </c>
      <c r="D314" s="3792" t="s">
        <v>196</v>
      </c>
      <c r="E314" s="3792" t="s">
        <v>66</v>
      </c>
      <c r="F314" s="3790">
        <v>15</v>
      </c>
      <c r="G314" s="1218">
        <v>29</v>
      </c>
      <c r="H314" s="1218"/>
      <c r="I314" s="1279" t="s">
        <v>1834</v>
      </c>
      <c r="J314" s="384" t="s">
        <v>1835</v>
      </c>
      <c r="K314" s="1992">
        <v>72</v>
      </c>
      <c r="L314" s="2348">
        <f>6*150000000</f>
        <v>900000000</v>
      </c>
      <c r="M314" s="1992">
        <v>24</v>
      </c>
      <c r="N314" s="2402">
        <v>173095500</v>
      </c>
      <c r="O314" s="2769">
        <v>12</v>
      </c>
      <c r="P314" s="1232">
        <v>169087804</v>
      </c>
      <c r="Q314" s="1992">
        <v>3</v>
      </c>
      <c r="R314" s="590">
        <v>15619059</v>
      </c>
      <c r="S314" s="2896">
        <v>0.03</v>
      </c>
      <c r="T314" s="2306"/>
      <c r="U314" s="2902">
        <v>3</v>
      </c>
      <c r="V314" s="1202">
        <v>12126034</v>
      </c>
      <c r="W314" s="1195"/>
      <c r="X314" s="1202"/>
      <c r="Y314" s="1992">
        <f t="shared" si="91"/>
        <v>6.0299999999999994</v>
      </c>
      <c r="Z314" s="1202">
        <f t="shared" si="91"/>
        <v>27745093</v>
      </c>
      <c r="AA314" s="1992">
        <f t="shared" si="83"/>
        <v>30.03</v>
      </c>
      <c r="AB314" s="1202">
        <f t="shared" si="90"/>
        <v>200840593</v>
      </c>
      <c r="AC314" s="2525">
        <f t="shared" si="84"/>
        <v>41.708333333333336</v>
      </c>
      <c r="AD314" s="2525">
        <f t="shared" si="85"/>
        <v>22.315621444444446</v>
      </c>
      <c r="AE314" s="753"/>
    </row>
    <row r="315" spans="1:31" s="145" customFormat="1" ht="34.5" customHeight="1">
      <c r="A315" s="383"/>
      <c r="B315" s="383"/>
      <c r="C315" s="3792" t="s">
        <v>66</v>
      </c>
      <c r="D315" s="3792" t="s">
        <v>196</v>
      </c>
      <c r="E315" s="3792" t="s">
        <v>66</v>
      </c>
      <c r="F315" s="3790">
        <v>15</v>
      </c>
      <c r="G315" s="1218">
        <v>31</v>
      </c>
      <c r="H315" s="1218"/>
      <c r="I315" s="1277" t="s">
        <v>1836</v>
      </c>
      <c r="J315" s="384" t="s">
        <v>1837</v>
      </c>
      <c r="K315" s="1992">
        <v>6</v>
      </c>
      <c r="L315" s="2348">
        <f>6*150000000</f>
        <v>900000000</v>
      </c>
      <c r="M315" s="1992">
        <v>1</v>
      </c>
      <c r="N315" s="2402">
        <v>145048100</v>
      </c>
      <c r="O315" s="2769">
        <v>1</v>
      </c>
      <c r="P315" s="1232">
        <v>150000000</v>
      </c>
      <c r="Q315" s="1992">
        <v>0</v>
      </c>
      <c r="R315" s="590">
        <v>99442500</v>
      </c>
      <c r="S315" s="2903">
        <v>0.5</v>
      </c>
      <c r="T315" s="2306">
        <v>1402124</v>
      </c>
      <c r="U315" s="2902">
        <v>3</v>
      </c>
      <c r="V315" s="1202">
        <v>43555928</v>
      </c>
      <c r="W315" s="1195"/>
      <c r="X315" s="1202"/>
      <c r="Y315" s="1992">
        <f t="shared" si="91"/>
        <v>3.5</v>
      </c>
      <c r="Z315" s="1202">
        <f t="shared" si="91"/>
        <v>144400552</v>
      </c>
      <c r="AA315" s="1992">
        <f t="shared" si="83"/>
        <v>4.5</v>
      </c>
      <c r="AB315" s="1202">
        <f t="shared" si="90"/>
        <v>289448652</v>
      </c>
      <c r="AC315" s="2525">
        <f t="shared" si="84"/>
        <v>75</v>
      </c>
      <c r="AD315" s="2525">
        <f t="shared" si="85"/>
        <v>32.160961333333333</v>
      </c>
      <c r="AE315" s="753"/>
    </row>
    <row r="316" spans="1:31" s="145" customFormat="1" ht="34.5" customHeight="1">
      <c r="A316" s="383"/>
      <c r="B316" s="383"/>
      <c r="C316" s="3792" t="s">
        <v>66</v>
      </c>
      <c r="D316" s="3792" t="s">
        <v>196</v>
      </c>
      <c r="E316" s="3792" t="s">
        <v>66</v>
      </c>
      <c r="F316" s="3790">
        <v>15</v>
      </c>
      <c r="G316" s="1218">
        <v>30</v>
      </c>
      <c r="H316" s="1218"/>
      <c r="I316" s="1277" t="s">
        <v>1838</v>
      </c>
      <c r="J316" s="384" t="s">
        <v>1837</v>
      </c>
      <c r="K316" s="1992">
        <v>6</v>
      </c>
      <c r="L316" s="2348">
        <f>6*150000000</f>
        <v>900000000</v>
      </c>
      <c r="M316" s="1992"/>
      <c r="N316" s="2402">
        <v>0</v>
      </c>
      <c r="O316" s="2769">
        <v>1</v>
      </c>
      <c r="P316" s="1232">
        <v>100079052.75</v>
      </c>
      <c r="Q316" s="1992">
        <v>0.6</v>
      </c>
      <c r="R316" s="590">
        <v>0</v>
      </c>
      <c r="S316" s="2896"/>
      <c r="T316" s="2306"/>
      <c r="U316" s="2902"/>
      <c r="V316" s="1202">
        <v>1010000</v>
      </c>
      <c r="W316" s="1195"/>
      <c r="X316" s="1202"/>
      <c r="Y316" s="1992">
        <f t="shared" si="91"/>
        <v>0.6</v>
      </c>
      <c r="Z316" s="1202">
        <f t="shared" si="91"/>
        <v>1010000</v>
      </c>
      <c r="AA316" s="1992">
        <f t="shared" si="83"/>
        <v>0.6</v>
      </c>
      <c r="AB316" s="1202">
        <f t="shared" si="90"/>
        <v>1010000</v>
      </c>
      <c r="AC316" s="2525">
        <f t="shared" si="84"/>
        <v>10</v>
      </c>
      <c r="AD316" s="2525">
        <f t="shared" si="85"/>
        <v>0.11222222222222221</v>
      </c>
      <c r="AE316" s="753"/>
    </row>
    <row r="317" spans="1:31" s="145" customFormat="1" ht="39" customHeight="1">
      <c r="A317" s="383"/>
      <c r="B317" s="383"/>
      <c r="C317" s="3792" t="s">
        <v>66</v>
      </c>
      <c r="D317" s="3792" t="s">
        <v>196</v>
      </c>
      <c r="E317" s="3792" t="s">
        <v>66</v>
      </c>
      <c r="F317" s="3790">
        <v>15</v>
      </c>
      <c r="G317" s="1218">
        <v>32</v>
      </c>
      <c r="H317" s="1218"/>
      <c r="I317" s="1277" t="s">
        <v>1839</v>
      </c>
      <c r="J317" s="384" t="s">
        <v>1803</v>
      </c>
      <c r="K317" s="1992">
        <v>5</v>
      </c>
      <c r="L317" s="2348">
        <f>5*800000000</f>
        <v>4000000000</v>
      </c>
      <c r="M317" s="1992"/>
      <c r="N317" s="2402"/>
      <c r="O317" s="2769">
        <v>1</v>
      </c>
      <c r="P317" s="1232">
        <v>800000000</v>
      </c>
      <c r="Q317" s="1992">
        <v>0</v>
      </c>
      <c r="R317" s="590">
        <v>0</v>
      </c>
      <c r="S317" s="2896"/>
      <c r="T317" s="2306"/>
      <c r="U317" s="2902"/>
      <c r="V317" s="1202"/>
      <c r="W317" s="1195"/>
      <c r="X317" s="1202"/>
      <c r="Y317" s="1992">
        <f t="shared" si="91"/>
        <v>0</v>
      </c>
      <c r="Z317" s="1202">
        <f t="shared" si="91"/>
        <v>0</v>
      </c>
      <c r="AA317" s="1992">
        <f t="shared" si="83"/>
        <v>0</v>
      </c>
      <c r="AB317" s="1202">
        <f t="shared" si="90"/>
        <v>0</v>
      </c>
      <c r="AC317" s="2525">
        <f t="shared" si="84"/>
        <v>0</v>
      </c>
      <c r="AD317" s="2525">
        <f t="shared" si="85"/>
        <v>0</v>
      </c>
      <c r="AE317" s="753"/>
    </row>
    <row r="318" spans="1:31" s="145" customFormat="1" ht="76.5">
      <c r="A318" s="383"/>
      <c r="B318" s="383"/>
      <c r="C318" s="3792" t="s">
        <v>66</v>
      </c>
      <c r="D318" s="3792" t="s">
        <v>196</v>
      </c>
      <c r="E318" s="3792" t="s">
        <v>66</v>
      </c>
      <c r="F318" s="3790">
        <v>15</v>
      </c>
      <c r="G318" s="1218">
        <v>33</v>
      </c>
      <c r="H318" s="1218"/>
      <c r="I318" s="1277" t="s">
        <v>4171</v>
      </c>
      <c r="J318" s="384" t="s">
        <v>1803</v>
      </c>
      <c r="K318" s="1992">
        <v>1</v>
      </c>
      <c r="L318" s="2348">
        <v>200000000</v>
      </c>
      <c r="M318" s="1992"/>
      <c r="N318" s="2402"/>
      <c r="O318" s="2769">
        <v>1</v>
      </c>
      <c r="P318" s="1232">
        <v>200000000</v>
      </c>
      <c r="Q318" s="1992">
        <v>0</v>
      </c>
      <c r="R318" s="590">
        <v>0</v>
      </c>
      <c r="S318" s="2896"/>
      <c r="T318" s="2306">
        <v>0</v>
      </c>
      <c r="U318" s="2902">
        <v>0.8</v>
      </c>
      <c r="V318" s="1202">
        <v>821000</v>
      </c>
      <c r="W318" s="1195"/>
      <c r="X318" s="1202"/>
      <c r="Y318" s="1992">
        <f t="shared" ref="Y318:Y342" si="92">Q318+S318+U318+W318</f>
        <v>0.8</v>
      </c>
      <c r="Z318" s="1202">
        <f t="shared" si="91"/>
        <v>821000</v>
      </c>
      <c r="AA318" s="1992">
        <f t="shared" ref="AA318:AA342" si="93">M318+Y318</f>
        <v>0.8</v>
      </c>
      <c r="AB318" s="1202">
        <f t="shared" ref="AB318:AB342" si="94">N318+Z318</f>
        <v>821000</v>
      </c>
      <c r="AC318" s="2525">
        <f t="shared" ref="AC318:AC342" si="95">AA318/K318*100</f>
        <v>80</v>
      </c>
      <c r="AD318" s="2525">
        <f t="shared" ref="AD318:AD342" si="96">(AB318/L318)*100</f>
        <v>0.41050000000000003</v>
      </c>
      <c r="AE318" s="753"/>
    </row>
    <row r="319" spans="1:31" s="145" customFormat="1" ht="76.5">
      <c r="A319" s="383"/>
      <c r="B319" s="383"/>
      <c r="C319" s="3792" t="s">
        <v>66</v>
      </c>
      <c r="D319" s="3792" t="s">
        <v>196</v>
      </c>
      <c r="E319" s="3792" t="s">
        <v>66</v>
      </c>
      <c r="F319" s="3790">
        <v>15</v>
      </c>
      <c r="G319" s="1218">
        <v>34</v>
      </c>
      <c r="H319" s="1218"/>
      <c r="I319" s="1277" t="s">
        <v>4172</v>
      </c>
      <c r="J319" s="384" t="s">
        <v>1803</v>
      </c>
      <c r="K319" s="1992">
        <v>1</v>
      </c>
      <c r="L319" s="2348">
        <v>100000000</v>
      </c>
      <c r="M319" s="1992"/>
      <c r="N319" s="2402"/>
      <c r="O319" s="2769">
        <v>1</v>
      </c>
      <c r="P319" s="1232">
        <v>100000000</v>
      </c>
      <c r="Q319" s="1992">
        <v>0</v>
      </c>
      <c r="R319" s="590">
        <v>0</v>
      </c>
      <c r="S319" s="2896"/>
      <c r="T319" s="2306">
        <v>0</v>
      </c>
      <c r="U319" s="2902">
        <v>0.2</v>
      </c>
      <c r="V319" s="1202">
        <v>0</v>
      </c>
      <c r="W319" s="1195"/>
      <c r="X319" s="1202"/>
      <c r="Y319" s="1992">
        <f t="shared" si="92"/>
        <v>0.2</v>
      </c>
      <c r="Z319" s="1202">
        <f t="shared" si="91"/>
        <v>0</v>
      </c>
      <c r="AA319" s="1992">
        <f t="shared" si="93"/>
        <v>0.2</v>
      </c>
      <c r="AB319" s="1202">
        <f t="shared" si="94"/>
        <v>0</v>
      </c>
      <c r="AC319" s="2525">
        <f t="shared" si="95"/>
        <v>20</v>
      </c>
      <c r="AD319" s="2525">
        <f t="shared" si="96"/>
        <v>0</v>
      </c>
      <c r="AE319" s="753"/>
    </row>
    <row r="320" spans="1:31" s="145" customFormat="1" ht="63.75">
      <c r="A320" s="383"/>
      <c r="B320" s="383"/>
      <c r="C320" s="3792" t="s">
        <v>66</v>
      </c>
      <c r="D320" s="3792" t="s">
        <v>196</v>
      </c>
      <c r="E320" s="3792" t="s">
        <v>66</v>
      </c>
      <c r="F320" s="3790">
        <v>15</v>
      </c>
      <c r="G320" s="1218">
        <v>35</v>
      </c>
      <c r="H320" s="1218"/>
      <c r="I320" s="1277" t="s">
        <v>4173</v>
      </c>
      <c r="J320" s="384" t="s">
        <v>1803</v>
      </c>
      <c r="K320" s="1992">
        <v>1</v>
      </c>
      <c r="L320" s="2348">
        <v>100000000</v>
      </c>
      <c r="M320" s="1992"/>
      <c r="N320" s="2402"/>
      <c r="O320" s="2769">
        <v>1</v>
      </c>
      <c r="P320" s="1232">
        <v>100000000</v>
      </c>
      <c r="Q320" s="1992">
        <v>0</v>
      </c>
      <c r="R320" s="590">
        <v>0</v>
      </c>
      <c r="S320" s="2896"/>
      <c r="T320" s="2306">
        <v>0</v>
      </c>
      <c r="U320" s="2902">
        <v>0.8</v>
      </c>
      <c r="V320" s="1202">
        <v>0</v>
      </c>
      <c r="W320" s="1195"/>
      <c r="X320" s="1202"/>
      <c r="Y320" s="1992">
        <f t="shared" si="92"/>
        <v>0.8</v>
      </c>
      <c r="Z320" s="1202">
        <f t="shared" si="91"/>
        <v>0</v>
      </c>
      <c r="AA320" s="1992">
        <f t="shared" si="93"/>
        <v>0.8</v>
      </c>
      <c r="AB320" s="1202">
        <f t="shared" si="94"/>
        <v>0</v>
      </c>
      <c r="AC320" s="2525">
        <f t="shared" si="95"/>
        <v>80</v>
      </c>
      <c r="AD320" s="2525">
        <f t="shared" si="96"/>
        <v>0</v>
      </c>
      <c r="AE320" s="753"/>
    </row>
    <row r="321" spans="1:31" s="145" customFormat="1" ht="63.75">
      <c r="A321" s="383"/>
      <c r="B321" s="383"/>
      <c r="C321" s="3792" t="s">
        <v>66</v>
      </c>
      <c r="D321" s="3792" t="s">
        <v>196</v>
      </c>
      <c r="E321" s="3792" t="s">
        <v>66</v>
      </c>
      <c r="F321" s="3790">
        <v>15</v>
      </c>
      <c r="G321" s="1218">
        <v>36</v>
      </c>
      <c r="H321" s="1218"/>
      <c r="I321" s="1277" t="s">
        <v>4174</v>
      </c>
      <c r="J321" s="384" t="s">
        <v>1803</v>
      </c>
      <c r="K321" s="1992">
        <v>1</v>
      </c>
      <c r="L321" s="2348">
        <v>100000000</v>
      </c>
      <c r="M321" s="1992"/>
      <c r="N321" s="2402"/>
      <c r="O321" s="2769">
        <v>1</v>
      </c>
      <c r="P321" s="1232">
        <v>100000000</v>
      </c>
      <c r="Q321" s="1992">
        <v>0</v>
      </c>
      <c r="R321" s="590">
        <v>0</v>
      </c>
      <c r="S321" s="2896"/>
      <c r="T321" s="2306">
        <v>0</v>
      </c>
      <c r="U321" s="2902">
        <v>0</v>
      </c>
      <c r="V321" s="1202">
        <v>994000</v>
      </c>
      <c r="W321" s="1195"/>
      <c r="X321" s="1202"/>
      <c r="Y321" s="1992">
        <f t="shared" si="92"/>
        <v>0</v>
      </c>
      <c r="Z321" s="1202">
        <f t="shared" si="91"/>
        <v>994000</v>
      </c>
      <c r="AA321" s="1992">
        <f t="shared" si="93"/>
        <v>0</v>
      </c>
      <c r="AB321" s="1202">
        <f t="shared" si="94"/>
        <v>994000</v>
      </c>
      <c r="AC321" s="2525">
        <f t="shared" si="95"/>
        <v>0</v>
      </c>
      <c r="AD321" s="2525">
        <f t="shared" si="96"/>
        <v>0.99399999999999988</v>
      </c>
      <c r="AE321" s="753"/>
    </row>
    <row r="322" spans="1:31" s="145" customFormat="1" ht="63.75">
      <c r="A322" s="383"/>
      <c r="B322" s="383"/>
      <c r="C322" s="3792" t="s">
        <v>66</v>
      </c>
      <c r="D322" s="3792" t="s">
        <v>196</v>
      </c>
      <c r="E322" s="3792" t="s">
        <v>66</v>
      </c>
      <c r="F322" s="3790">
        <v>15</v>
      </c>
      <c r="G322" s="1218">
        <v>37</v>
      </c>
      <c r="H322" s="1218"/>
      <c r="I322" s="1277" t="s">
        <v>4175</v>
      </c>
      <c r="J322" s="384" t="s">
        <v>1803</v>
      </c>
      <c r="K322" s="1992">
        <v>1</v>
      </c>
      <c r="L322" s="2348">
        <v>100000000</v>
      </c>
      <c r="M322" s="1992"/>
      <c r="N322" s="2402"/>
      <c r="O322" s="2769">
        <v>1</v>
      </c>
      <c r="P322" s="1232">
        <v>100000000</v>
      </c>
      <c r="Q322" s="1992">
        <v>0</v>
      </c>
      <c r="R322" s="590">
        <v>0</v>
      </c>
      <c r="S322" s="2896"/>
      <c r="T322" s="2306">
        <v>0</v>
      </c>
      <c r="U322" s="2902">
        <v>0</v>
      </c>
      <c r="V322" s="1202">
        <v>0</v>
      </c>
      <c r="W322" s="1195"/>
      <c r="X322" s="1202"/>
      <c r="Y322" s="1992">
        <f t="shared" si="92"/>
        <v>0</v>
      </c>
      <c r="Z322" s="1202">
        <f t="shared" si="91"/>
        <v>0</v>
      </c>
      <c r="AA322" s="1992">
        <f t="shared" si="93"/>
        <v>0</v>
      </c>
      <c r="AB322" s="1202">
        <f t="shared" si="94"/>
        <v>0</v>
      </c>
      <c r="AC322" s="2525">
        <f t="shared" si="95"/>
        <v>0</v>
      </c>
      <c r="AD322" s="2525">
        <f t="shared" si="96"/>
        <v>0</v>
      </c>
      <c r="AE322" s="753"/>
    </row>
    <row r="323" spans="1:31" s="145" customFormat="1" ht="63.75">
      <c r="A323" s="383"/>
      <c r="B323" s="383"/>
      <c r="C323" s="3792" t="s">
        <v>66</v>
      </c>
      <c r="D323" s="3792" t="s">
        <v>196</v>
      </c>
      <c r="E323" s="3792" t="s">
        <v>66</v>
      </c>
      <c r="F323" s="3790">
        <v>15</v>
      </c>
      <c r="G323" s="1218">
        <v>38</v>
      </c>
      <c r="H323" s="1218"/>
      <c r="I323" s="1277" t="s">
        <v>4176</v>
      </c>
      <c r="J323" s="384" t="s">
        <v>1803</v>
      </c>
      <c r="K323" s="1992">
        <v>1</v>
      </c>
      <c r="L323" s="2348">
        <v>150000000</v>
      </c>
      <c r="M323" s="1992"/>
      <c r="N323" s="2402"/>
      <c r="O323" s="2769">
        <v>1</v>
      </c>
      <c r="P323" s="1232">
        <v>150000000</v>
      </c>
      <c r="Q323" s="1992">
        <v>0</v>
      </c>
      <c r="R323" s="590">
        <v>0</v>
      </c>
      <c r="S323" s="2896"/>
      <c r="T323" s="2306">
        <v>0</v>
      </c>
      <c r="U323" s="2902">
        <v>0</v>
      </c>
      <c r="V323" s="1202">
        <v>0</v>
      </c>
      <c r="W323" s="1195"/>
      <c r="X323" s="1202"/>
      <c r="Y323" s="1992">
        <f t="shared" si="92"/>
        <v>0</v>
      </c>
      <c r="Z323" s="1202">
        <f t="shared" si="91"/>
        <v>0</v>
      </c>
      <c r="AA323" s="1992">
        <f t="shared" si="93"/>
        <v>0</v>
      </c>
      <c r="AB323" s="1202">
        <f t="shared" si="94"/>
        <v>0</v>
      </c>
      <c r="AC323" s="2525">
        <f t="shared" si="95"/>
        <v>0</v>
      </c>
      <c r="AD323" s="2525">
        <f t="shared" si="96"/>
        <v>0</v>
      </c>
      <c r="AE323" s="753"/>
    </row>
    <row r="324" spans="1:31" s="145" customFormat="1" ht="76.5">
      <c r="A324" s="383"/>
      <c r="B324" s="383"/>
      <c r="C324" s="3792" t="s">
        <v>66</v>
      </c>
      <c r="D324" s="3792" t="s">
        <v>196</v>
      </c>
      <c r="E324" s="3792" t="s">
        <v>66</v>
      </c>
      <c r="F324" s="3790">
        <v>15</v>
      </c>
      <c r="G324" s="1218">
        <v>39</v>
      </c>
      <c r="H324" s="1218"/>
      <c r="I324" s="1277" t="s">
        <v>4177</v>
      </c>
      <c r="J324" s="384" t="s">
        <v>1803</v>
      </c>
      <c r="K324" s="1992">
        <v>1</v>
      </c>
      <c r="L324" s="2348">
        <v>165000000</v>
      </c>
      <c r="M324" s="1992"/>
      <c r="N324" s="2402"/>
      <c r="O324" s="2769">
        <v>1</v>
      </c>
      <c r="P324" s="1232">
        <v>165000000</v>
      </c>
      <c r="Q324" s="1992">
        <v>0</v>
      </c>
      <c r="R324" s="590">
        <v>0</v>
      </c>
      <c r="S324" s="2896"/>
      <c r="T324" s="2306">
        <v>0</v>
      </c>
      <c r="U324" s="2902">
        <v>0</v>
      </c>
      <c r="V324" s="1202">
        <v>0</v>
      </c>
      <c r="W324" s="1195"/>
      <c r="X324" s="1202"/>
      <c r="Y324" s="1992">
        <f t="shared" si="92"/>
        <v>0</v>
      </c>
      <c r="Z324" s="1202">
        <f t="shared" si="91"/>
        <v>0</v>
      </c>
      <c r="AA324" s="1992">
        <f t="shared" si="93"/>
        <v>0</v>
      </c>
      <c r="AB324" s="1202">
        <f t="shared" si="94"/>
        <v>0</v>
      </c>
      <c r="AC324" s="2525">
        <f t="shared" si="95"/>
        <v>0</v>
      </c>
      <c r="AD324" s="2525">
        <f t="shared" si="96"/>
        <v>0</v>
      </c>
      <c r="AE324" s="753"/>
    </row>
    <row r="325" spans="1:31" s="145" customFormat="1" ht="76.5">
      <c r="A325" s="383"/>
      <c r="B325" s="383"/>
      <c r="C325" s="3792" t="s">
        <v>66</v>
      </c>
      <c r="D325" s="3792" t="s">
        <v>196</v>
      </c>
      <c r="E325" s="3792" t="s">
        <v>66</v>
      </c>
      <c r="F325" s="3790">
        <v>15</v>
      </c>
      <c r="G325" s="1218">
        <v>40</v>
      </c>
      <c r="H325" s="1218"/>
      <c r="I325" s="1277" t="s">
        <v>4178</v>
      </c>
      <c r="J325" s="384" t="s">
        <v>1803</v>
      </c>
      <c r="K325" s="1992">
        <v>1</v>
      </c>
      <c r="L325" s="2348">
        <v>190000000</v>
      </c>
      <c r="M325" s="1992"/>
      <c r="N325" s="2402"/>
      <c r="O325" s="2769">
        <v>1</v>
      </c>
      <c r="P325" s="1232">
        <v>190000000</v>
      </c>
      <c r="Q325" s="1992">
        <v>0</v>
      </c>
      <c r="R325" s="590">
        <v>0</v>
      </c>
      <c r="S325" s="2896"/>
      <c r="T325" s="2306">
        <v>0</v>
      </c>
      <c r="U325" s="2902">
        <v>0</v>
      </c>
      <c r="V325" s="1202">
        <v>0</v>
      </c>
      <c r="W325" s="1195"/>
      <c r="X325" s="1202"/>
      <c r="Y325" s="1992">
        <f t="shared" si="92"/>
        <v>0</v>
      </c>
      <c r="Z325" s="1202">
        <f t="shared" si="91"/>
        <v>0</v>
      </c>
      <c r="AA325" s="1992">
        <f t="shared" si="93"/>
        <v>0</v>
      </c>
      <c r="AB325" s="1202">
        <f t="shared" si="94"/>
        <v>0</v>
      </c>
      <c r="AC325" s="2525">
        <f t="shared" si="95"/>
        <v>0</v>
      </c>
      <c r="AD325" s="2525">
        <f t="shared" si="96"/>
        <v>0</v>
      </c>
      <c r="AE325" s="753"/>
    </row>
    <row r="326" spans="1:31" s="145" customFormat="1" ht="89.25">
      <c r="A326" s="383"/>
      <c r="B326" s="383"/>
      <c r="C326" s="3792" t="s">
        <v>66</v>
      </c>
      <c r="D326" s="3792" t="s">
        <v>196</v>
      </c>
      <c r="E326" s="3792" t="s">
        <v>66</v>
      </c>
      <c r="F326" s="3790">
        <v>15</v>
      </c>
      <c r="G326" s="1218">
        <v>41</v>
      </c>
      <c r="H326" s="1218"/>
      <c r="I326" s="1277" t="s">
        <v>4179</v>
      </c>
      <c r="J326" s="384" t="s">
        <v>1803</v>
      </c>
      <c r="K326" s="1992">
        <v>1</v>
      </c>
      <c r="L326" s="2348">
        <v>115000000</v>
      </c>
      <c r="M326" s="1992"/>
      <c r="N326" s="2402"/>
      <c r="O326" s="2769">
        <v>1</v>
      </c>
      <c r="P326" s="1232">
        <v>115000000</v>
      </c>
      <c r="Q326" s="1992">
        <v>0</v>
      </c>
      <c r="R326" s="590">
        <v>0</v>
      </c>
      <c r="S326" s="2896"/>
      <c r="T326" s="2306">
        <v>0</v>
      </c>
      <c r="U326" s="2902">
        <v>0</v>
      </c>
      <c r="V326" s="1202">
        <v>970000</v>
      </c>
      <c r="W326" s="1195"/>
      <c r="X326" s="1202"/>
      <c r="Y326" s="1992">
        <f t="shared" si="92"/>
        <v>0</v>
      </c>
      <c r="Z326" s="1202">
        <f t="shared" si="91"/>
        <v>970000</v>
      </c>
      <c r="AA326" s="1992">
        <f t="shared" si="93"/>
        <v>0</v>
      </c>
      <c r="AB326" s="1202">
        <f t="shared" si="94"/>
        <v>970000</v>
      </c>
      <c r="AC326" s="2525">
        <f t="shared" si="95"/>
        <v>0</v>
      </c>
      <c r="AD326" s="2525">
        <f t="shared" si="96"/>
        <v>0.84347826086956534</v>
      </c>
      <c r="AE326" s="753"/>
    </row>
    <row r="327" spans="1:31" s="145" customFormat="1" ht="63.75">
      <c r="A327" s="383"/>
      <c r="B327" s="383"/>
      <c r="C327" s="3792" t="s">
        <v>66</v>
      </c>
      <c r="D327" s="3792" t="s">
        <v>196</v>
      </c>
      <c r="E327" s="3792" t="s">
        <v>66</v>
      </c>
      <c r="F327" s="3790">
        <v>15</v>
      </c>
      <c r="G327" s="1218">
        <v>42</v>
      </c>
      <c r="H327" s="1218"/>
      <c r="I327" s="1277" t="s">
        <v>4180</v>
      </c>
      <c r="J327" s="384" t="s">
        <v>1803</v>
      </c>
      <c r="K327" s="1992">
        <v>1</v>
      </c>
      <c r="L327" s="2348">
        <v>115000000</v>
      </c>
      <c r="M327" s="1992"/>
      <c r="N327" s="2402"/>
      <c r="O327" s="2769">
        <v>1</v>
      </c>
      <c r="P327" s="1232">
        <v>115000000</v>
      </c>
      <c r="Q327" s="1992">
        <v>0</v>
      </c>
      <c r="R327" s="590">
        <v>0</v>
      </c>
      <c r="S327" s="2896"/>
      <c r="T327" s="2306">
        <v>0</v>
      </c>
      <c r="U327" s="2902">
        <v>0.1</v>
      </c>
      <c r="V327" s="1202">
        <v>930000</v>
      </c>
      <c r="W327" s="1195"/>
      <c r="X327" s="1202"/>
      <c r="Y327" s="1992">
        <f t="shared" si="92"/>
        <v>0.1</v>
      </c>
      <c r="Z327" s="1202">
        <f t="shared" si="91"/>
        <v>930000</v>
      </c>
      <c r="AA327" s="1992">
        <f t="shared" si="93"/>
        <v>0.1</v>
      </c>
      <c r="AB327" s="1202">
        <f t="shared" si="94"/>
        <v>930000</v>
      </c>
      <c r="AC327" s="2525">
        <f t="shared" si="95"/>
        <v>10</v>
      </c>
      <c r="AD327" s="2525">
        <f t="shared" si="96"/>
        <v>0.80869565217391304</v>
      </c>
      <c r="AE327" s="753"/>
    </row>
    <row r="328" spans="1:31" s="145" customFormat="1" ht="63.75">
      <c r="A328" s="383"/>
      <c r="B328" s="383"/>
      <c r="C328" s="3792" t="s">
        <v>66</v>
      </c>
      <c r="D328" s="3792" t="s">
        <v>196</v>
      </c>
      <c r="E328" s="3792" t="s">
        <v>66</v>
      </c>
      <c r="F328" s="3790">
        <v>15</v>
      </c>
      <c r="G328" s="1218">
        <v>43</v>
      </c>
      <c r="H328" s="1218"/>
      <c r="I328" s="1277" t="s">
        <v>4181</v>
      </c>
      <c r="J328" s="384" t="s">
        <v>1803</v>
      </c>
      <c r="K328" s="1992">
        <v>1</v>
      </c>
      <c r="L328" s="2348">
        <v>115000000</v>
      </c>
      <c r="M328" s="1992"/>
      <c r="N328" s="2402"/>
      <c r="O328" s="2769">
        <v>1</v>
      </c>
      <c r="P328" s="1232">
        <v>115000000</v>
      </c>
      <c r="Q328" s="1992">
        <v>0</v>
      </c>
      <c r="R328" s="590">
        <v>0</v>
      </c>
      <c r="S328" s="2896"/>
      <c r="T328" s="2306">
        <v>0</v>
      </c>
      <c r="U328" s="2902">
        <v>0</v>
      </c>
      <c r="V328" s="1202">
        <v>970000</v>
      </c>
      <c r="W328" s="1195"/>
      <c r="X328" s="1202"/>
      <c r="Y328" s="1992">
        <f t="shared" si="92"/>
        <v>0</v>
      </c>
      <c r="Z328" s="1202">
        <f t="shared" si="91"/>
        <v>970000</v>
      </c>
      <c r="AA328" s="1992">
        <f t="shared" si="93"/>
        <v>0</v>
      </c>
      <c r="AB328" s="1202">
        <f t="shared" si="94"/>
        <v>970000</v>
      </c>
      <c r="AC328" s="2525">
        <f t="shared" si="95"/>
        <v>0</v>
      </c>
      <c r="AD328" s="2525">
        <f t="shared" si="96"/>
        <v>0.84347826086956534</v>
      </c>
      <c r="AE328" s="753"/>
    </row>
    <row r="329" spans="1:31" s="145" customFormat="1" ht="76.5">
      <c r="A329" s="383"/>
      <c r="B329" s="383"/>
      <c r="C329" s="3792" t="s">
        <v>66</v>
      </c>
      <c r="D329" s="3792" t="s">
        <v>196</v>
      </c>
      <c r="E329" s="3792" t="s">
        <v>66</v>
      </c>
      <c r="F329" s="3790">
        <v>15</v>
      </c>
      <c r="G329" s="1218">
        <v>44</v>
      </c>
      <c r="H329" s="1218"/>
      <c r="I329" s="1277" t="s">
        <v>4182</v>
      </c>
      <c r="J329" s="384" t="s">
        <v>1803</v>
      </c>
      <c r="K329" s="1992">
        <v>1</v>
      </c>
      <c r="L329" s="2348">
        <v>215000000</v>
      </c>
      <c r="M329" s="1992"/>
      <c r="N329" s="2402"/>
      <c r="O329" s="2769">
        <v>1</v>
      </c>
      <c r="P329" s="1232">
        <v>215000000</v>
      </c>
      <c r="Q329" s="1992">
        <v>0</v>
      </c>
      <c r="R329" s="590">
        <v>0</v>
      </c>
      <c r="S329" s="2896"/>
      <c r="T329" s="2306">
        <v>0</v>
      </c>
      <c r="U329" s="2902">
        <v>0</v>
      </c>
      <c r="V329" s="1202">
        <v>994000</v>
      </c>
      <c r="W329" s="1195"/>
      <c r="X329" s="1202"/>
      <c r="Y329" s="1992">
        <f t="shared" si="92"/>
        <v>0</v>
      </c>
      <c r="Z329" s="1202">
        <f t="shared" si="91"/>
        <v>994000</v>
      </c>
      <c r="AA329" s="1992">
        <f t="shared" si="93"/>
        <v>0</v>
      </c>
      <c r="AB329" s="1202">
        <f t="shared" si="94"/>
        <v>994000</v>
      </c>
      <c r="AC329" s="2525">
        <f t="shared" si="95"/>
        <v>0</v>
      </c>
      <c r="AD329" s="2525">
        <f t="shared" si="96"/>
        <v>0.46232558139534885</v>
      </c>
      <c r="AE329" s="753"/>
    </row>
    <row r="330" spans="1:31" s="145" customFormat="1" ht="63.75">
      <c r="A330" s="383"/>
      <c r="B330" s="383"/>
      <c r="C330" s="3792" t="s">
        <v>66</v>
      </c>
      <c r="D330" s="3792" t="s">
        <v>196</v>
      </c>
      <c r="E330" s="3792" t="s">
        <v>66</v>
      </c>
      <c r="F330" s="3790">
        <v>15</v>
      </c>
      <c r="G330" s="1218">
        <v>45</v>
      </c>
      <c r="H330" s="1218"/>
      <c r="I330" s="1277" t="s">
        <v>4183</v>
      </c>
      <c r="J330" s="384" t="s">
        <v>1803</v>
      </c>
      <c r="K330" s="1992">
        <v>1</v>
      </c>
      <c r="L330" s="2348">
        <v>210000000</v>
      </c>
      <c r="M330" s="1992"/>
      <c r="N330" s="2402"/>
      <c r="O330" s="2769">
        <v>1</v>
      </c>
      <c r="P330" s="1232">
        <v>210000000</v>
      </c>
      <c r="Q330" s="1992">
        <v>0</v>
      </c>
      <c r="R330" s="590">
        <v>0</v>
      </c>
      <c r="S330" s="2896"/>
      <c r="T330" s="2306">
        <v>0</v>
      </c>
      <c r="U330" s="2902">
        <v>0</v>
      </c>
      <c r="V330" s="1202">
        <v>0</v>
      </c>
      <c r="W330" s="1195"/>
      <c r="X330" s="1202"/>
      <c r="Y330" s="1992">
        <f t="shared" si="92"/>
        <v>0</v>
      </c>
      <c r="Z330" s="1202">
        <f t="shared" si="91"/>
        <v>0</v>
      </c>
      <c r="AA330" s="1992">
        <f t="shared" si="93"/>
        <v>0</v>
      </c>
      <c r="AB330" s="1202">
        <f t="shared" si="94"/>
        <v>0</v>
      </c>
      <c r="AC330" s="2525">
        <f t="shared" si="95"/>
        <v>0</v>
      </c>
      <c r="AD330" s="2525">
        <f t="shared" si="96"/>
        <v>0</v>
      </c>
      <c r="AE330" s="753"/>
    </row>
    <row r="331" spans="1:31" s="145" customFormat="1" ht="63.75">
      <c r="A331" s="383"/>
      <c r="B331" s="383"/>
      <c r="C331" s="3792" t="s">
        <v>66</v>
      </c>
      <c r="D331" s="3792" t="s">
        <v>196</v>
      </c>
      <c r="E331" s="3792" t="s">
        <v>66</v>
      </c>
      <c r="F331" s="3790">
        <v>15</v>
      </c>
      <c r="G331" s="1218">
        <v>46</v>
      </c>
      <c r="H331" s="1218"/>
      <c r="I331" s="1277" t="s">
        <v>4184</v>
      </c>
      <c r="J331" s="384" t="s">
        <v>1803</v>
      </c>
      <c r="K331" s="1992">
        <v>1</v>
      </c>
      <c r="L331" s="2348">
        <v>200000000</v>
      </c>
      <c r="M331" s="1992"/>
      <c r="N331" s="2402"/>
      <c r="O331" s="2769">
        <v>1</v>
      </c>
      <c r="P331" s="1232">
        <v>200000000</v>
      </c>
      <c r="Q331" s="1992">
        <v>0</v>
      </c>
      <c r="R331" s="590">
        <v>0</v>
      </c>
      <c r="S331" s="2896"/>
      <c r="T331" s="2306">
        <v>0</v>
      </c>
      <c r="U331" s="2902">
        <v>0.15</v>
      </c>
      <c r="V331" s="1202">
        <v>0</v>
      </c>
      <c r="W331" s="1195"/>
      <c r="X331" s="1202"/>
      <c r="Y331" s="1992">
        <f t="shared" si="92"/>
        <v>0.15</v>
      </c>
      <c r="Z331" s="1202">
        <f t="shared" si="91"/>
        <v>0</v>
      </c>
      <c r="AA331" s="1992">
        <f t="shared" si="93"/>
        <v>0.15</v>
      </c>
      <c r="AB331" s="1202">
        <f t="shared" si="94"/>
        <v>0</v>
      </c>
      <c r="AC331" s="2525">
        <f t="shared" si="95"/>
        <v>15</v>
      </c>
      <c r="AD331" s="2525">
        <f t="shared" si="96"/>
        <v>0</v>
      </c>
      <c r="AE331" s="753"/>
    </row>
    <row r="332" spans="1:31" s="145" customFormat="1" ht="76.5">
      <c r="A332" s="383"/>
      <c r="B332" s="383"/>
      <c r="C332" s="3792" t="s">
        <v>66</v>
      </c>
      <c r="D332" s="3792" t="s">
        <v>196</v>
      </c>
      <c r="E332" s="3792" t="s">
        <v>66</v>
      </c>
      <c r="F332" s="3790">
        <v>15</v>
      </c>
      <c r="G332" s="1218">
        <v>47</v>
      </c>
      <c r="H332" s="1218"/>
      <c r="I332" s="1277" t="s">
        <v>4185</v>
      </c>
      <c r="J332" s="384" t="s">
        <v>1808</v>
      </c>
      <c r="K332" s="1992">
        <v>1</v>
      </c>
      <c r="L332" s="2348">
        <v>215000000</v>
      </c>
      <c r="M332" s="1992"/>
      <c r="N332" s="2402"/>
      <c r="O332" s="2769">
        <v>1</v>
      </c>
      <c r="P332" s="1232">
        <v>215000000</v>
      </c>
      <c r="Q332" s="1992">
        <v>0</v>
      </c>
      <c r="R332" s="590">
        <v>0</v>
      </c>
      <c r="S332" s="2896"/>
      <c r="T332" s="2306">
        <v>0</v>
      </c>
      <c r="U332" s="2902">
        <v>0</v>
      </c>
      <c r="V332" s="1202">
        <v>0</v>
      </c>
      <c r="W332" s="1195"/>
      <c r="X332" s="1202"/>
      <c r="Y332" s="1992">
        <f t="shared" si="92"/>
        <v>0</v>
      </c>
      <c r="Z332" s="1202">
        <f t="shared" si="91"/>
        <v>0</v>
      </c>
      <c r="AA332" s="1992">
        <f t="shared" si="93"/>
        <v>0</v>
      </c>
      <c r="AB332" s="1202">
        <f t="shared" si="94"/>
        <v>0</v>
      </c>
      <c r="AC332" s="2525">
        <f t="shared" si="95"/>
        <v>0</v>
      </c>
      <c r="AD332" s="2525">
        <f t="shared" si="96"/>
        <v>0</v>
      </c>
      <c r="AE332" s="753"/>
    </row>
    <row r="333" spans="1:31" s="145" customFormat="1" ht="63.75">
      <c r="A333" s="383"/>
      <c r="B333" s="383"/>
      <c r="C333" s="3792" t="s">
        <v>66</v>
      </c>
      <c r="D333" s="3792" t="s">
        <v>196</v>
      </c>
      <c r="E333" s="3792" t="s">
        <v>66</v>
      </c>
      <c r="F333" s="3790">
        <v>15</v>
      </c>
      <c r="G333" s="1218">
        <v>48</v>
      </c>
      <c r="H333" s="1218"/>
      <c r="I333" s="1277" t="s">
        <v>4186</v>
      </c>
      <c r="J333" s="384" t="s">
        <v>1808</v>
      </c>
      <c r="K333" s="1992">
        <v>1</v>
      </c>
      <c r="L333" s="2348">
        <v>215000000</v>
      </c>
      <c r="M333" s="1992"/>
      <c r="N333" s="2402"/>
      <c r="O333" s="2769">
        <v>1</v>
      </c>
      <c r="P333" s="1232">
        <v>215000000</v>
      </c>
      <c r="Q333" s="1992">
        <v>0</v>
      </c>
      <c r="R333" s="590">
        <v>0</v>
      </c>
      <c r="S333" s="2896"/>
      <c r="T333" s="2306">
        <v>0</v>
      </c>
      <c r="U333" s="2902">
        <v>0</v>
      </c>
      <c r="V333" s="1202">
        <v>0</v>
      </c>
      <c r="W333" s="1195"/>
      <c r="X333" s="1202"/>
      <c r="Y333" s="1992">
        <f t="shared" si="92"/>
        <v>0</v>
      </c>
      <c r="Z333" s="1202">
        <f t="shared" si="91"/>
        <v>0</v>
      </c>
      <c r="AA333" s="1992">
        <f t="shared" si="93"/>
        <v>0</v>
      </c>
      <c r="AB333" s="1202">
        <f t="shared" si="94"/>
        <v>0</v>
      </c>
      <c r="AC333" s="2525">
        <f t="shared" si="95"/>
        <v>0</v>
      </c>
      <c r="AD333" s="2525">
        <f t="shared" si="96"/>
        <v>0</v>
      </c>
      <c r="AE333" s="753"/>
    </row>
    <row r="334" spans="1:31" s="145" customFormat="1" ht="63.75">
      <c r="A334" s="383"/>
      <c r="B334" s="383"/>
      <c r="C334" s="3792" t="s">
        <v>66</v>
      </c>
      <c r="D334" s="3792" t="s">
        <v>196</v>
      </c>
      <c r="E334" s="3792" t="s">
        <v>66</v>
      </c>
      <c r="F334" s="3790">
        <v>15</v>
      </c>
      <c r="G334" s="1218">
        <v>49</v>
      </c>
      <c r="H334" s="1218"/>
      <c r="I334" s="1277" t="s">
        <v>4187</v>
      </c>
      <c r="J334" s="384" t="s">
        <v>1803</v>
      </c>
      <c r="K334" s="1992">
        <v>1</v>
      </c>
      <c r="L334" s="2348">
        <v>200000000</v>
      </c>
      <c r="M334" s="1992"/>
      <c r="N334" s="2402"/>
      <c r="O334" s="2769">
        <v>1</v>
      </c>
      <c r="P334" s="1232">
        <v>200000000</v>
      </c>
      <c r="Q334" s="1992">
        <v>0</v>
      </c>
      <c r="R334" s="590">
        <v>0</v>
      </c>
      <c r="S334" s="2896"/>
      <c r="T334" s="2306">
        <v>0</v>
      </c>
      <c r="U334" s="2902">
        <v>0</v>
      </c>
      <c r="V334" s="1202">
        <v>946000</v>
      </c>
      <c r="W334" s="1195"/>
      <c r="X334" s="1202"/>
      <c r="Y334" s="1992">
        <f t="shared" si="92"/>
        <v>0</v>
      </c>
      <c r="Z334" s="1202">
        <f t="shared" si="91"/>
        <v>946000</v>
      </c>
      <c r="AA334" s="1992">
        <f t="shared" si="93"/>
        <v>0</v>
      </c>
      <c r="AB334" s="1202">
        <f t="shared" si="94"/>
        <v>946000</v>
      </c>
      <c r="AC334" s="2525">
        <f t="shared" si="95"/>
        <v>0</v>
      </c>
      <c r="AD334" s="2525">
        <f t="shared" si="96"/>
        <v>0.47299999999999998</v>
      </c>
      <c r="AE334" s="753"/>
    </row>
    <row r="335" spans="1:31" s="145" customFormat="1" ht="76.5">
      <c r="A335" s="383"/>
      <c r="B335" s="383"/>
      <c r="C335" s="3792" t="s">
        <v>66</v>
      </c>
      <c r="D335" s="3792" t="s">
        <v>196</v>
      </c>
      <c r="E335" s="3792" t="s">
        <v>66</v>
      </c>
      <c r="F335" s="3790">
        <v>15</v>
      </c>
      <c r="G335" s="1218">
        <v>50</v>
      </c>
      <c r="H335" s="1218"/>
      <c r="I335" s="1277" t="s">
        <v>4188</v>
      </c>
      <c r="J335" s="384" t="s">
        <v>1803</v>
      </c>
      <c r="K335" s="1992">
        <v>1</v>
      </c>
      <c r="L335" s="2348">
        <v>180000000</v>
      </c>
      <c r="M335" s="1992"/>
      <c r="N335" s="2402"/>
      <c r="O335" s="2769">
        <v>1</v>
      </c>
      <c r="P335" s="1232">
        <v>180000000</v>
      </c>
      <c r="Q335" s="1992">
        <v>0</v>
      </c>
      <c r="R335" s="590">
        <v>0</v>
      </c>
      <c r="S335" s="2896"/>
      <c r="T335" s="2306">
        <v>0</v>
      </c>
      <c r="U335" s="2902">
        <v>0</v>
      </c>
      <c r="V335" s="1202">
        <v>1300000</v>
      </c>
      <c r="W335" s="1195"/>
      <c r="X335" s="1202"/>
      <c r="Y335" s="1992">
        <f t="shared" si="92"/>
        <v>0</v>
      </c>
      <c r="Z335" s="1202">
        <f t="shared" si="91"/>
        <v>1300000</v>
      </c>
      <c r="AA335" s="1992">
        <f t="shared" si="93"/>
        <v>0</v>
      </c>
      <c r="AB335" s="1202">
        <f t="shared" si="94"/>
        <v>1300000</v>
      </c>
      <c r="AC335" s="2525">
        <f t="shared" si="95"/>
        <v>0</v>
      </c>
      <c r="AD335" s="2525">
        <f t="shared" si="96"/>
        <v>0.72222222222222221</v>
      </c>
      <c r="AE335" s="753"/>
    </row>
    <row r="336" spans="1:31" s="145" customFormat="1" ht="89.25">
      <c r="A336" s="383"/>
      <c r="B336" s="383"/>
      <c r="C336" s="3792" t="s">
        <v>66</v>
      </c>
      <c r="D336" s="3792" t="s">
        <v>196</v>
      </c>
      <c r="E336" s="3792" t="s">
        <v>66</v>
      </c>
      <c r="F336" s="3790">
        <v>15</v>
      </c>
      <c r="G336" s="1218">
        <v>51</v>
      </c>
      <c r="H336" s="1218"/>
      <c r="I336" s="1277" t="s">
        <v>4189</v>
      </c>
      <c r="J336" s="384" t="s">
        <v>1808</v>
      </c>
      <c r="K336" s="1992">
        <v>1</v>
      </c>
      <c r="L336" s="2348">
        <v>200000000</v>
      </c>
      <c r="M336" s="1992"/>
      <c r="N336" s="2402"/>
      <c r="O336" s="2769">
        <v>1</v>
      </c>
      <c r="P336" s="1232">
        <v>200000000</v>
      </c>
      <c r="Q336" s="1992">
        <v>0</v>
      </c>
      <c r="R336" s="590">
        <v>0</v>
      </c>
      <c r="S336" s="2896"/>
      <c r="T336" s="2306">
        <v>0</v>
      </c>
      <c r="U336" s="2902">
        <v>0</v>
      </c>
      <c r="V336" s="1202">
        <v>0</v>
      </c>
      <c r="W336" s="1195"/>
      <c r="X336" s="1202"/>
      <c r="Y336" s="1992">
        <f t="shared" si="92"/>
        <v>0</v>
      </c>
      <c r="Z336" s="1202">
        <f t="shared" si="91"/>
        <v>0</v>
      </c>
      <c r="AA336" s="1992">
        <f t="shared" si="93"/>
        <v>0</v>
      </c>
      <c r="AB336" s="1202">
        <f t="shared" si="94"/>
        <v>0</v>
      </c>
      <c r="AC336" s="2525">
        <f t="shared" si="95"/>
        <v>0</v>
      </c>
      <c r="AD336" s="2525">
        <f t="shared" si="96"/>
        <v>0</v>
      </c>
      <c r="AE336" s="753"/>
    </row>
    <row r="337" spans="1:31" s="145" customFormat="1" ht="89.25">
      <c r="A337" s="383"/>
      <c r="B337" s="383"/>
      <c r="C337" s="3792" t="s">
        <v>66</v>
      </c>
      <c r="D337" s="3792" t="s">
        <v>196</v>
      </c>
      <c r="E337" s="3792" t="s">
        <v>66</v>
      </c>
      <c r="F337" s="3790">
        <v>15</v>
      </c>
      <c r="G337" s="1218">
        <v>52</v>
      </c>
      <c r="H337" s="1218"/>
      <c r="I337" s="1277" t="s">
        <v>4190</v>
      </c>
      <c r="J337" s="384" t="s">
        <v>1803</v>
      </c>
      <c r="K337" s="1992">
        <v>1</v>
      </c>
      <c r="L337" s="2348">
        <v>150000000</v>
      </c>
      <c r="M337" s="1992"/>
      <c r="N337" s="2402"/>
      <c r="O337" s="2769">
        <v>1</v>
      </c>
      <c r="P337" s="1232">
        <v>150000000</v>
      </c>
      <c r="Q337" s="1992">
        <v>0</v>
      </c>
      <c r="R337" s="590">
        <v>0</v>
      </c>
      <c r="S337" s="2896"/>
      <c r="T337" s="2306">
        <v>0</v>
      </c>
      <c r="U337" s="2902">
        <v>0</v>
      </c>
      <c r="V337" s="1202">
        <v>0</v>
      </c>
      <c r="W337" s="1195"/>
      <c r="X337" s="1202"/>
      <c r="Y337" s="1992">
        <f t="shared" si="92"/>
        <v>0</v>
      </c>
      <c r="Z337" s="1202">
        <f t="shared" si="91"/>
        <v>0</v>
      </c>
      <c r="AA337" s="1992">
        <f t="shared" si="93"/>
        <v>0</v>
      </c>
      <c r="AB337" s="1202">
        <f t="shared" si="94"/>
        <v>0</v>
      </c>
      <c r="AC337" s="2525">
        <f t="shared" si="95"/>
        <v>0</v>
      </c>
      <c r="AD337" s="2525">
        <f t="shared" si="96"/>
        <v>0</v>
      </c>
      <c r="AE337" s="753"/>
    </row>
    <row r="338" spans="1:31" s="145" customFormat="1" ht="76.5">
      <c r="A338" s="383"/>
      <c r="B338" s="383"/>
      <c r="C338" s="3792" t="s">
        <v>66</v>
      </c>
      <c r="D338" s="3792" t="s">
        <v>196</v>
      </c>
      <c r="E338" s="3792" t="s">
        <v>66</v>
      </c>
      <c r="F338" s="3790">
        <v>15</v>
      </c>
      <c r="G338" s="1218">
        <v>53</v>
      </c>
      <c r="H338" s="1218"/>
      <c r="I338" s="1277" t="s">
        <v>4191</v>
      </c>
      <c r="J338" s="384" t="s">
        <v>1803</v>
      </c>
      <c r="K338" s="1992">
        <v>1</v>
      </c>
      <c r="L338" s="2348">
        <v>175000000</v>
      </c>
      <c r="M338" s="1992"/>
      <c r="N338" s="2402"/>
      <c r="O338" s="2769">
        <v>1</v>
      </c>
      <c r="P338" s="1232">
        <v>175000000</v>
      </c>
      <c r="Q338" s="1992">
        <v>0</v>
      </c>
      <c r="R338" s="590">
        <v>0</v>
      </c>
      <c r="S338" s="2896"/>
      <c r="T338" s="2306">
        <v>0</v>
      </c>
      <c r="U338" s="2902">
        <v>0</v>
      </c>
      <c r="V338" s="1202">
        <v>0</v>
      </c>
      <c r="W338" s="1195"/>
      <c r="X338" s="1202"/>
      <c r="Y338" s="1992">
        <f t="shared" si="92"/>
        <v>0</v>
      </c>
      <c r="Z338" s="1202">
        <f t="shared" si="91"/>
        <v>0</v>
      </c>
      <c r="AA338" s="1992">
        <f t="shared" si="93"/>
        <v>0</v>
      </c>
      <c r="AB338" s="1202">
        <f t="shared" si="94"/>
        <v>0</v>
      </c>
      <c r="AC338" s="2525">
        <f t="shared" si="95"/>
        <v>0</v>
      </c>
      <c r="AD338" s="2525">
        <f t="shared" si="96"/>
        <v>0</v>
      </c>
      <c r="AE338" s="753"/>
    </row>
    <row r="339" spans="1:31" s="145" customFormat="1" ht="76.5">
      <c r="A339" s="383"/>
      <c r="B339" s="383"/>
      <c r="C339" s="3792" t="s">
        <v>66</v>
      </c>
      <c r="D339" s="3792" t="s">
        <v>196</v>
      </c>
      <c r="E339" s="3792" t="s">
        <v>66</v>
      </c>
      <c r="F339" s="3790">
        <v>15</v>
      </c>
      <c r="G339" s="1218">
        <v>54</v>
      </c>
      <c r="H339" s="1218"/>
      <c r="I339" s="1277" t="s">
        <v>4192</v>
      </c>
      <c r="J339" s="384" t="s">
        <v>1803</v>
      </c>
      <c r="K339" s="1992">
        <v>1</v>
      </c>
      <c r="L339" s="2348">
        <v>185000000</v>
      </c>
      <c r="M339" s="1992"/>
      <c r="N339" s="2402"/>
      <c r="O339" s="2769">
        <v>1</v>
      </c>
      <c r="P339" s="1232">
        <v>185000000</v>
      </c>
      <c r="Q339" s="1992">
        <v>0</v>
      </c>
      <c r="R339" s="590">
        <v>0</v>
      </c>
      <c r="S339" s="2896"/>
      <c r="T339" s="2306">
        <v>0</v>
      </c>
      <c r="U339" s="2902">
        <v>0</v>
      </c>
      <c r="V339" s="1202">
        <v>0</v>
      </c>
      <c r="W339" s="1195"/>
      <c r="X339" s="1202"/>
      <c r="Y339" s="1992">
        <f t="shared" si="92"/>
        <v>0</v>
      </c>
      <c r="Z339" s="1202">
        <f t="shared" si="91"/>
        <v>0</v>
      </c>
      <c r="AA339" s="1992">
        <f t="shared" si="93"/>
        <v>0</v>
      </c>
      <c r="AB339" s="1202">
        <f t="shared" si="94"/>
        <v>0</v>
      </c>
      <c r="AC339" s="2525">
        <f t="shared" si="95"/>
        <v>0</v>
      </c>
      <c r="AD339" s="2525">
        <f t="shared" si="96"/>
        <v>0</v>
      </c>
      <c r="AE339" s="753"/>
    </row>
    <row r="340" spans="1:31" s="145" customFormat="1" ht="89.25">
      <c r="A340" s="383"/>
      <c r="B340" s="383"/>
      <c r="C340" s="3792" t="s">
        <v>66</v>
      </c>
      <c r="D340" s="3792" t="s">
        <v>196</v>
      </c>
      <c r="E340" s="3792" t="s">
        <v>66</v>
      </c>
      <c r="F340" s="3790">
        <v>15</v>
      </c>
      <c r="G340" s="1218">
        <v>55</v>
      </c>
      <c r="H340" s="1218"/>
      <c r="I340" s="1277" t="s">
        <v>4193</v>
      </c>
      <c r="J340" s="384" t="s">
        <v>1808</v>
      </c>
      <c r="K340" s="1992">
        <v>1</v>
      </c>
      <c r="L340" s="2348">
        <v>200000000</v>
      </c>
      <c r="M340" s="1992"/>
      <c r="N340" s="2402"/>
      <c r="O340" s="2769">
        <v>1</v>
      </c>
      <c r="P340" s="1232">
        <v>200000000</v>
      </c>
      <c r="Q340" s="1992">
        <v>0</v>
      </c>
      <c r="R340" s="590">
        <v>0</v>
      </c>
      <c r="S340" s="2896"/>
      <c r="T340" s="2306">
        <v>0</v>
      </c>
      <c r="U340" s="2902">
        <v>0</v>
      </c>
      <c r="V340" s="1202">
        <v>1190000</v>
      </c>
      <c r="W340" s="1195"/>
      <c r="X340" s="1202"/>
      <c r="Y340" s="1992">
        <f t="shared" si="92"/>
        <v>0</v>
      </c>
      <c r="Z340" s="1202">
        <f t="shared" si="91"/>
        <v>1190000</v>
      </c>
      <c r="AA340" s="1992">
        <f t="shared" si="93"/>
        <v>0</v>
      </c>
      <c r="AB340" s="1202">
        <f t="shared" si="94"/>
        <v>1190000</v>
      </c>
      <c r="AC340" s="2525">
        <f t="shared" si="95"/>
        <v>0</v>
      </c>
      <c r="AD340" s="2525">
        <f t="shared" si="96"/>
        <v>0.59500000000000008</v>
      </c>
      <c r="AE340" s="753"/>
    </row>
    <row r="341" spans="1:31" s="145" customFormat="1" ht="76.5">
      <c r="A341" s="383"/>
      <c r="B341" s="383"/>
      <c r="C341" s="3792" t="s">
        <v>66</v>
      </c>
      <c r="D341" s="3792" t="s">
        <v>196</v>
      </c>
      <c r="E341" s="3792" t="s">
        <v>66</v>
      </c>
      <c r="F341" s="3790">
        <v>15</v>
      </c>
      <c r="G341" s="1218">
        <v>56</v>
      </c>
      <c r="H341" s="1218"/>
      <c r="I341" s="1277" t="s">
        <v>4194</v>
      </c>
      <c r="J341" s="384" t="s">
        <v>1803</v>
      </c>
      <c r="K341" s="1992">
        <v>1</v>
      </c>
      <c r="L341" s="2348">
        <v>200000000</v>
      </c>
      <c r="M341" s="1992"/>
      <c r="N341" s="2402"/>
      <c r="O341" s="2769">
        <v>1</v>
      </c>
      <c r="P341" s="1232">
        <v>200000000</v>
      </c>
      <c r="Q341" s="1992">
        <v>0</v>
      </c>
      <c r="R341" s="590">
        <v>0</v>
      </c>
      <c r="S341" s="2896"/>
      <c r="T341" s="2306">
        <v>0</v>
      </c>
      <c r="U341" s="2902">
        <v>0</v>
      </c>
      <c r="V341" s="1202">
        <v>930000</v>
      </c>
      <c r="W341" s="1195"/>
      <c r="X341" s="1202"/>
      <c r="Y341" s="1992">
        <f t="shared" si="92"/>
        <v>0</v>
      </c>
      <c r="Z341" s="1202">
        <f t="shared" si="91"/>
        <v>930000</v>
      </c>
      <c r="AA341" s="1992">
        <f t="shared" si="93"/>
        <v>0</v>
      </c>
      <c r="AB341" s="1202">
        <f t="shared" si="94"/>
        <v>930000</v>
      </c>
      <c r="AC341" s="2525">
        <f t="shared" si="95"/>
        <v>0</v>
      </c>
      <c r="AD341" s="2525">
        <f t="shared" si="96"/>
        <v>0.46499999999999997</v>
      </c>
      <c r="AE341" s="753"/>
    </row>
    <row r="342" spans="1:31" s="145" customFormat="1" ht="76.5">
      <c r="A342" s="383"/>
      <c r="B342" s="383"/>
      <c r="C342" s="3792" t="s">
        <v>66</v>
      </c>
      <c r="D342" s="3792" t="s">
        <v>196</v>
      </c>
      <c r="E342" s="3792" t="s">
        <v>66</v>
      </c>
      <c r="F342" s="3790">
        <v>15</v>
      </c>
      <c r="G342" s="1218">
        <v>57</v>
      </c>
      <c r="H342" s="1218"/>
      <c r="I342" s="1277" t="s">
        <v>4195</v>
      </c>
      <c r="J342" s="384" t="s">
        <v>1803</v>
      </c>
      <c r="K342" s="1992">
        <v>1</v>
      </c>
      <c r="L342" s="2348">
        <v>125000000</v>
      </c>
      <c r="M342" s="1992"/>
      <c r="N342" s="2402"/>
      <c r="O342" s="2769">
        <v>1</v>
      </c>
      <c r="P342" s="1232">
        <v>125000000</v>
      </c>
      <c r="Q342" s="1992">
        <v>0</v>
      </c>
      <c r="R342" s="590">
        <v>0</v>
      </c>
      <c r="S342" s="2896"/>
      <c r="T342" s="2306">
        <v>0</v>
      </c>
      <c r="U342" s="2902">
        <v>0</v>
      </c>
      <c r="V342" s="1202">
        <v>1010000</v>
      </c>
      <c r="W342" s="1195"/>
      <c r="X342" s="1202"/>
      <c r="Y342" s="1992">
        <f t="shared" si="92"/>
        <v>0</v>
      </c>
      <c r="Z342" s="1202">
        <f t="shared" si="91"/>
        <v>1010000</v>
      </c>
      <c r="AA342" s="1992">
        <f t="shared" si="93"/>
        <v>0</v>
      </c>
      <c r="AB342" s="1202">
        <f t="shared" si="94"/>
        <v>1010000</v>
      </c>
      <c r="AC342" s="2525">
        <f t="shared" si="95"/>
        <v>0</v>
      </c>
      <c r="AD342" s="2525">
        <f t="shared" si="96"/>
        <v>0.80800000000000005</v>
      </c>
      <c r="AE342" s="753"/>
    </row>
    <row r="343" spans="1:31" s="145" customFormat="1" ht="68.25" customHeight="1">
      <c r="A343" s="3138">
        <v>13</v>
      </c>
      <c r="B343" s="2335" t="s">
        <v>1856</v>
      </c>
      <c r="C343" s="2567" t="s">
        <v>66</v>
      </c>
      <c r="D343" s="2567" t="s">
        <v>196</v>
      </c>
      <c r="E343" s="2567" t="s">
        <v>66</v>
      </c>
      <c r="F343" s="3795">
        <v>36</v>
      </c>
      <c r="G343" s="3795"/>
      <c r="H343" s="3795"/>
      <c r="I343" s="2443" t="s">
        <v>3217</v>
      </c>
      <c r="J343" s="2443" t="s">
        <v>3218</v>
      </c>
      <c r="K343" s="2412">
        <v>95</v>
      </c>
      <c r="L343" s="2361">
        <f>SUM(L344:L345)</f>
        <v>1257174568</v>
      </c>
      <c r="M343" s="2412">
        <v>80</v>
      </c>
      <c r="N343" s="2361">
        <f>SUM(N344:N345)</f>
        <v>0</v>
      </c>
      <c r="O343" s="2412">
        <v>5</v>
      </c>
      <c r="P343" s="2361">
        <f>SUM(P344:P345)</f>
        <v>895466687.25</v>
      </c>
      <c r="Q343" s="2412">
        <v>0</v>
      </c>
      <c r="R343" s="2342">
        <f>SUM(R344:R345)</f>
        <v>20056000</v>
      </c>
      <c r="S343" s="2508">
        <v>1</v>
      </c>
      <c r="T343" s="2361">
        <f>SUM(T344:T345)</f>
        <v>197516250</v>
      </c>
      <c r="U343" s="2341"/>
      <c r="V343" s="2361">
        <f>SUM(V344:V345)</f>
        <v>36409400</v>
      </c>
      <c r="W343" s="2341"/>
      <c r="X343" s="2342"/>
      <c r="Y343" s="2412">
        <f t="shared" si="91"/>
        <v>1</v>
      </c>
      <c r="Z343" s="2342">
        <f t="shared" ref="Z343:Z370" si="97">R343+T343+V343+X343</f>
        <v>253981650</v>
      </c>
      <c r="AA343" s="2412">
        <f t="shared" ref="AA343:AB345" si="98">M343+Y343</f>
        <v>81</v>
      </c>
      <c r="AB343" s="2342">
        <f t="shared" si="98"/>
        <v>253981650</v>
      </c>
      <c r="AC343" s="2490">
        <f>AA343/K343*100</f>
        <v>85.263157894736835</v>
      </c>
      <c r="AD343" s="2490">
        <f>(AB343/L343)*100</f>
        <v>20.202576194653023</v>
      </c>
      <c r="AE343" s="3138" t="s">
        <v>3216</v>
      </c>
    </row>
    <row r="344" spans="1:31" s="63" customFormat="1" ht="45.75" customHeight="1">
      <c r="A344" s="383"/>
      <c r="B344" s="383"/>
      <c r="C344" s="3792" t="s">
        <v>66</v>
      </c>
      <c r="D344" s="3792" t="s">
        <v>196</v>
      </c>
      <c r="E344" s="3792" t="s">
        <v>66</v>
      </c>
      <c r="F344" s="3790">
        <v>36</v>
      </c>
      <c r="G344" s="1218" t="s">
        <v>65</v>
      </c>
      <c r="H344" s="1218"/>
      <c r="I344" s="1279" t="s">
        <v>1862</v>
      </c>
      <c r="J344" s="384" t="s">
        <v>1863</v>
      </c>
      <c r="K344" s="1992">
        <v>1</v>
      </c>
      <c r="L344" s="2348">
        <v>800000000</v>
      </c>
      <c r="M344" s="1992"/>
      <c r="N344" s="2348"/>
      <c r="O344" s="1992">
        <v>1</v>
      </c>
      <c r="P344" s="2348">
        <v>790846771</v>
      </c>
      <c r="Q344" s="1992">
        <v>0</v>
      </c>
      <c r="R344" s="1202"/>
      <c r="S344" s="2904">
        <v>0</v>
      </c>
      <c r="T344" s="2306">
        <v>150333000</v>
      </c>
      <c r="U344" s="1193"/>
      <c r="V344" s="629">
        <v>19304100</v>
      </c>
      <c r="W344" s="1193"/>
      <c r="X344" s="629"/>
      <c r="Y344" s="1992">
        <f t="shared" si="91"/>
        <v>0</v>
      </c>
      <c r="Z344" s="1202">
        <f t="shared" si="97"/>
        <v>169637100</v>
      </c>
      <c r="AA344" s="1992">
        <f t="shared" si="98"/>
        <v>0</v>
      </c>
      <c r="AB344" s="1202">
        <f t="shared" si="98"/>
        <v>169637100</v>
      </c>
      <c r="AC344" s="2525">
        <f>AA344/K344*100</f>
        <v>0</v>
      </c>
      <c r="AD344" s="2525">
        <f>(AB344/L344)*100</f>
        <v>21.2046375</v>
      </c>
      <c r="AE344" s="753"/>
    </row>
    <row r="345" spans="1:31" s="145" customFormat="1" ht="41.25" customHeight="1">
      <c r="A345" s="384"/>
      <c r="B345" s="384"/>
      <c r="C345" s="3792" t="s">
        <v>66</v>
      </c>
      <c r="D345" s="3792" t="s">
        <v>196</v>
      </c>
      <c r="E345" s="3792" t="s">
        <v>66</v>
      </c>
      <c r="F345" s="3790">
        <v>36</v>
      </c>
      <c r="G345" s="1218" t="s">
        <v>197</v>
      </c>
      <c r="H345" s="1218"/>
      <c r="I345" s="1279" t="s">
        <v>1864</v>
      </c>
      <c r="J345" s="384" t="s">
        <v>3591</v>
      </c>
      <c r="K345" s="1992">
        <v>48</v>
      </c>
      <c r="L345" s="2348">
        <f>4*114293642</f>
        <v>457174568</v>
      </c>
      <c r="M345" s="1992"/>
      <c r="N345" s="2348"/>
      <c r="O345" s="1992">
        <v>12</v>
      </c>
      <c r="P345" s="2348">
        <v>104619916.25</v>
      </c>
      <c r="Q345" s="1992">
        <v>3</v>
      </c>
      <c r="R345" s="1202">
        <v>20056000</v>
      </c>
      <c r="S345" s="2904">
        <v>3</v>
      </c>
      <c r="T345" s="2306">
        <v>47183250</v>
      </c>
      <c r="U345" s="1193"/>
      <c r="V345" s="629">
        <v>17105300</v>
      </c>
      <c r="W345" s="1193"/>
      <c r="X345" s="629"/>
      <c r="Y345" s="1992">
        <f t="shared" si="91"/>
        <v>6</v>
      </c>
      <c r="Z345" s="1202">
        <f t="shared" si="97"/>
        <v>84344550</v>
      </c>
      <c r="AA345" s="1992">
        <f t="shared" si="98"/>
        <v>6</v>
      </c>
      <c r="AB345" s="1202">
        <f t="shared" si="98"/>
        <v>84344550</v>
      </c>
      <c r="AC345" s="2525">
        <f>AA345/K345*100</f>
        <v>12.5</v>
      </c>
      <c r="AD345" s="2525">
        <f>(AB345/L345)*100</f>
        <v>18.449090545211604</v>
      </c>
      <c r="AE345" s="390"/>
    </row>
    <row r="346" spans="1:31" s="145" customFormat="1" ht="45.75" customHeight="1">
      <c r="A346" s="2335">
        <v>15</v>
      </c>
      <c r="B346" s="2335"/>
      <c r="C346" s="2567" t="s">
        <v>66</v>
      </c>
      <c r="D346" s="2567" t="s">
        <v>196</v>
      </c>
      <c r="E346" s="2567" t="s">
        <v>66</v>
      </c>
      <c r="F346" s="3795">
        <v>32</v>
      </c>
      <c r="G346" s="3795"/>
      <c r="H346" s="2374"/>
      <c r="I346" s="2444" t="s">
        <v>3219</v>
      </c>
      <c r="J346" s="2444" t="s">
        <v>3220</v>
      </c>
      <c r="K346" s="2772">
        <v>100</v>
      </c>
      <c r="L346" s="2361">
        <f>L347</f>
        <v>148237800</v>
      </c>
      <c r="M346" s="2778">
        <v>50</v>
      </c>
      <c r="N346" s="2361">
        <f>N347</f>
        <v>49412600</v>
      </c>
      <c r="O346" s="2412">
        <v>10</v>
      </c>
      <c r="P346" s="2361">
        <f>P347</f>
        <v>35889602.5</v>
      </c>
      <c r="Q346" s="2412">
        <v>0</v>
      </c>
      <c r="R346" s="2342">
        <f>R347</f>
        <v>2667100</v>
      </c>
      <c r="S346" s="2508">
        <v>0</v>
      </c>
      <c r="T346" s="2361">
        <f>T347</f>
        <v>25280145</v>
      </c>
      <c r="U346" s="2341"/>
      <c r="V346" s="2361">
        <f>V347</f>
        <v>200000</v>
      </c>
      <c r="W346" s="2341"/>
      <c r="X346" s="2342"/>
      <c r="Y346" s="2412">
        <f t="shared" si="91"/>
        <v>0</v>
      </c>
      <c r="Z346" s="2342">
        <f t="shared" si="97"/>
        <v>28147245</v>
      </c>
      <c r="AA346" s="2412">
        <f t="shared" ref="AA346:AA352" si="99">M346+Y346</f>
        <v>50</v>
      </c>
      <c r="AB346" s="2342">
        <f t="shared" ref="AB346:AB352" si="100">N346+Z346</f>
        <v>77559845</v>
      </c>
      <c r="AC346" s="2490">
        <f t="shared" ref="AC346:AC352" si="101">AA346/K346*100</f>
        <v>50</v>
      </c>
      <c r="AD346" s="2490">
        <f t="shared" ref="AD346:AD352" si="102">(AB346/L346)*100</f>
        <v>52.321233180740677</v>
      </c>
      <c r="AE346" s="3138" t="s">
        <v>3216</v>
      </c>
    </row>
    <row r="347" spans="1:31" s="63" customFormat="1" ht="58.5" customHeight="1">
      <c r="A347" s="384"/>
      <c r="B347" s="384"/>
      <c r="C347" s="3792" t="s">
        <v>66</v>
      </c>
      <c r="D347" s="3792" t="s">
        <v>196</v>
      </c>
      <c r="E347" s="3792" t="s">
        <v>66</v>
      </c>
      <c r="F347" s="3790">
        <v>32</v>
      </c>
      <c r="G347" s="1218" t="s">
        <v>66</v>
      </c>
      <c r="H347" s="1218"/>
      <c r="I347" s="1279" t="s">
        <v>1872</v>
      </c>
      <c r="J347" s="1279" t="s">
        <v>3592</v>
      </c>
      <c r="K347" s="2774">
        <v>72</v>
      </c>
      <c r="L347" s="2348">
        <f>3*N347</f>
        <v>148237800</v>
      </c>
      <c r="M347" s="2774">
        <v>24</v>
      </c>
      <c r="N347" s="2348">
        <f>2*24706300</f>
        <v>49412600</v>
      </c>
      <c r="O347" s="1992">
        <v>12</v>
      </c>
      <c r="P347" s="2348">
        <v>35889602.5</v>
      </c>
      <c r="Q347" s="1992">
        <v>3</v>
      </c>
      <c r="R347" s="1202">
        <v>2667100</v>
      </c>
      <c r="S347" s="2902">
        <v>3</v>
      </c>
      <c r="T347" s="1202">
        <v>25280145</v>
      </c>
      <c r="U347" s="1195"/>
      <c r="V347" s="1202">
        <v>200000</v>
      </c>
      <c r="W347" s="1195"/>
      <c r="X347" s="1202"/>
      <c r="Y347" s="1992">
        <f t="shared" si="91"/>
        <v>6</v>
      </c>
      <c r="Z347" s="1202">
        <f t="shared" si="97"/>
        <v>28147245</v>
      </c>
      <c r="AA347" s="1992">
        <f t="shared" si="99"/>
        <v>30</v>
      </c>
      <c r="AB347" s="1202">
        <f t="shared" si="100"/>
        <v>77559845</v>
      </c>
      <c r="AC347" s="2525">
        <f t="shared" si="101"/>
        <v>41.666666666666671</v>
      </c>
      <c r="AD347" s="2525">
        <f t="shared" si="102"/>
        <v>52.321233180740677</v>
      </c>
      <c r="AE347" s="390"/>
    </row>
    <row r="348" spans="1:31" s="63" customFormat="1" ht="53.25" customHeight="1">
      <c r="A348" s="2335">
        <v>16</v>
      </c>
      <c r="B348" s="2335"/>
      <c r="C348" s="2567" t="s">
        <v>66</v>
      </c>
      <c r="D348" s="2567" t="s">
        <v>196</v>
      </c>
      <c r="E348" s="2567" t="s">
        <v>66</v>
      </c>
      <c r="F348" s="3795">
        <v>23</v>
      </c>
      <c r="G348" s="3795"/>
      <c r="H348" s="2374"/>
      <c r="I348" s="2359" t="s">
        <v>4130</v>
      </c>
      <c r="J348" s="2359" t="s">
        <v>3593</v>
      </c>
      <c r="K348" s="2412">
        <v>72</v>
      </c>
      <c r="L348" s="2361">
        <f>SUM(L349:L352)</f>
        <v>3617399840</v>
      </c>
      <c r="M348" s="2778">
        <v>24</v>
      </c>
      <c r="N348" s="2361">
        <f>SUM(N349:N352)</f>
        <v>269808280</v>
      </c>
      <c r="O348" s="2412">
        <v>12</v>
      </c>
      <c r="P348" s="2361">
        <f>SUM(P349:P352)</f>
        <v>1189623593.5</v>
      </c>
      <c r="Q348" s="2412">
        <v>3</v>
      </c>
      <c r="R348" s="2342">
        <f>SUM(R349:R352)</f>
        <v>6882295</v>
      </c>
      <c r="S348" s="2508">
        <v>3</v>
      </c>
      <c r="T348" s="2361">
        <f>SUM(T349:T352)</f>
        <v>1044541043</v>
      </c>
      <c r="U348" s="2341"/>
      <c r="V348" s="2361">
        <f>SUM(V349:V352)</f>
        <v>22795000</v>
      </c>
      <c r="W348" s="2341"/>
      <c r="X348" s="2342"/>
      <c r="Y348" s="2412">
        <f t="shared" si="91"/>
        <v>6</v>
      </c>
      <c r="Z348" s="2342">
        <f t="shared" si="97"/>
        <v>1074218338</v>
      </c>
      <c r="AA348" s="2412">
        <f t="shared" si="99"/>
        <v>30</v>
      </c>
      <c r="AB348" s="2342">
        <f t="shared" si="100"/>
        <v>1344026618</v>
      </c>
      <c r="AC348" s="2490">
        <f t="shared" si="101"/>
        <v>41.666666666666671</v>
      </c>
      <c r="AD348" s="2490">
        <f t="shared" si="102"/>
        <v>37.154494317664373</v>
      </c>
      <c r="AE348" s="3138" t="s">
        <v>3216</v>
      </c>
    </row>
    <row r="349" spans="1:31" s="63" customFormat="1" ht="47.25" customHeight="1">
      <c r="A349" s="384"/>
      <c r="B349" s="384"/>
      <c r="C349" s="3792" t="s">
        <v>66</v>
      </c>
      <c r="D349" s="3792" t="s">
        <v>196</v>
      </c>
      <c r="E349" s="3792" t="s">
        <v>66</v>
      </c>
      <c r="F349" s="3790">
        <v>23</v>
      </c>
      <c r="G349" s="1218">
        <v>12</v>
      </c>
      <c r="H349" s="1218"/>
      <c r="I349" s="1200" t="s">
        <v>1876</v>
      </c>
      <c r="J349" s="1200" t="s">
        <v>1877</v>
      </c>
      <c r="K349" s="1992">
        <v>72</v>
      </c>
      <c r="L349" s="2348">
        <v>60000000</v>
      </c>
      <c r="M349" s="2774">
        <v>24</v>
      </c>
      <c r="N349" s="2348">
        <v>20000000</v>
      </c>
      <c r="O349" s="1992">
        <v>12</v>
      </c>
      <c r="P349" s="1232">
        <v>10000000</v>
      </c>
      <c r="Q349" s="1992">
        <v>3</v>
      </c>
      <c r="R349" s="629">
        <v>0</v>
      </c>
      <c r="S349" s="2896">
        <v>0.03</v>
      </c>
      <c r="T349" s="2306">
        <v>0</v>
      </c>
      <c r="U349" s="1229">
        <v>0.03</v>
      </c>
      <c r="V349" s="1202">
        <v>0</v>
      </c>
      <c r="W349" s="591"/>
      <c r="X349" s="1202"/>
      <c r="Y349" s="1992">
        <f t="shared" si="91"/>
        <v>3.0599999999999996</v>
      </c>
      <c r="Z349" s="629">
        <f t="shared" si="97"/>
        <v>0</v>
      </c>
      <c r="AA349" s="1992">
        <f t="shared" si="99"/>
        <v>27.06</v>
      </c>
      <c r="AB349" s="1202">
        <f t="shared" si="100"/>
        <v>20000000</v>
      </c>
      <c r="AC349" s="2525">
        <f t="shared" si="101"/>
        <v>37.583333333333329</v>
      </c>
      <c r="AD349" s="2525">
        <f t="shared" si="102"/>
        <v>33.333333333333329</v>
      </c>
      <c r="AE349" s="390"/>
    </row>
    <row r="350" spans="1:31" s="63" customFormat="1" ht="62.25" customHeight="1">
      <c r="A350" s="384"/>
      <c r="B350" s="384"/>
      <c r="C350" s="3792" t="s">
        <v>66</v>
      </c>
      <c r="D350" s="3792" t="s">
        <v>196</v>
      </c>
      <c r="E350" s="3792" t="s">
        <v>66</v>
      </c>
      <c r="F350" s="3790">
        <v>23</v>
      </c>
      <c r="G350" s="1218" t="s">
        <v>197</v>
      </c>
      <c r="H350" s="1218"/>
      <c r="I350" s="1200" t="s">
        <v>1878</v>
      </c>
      <c r="J350" s="1200" t="s">
        <v>3594</v>
      </c>
      <c r="K350" s="1992">
        <v>12</v>
      </c>
      <c r="L350" s="2348">
        <f>4*80000000</f>
        <v>320000000</v>
      </c>
      <c r="M350" s="2774">
        <v>2</v>
      </c>
      <c r="N350" s="2348">
        <v>70675000</v>
      </c>
      <c r="O350" s="1992">
        <v>4</v>
      </c>
      <c r="P350" s="1232">
        <v>161210772</v>
      </c>
      <c r="Q350" s="1992">
        <v>0</v>
      </c>
      <c r="R350" s="629">
        <v>0</v>
      </c>
      <c r="S350" s="2399">
        <v>3</v>
      </c>
      <c r="T350" s="2306">
        <v>122595000</v>
      </c>
      <c r="U350" s="1193"/>
      <c r="V350" s="1202">
        <v>0</v>
      </c>
      <c r="W350" s="1195"/>
      <c r="X350" s="1202"/>
      <c r="Y350" s="1992">
        <f t="shared" si="91"/>
        <v>3</v>
      </c>
      <c r="Z350" s="1202">
        <f t="shared" si="97"/>
        <v>122595000</v>
      </c>
      <c r="AA350" s="1992">
        <f t="shared" si="99"/>
        <v>5</v>
      </c>
      <c r="AB350" s="1202">
        <f t="shared" si="100"/>
        <v>193270000</v>
      </c>
      <c r="AC350" s="2525">
        <f t="shared" si="101"/>
        <v>41.666666666666671</v>
      </c>
      <c r="AD350" s="2525">
        <f t="shared" si="102"/>
        <v>60.396875000000009</v>
      </c>
      <c r="AE350" s="390"/>
    </row>
    <row r="351" spans="1:31" s="63" customFormat="1" ht="24.75" customHeight="1">
      <c r="A351" s="384"/>
      <c r="B351" s="384"/>
      <c r="C351" s="3792" t="s">
        <v>66</v>
      </c>
      <c r="D351" s="3792" t="s">
        <v>196</v>
      </c>
      <c r="E351" s="3792" t="s">
        <v>66</v>
      </c>
      <c r="F351" s="3790">
        <v>23</v>
      </c>
      <c r="G351" s="1218">
        <v>15</v>
      </c>
      <c r="H351" s="1218"/>
      <c r="I351" s="1200" t="s">
        <v>1880</v>
      </c>
      <c r="J351" s="384" t="s">
        <v>4649</v>
      </c>
      <c r="K351" s="1992">
        <v>72</v>
      </c>
      <c r="L351" s="2348">
        <f>3*N351</f>
        <v>537399840</v>
      </c>
      <c r="M351" s="2774">
        <v>24</v>
      </c>
      <c r="N351" s="2348">
        <f>2*89566640</f>
        <v>179133280</v>
      </c>
      <c r="O351" s="1992">
        <v>12</v>
      </c>
      <c r="P351" s="1232">
        <v>127512821.5</v>
      </c>
      <c r="Q351" s="1992">
        <v>3</v>
      </c>
      <c r="R351" s="1202">
        <v>6882295</v>
      </c>
      <c r="S351" s="2904">
        <v>3</v>
      </c>
      <c r="T351" s="2306">
        <v>38886543</v>
      </c>
      <c r="U351" s="3609">
        <v>3</v>
      </c>
      <c r="V351" s="1202">
        <v>22345000</v>
      </c>
      <c r="W351" s="1195"/>
      <c r="X351" s="1202"/>
      <c r="Y351" s="1992">
        <f t="shared" si="91"/>
        <v>9</v>
      </c>
      <c r="Z351" s="1202">
        <f t="shared" si="97"/>
        <v>68113838</v>
      </c>
      <c r="AA351" s="1992">
        <f t="shared" si="99"/>
        <v>33</v>
      </c>
      <c r="AB351" s="1202">
        <f t="shared" si="100"/>
        <v>247247118</v>
      </c>
      <c r="AC351" s="2525">
        <f t="shared" si="101"/>
        <v>45.833333333333329</v>
      </c>
      <c r="AD351" s="2525">
        <f t="shared" si="102"/>
        <v>46.008037144186723</v>
      </c>
      <c r="AE351" s="390"/>
    </row>
    <row r="352" spans="1:31" s="63" customFormat="1" ht="37.5" customHeight="1">
      <c r="A352" s="384"/>
      <c r="B352" s="384"/>
      <c r="C352" s="3792" t="s">
        <v>66</v>
      </c>
      <c r="D352" s="3792" t="s">
        <v>196</v>
      </c>
      <c r="E352" s="3792" t="s">
        <v>66</v>
      </c>
      <c r="F352" s="3790">
        <v>23</v>
      </c>
      <c r="G352" s="1218" t="s">
        <v>95</v>
      </c>
      <c r="H352" s="1218"/>
      <c r="I352" s="1200" t="s">
        <v>1881</v>
      </c>
      <c r="J352" s="1200" t="s">
        <v>1882</v>
      </c>
      <c r="K352" s="1992">
        <v>1</v>
      </c>
      <c r="L352" s="2348">
        <v>2700000000</v>
      </c>
      <c r="M352" s="2774"/>
      <c r="N352" s="2348"/>
      <c r="O352" s="1992">
        <v>1</v>
      </c>
      <c r="P352" s="1232">
        <v>890900000</v>
      </c>
      <c r="Q352" s="2142"/>
      <c r="R352" s="629"/>
      <c r="S352" s="2399">
        <v>1</v>
      </c>
      <c r="T352" s="2306">
        <v>883059500</v>
      </c>
      <c r="U352" s="1193"/>
      <c r="V352" s="1202">
        <v>450000</v>
      </c>
      <c r="W352" s="1195"/>
      <c r="X352" s="1202"/>
      <c r="Y352" s="1992">
        <f t="shared" si="91"/>
        <v>1</v>
      </c>
      <c r="Z352" s="1202">
        <f t="shared" si="97"/>
        <v>883509500</v>
      </c>
      <c r="AA352" s="1992">
        <f t="shared" si="99"/>
        <v>1</v>
      </c>
      <c r="AB352" s="1202">
        <f t="shared" si="100"/>
        <v>883509500</v>
      </c>
      <c r="AC352" s="2525">
        <f t="shared" si="101"/>
        <v>100</v>
      </c>
      <c r="AD352" s="2525">
        <f t="shared" si="102"/>
        <v>32.722574074074075</v>
      </c>
      <c r="AE352" s="390"/>
    </row>
    <row r="353" spans="1:31" s="63" customFormat="1" ht="89.25">
      <c r="A353" s="2335">
        <v>17</v>
      </c>
      <c r="B353" s="2335" t="s">
        <v>1770</v>
      </c>
      <c r="C353" s="2352" t="s">
        <v>66</v>
      </c>
      <c r="D353" s="2352" t="s">
        <v>196</v>
      </c>
      <c r="E353" s="2352" t="s">
        <v>66</v>
      </c>
      <c r="F353" s="2874">
        <v>27</v>
      </c>
      <c r="G353" s="2874"/>
      <c r="H353" s="2447"/>
      <c r="I353" s="2359" t="s">
        <v>1885</v>
      </c>
      <c r="J353" s="2335" t="s">
        <v>1886</v>
      </c>
      <c r="K353" s="2412">
        <v>100</v>
      </c>
      <c r="L353" s="3161">
        <f>SUM(L354:L359)</f>
        <v>15950000000</v>
      </c>
      <c r="M353" s="2412">
        <v>70</v>
      </c>
      <c r="N353" s="2361">
        <f>SUM(N354:N359)</f>
        <v>134775480</v>
      </c>
      <c r="O353" s="2412">
        <v>15</v>
      </c>
      <c r="P353" s="2442">
        <f>SUM(P354:P359)</f>
        <v>15430433263.75</v>
      </c>
      <c r="Q353" s="2412">
        <v>0</v>
      </c>
      <c r="R353" s="2342">
        <f>SUM(R354:R359)</f>
        <v>24745374</v>
      </c>
      <c r="S353" s="2367">
        <v>4.24</v>
      </c>
      <c r="T353" s="2342">
        <f>SUM(T354:T362)</f>
        <v>833615978</v>
      </c>
      <c r="U353" s="2341"/>
      <c r="V353" s="2342">
        <f>SUM(V354:V362)</f>
        <v>5590241610</v>
      </c>
      <c r="W353" s="2341"/>
      <c r="X353" s="2342"/>
      <c r="Y353" s="2412">
        <f t="shared" si="91"/>
        <v>4.24</v>
      </c>
      <c r="Z353" s="2342">
        <f t="shared" si="97"/>
        <v>6448602962</v>
      </c>
      <c r="AA353" s="2505">
        <f t="shared" ref="AA353:AA359" si="103">M353+Y353</f>
        <v>74.239999999999995</v>
      </c>
      <c r="AB353" s="2342">
        <f t="shared" ref="AB353:AB359" si="104">N353+Z353</f>
        <v>6583378442</v>
      </c>
      <c r="AC353" s="2490">
        <f t="shared" ref="AC353:AC359" si="105">AA353/K353*100</f>
        <v>74.239999999999995</v>
      </c>
      <c r="AD353" s="2490">
        <f t="shared" ref="AD353:AD359" si="106">(AB353/L353)*100</f>
        <v>41.275099949843259</v>
      </c>
      <c r="AE353" s="3138" t="s">
        <v>3216</v>
      </c>
    </row>
    <row r="354" spans="1:31" s="63" customFormat="1" ht="51">
      <c r="A354" s="384"/>
      <c r="B354" s="384"/>
      <c r="C354" s="3792" t="s">
        <v>66</v>
      </c>
      <c r="D354" s="3792" t="s">
        <v>196</v>
      </c>
      <c r="E354" s="3792" t="s">
        <v>66</v>
      </c>
      <c r="F354" s="3790">
        <v>27</v>
      </c>
      <c r="G354" s="1218">
        <v>13</v>
      </c>
      <c r="H354" s="1218"/>
      <c r="I354" s="2269" t="s">
        <v>1887</v>
      </c>
      <c r="J354" s="2269" t="s">
        <v>3596</v>
      </c>
      <c r="K354" s="1992">
        <v>72</v>
      </c>
      <c r="L354" s="2348">
        <v>250000000</v>
      </c>
      <c r="M354" s="1992">
        <v>24</v>
      </c>
      <c r="N354" s="2348">
        <v>95760780</v>
      </c>
      <c r="O354" s="1992">
        <v>12</v>
      </c>
      <c r="P354" s="1232">
        <v>479650012.5</v>
      </c>
      <c r="Q354" s="1992">
        <v>3</v>
      </c>
      <c r="R354" s="1202">
        <v>1669149</v>
      </c>
      <c r="S354" s="2305">
        <v>0</v>
      </c>
      <c r="T354" s="2304">
        <v>1669149</v>
      </c>
      <c r="U354" s="1195"/>
      <c r="V354" s="1202">
        <v>0</v>
      </c>
      <c r="W354" s="1195"/>
      <c r="X354" s="1202"/>
      <c r="Y354" s="1992">
        <f t="shared" si="91"/>
        <v>3</v>
      </c>
      <c r="Z354" s="1202">
        <f t="shared" si="97"/>
        <v>3338298</v>
      </c>
      <c r="AA354" s="1992">
        <f t="shared" si="103"/>
        <v>27</v>
      </c>
      <c r="AB354" s="1202">
        <f t="shared" si="104"/>
        <v>99099078</v>
      </c>
      <c r="AC354" s="2525">
        <f t="shared" si="105"/>
        <v>37.5</v>
      </c>
      <c r="AD354" s="2525">
        <f t="shared" si="106"/>
        <v>39.639631199999997</v>
      </c>
      <c r="AE354" s="390"/>
    </row>
    <row r="355" spans="1:31" s="63" customFormat="1" ht="41.25" customHeight="1">
      <c r="A355" s="384"/>
      <c r="B355" s="384"/>
      <c r="C355" s="3792" t="s">
        <v>66</v>
      </c>
      <c r="D355" s="3792" t="s">
        <v>196</v>
      </c>
      <c r="E355" s="3792" t="s">
        <v>66</v>
      </c>
      <c r="F355" s="3790">
        <v>27</v>
      </c>
      <c r="G355" s="1218">
        <v>19</v>
      </c>
      <c r="H355" s="1218"/>
      <c r="I355" s="1277" t="s">
        <v>1891</v>
      </c>
      <c r="J355" s="1277" t="s">
        <v>3595</v>
      </c>
      <c r="K355" s="1992">
        <v>72</v>
      </c>
      <c r="L355" s="2348">
        <v>200000000</v>
      </c>
      <c r="M355" s="1992">
        <v>24</v>
      </c>
      <c r="N355" s="2348">
        <v>39014700</v>
      </c>
      <c r="O355" s="1992">
        <v>12</v>
      </c>
      <c r="P355" s="2348">
        <v>168125251.25</v>
      </c>
      <c r="Q355" s="1992">
        <v>3</v>
      </c>
      <c r="R355" s="1202">
        <v>18638539</v>
      </c>
      <c r="S355" s="2305"/>
      <c r="T355" s="2304"/>
      <c r="U355" s="1195"/>
      <c r="V355" s="1202">
        <v>21904110</v>
      </c>
      <c r="W355" s="1195"/>
      <c r="X355" s="1202"/>
      <c r="Y355" s="1992">
        <f t="shared" si="91"/>
        <v>3</v>
      </c>
      <c r="Z355" s="1202">
        <f t="shared" si="97"/>
        <v>40542649</v>
      </c>
      <c r="AA355" s="1992">
        <f t="shared" si="103"/>
        <v>27</v>
      </c>
      <c r="AB355" s="1202">
        <f t="shared" si="104"/>
        <v>79557349</v>
      </c>
      <c r="AC355" s="2525">
        <f t="shared" si="105"/>
        <v>37.5</v>
      </c>
      <c r="AD355" s="2525">
        <f t="shared" si="106"/>
        <v>39.778674500000001</v>
      </c>
      <c r="AE355" s="390"/>
    </row>
    <row r="356" spans="1:31" s="63" customFormat="1" ht="48" customHeight="1">
      <c r="A356" s="384"/>
      <c r="B356" s="384"/>
      <c r="C356" s="3792" t="s">
        <v>66</v>
      </c>
      <c r="D356" s="3792" t="s">
        <v>196</v>
      </c>
      <c r="E356" s="3792" t="s">
        <v>66</v>
      </c>
      <c r="F356" s="3790">
        <v>27</v>
      </c>
      <c r="G356" s="1218">
        <v>23</v>
      </c>
      <c r="H356" s="1218"/>
      <c r="I356" s="2269" t="s">
        <v>1896</v>
      </c>
      <c r="J356" s="384" t="s">
        <v>1886</v>
      </c>
      <c r="K356" s="1992">
        <v>100</v>
      </c>
      <c r="L356" s="2348">
        <v>5500000000</v>
      </c>
      <c r="M356" s="1992">
        <v>0</v>
      </c>
      <c r="N356" s="2348">
        <v>0</v>
      </c>
      <c r="O356" s="1992">
        <v>100</v>
      </c>
      <c r="P356" s="1232">
        <v>5471761000</v>
      </c>
      <c r="Q356" s="1992">
        <v>0</v>
      </c>
      <c r="R356" s="1202">
        <v>2523350</v>
      </c>
      <c r="S356" s="2899">
        <v>0</v>
      </c>
      <c r="T356" s="2304">
        <v>71594839</v>
      </c>
      <c r="U356" s="1195"/>
      <c r="V356" s="1202">
        <v>2176540700</v>
      </c>
      <c r="W356" s="1195"/>
      <c r="X356" s="1202"/>
      <c r="Y356" s="1992">
        <f t="shared" si="91"/>
        <v>0</v>
      </c>
      <c r="Z356" s="1202">
        <f t="shared" si="97"/>
        <v>2250658889</v>
      </c>
      <c r="AA356" s="1992">
        <f t="shared" si="103"/>
        <v>0</v>
      </c>
      <c r="AB356" s="1202">
        <f t="shared" si="104"/>
        <v>2250658889</v>
      </c>
      <c r="AC356" s="2525">
        <f t="shared" si="105"/>
        <v>0</v>
      </c>
      <c r="AD356" s="2525">
        <f t="shared" si="106"/>
        <v>40.921070709090905</v>
      </c>
      <c r="AE356" s="390"/>
    </row>
    <row r="357" spans="1:31" s="63" customFormat="1" ht="48" customHeight="1">
      <c r="A357" s="384"/>
      <c r="B357" s="384"/>
      <c r="C357" s="3792" t="s">
        <v>66</v>
      </c>
      <c r="D357" s="3792" t="s">
        <v>196</v>
      </c>
      <c r="E357" s="3792" t="s">
        <v>66</v>
      </c>
      <c r="F357" s="3790">
        <v>27</v>
      </c>
      <c r="G357" s="1218">
        <v>24</v>
      </c>
      <c r="H357" s="1218"/>
      <c r="I357" s="2269" t="s">
        <v>1897</v>
      </c>
      <c r="J357" s="384" t="s">
        <v>1886</v>
      </c>
      <c r="K357" s="1992">
        <v>100</v>
      </c>
      <c r="L357" s="2348">
        <v>2000000000</v>
      </c>
      <c r="M357" s="1992">
        <v>0</v>
      </c>
      <c r="N357" s="2348">
        <v>0</v>
      </c>
      <c r="O357" s="1992">
        <v>100</v>
      </c>
      <c r="P357" s="1232">
        <v>1592651000</v>
      </c>
      <c r="Q357" s="1992">
        <v>0</v>
      </c>
      <c r="R357" s="1202">
        <v>1189336</v>
      </c>
      <c r="S357" s="2897"/>
      <c r="T357" s="2304"/>
      <c r="U357" s="1195"/>
      <c r="V357" s="1202">
        <v>395355800</v>
      </c>
      <c r="W357" s="1195"/>
      <c r="X357" s="1202"/>
      <c r="Y357" s="1992">
        <f t="shared" si="91"/>
        <v>0</v>
      </c>
      <c r="Z357" s="1202">
        <f t="shared" si="97"/>
        <v>396545136</v>
      </c>
      <c r="AA357" s="1992">
        <f t="shared" si="103"/>
        <v>0</v>
      </c>
      <c r="AB357" s="1202">
        <f t="shared" si="104"/>
        <v>396545136</v>
      </c>
      <c r="AC357" s="2525">
        <f t="shared" si="105"/>
        <v>0</v>
      </c>
      <c r="AD357" s="2525">
        <f t="shared" si="106"/>
        <v>19.827256800000001</v>
      </c>
      <c r="AE357" s="390"/>
    </row>
    <row r="358" spans="1:31" s="63" customFormat="1" ht="37.5" customHeight="1">
      <c r="A358" s="384"/>
      <c r="B358" s="384"/>
      <c r="C358" s="3792" t="s">
        <v>66</v>
      </c>
      <c r="D358" s="3792" t="s">
        <v>196</v>
      </c>
      <c r="E358" s="3792" t="s">
        <v>66</v>
      </c>
      <c r="F358" s="3790">
        <v>27</v>
      </c>
      <c r="G358" s="1218">
        <v>25</v>
      </c>
      <c r="H358" s="1218"/>
      <c r="I358" s="2269" t="s">
        <v>1898</v>
      </c>
      <c r="J358" s="384" t="s">
        <v>1899</v>
      </c>
      <c r="K358" s="1992">
        <v>100</v>
      </c>
      <c r="L358" s="2348">
        <v>2000000000</v>
      </c>
      <c r="M358" s="1992">
        <v>0</v>
      </c>
      <c r="N358" s="2348">
        <v>0</v>
      </c>
      <c r="O358" s="1992">
        <v>100</v>
      </c>
      <c r="P358" s="1232">
        <v>1785376000</v>
      </c>
      <c r="Q358" s="1992">
        <v>0</v>
      </c>
      <c r="R358" s="1202">
        <v>725000</v>
      </c>
      <c r="S358" s="2897"/>
      <c r="T358" s="2304"/>
      <c r="U358" s="1195"/>
      <c r="V358" s="1202">
        <v>709500000</v>
      </c>
      <c r="W358" s="1195"/>
      <c r="X358" s="1202"/>
      <c r="Y358" s="1992">
        <f t="shared" si="91"/>
        <v>0</v>
      </c>
      <c r="Z358" s="1202">
        <f t="shared" si="97"/>
        <v>710225000</v>
      </c>
      <c r="AA358" s="1992">
        <f t="shared" si="103"/>
        <v>0</v>
      </c>
      <c r="AB358" s="1202">
        <f t="shared" si="104"/>
        <v>710225000</v>
      </c>
      <c r="AC358" s="2525">
        <f t="shared" si="105"/>
        <v>0</v>
      </c>
      <c r="AD358" s="2525">
        <f t="shared" si="106"/>
        <v>35.511249999999997</v>
      </c>
      <c r="AE358" s="390"/>
    </row>
    <row r="359" spans="1:31" s="63" customFormat="1" ht="37.5" customHeight="1">
      <c r="A359" s="384"/>
      <c r="B359" s="384"/>
      <c r="C359" s="3792" t="s">
        <v>66</v>
      </c>
      <c r="D359" s="3792" t="s">
        <v>196</v>
      </c>
      <c r="E359" s="3792" t="s">
        <v>66</v>
      </c>
      <c r="F359" s="3790">
        <v>27</v>
      </c>
      <c r="G359" s="1218">
        <v>26</v>
      </c>
      <c r="H359" s="1218"/>
      <c r="I359" s="2269" t="s">
        <v>1900</v>
      </c>
      <c r="J359" s="384" t="s">
        <v>1899</v>
      </c>
      <c r="K359" s="1992">
        <v>100</v>
      </c>
      <c r="L359" s="2348">
        <v>6000000000</v>
      </c>
      <c r="M359" s="1992">
        <v>0</v>
      </c>
      <c r="N359" s="2348">
        <v>0</v>
      </c>
      <c r="O359" s="1992">
        <v>100</v>
      </c>
      <c r="P359" s="1232">
        <v>5932870000</v>
      </c>
      <c r="Q359" s="1992">
        <v>0</v>
      </c>
      <c r="R359" s="1202"/>
      <c r="S359" s="2899">
        <v>3.0000000000000001E-3</v>
      </c>
      <c r="T359" s="2304">
        <v>469709650</v>
      </c>
      <c r="U359" s="1195"/>
      <c r="V359" s="1202">
        <v>2196870000</v>
      </c>
      <c r="W359" s="1195"/>
      <c r="X359" s="1202"/>
      <c r="Y359" s="1992">
        <f t="shared" si="91"/>
        <v>3.0000000000000001E-3</v>
      </c>
      <c r="Z359" s="1202">
        <f t="shared" si="97"/>
        <v>2666579650</v>
      </c>
      <c r="AA359" s="1992">
        <f t="shared" si="103"/>
        <v>3.0000000000000001E-3</v>
      </c>
      <c r="AB359" s="1202">
        <f t="shared" si="104"/>
        <v>2666579650</v>
      </c>
      <c r="AC359" s="2525">
        <f t="shared" si="105"/>
        <v>3.0000000000000001E-3</v>
      </c>
      <c r="AD359" s="2525">
        <f t="shared" si="106"/>
        <v>44.442994166666665</v>
      </c>
      <c r="AE359" s="390"/>
    </row>
    <row r="360" spans="1:31" s="145" customFormat="1" ht="82.5" customHeight="1">
      <c r="A360" s="2335">
        <v>18</v>
      </c>
      <c r="B360" s="2335"/>
      <c r="C360" s="2567" t="s">
        <v>66</v>
      </c>
      <c r="D360" s="2567" t="s">
        <v>196</v>
      </c>
      <c r="E360" s="2567" t="s">
        <v>66</v>
      </c>
      <c r="F360" s="3795">
        <v>16</v>
      </c>
      <c r="G360" s="3795"/>
      <c r="H360" s="2374"/>
      <c r="I360" s="2443" t="s">
        <v>3222</v>
      </c>
      <c r="J360" s="2443" t="s">
        <v>3221</v>
      </c>
      <c r="K360" s="2412">
        <v>100</v>
      </c>
      <c r="L360" s="2361">
        <v>1557212470</v>
      </c>
      <c r="M360" s="2412">
        <v>13.33</v>
      </c>
      <c r="N360" s="2361">
        <v>238729830</v>
      </c>
      <c r="O360" s="2412">
        <v>20</v>
      </c>
      <c r="P360" s="2442">
        <f>P361</f>
        <v>258267823.75</v>
      </c>
      <c r="Q360" s="2412">
        <v>5</v>
      </c>
      <c r="R360" s="2342">
        <f>R361</f>
        <v>37004420</v>
      </c>
      <c r="S360" s="2905">
        <v>3</v>
      </c>
      <c r="T360" s="2342">
        <f>T361</f>
        <v>115408670</v>
      </c>
      <c r="U360" s="2341"/>
      <c r="V360" s="2342">
        <f>V361</f>
        <v>43993000</v>
      </c>
      <c r="W360" s="2341"/>
      <c r="X360" s="2342"/>
      <c r="Y360" s="2412">
        <f t="shared" si="91"/>
        <v>8</v>
      </c>
      <c r="Z360" s="2342">
        <f t="shared" si="97"/>
        <v>196406090</v>
      </c>
      <c r="AA360" s="2412">
        <f t="shared" ref="AA360:AA370" si="107">M360+Y360</f>
        <v>21.33</v>
      </c>
      <c r="AB360" s="2342">
        <f t="shared" ref="AB360:AB370" si="108">N360+Z360</f>
        <v>435135920</v>
      </c>
      <c r="AC360" s="2490">
        <f t="shared" ref="AC360:AC370" si="109">AA360/K360*100</f>
        <v>21.33</v>
      </c>
      <c r="AD360" s="2490">
        <f t="shared" ref="AD360:AD370" si="110">(AB360/L360)*100</f>
        <v>27.943259406341642</v>
      </c>
      <c r="AE360" s="3138" t="s">
        <v>3216</v>
      </c>
    </row>
    <row r="361" spans="1:31" s="63" customFormat="1" ht="33.75" customHeight="1">
      <c r="A361" s="384"/>
      <c r="B361" s="384"/>
      <c r="C361" s="3792" t="s">
        <v>66</v>
      </c>
      <c r="D361" s="3792" t="s">
        <v>196</v>
      </c>
      <c r="E361" s="3792" t="s">
        <v>66</v>
      </c>
      <c r="F361" s="3790">
        <v>16</v>
      </c>
      <c r="G361" s="1218">
        <v>59</v>
      </c>
      <c r="H361" s="1218"/>
      <c r="I361" s="1279" t="s">
        <v>1903</v>
      </c>
      <c r="J361" s="1279" t="s">
        <v>3597</v>
      </c>
      <c r="K361" s="1992">
        <v>72</v>
      </c>
      <c r="L361" s="2348">
        <f>L360</f>
        <v>1557212470</v>
      </c>
      <c r="M361" s="1992">
        <v>24</v>
      </c>
      <c r="N361" s="2348">
        <v>237510830</v>
      </c>
      <c r="O361" s="1992">
        <v>12</v>
      </c>
      <c r="P361" s="1232">
        <v>258267823.75</v>
      </c>
      <c r="Q361" s="2142">
        <v>3</v>
      </c>
      <c r="R361" s="1202">
        <v>37004420</v>
      </c>
      <c r="S361" s="2899">
        <v>3</v>
      </c>
      <c r="T361" s="2304">
        <v>115408670</v>
      </c>
      <c r="U361" s="3609">
        <v>3</v>
      </c>
      <c r="V361" s="1202">
        <v>43993000</v>
      </c>
      <c r="W361" s="1195"/>
      <c r="X361" s="1202"/>
      <c r="Y361" s="1992">
        <f t="shared" si="91"/>
        <v>9</v>
      </c>
      <c r="Z361" s="1202">
        <f t="shared" si="97"/>
        <v>196406090</v>
      </c>
      <c r="AA361" s="1992">
        <f t="shared" si="107"/>
        <v>33</v>
      </c>
      <c r="AB361" s="1202">
        <f t="shared" si="108"/>
        <v>433916920</v>
      </c>
      <c r="AC361" s="2525">
        <f t="shared" si="109"/>
        <v>45.833333333333329</v>
      </c>
      <c r="AD361" s="2525">
        <f t="shared" si="110"/>
        <v>27.86497850225923</v>
      </c>
      <c r="AE361" s="390"/>
    </row>
    <row r="362" spans="1:31" s="145" customFormat="1" ht="59.25" customHeight="1">
      <c r="A362" s="2335">
        <v>19</v>
      </c>
      <c r="B362" s="2335"/>
      <c r="C362" s="2567" t="s">
        <v>146</v>
      </c>
      <c r="D362" s="2567" t="s">
        <v>66</v>
      </c>
      <c r="E362" s="2567" t="s">
        <v>196</v>
      </c>
      <c r="F362" s="2374" t="s">
        <v>66</v>
      </c>
      <c r="G362" s="2374">
        <v>15</v>
      </c>
      <c r="H362" s="2374"/>
      <c r="I362" s="2443" t="s">
        <v>3223</v>
      </c>
      <c r="J362" s="2443" t="s">
        <v>3633</v>
      </c>
      <c r="K362" s="2412">
        <v>100</v>
      </c>
      <c r="L362" s="2361">
        <f>SUM(L363:L364)</f>
        <v>254999520</v>
      </c>
      <c r="M362" s="2412">
        <v>44.67</v>
      </c>
      <c r="N362" s="2490">
        <f>SUM(N363:N363)</f>
        <v>39999840</v>
      </c>
      <c r="O362" s="2412">
        <v>21</v>
      </c>
      <c r="P362" s="2361">
        <f>SUM(P363:P364)</f>
        <v>67129157</v>
      </c>
      <c r="Q362" s="2412">
        <v>0</v>
      </c>
      <c r="R362" s="2342">
        <v>0</v>
      </c>
      <c r="S362" s="2905">
        <v>18</v>
      </c>
      <c r="T362" s="2342">
        <f>SUM(T363:T364)</f>
        <v>59825000</v>
      </c>
      <c r="U362" s="2905">
        <v>3</v>
      </c>
      <c r="V362" s="2342">
        <f>SUM(V363:V364)</f>
        <v>2085000</v>
      </c>
      <c r="W362" s="2341"/>
      <c r="X362" s="2342"/>
      <c r="Y362" s="2412">
        <f t="shared" si="91"/>
        <v>21</v>
      </c>
      <c r="Z362" s="2342">
        <f t="shared" si="97"/>
        <v>61910000</v>
      </c>
      <c r="AA362" s="2412">
        <f t="shared" si="107"/>
        <v>65.67</v>
      </c>
      <c r="AB362" s="2342">
        <f t="shared" si="108"/>
        <v>101909840</v>
      </c>
      <c r="AC362" s="2490">
        <f t="shared" si="109"/>
        <v>65.67</v>
      </c>
      <c r="AD362" s="2490">
        <f t="shared" si="110"/>
        <v>39.964718364960063</v>
      </c>
      <c r="AE362" s="3138" t="s">
        <v>3216</v>
      </c>
    </row>
    <row r="363" spans="1:31" s="63" customFormat="1" ht="34.5" customHeight="1">
      <c r="A363" s="384"/>
      <c r="B363" s="384"/>
      <c r="C363" s="3792" t="s">
        <v>146</v>
      </c>
      <c r="D363" s="3792" t="s">
        <v>66</v>
      </c>
      <c r="E363" s="3792" t="s">
        <v>196</v>
      </c>
      <c r="F363" s="1218" t="s">
        <v>66</v>
      </c>
      <c r="G363" s="1218">
        <v>15</v>
      </c>
      <c r="H363" s="1218">
        <v>14</v>
      </c>
      <c r="I363" s="1279" t="s">
        <v>1911</v>
      </c>
      <c r="J363" s="1279" t="s">
        <v>1912</v>
      </c>
      <c r="K363" s="1992">
        <v>100</v>
      </c>
      <c r="L363" s="2348">
        <f>3*N363</f>
        <v>119999520</v>
      </c>
      <c r="M363" s="1992">
        <v>34</v>
      </c>
      <c r="N363" s="2525">
        <v>39999840</v>
      </c>
      <c r="O363" s="1992">
        <v>17</v>
      </c>
      <c r="P363" s="2348">
        <v>16810000</v>
      </c>
      <c r="Q363" s="1992">
        <v>0</v>
      </c>
      <c r="R363" s="1202">
        <v>0</v>
      </c>
      <c r="S363" s="2908">
        <v>9</v>
      </c>
      <c r="T363" s="1202">
        <v>9900000</v>
      </c>
      <c r="U363" s="2902">
        <v>3</v>
      </c>
      <c r="V363" s="1202">
        <v>2085000</v>
      </c>
      <c r="W363" s="591"/>
      <c r="X363" s="1202"/>
      <c r="Y363" s="1992">
        <f t="shared" si="91"/>
        <v>12</v>
      </c>
      <c r="Z363" s="1202">
        <f t="shared" si="97"/>
        <v>11985000</v>
      </c>
      <c r="AA363" s="1992">
        <f t="shared" si="107"/>
        <v>46</v>
      </c>
      <c r="AB363" s="1202">
        <f t="shared" si="108"/>
        <v>51984840</v>
      </c>
      <c r="AC363" s="2525">
        <f t="shared" si="109"/>
        <v>46</v>
      </c>
      <c r="AD363" s="2525">
        <f t="shared" si="110"/>
        <v>43.320873283493135</v>
      </c>
      <c r="AE363" s="390"/>
    </row>
    <row r="364" spans="1:31" s="63" customFormat="1" ht="34.5" customHeight="1">
      <c r="A364" s="384"/>
      <c r="B364" s="384"/>
      <c r="C364" s="3792" t="s">
        <v>146</v>
      </c>
      <c r="D364" s="3792" t="s">
        <v>66</v>
      </c>
      <c r="E364" s="3792" t="s">
        <v>196</v>
      </c>
      <c r="F364" s="1218" t="s">
        <v>66</v>
      </c>
      <c r="G364" s="1218">
        <v>15</v>
      </c>
      <c r="H364" s="1218">
        <v>37</v>
      </c>
      <c r="I364" s="1279" t="s">
        <v>1915</v>
      </c>
      <c r="J364" s="1279" t="s">
        <v>3598</v>
      </c>
      <c r="K364" s="1992">
        <v>48</v>
      </c>
      <c r="L364" s="2348">
        <v>135000000</v>
      </c>
      <c r="M364" s="1992">
        <v>0</v>
      </c>
      <c r="N364" s="2525">
        <v>0</v>
      </c>
      <c r="O364" s="1992">
        <v>12</v>
      </c>
      <c r="P364" s="2348">
        <v>50319157</v>
      </c>
      <c r="Q364" s="1992">
        <v>2</v>
      </c>
      <c r="R364" s="1202">
        <v>0</v>
      </c>
      <c r="S364" s="2902">
        <v>2</v>
      </c>
      <c r="T364" s="1202">
        <v>49925000</v>
      </c>
      <c r="U364" s="2902">
        <v>3</v>
      </c>
      <c r="V364" s="1202">
        <v>0</v>
      </c>
      <c r="W364" s="591"/>
      <c r="X364" s="1202"/>
      <c r="Y364" s="1992">
        <f t="shared" si="91"/>
        <v>7</v>
      </c>
      <c r="Z364" s="1202">
        <f t="shared" si="97"/>
        <v>49925000</v>
      </c>
      <c r="AA364" s="1992">
        <f t="shared" si="107"/>
        <v>7</v>
      </c>
      <c r="AB364" s="1202">
        <f t="shared" si="108"/>
        <v>49925000</v>
      </c>
      <c r="AC364" s="2525">
        <f t="shared" si="109"/>
        <v>14.583333333333334</v>
      </c>
      <c r="AD364" s="2525">
        <f t="shared" si="110"/>
        <v>36.981481481481481</v>
      </c>
      <c r="AE364" s="390"/>
    </row>
    <row r="365" spans="1:31" s="145" customFormat="1" ht="58.5" customHeight="1">
      <c r="A365" s="2335">
        <v>20</v>
      </c>
      <c r="B365" s="2335"/>
      <c r="C365" s="2567" t="s">
        <v>146</v>
      </c>
      <c r="D365" s="2567" t="s">
        <v>66</v>
      </c>
      <c r="E365" s="2567" t="s">
        <v>196</v>
      </c>
      <c r="F365" s="2374" t="s">
        <v>66</v>
      </c>
      <c r="G365" s="2374">
        <v>15</v>
      </c>
      <c r="H365" s="2374"/>
      <c r="I365" s="2443" t="s">
        <v>4133</v>
      </c>
      <c r="J365" s="2443" t="s">
        <v>4135</v>
      </c>
      <c r="K365" s="2412">
        <v>1</v>
      </c>
      <c r="L365" s="2361">
        <f>SUM(L366)</f>
        <v>350000000</v>
      </c>
      <c r="M365" s="2412"/>
      <c r="N365" s="2490">
        <v>0</v>
      </c>
      <c r="O365" s="2412">
        <v>1</v>
      </c>
      <c r="P365" s="2361">
        <f>SUM(P366)</f>
        <v>349027569</v>
      </c>
      <c r="Q365" s="2412">
        <v>0</v>
      </c>
      <c r="R365" s="2342">
        <f>SUM(R366)</f>
        <v>1183494</v>
      </c>
      <c r="S365" s="2905">
        <v>0</v>
      </c>
      <c r="T365" s="2342">
        <f>SUM(T366)</f>
        <v>5150484</v>
      </c>
      <c r="U365" s="2905">
        <v>0</v>
      </c>
      <c r="V365" s="2342">
        <f>SUM(V366)</f>
        <v>3300000</v>
      </c>
      <c r="W365" s="2550"/>
      <c r="X365" s="2342"/>
      <c r="Y365" s="2412">
        <f t="shared" si="91"/>
        <v>0</v>
      </c>
      <c r="Z365" s="2342">
        <f>SUM(Z366)</f>
        <v>6333978</v>
      </c>
      <c r="AA365" s="2419">
        <f t="shared" si="107"/>
        <v>0</v>
      </c>
      <c r="AB365" s="2360">
        <f t="shared" si="108"/>
        <v>6333978</v>
      </c>
      <c r="AC365" s="2489">
        <f t="shared" si="109"/>
        <v>0</v>
      </c>
      <c r="AD365" s="2489">
        <f t="shared" si="110"/>
        <v>1.8097080000000001</v>
      </c>
      <c r="AE365" s="3138"/>
    </row>
    <row r="366" spans="1:31" s="63" customFormat="1" ht="34.5" customHeight="1">
      <c r="A366" s="384"/>
      <c r="B366" s="384"/>
      <c r="C366" s="3792"/>
      <c r="D366" s="3792"/>
      <c r="E366" s="3792"/>
      <c r="F366" s="1218"/>
      <c r="G366" s="1218"/>
      <c r="H366" s="1218"/>
      <c r="I366" s="1279" t="s">
        <v>4134</v>
      </c>
      <c r="J366" s="1279" t="s">
        <v>4136</v>
      </c>
      <c r="K366" s="1992">
        <v>1</v>
      </c>
      <c r="L366" s="2348">
        <v>350000000</v>
      </c>
      <c r="M366" s="1992"/>
      <c r="N366" s="2525">
        <v>0</v>
      </c>
      <c r="O366" s="1992">
        <v>1</v>
      </c>
      <c r="P366" s="2348">
        <v>349027569</v>
      </c>
      <c r="Q366" s="1992">
        <v>0</v>
      </c>
      <c r="R366" s="1202">
        <v>1183494</v>
      </c>
      <c r="S366" s="2902">
        <v>0</v>
      </c>
      <c r="T366" s="1202">
        <v>5150484</v>
      </c>
      <c r="U366" s="2902">
        <v>0</v>
      </c>
      <c r="V366" s="1202">
        <v>3300000</v>
      </c>
      <c r="W366" s="591"/>
      <c r="X366" s="1202"/>
      <c r="Y366" s="1992"/>
      <c r="Z366" s="1202">
        <f>SUM(R366+T366)</f>
        <v>6333978</v>
      </c>
      <c r="AA366" s="1992">
        <f t="shared" si="107"/>
        <v>0</v>
      </c>
      <c r="AB366" s="1202">
        <f t="shared" si="108"/>
        <v>6333978</v>
      </c>
      <c r="AC366" s="2525">
        <f t="shared" si="109"/>
        <v>0</v>
      </c>
      <c r="AD366" s="2525">
        <f t="shared" si="110"/>
        <v>1.8097080000000001</v>
      </c>
      <c r="AE366" s="390"/>
    </row>
    <row r="367" spans="1:31" s="145" customFormat="1" ht="69" customHeight="1">
      <c r="A367" s="2335">
        <v>21</v>
      </c>
      <c r="B367" s="2335" t="s">
        <v>1795</v>
      </c>
      <c r="C367" s="2352" t="s">
        <v>66</v>
      </c>
      <c r="D367" s="2352" t="s">
        <v>196</v>
      </c>
      <c r="E367" s="2352" t="s">
        <v>66</v>
      </c>
      <c r="F367" s="2874">
        <v>15</v>
      </c>
      <c r="G367" s="2874"/>
      <c r="H367" s="2517"/>
      <c r="I367" s="2359" t="s">
        <v>1040</v>
      </c>
      <c r="J367" s="2441" t="s">
        <v>3634</v>
      </c>
      <c r="K367" s="2412">
        <v>80</v>
      </c>
      <c r="L367" s="2337">
        <f>SUM(L368:L370)</f>
        <v>26211102705</v>
      </c>
      <c r="M367" s="2773">
        <v>50</v>
      </c>
      <c r="N367" s="2361">
        <f>SUM(N368:N370)</f>
        <v>4116953770</v>
      </c>
      <c r="O367" s="2773">
        <v>10</v>
      </c>
      <c r="P367" s="2361">
        <f>SUM(P368:P370)</f>
        <v>4252302661.75</v>
      </c>
      <c r="Q367" s="2412">
        <v>2</v>
      </c>
      <c r="R367" s="2342">
        <f>SUM(R368:R370)</f>
        <v>852376880</v>
      </c>
      <c r="S367" s="2905">
        <v>3</v>
      </c>
      <c r="T367" s="2342">
        <f>SUM(T368:T370)</f>
        <v>1884512980</v>
      </c>
      <c r="U367" s="2905">
        <v>3</v>
      </c>
      <c r="V367" s="2342">
        <f>SUM(V368:V370)</f>
        <v>1055477750</v>
      </c>
      <c r="W367" s="2341"/>
      <c r="X367" s="2342"/>
      <c r="Y367" s="2412">
        <f t="shared" si="91"/>
        <v>8</v>
      </c>
      <c r="Z367" s="2342">
        <f t="shared" si="97"/>
        <v>3792367610</v>
      </c>
      <c r="AA367" s="2412">
        <f t="shared" si="107"/>
        <v>58</v>
      </c>
      <c r="AB367" s="2342">
        <f t="shared" si="108"/>
        <v>7909321380</v>
      </c>
      <c r="AC367" s="2490">
        <f t="shared" si="109"/>
        <v>72.5</v>
      </c>
      <c r="AD367" s="2490">
        <f t="shared" si="110"/>
        <v>30.175462165852441</v>
      </c>
      <c r="AE367" s="3138" t="s">
        <v>3216</v>
      </c>
    </row>
    <row r="368" spans="1:31" s="145" customFormat="1" ht="33.75" customHeight="1">
      <c r="A368" s="383"/>
      <c r="B368" s="383"/>
      <c r="C368" s="3792" t="s">
        <v>66</v>
      </c>
      <c r="D368" s="3792" t="s">
        <v>196</v>
      </c>
      <c r="E368" s="3792" t="s">
        <v>66</v>
      </c>
      <c r="F368" s="3790">
        <v>15</v>
      </c>
      <c r="G368" s="3790">
        <v>35</v>
      </c>
      <c r="H368" s="3157"/>
      <c r="I368" s="1200" t="s">
        <v>1922</v>
      </c>
      <c r="J368" s="1200" t="s">
        <v>3599</v>
      </c>
      <c r="K368" s="1992">
        <v>72</v>
      </c>
      <c r="L368" s="3145">
        <v>3186079274</v>
      </c>
      <c r="M368" s="2775">
        <v>24</v>
      </c>
      <c r="N368" s="2348">
        <v>490204900</v>
      </c>
      <c r="O368" s="2775">
        <v>12</v>
      </c>
      <c r="P368" s="1232">
        <v>647923854</v>
      </c>
      <c r="Q368" s="1992">
        <v>3</v>
      </c>
      <c r="R368" s="590">
        <v>113175550</v>
      </c>
      <c r="S368" s="2902">
        <v>3</v>
      </c>
      <c r="T368" s="1202">
        <v>225145550</v>
      </c>
      <c r="U368" s="2902">
        <v>3</v>
      </c>
      <c r="V368" s="1202">
        <v>162562500</v>
      </c>
      <c r="W368" s="1195"/>
      <c r="X368" s="1202"/>
      <c r="Y368" s="1992">
        <f t="shared" si="91"/>
        <v>9</v>
      </c>
      <c r="Z368" s="1202">
        <f t="shared" si="97"/>
        <v>500883600</v>
      </c>
      <c r="AA368" s="1992">
        <f t="shared" si="107"/>
        <v>33</v>
      </c>
      <c r="AB368" s="1202">
        <f t="shared" si="108"/>
        <v>991088500</v>
      </c>
      <c r="AC368" s="2525">
        <f t="shared" si="109"/>
        <v>45.833333333333329</v>
      </c>
      <c r="AD368" s="2525">
        <f t="shared" si="110"/>
        <v>31.106837425163203</v>
      </c>
      <c r="AE368" s="753"/>
    </row>
    <row r="369" spans="1:76" s="145" customFormat="1" ht="39.75" customHeight="1">
      <c r="A369" s="383"/>
      <c r="B369" s="383"/>
      <c r="C369" s="3792" t="s">
        <v>66</v>
      </c>
      <c r="D369" s="3792" t="s">
        <v>196</v>
      </c>
      <c r="E369" s="3792" t="s">
        <v>66</v>
      </c>
      <c r="F369" s="3790">
        <v>15</v>
      </c>
      <c r="G369" s="3790">
        <v>36</v>
      </c>
      <c r="H369" s="3157"/>
      <c r="I369" s="1200" t="s">
        <v>1924</v>
      </c>
      <c r="J369" s="1200" t="s">
        <v>3600</v>
      </c>
      <c r="K369" s="1992">
        <v>72</v>
      </c>
      <c r="L369" s="3145">
        <v>15998146631</v>
      </c>
      <c r="M369" s="2775">
        <v>24</v>
      </c>
      <c r="N369" s="2348">
        <v>2541615820</v>
      </c>
      <c r="O369" s="2775">
        <v>12</v>
      </c>
      <c r="P369" s="2348">
        <v>2576752907.75</v>
      </c>
      <c r="Q369" s="1992">
        <v>3</v>
      </c>
      <c r="R369" s="1202">
        <v>554488280</v>
      </c>
      <c r="S369" s="2902">
        <v>3</v>
      </c>
      <c r="T369" s="1202">
        <v>1262636280</v>
      </c>
      <c r="U369" s="2902">
        <v>3</v>
      </c>
      <c r="V369" s="1202">
        <v>620262500</v>
      </c>
      <c r="W369" s="1195"/>
      <c r="X369" s="1202"/>
      <c r="Y369" s="1992">
        <f t="shared" si="91"/>
        <v>9</v>
      </c>
      <c r="Z369" s="1202">
        <f t="shared" si="97"/>
        <v>2437387060</v>
      </c>
      <c r="AA369" s="1992">
        <f t="shared" si="107"/>
        <v>33</v>
      </c>
      <c r="AB369" s="1202">
        <f t="shared" si="108"/>
        <v>4979002880</v>
      </c>
      <c r="AC369" s="2525">
        <f t="shared" si="109"/>
        <v>45.833333333333329</v>
      </c>
      <c r="AD369" s="2525">
        <f t="shared" si="110"/>
        <v>31.122373077591774</v>
      </c>
      <c r="AE369" s="753"/>
    </row>
    <row r="370" spans="1:76" s="145" customFormat="1" ht="39.75" customHeight="1">
      <c r="A370" s="383"/>
      <c r="B370" s="383"/>
      <c r="C370" s="3792" t="s">
        <v>66</v>
      </c>
      <c r="D370" s="3792" t="s">
        <v>196</v>
      </c>
      <c r="E370" s="3792" t="s">
        <v>66</v>
      </c>
      <c r="F370" s="3790">
        <v>15</v>
      </c>
      <c r="G370" s="3790">
        <v>37</v>
      </c>
      <c r="H370" s="3157"/>
      <c r="I370" s="1200" t="s">
        <v>1926</v>
      </c>
      <c r="J370" s="1200" t="s">
        <v>3601</v>
      </c>
      <c r="K370" s="1992">
        <v>72</v>
      </c>
      <c r="L370" s="3145">
        <v>7026876800</v>
      </c>
      <c r="M370" s="2775">
        <v>24</v>
      </c>
      <c r="N370" s="2348">
        <v>1085133050</v>
      </c>
      <c r="O370" s="2775">
        <v>12</v>
      </c>
      <c r="P370" s="2348">
        <v>1027625900</v>
      </c>
      <c r="Q370" s="1992">
        <v>3</v>
      </c>
      <c r="R370" s="1202">
        <v>184713050</v>
      </c>
      <c r="S370" s="2902">
        <v>3</v>
      </c>
      <c r="T370" s="1202">
        <v>396731150</v>
      </c>
      <c r="U370" s="2902">
        <v>3</v>
      </c>
      <c r="V370" s="1202">
        <v>272652750</v>
      </c>
      <c r="W370" s="1195"/>
      <c r="X370" s="1202"/>
      <c r="Y370" s="1992">
        <f t="shared" si="91"/>
        <v>9</v>
      </c>
      <c r="Z370" s="1202">
        <f t="shared" si="97"/>
        <v>854096950</v>
      </c>
      <c r="AA370" s="1992">
        <f t="shared" si="107"/>
        <v>33</v>
      </c>
      <c r="AB370" s="1202">
        <f t="shared" si="108"/>
        <v>1939230000</v>
      </c>
      <c r="AC370" s="2525">
        <f t="shared" si="109"/>
        <v>45.833333333333329</v>
      </c>
      <c r="AD370" s="2525">
        <f t="shared" si="110"/>
        <v>27.59732460372722</v>
      </c>
      <c r="AE370" s="753"/>
    </row>
    <row r="371" spans="1:76" s="244" customFormat="1" ht="17.25" customHeight="1">
      <c r="A371" s="4243" t="s">
        <v>101</v>
      </c>
      <c r="B371" s="4243"/>
      <c r="C371" s="4243"/>
      <c r="D371" s="4243"/>
      <c r="E371" s="4243"/>
      <c r="F371" s="4243"/>
      <c r="G371" s="4243"/>
      <c r="H371" s="4243"/>
      <c r="I371" s="4243"/>
      <c r="J371" s="4243"/>
      <c r="K371" s="4243"/>
      <c r="L371" s="4243"/>
      <c r="M371" s="4243"/>
      <c r="N371" s="4243"/>
      <c r="O371" s="4243"/>
      <c r="P371" s="4243"/>
      <c r="Q371" s="4243"/>
      <c r="R371" s="4243"/>
      <c r="S371" s="4243"/>
      <c r="T371" s="4243"/>
      <c r="U371" s="4243"/>
      <c r="V371" s="4243"/>
      <c r="W371" s="4243"/>
      <c r="X371" s="4243"/>
      <c r="Y371" s="4243"/>
      <c r="Z371" s="4243"/>
      <c r="AA371" s="4243"/>
      <c r="AB371" s="4243"/>
      <c r="AC371" s="2780">
        <f>(AC222+AC234+AC258+AC260+AC264+AC268+AC276+AC280+AC285+AC290+AC292+AC343+AC346+AC348+AC353+AC360+AC362+AC367)/18</f>
        <v>58.965396829782321</v>
      </c>
      <c r="AD371" s="2780">
        <f>(AD222+AD234+AD258+AD260+AD264+AD268+AD276+AD280+AD285+AD290+AD292+AD343+AD346+AD348+AD353+AD360+AD362+AD367)/18</f>
        <v>33.033074924370986</v>
      </c>
      <c r="AE371" s="245"/>
      <c r="AF371" s="2266"/>
      <c r="AG371" s="2266"/>
      <c r="AH371" s="2266"/>
      <c r="AI371" s="2266"/>
      <c r="AJ371" s="2266"/>
      <c r="AK371" s="2266"/>
      <c r="AL371" s="2266"/>
      <c r="AM371" s="2266"/>
      <c r="AN371" s="2266"/>
      <c r="AO371" s="2266"/>
      <c r="AP371" s="2266"/>
      <c r="AQ371" s="2266"/>
      <c r="AR371" s="2266"/>
      <c r="AS371" s="2266"/>
      <c r="AT371" s="2266"/>
      <c r="AU371" s="2266"/>
      <c r="AV371" s="2266"/>
      <c r="AW371" s="2266"/>
      <c r="AX371" s="2266"/>
      <c r="AY371" s="2266"/>
      <c r="AZ371" s="2266"/>
      <c r="BA371" s="2266"/>
      <c r="BB371" s="2266"/>
      <c r="BC371" s="2266"/>
      <c r="BD371" s="2266"/>
      <c r="BE371" s="2266"/>
      <c r="BF371" s="2266"/>
      <c r="BG371" s="2266"/>
      <c r="BH371" s="2266"/>
      <c r="BI371" s="2266"/>
      <c r="BJ371" s="2266"/>
      <c r="BK371" s="2266"/>
      <c r="BL371" s="2266"/>
      <c r="BM371" s="2266"/>
      <c r="BN371" s="2266"/>
      <c r="BO371" s="2266"/>
      <c r="BP371" s="2266"/>
      <c r="BQ371" s="2266"/>
      <c r="BR371" s="2266"/>
      <c r="BS371" s="2266"/>
      <c r="BT371" s="2266"/>
      <c r="BU371" s="2266"/>
      <c r="BV371" s="2266"/>
      <c r="BW371" s="2266"/>
      <c r="BX371" s="2266"/>
    </row>
    <row r="372" spans="1:76" s="244" customFormat="1" ht="17.25" customHeight="1">
      <c r="A372" s="4243" t="s">
        <v>102</v>
      </c>
      <c r="B372" s="4243"/>
      <c r="C372" s="4243"/>
      <c r="D372" s="4243"/>
      <c r="E372" s="4243"/>
      <c r="F372" s="4243"/>
      <c r="G372" s="4243"/>
      <c r="H372" s="4243"/>
      <c r="I372" s="4243"/>
      <c r="J372" s="4243"/>
      <c r="K372" s="4243"/>
      <c r="L372" s="4243"/>
      <c r="M372" s="4243"/>
      <c r="N372" s="4243"/>
      <c r="O372" s="4243"/>
      <c r="P372" s="4243"/>
      <c r="Q372" s="4243"/>
      <c r="R372" s="4243"/>
      <c r="S372" s="4243"/>
      <c r="T372" s="4243"/>
      <c r="U372" s="4243"/>
      <c r="V372" s="4243"/>
      <c r="W372" s="4243"/>
      <c r="X372" s="4243"/>
      <c r="Y372" s="4243"/>
      <c r="Z372" s="4243"/>
      <c r="AA372" s="4243"/>
      <c r="AB372" s="4243"/>
      <c r="AC372" s="3152" t="str">
        <f>IF(AC371&gt;=91,"ST",IF(AC371&gt;=76,"T",IF(AC371&gt;=66,"S",IF(AC371&gt;=51,"R","SR"))))</f>
        <v>R</v>
      </c>
      <c r="AD372" s="3152" t="str">
        <f>IF(AD371&gt;=91,"ST",IF(AD371&gt;=76,"T",IF(AD371&gt;=66,"S",IF(AD371&gt;=51,"R","SR"))))</f>
        <v>SR</v>
      </c>
      <c r="AE372" s="245"/>
      <c r="AF372" s="2266"/>
      <c r="AG372" s="2266"/>
      <c r="AH372" s="2266"/>
      <c r="AI372" s="2266"/>
      <c r="AJ372" s="2266"/>
      <c r="AK372" s="2266"/>
      <c r="AL372" s="2266"/>
      <c r="AM372" s="2266"/>
      <c r="AN372" s="2266"/>
      <c r="AO372" s="2266"/>
      <c r="AP372" s="2266"/>
      <c r="AQ372" s="2266"/>
      <c r="AR372" s="2266"/>
      <c r="AS372" s="2266"/>
      <c r="AT372" s="2266"/>
      <c r="AU372" s="2266"/>
      <c r="AV372" s="2266"/>
      <c r="AW372" s="2266"/>
      <c r="AX372" s="2266"/>
      <c r="AY372" s="2266"/>
      <c r="AZ372" s="2266"/>
      <c r="BA372" s="2266"/>
      <c r="BB372" s="2266"/>
      <c r="BC372" s="2266"/>
      <c r="BD372" s="2266"/>
      <c r="BE372" s="2266"/>
      <c r="BF372" s="2266"/>
      <c r="BG372" s="2266"/>
      <c r="BH372" s="2266"/>
      <c r="BI372" s="2266"/>
      <c r="BJ372" s="2266"/>
      <c r="BK372" s="2266"/>
      <c r="BL372" s="2266"/>
      <c r="BM372" s="2266"/>
      <c r="BN372" s="2266"/>
      <c r="BO372" s="2266"/>
      <c r="BP372" s="2266"/>
      <c r="BQ372" s="2266"/>
      <c r="BR372" s="2266"/>
      <c r="BS372" s="2266"/>
      <c r="BT372" s="2266"/>
      <c r="BU372" s="2266"/>
      <c r="BV372" s="2266"/>
      <c r="BW372" s="2266"/>
      <c r="BX372" s="2266"/>
    </row>
    <row r="373" spans="1:76">
      <c r="A373" s="2516"/>
      <c r="B373" s="2516"/>
      <c r="C373" s="2207"/>
      <c r="D373" s="2448"/>
      <c r="E373" s="2448"/>
      <c r="F373" s="2207"/>
      <c r="G373" s="2448"/>
      <c r="H373" s="2448"/>
      <c r="I373" s="3168"/>
      <c r="J373" s="3154"/>
      <c r="K373" s="2290"/>
      <c r="L373" s="2292"/>
      <c r="M373" s="2378"/>
      <c r="N373" s="2292"/>
      <c r="O373" s="2378"/>
      <c r="P373" s="2292"/>
      <c r="Q373" s="2379"/>
      <c r="R373" s="2516"/>
      <c r="S373" s="2516"/>
      <c r="T373" s="2516"/>
      <c r="U373" s="2516"/>
      <c r="V373" s="2307"/>
      <c r="W373" s="2516"/>
      <c r="X373" s="2307"/>
      <c r="Y373" s="2379"/>
      <c r="Z373" s="2307"/>
      <c r="AA373" s="2308"/>
      <c r="AB373" s="2307"/>
      <c r="AC373" s="2308"/>
      <c r="AD373" s="2311"/>
      <c r="AE373" s="2207"/>
    </row>
    <row r="374" spans="1:76" s="3209" customFormat="1" ht="25.5" customHeight="1">
      <c r="A374" s="3199" t="s">
        <v>3144</v>
      </c>
      <c r="B374" s="3199"/>
      <c r="C374" s="3840"/>
      <c r="D374" s="3840"/>
      <c r="E374" s="3840"/>
      <c r="F374" s="3840"/>
      <c r="G374" s="3840"/>
      <c r="H374" s="3840"/>
      <c r="I374" s="3199"/>
      <c r="J374" s="3199"/>
      <c r="K374" s="3199"/>
      <c r="L374" s="3200">
        <f>L375+L388+L394+L396+L401+L418</f>
        <v>298448456615</v>
      </c>
      <c r="M374" s="3199"/>
      <c r="N374" s="3201">
        <v>297998456615</v>
      </c>
      <c r="O374" s="3199"/>
      <c r="P374" s="3201">
        <v>24171236548</v>
      </c>
      <c r="Q374" s="3199"/>
      <c r="R374" s="3201">
        <f>SUM(R375+R388+R396+R401+R412+R418)</f>
        <v>434303729</v>
      </c>
      <c r="S374" s="2921"/>
      <c r="T374" s="2922">
        <f>SUM(T375+T388+T396+T401+T412+T418)</f>
        <v>2694112955</v>
      </c>
      <c r="U374" s="3199"/>
      <c r="V374" s="3201">
        <f>V375+V388+V396+V401+V412</f>
        <v>6389396326</v>
      </c>
      <c r="W374" s="3199"/>
      <c r="X374" s="3199"/>
      <c r="Y374" s="3199"/>
      <c r="Z374" s="3201">
        <f t="shared" ref="Z374:Z422" si="111">R374+T374+V374+X374</f>
        <v>9517813010</v>
      </c>
      <c r="AA374" s="3199"/>
      <c r="AB374" s="3201">
        <v>297998456615</v>
      </c>
      <c r="AC374" s="3199"/>
      <c r="AD374" s="3199"/>
      <c r="AE374" s="3203"/>
      <c r="AF374" s="3208"/>
      <c r="AG374" s="3208"/>
      <c r="AH374" s="3208"/>
      <c r="AI374" s="3208"/>
      <c r="AJ374" s="3208"/>
      <c r="AK374" s="3208"/>
      <c r="AL374" s="3208"/>
      <c r="AM374" s="3208"/>
      <c r="AN374" s="3208"/>
      <c r="AO374" s="3208"/>
      <c r="AP374" s="3208"/>
      <c r="AQ374" s="3208"/>
      <c r="AR374" s="3208"/>
      <c r="AS374" s="3208"/>
      <c r="AT374" s="3208"/>
      <c r="AU374" s="3208"/>
      <c r="AV374" s="3208"/>
      <c r="AW374" s="3208"/>
      <c r="AX374" s="3208"/>
      <c r="AY374" s="3208"/>
      <c r="AZ374" s="3208"/>
      <c r="BA374" s="3208"/>
      <c r="BB374" s="3208"/>
      <c r="BC374" s="3208"/>
      <c r="BD374" s="3208"/>
      <c r="BE374" s="3208"/>
      <c r="BF374" s="3208"/>
      <c r="BG374" s="3208"/>
      <c r="BH374" s="3208"/>
      <c r="BI374" s="3208"/>
      <c r="BJ374" s="3208"/>
      <c r="BK374" s="3208"/>
      <c r="BL374" s="3208"/>
      <c r="BM374" s="3208"/>
      <c r="BN374" s="3208"/>
      <c r="BO374" s="3208"/>
      <c r="BP374" s="3208"/>
      <c r="BQ374" s="3208"/>
      <c r="BR374" s="3208"/>
      <c r="BS374" s="3208"/>
      <c r="BT374" s="3208"/>
      <c r="BU374" s="3208"/>
      <c r="BV374" s="3208"/>
      <c r="BW374" s="3208"/>
      <c r="BX374" s="3208"/>
    </row>
    <row r="375" spans="1:76" s="2450" customFormat="1" ht="53.25" customHeight="1">
      <c r="A375" s="2465">
        <v>1</v>
      </c>
      <c r="B375" s="2465"/>
      <c r="C375" s="2352" t="s">
        <v>146</v>
      </c>
      <c r="D375" s="2352" t="s">
        <v>66</v>
      </c>
      <c r="E375" s="2352" t="s">
        <v>196</v>
      </c>
      <c r="F375" s="2352" t="s">
        <v>65</v>
      </c>
      <c r="G375" s="2352" t="s">
        <v>66</v>
      </c>
      <c r="H375" s="2873"/>
      <c r="I375" s="3156" t="s">
        <v>221</v>
      </c>
      <c r="J375" s="3156" t="s">
        <v>3224</v>
      </c>
      <c r="K375" s="2466">
        <f>SUM(K376:K387)/12</f>
        <v>60</v>
      </c>
      <c r="L375" s="2467">
        <f>SUM(L376:L387)</f>
        <v>5156306115</v>
      </c>
      <c r="M375" s="2466">
        <f>SUM(M376:M387)/12</f>
        <v>12</v>
      </c>
      <c r="N375" s="2467">
        <f>SUM(N376:N387)</f>
        <v>1419950134</v>
      </c>
      <c r="O375" s="2466">
        <v>12</v>
      </c>
      <c r="P375" s="2467">
        <f>SUM(P376:P387)</f>
        <v>623928400</v>
      </c>
      <c r="Q375" s="2466">
        <v>3</v>
      </c>
      <c r="R375" s="2467">
        <f>SUM(R376:R387)</f>
        <v>138525008</v>
      </c>
      <c r="S375" s="2467">
        <v>3</v>
      </c>
      <c r="T375" s="2467">
        <f>SUM(T376:T386)</f>
        <v>177189697</v>
      </c>
      <c r="U375" s="2467">
        <v>3</v>
      </c>
      <c r="V375" s="2467">
        <f>SUM(V376:V387)</f>
        <v>142049651</v>
      </c>
      <c r="W375" s="2468"/>
      <c r="X375" s="2468"/>
      <c r="Y375" s="2466">
        <f t="shared" ref="Y375:Y422" si="112">Q375+S375+U375+W375</f>
        <v>9</v>
      </c>
      <c r="Z375" s="2467">
        <f t="shared" si="111"/>
        <v>457764356</v>
      </c>
      <c r="AA375" s="2466">
        <f>SUM(AA376:AA387)/11</f>
        <v>21</v>
      </c>
      <c r="AB375" s="2469">
        <f>SUM(AB376:AB387)</f>
        <v>1856966240</v>
      </c>
      <c r="AC375" s="2468">
        <f>AA375/K375*100</f>
        <v>35</v>
      </c>
      <c r="AD375" s="2468">
        <f>AB375/L375*100</f>
        <v>36.013498783518209</v>
      </c>
      <c r="AE375" s="2725" t="s">
        <v>3225</v>
      </c>
      <c r="AF375" s="2862"/>
      <c r="AG375" s="2471"/>
      <c r="AH375" s="2471"/>
      <c r="AI375" s="2471"/>
      <c r="AJ375" s="2471"/>
      <c r="AK375" s="2471"/>
      <c r="AL375" s="2471"/>
      <c r="AM375" s="2471"/>
      <c r="AN375" s="2471"/>
      <c r="AO375" s="2471"/>
      <c r="AP375" s="2471"/>
      <c r="AQ375" s="2471"/>
      <c r="AR375" s="2471"/>
      <c r="AS375" s="2471"/>
      <c r="AT375" s="2471"/>
      <c r="AU375" s="2471"/>
      <c r="AV375" s="2471"/>
      <c r="AW375" s="2471"/>
      <c r="AX375" s="2471"/>
      <c r="AY375" s="2471"/>
      <c r="AZ375" s="2471"/>
      <c r="BA375" s="2471"/>
      <c r="BB375" s="2471"/>
      <c r="BC375" s="2471"/>
      <c r="BD375" s="2471"/>
      <c r="BE375" s="2471"/>
      <c r="BF375" s="2471"/>
      <c r="BG375" s="2471"/>
      <c r="BH375" s="2471"/>
      <c r="BI375" s="2471"/>
      <c r="BJ375" s="2471"/>
      <c r="BK375" s="2471"/>
      <c r="BL375" s="2471"/>
      <c r="BM375" s="2471"/>
      <c r="BN375" s="2471"/>
      <c r="BO375" s="2471"/>
      <c r="BP375" s="2471"/>
      <c r="BQ375" s="2471"/>
      <c r="BR375" s="2471"/>
      <c r="BS375" s="2471"/>
      <c r="BT375" s="2471"/>
      <c r="BU375" s="2471"/>
      <c r="BV375" s="2471"/>
      <c r="BW375" s="2471"/>
      <c r="BX375" s="2471"/>
    </row>
    <row r="376" spans="1:76" s="2450" customFormat="1" ht="52.5" customHeight="1">
      <c r="A376" s="2470"/>
      <c r="B376" s="2470"/>
      <c r="C376" s="1381" t="s">
        <v>146</v>
      </c>
      <c r="D376" s="1381" t="s">
        <v>66</v>
      </c>
      <c r="E376" s="1381" t="s">
        <v>196</v>
      </c>
      <c r="F376" s="1381" t="s">
        <v>65</v>
      </c>
      <c r="G376" s="1381" t="s">
        <v>66</v>
      </c>
      <c r="H376" s="1381" t="s">
        <v>65</v>
      </c>
      <c r="I376" s="1703" t="s">
        <v>147</v>
      </c>
      <c r="J376" s="1703" t="s">
        <v>3703</v>
      </c>
      <c r="K376" s="2452">
        <v>60</v>
      </c>
      <c r="L376" s="2400">
        <f>88124203*5</f>
        <v>440621015</v>
      </c>
      <c r="M376" s="2452">
        <v>12</v>
      </c>
      <c r="N376" s="2400">
        <f>'[1]KEU '!$J$13*2</f>
        <v>118806064</v>
      </c>
      <c r="O376" s="2452">
        <v>12</v>
      </c>
      <c r="P376" s="2400">
        <v>65700000</v>
      </c>
      <c r="Q376" s="2452">
        <v>3</v>
      </c>
      <c r="R376" s="2400">
        <v>12271784</v>
      </c>
      <c r="S376" s="2400">
        <v>3</v>
      </c>
      <c r="T376" s="2453">
        <v>13130086</v>
      </c>
      <c r="U376" s="2400">
        <v>3</v>
      </c>
      <c r="V376" s="2400">
        <v>11918151</v>
      </c>
      <c r="W376" s="2453"/>
      <c r="X376" s="2453"/>
      <c r="Y376" s="3278">
        <f>Q376+S376+U376</f>
        <v>9</v>
      </c>
      <c r="Z376" s="2400">
        <f>SUM(R376+T376+V376)</f>
        <v>37320021</v>
      </c>
      <c r="AA376" s="2452">
        <f>M376+Y376</f>
        <v>21</v>
      </c>
      <c r="AB376" s="2456">
        <f>N376+Z376</f>
        <v>156126085</v>
      </c>
      <c r="AC376" s="2453">
        <f>AA376/K376*100</f>
        <v>35</v>
      </c>
      <c r="AD376" s="2453">
        <f>AB376/L376*100</f>
        <v>35.433190811382431</v>
      </c>
      <c r="AE376" s="2726"/>
      <c r="AF376" s="2862"/>
      <c r="AG376" s="2471"/>
      <c r="AH376" s="2471"/>
      <c r="AI376" s="2471"/>
      <c r="AJ376" s="2471"/>
      <c r="AK376" s="2471"/>
      <c r="AL376" s="2471"/>
      <c r="AM376" s="2471"/>
      <c r="AN376" s="2471"/>
      <c r="AO376" s="2471"/>
      <c r="AP376" s="2471"/>
      <c r="AQ376" s="2471"/>
      <c r="AR376" s="2471"/>
      <c r="AS376" s="2471"/>
      <c r="AT376" s="2471"/>
      <c r="AU376" s="2471"/>
      <c r="AV376" s="2471"/>
      <c r="AW376" s="2471"/>
      <c r="AX376" s="2471"/>
      <c r="AY376" s="2471"/>
      <c r="AZ376" s="2471"/>
      <c r="BA376" s="2471"/>
      <c r="BB376" s="2471"/>
      <c r="BC376" s="2471"/>
      <c r="BD376" s="2471"/>
      <c r="BE376" s="2471"/>
      <c r="BF376" s="2471"/>
      <c r="BG376" s="2471"/>
      <c r="BH376" s="2471"/>
      <c r="BI376" s="2471"/>
      <c r="BJ376" s="2471"/>
      <c r="BK376" s="2471"/>
      <c r="BL376" s="2471"/>
      <c r="BM376" s="2471"/>
      <c r="BN376" s="2471"/>
      <c r="BO376" s="2471"/>
      <c r="BP376" s="2471"/>
      <c r="BQ376" s="2471"/>
      <c r="BR376" s="2471"/>
      <c r="BS376" s="2471"/>
      <c r="BT376" s="2471"/>
      <c r="BU376" s="2471"/>
      <c r="BV376" s="2471"/>
      <c r="BW376" s="2471"/>
      <c r="BX376" s="2471"/>
    </row>
    <row r="377" spans="1:76" s="2450" customFormat="1" ht="38.25">
      <c r="A377" s="2470"/>
      <c r="B377" s="2470"/>
      <c r="C377" s="1381" t="s">
        <v>146</v>
      </c>
      <c r="D377" s="1381" t="s">
        <v>66</v>
      </c>
      <c r="E377" s="1381" t="s">
        <v>196</v>
      </c>
      <c r="F377" s="1381" t="s">
        <v>65</v>
      </c>
      <c r="G377" s="1381" t="s">
        <v>66</v>
      </c>
      <c r="H377" s="1381" t="s">
        <v>198</v>
      </c>
      <c r="I377" s="1703" t="s">
        <v>1287</v>
      </c>
      <c r="J377" s="1703" t="s">
        <v>3704</v>
      </c>
      <c r="K377" s="2452">
        <v>60</v>
      </c>
      <c r="L377" s="2400">
        <f>5*211376537</f>
        <v>1056882685</v>
      </c>
      <c r="M377" s="2452">
        <v>12</v>
      </c>
      <c r="N377" s="2400">
        <f>'[1]KEU '!$J$16*2</f>
        <v>336178000</v>
      </c>
      <c r="O377" s="2452">
        <v>12</v>
      </c>
      <c r="P377" s="2400">
        <v>97650000</v>
      </c>
      <c r="Q377" s="2452">
        <v>3</v>
      </c>
      <c r="R377" s="2400">
        <v>16100000</v>
      </c>
      <c r="S377" s="2400">
        <v>3</v>
      </c>
      <c r="T377" s="2453">
        <v>23100000</v>
      </c>
      <c r="U377" s="2400">
        <v>3</v>
      </c>
      <c r="V377" s="2400">
        <v>32250000</v>
      </c>
      <c r="W377" s="2453"/>
      <c r="X377" s="2453"/>
      <c r="Y377" s="2452">
        <f t="shared" si="112"/>
        <v>9</v>
      </c>
      <c r="Z377" s="2400">
        <f t="shared" si="111"/>
        <v>71450000</v>
      </c>
      <c r="AA377" s="2452">
        <f t="shared" ref="AA377:AB386" si="113">M377+Y377</f>
        <v>21</v>
      </c>
      <c r="AB377" s="2456">
        <f t="shared" si="113"/>
        <v>407628000</v>
      </c>
      <c r="AC377" s="2453">
        <f t="shared" ref="AC377:AD386" si="114">AA377/K377*100</f>
        <v>35</v>
      </c>
      <c r="AD377" s="2453">
        <f t="shared" si="114"/>
        <v>38.568897549873284</v>
      </c>
      <c r="AE377" s="2726"/>
      <c r="AF377" s="2471"/>
      <c r="AG377" s="2471"/>
      <c r="AH377" s="2471"/>
      <c r="AI377" s="2471"/>
      <c r="AJ377" s="2471"/>
      <c r="AK377" s="2471"/>
      <c r="AL377" s="2471"/>
      <c r="AM377" s="2471"/>
      <c r="AN377" s="2471"/>
      <c r="AO377" s="2471"/>
      <c r="AP377" s="2471"/>
      <c r="AQ377" s="2471"/>
      <c r="AR377" s="2471"/>
      <c r="AS377" s="2471"/>
      <c r="AT377" s="2471"/>
      <c r="AU377" s="2471"/>
      <c r="AV377" s="2471"/>
      <c r="AW377" s="2471"/>
      <c r="AX377" s="2471"/>
      <c r="AY377" s="2471"/>
      <c r="AZ377" s="2471"/>
      <c r="BA377" s="2471"/>
      <c r="BB377" s="2471"/>
      <c r="BC377" s="2471"/>
      <c r="BD377" s="2471"/>
      <c r="BE377" s="2471"/>
      <c r="BF377" s="2471"/>
      <c r="BG377" s="2471"/>
      <c r="BH377" s="2471"/>
      <c r="BI377" s="2471"/>
      <c r="BJ377" s="2471"/>
      <c r="BK377" s="2471"/>
      <c r="BL377" s="2471"/>
      <c r="BM377" s="2471"/>
      <c r="BN377" s="2471"/>
      <c r="BO377" s="2471"/>
      <c r="BP377" s="2471"/>
      <c r="BQ377" s="2471"/>
      <c r="BR377" s="2471"/>
      <c r="BS377" s="2471"/>
      <c r="BT377" s="2471"/>
      <c r="BU377" s="2471"/>
      <c r="BV377" s="2471"/>
      <c r="BW377" s="2471"/>
      <c r="BX377" s="2471"/>
    </row>
    <row r="378" spans="1:76" s="2450" customFormat="1" ht="35.25" customHeight="1">
      <c r="A378" s="2470"/>
      <c r="B378" s="2470"/>
      <c r="C378" s="1381" t="s">
        <v>146</v>
      </c>
      <c r="D378" s="1381" t="s">
        <v>66</v>
      </c>
      <c r="E378" s="1381" t="s">
        <v>196</v>
      </c>
      <c r="F378" s="1381" t="s">
        <v>65</v>
      </c>
      <c r="G378" s="1381" t="s">
        <v>66</v>
      </c>
      <c r="H378" s="1381" t="s">
        <v>93</v>
      </c>
      <c r="I378" s="1703" t="s">
        <v>149</v>
      </c>
      <c r="J378" s="1703" t="s">
        <v>3705</v>
      </c>
      <c r="K378" s="2452">
        <v>60</v>
      </c>
      <c r="L378" s="2400">
        <f>5*109261857</f>
        <v>546309285</v>
      </c>
      <c r="M378" s="2452">
        <v>12</v>
      </c>
      <c r="N378" s="2400">
        <f>2*'[1]KEU '!$J$17</f>
        <v>176359000</v>
      </c>
      <c r="O378" s="2452">
        <v>12</v>
      </c>
      <c r="P378" s="2400">
        <v>86244000</v>
      </c>
      <c r="Q378" s="2452">
        <v>3</v>
      </c>
      <c r="R378" s="2400">
        <v>12000000</v>
      </c>
      <c r="S378" s="2400">
        <v>3</v>
      </c>
      <c r="T378" s="2453">
        <v>25818000</v>
      </c>
      <c r="U378" s="2400">
        <v>3</v>
      </c>
      <c r="V378" s="2400">
        <v>19849000</v>
      </c>
      <c r="W378" s="2453"/>
      <c r="X378" s="2453"/>
      <c r="Y378" s="2452">
        <f t="shared" si="112"/>
        <v>9</v>
      </c>
      <c r="Z378" s="2400">
        <f t="shared" si="111"/>
        <v>57667000</v>
      </c>
      <c r="AA378" s="2452">
        <f t="shared" si="113"/>
        <v>21</v>
      </c>
      <c r="AB378" s="2456">
        <f t="shared" si="113"/>
        <v>234026000</v>
      </c>
      <c r="AC378" s="2453">
        <f t="shared" si="114"/>
        <v>35</v>
      </c>
      <c r="AD378" s="2453">
        <f t="shared" si="114"/>
        <v>42.837639122315117</v>
      </c>
      <c r="AE378" s="2726"/>
      <c r="AF378" s="2471"/>
      <c r="AG378" s="2471"/>
      <c r="AH378" s="2471"/>
      <c r="AI378" s="2471"/>
      <c r="AJ378" s="2471"/>
      <c r="AK378" s="2471"/>
      <c r="AL378" s="2471"/>
      <c r="AM378" s="2471"/>
      <c r="AN378" s="2471"/>
      <c r="AO378" s="2471"/>
      <c r="AP378" s="2471"/>
      <c r="AQ378" s="2471"/>
      <c r="AR378" s="2471"/>
      <c r="AS378" s="2471"/>
      <c r="AT378" s="2471"/>
      <c r="AU378" s="2471"/>
      <c r="AV378" s="2471"/>
      <c r="AW378" s="2471"/>
      <c r="AX378" s="2471"/>
      <c r="AY378" s="2471"/>
      <c r="AZ378" s="2471"/>
      <c r="BA378" s="2471"/>
      <c r="BB378" s="2471"/>
      <c r="BC378" s="2471"/>
      <c r="BD378" s="2471"/>
      <c r="BE378" s="2471"/>
      <c r="BF378" s="2471"/>
      <c r="BG378" s="2471"/>
      <c r="BH378" s="2471"/>
      <c r="BI378" s="2471"/>
      <c r="BJ378" s="2471"/>
      <c r="BK378" s="2471"/>
      <c r="BL378" s="2471"/>
      <c r="BM378" s="2471"/>
      <c r="BN378" s="2471"/>
      <c r="BO378" s="2471"/>
      <c r="BP378" s="2471"/>
      <c r="BQ378" s="2471"/>
      <c r="BR378" s="2471"/>
      <c r="BS378" s="2471"/>
      <c r="BT378" s="2471"/>
      <c r="BU378" s="2471"/>
      <c r="BV378" s="2471"/>
      <c r="BW378" s="2471"/>
      <c r="BX378" s="2471"/>
    </row>
    <row r="379" spans="1:76" s="2450" customFormat="1" ht="45" customHeight="1">
      <c r="A379" s="2470"/>
      <c r="B379" s="2470"/>
      <c r="C379" s="1381" t="s">
        <v>146</v>
      </c>
      <c r="D379" s="1381" t="s">
        <v>66</v>
      </c>
      <c r="E379" s="1381" t="s">
        <v>196</v>
      </c>
      <c r="F379" s="1381" t="s">
        <v>65</v>
      </c>
      <c r="G379" s="1381" t="s">
        <v>66</v>
      </c>
      <c r="H379" s="1381" t="s">
        <v>201</v>
      </c>
      <c r="I379" s="1703" t="s">
        <v>1410</v>
      </c>
      <c r="J379" s="1703" t="s">
        <v>3706</v>
      </c>
      <c r="K379" s="2452">
        <v>60</v>
      </c>
      <c r="L379" s="2400">
        <f>5*15750000</f>
        <v>78750000</v>
      </c>
      <c r="M379" s="2452">
        <v>12</v>
      </c>
      <c r="N379" s="2400">
        <f>'[1]KEU '!$J$21*2</f>
        <v>29645000</v>
      </c>
      <c r="O379" s="2452">
        <v>12</v>
      </c>
      <c r="P379" s="2400">
        <v>15250000</v>
      </c>
      <c r="Q379" s="2452">
        <v>3</v>
      </c>
      <c r="R379" s="2400">
        <f>'[2]KEU '!$H$22</f>
        <v>0</v>
      </c>
      <c r="S379" s="2400">
        <v>3</v>
      </c>
      <c r="T379" s="2453">
        <v>1800000</v>
      </c>
      <c r="U379" s="2400">
        <v>3</v>
      </c>
      <c r="V379" s="2400">
        <v>4450000</v>
      </c>
      <c r="W379" s="2453"/>
      <c r="X379" s="2453"/>
      <c r="Y379" s="2452">
        <f t="shared" si="112"/>
        <v>9</v>
      </c>
      <c r="Z379" s="2400">
        <f t="shared" si="111"/>
        <v>6250000</v>
      </c>
      <c r="AA379" s="2452">
        <f t="shared" si="113"/>
        <v>21</v>
      </c>
      <c r="AB379" s="2456">
        <f t="shared" si="113"/>
        <v>35895000</v>
      </c>
      <c r="AC379" s="2453">
        <f t="shared" si="114"/>
        <v>35</v>
      </c>
      <c r="AD379" s="2453">
        <f t="shared" si="114"/>
        <v>45.580952380952382</v>
      </c>
      <c r="AE379" s="2726"/>
      <c r="AF379" s="2471"/>
      <c r="AG379" s="2471"/>
      <c r="AH379" s="2471"/>
      <c r="AI379" s="2471"/>
      <c r="AJ379" s="2471"/>
      <c r="AK379" s="2471"/>
      <c r="AL379" s="2471"/>
      <c r="AM379" s="2471"/>
      <c r="AN379" s="2471"/>
      <c r="AO379" s="2471"/>
      <c r="AP379" s="2471"/>
      <c r="AQ379" s="2471"/>
      <c r="AR379" s="2471"/>
      <c r="AS379" s="2471"/>
      <c r="AT379" s="2471"/>
      <c r="AU379" s="2471"/>
      <c r="AV379" s="2471"/>
      <c r="AW379" s="2471"/>
      <c r="AX379" s="2471"/>
      <c r="AY379" s="2471"/>
      <c r="AZ379" s="2471"/>
      <c r="BA379" s="2471"/>
      <c r="BB379" s="2471"/>
      <c r="BC379" s="2471"/>
      <c r="BD379" s="2471"/>
      <c r="BE379" s="2471"/>
      <c r="BF379" s="2471"/>
      <c r="BG379" s="2471"/>
      <c r="BH379" s="2471"/>
      <c r="BI379" s="2471"/>
      <c r="BJ379" s="2471"/>
      <c r="BK379" s="2471"/>
      <c r="BL379" s="2471"/>
      <c r="BM379" s="2471"/>
      <c r="BN379" s="2471"/>
      <c r="BO379" s="2471"/>
      <c r="BP379" s="2471"/>
      <c r="BQ379" s="2471"/>
      <c r="BR379" s="2471"/>
      <c r="BS379" s="2471"/>
      <c r="BT379" s="2471"/>
      <c r="BU379" s="2471"/>
      <c r="BV379" s="2471"/>
      <c r="BW379" s="2471"/>
      <c r="BX379" s="2471"/>
    </row>
    <row r="380" spans="1:76" s="2450" customFormat="1" ht="33.75" customHeight="1">
      <c r="A380" s="2470"/>
      <c r="B380" s="2470"/>
      <c r="C380" s="1381" t="s">
        <v>146</v>
      </c>
      <c r="D380" s="1381" t="s">
        <v>66</v>
      </c>
      <c r="E380" s="1381" t="s">
        <v>196</v>
      </c>
      <c r="F380" s="1381" t="s">
        <v>65</v>
      </c>
      <c r="G380" s="1381" t="s">
        <v>66</v>
      </c>
      <c r="H380" s="1381" t="s">
        <v>202</v>
      </c>
      <c r="I380" s="1703" t="s">
        <v>150</v>
      </c>
      <c r="J380" s="1703" t="s">
        <v>3707</v>
      </c>
      <c r="K380" s="2452">
        <v>60</v>
      </c>
      <c r="L380" s="2400">
        <f>5*95458811</f>
        <v>477294055</v>
      </c>
      <c r="M380" s="2452">
        <v>12</v>
      </c>
      <c r="N380" s="2400">
        <f>'[1]KEU '!$J$23</f>
        <v>78476000</v>
      </c>
      <c r="O380" s="2452">
        <v>12</v>
      </c>
      <c r="P380" s="2400">
        <v>67861900</v>
      </c>
      <c r="Q380" s="2452">
        <v>3</v>
      </c>
      <c r="R380" s="2400">
        <v>18765000</v>
      </c>
      <c r="S380" s="2400">
        <v>3</v>
      </c>
      <c r="T380" s="2453">
        <v>13130500</v>
      </c>
      <c r="U380" s="2400">
        <v>3</v>
      </c>
      <c r="V380" s="2400">
        <v>20579000</v>
      </c>
      <c r="W380" s="2453"/>
      <c r="X380" s="2453"/>
      <c r="Y380" s="2452">
        <f t="shared" si="112"/>
        <v>9</v>
      </c>
      <c r="Z380" s="2400">
        <f t="shared" si="111"/>
        <v>52474500</v>
      </c>
      <c r="AA380" s="2452">
        <f t="shared" si="113"/>
        <v>21</v>
      </c>
      <c r="AB380" s="2456">
        <f t="shared" si="113"/>
        <v>130950500</v>
      </c>
      <c r="AC380" s="2453">
        <f t="shared" si="114"/>
        <v>35</v>
      </c>
      <c r="AD380" s="2453">
        <f t="shared" si="114"/>
        <v>27.436021594695958</v>
      </c>
      <c r="AE380" s="2726"/>
      <c r="AF380" s="2471"/>
      <c r="AG380" s="2471"/>
      <c r="AH380" s="2471"/>
      <c r="AI380" s="2471"/>
      <c r="AJ380" s="2471"/>
      <c r="AK380" s="2471"/>
      <c r="AL380" s="2471"/>
      <c r="AM380" s="2471"/>
      <c r="AN380" s="2471"/>
      <c r="AO380" s="2471"/>
      <c r="AP380" s="2471"/>
      <c r="AQ380" s="2471"/>
      <c r="AR380" s="2471"/>
      <c r="AS380" s="2471"/>
      <c r="AT380" s="2471"/>
      <c r="AU380" s="2471"/>
      <c r="AV380" s="2471"/>
      <c r="AW380" s="2471"/>
      <c r="AX380" s="2471"/>
      <c r="AY380" s="2471"/>
      <c r="AZ380" s="2471"/>
      <c r="BA380" s="2471"/>
      <c r="BB380" s="2471"/>
      <c r="BC380" s="2471"/>
      <c r="BD380" s="2471"/>
      <c r="BE380" s="2471"/>
      <c r="BF380" s="2471"/>
      <c r="BG380" s="2471"/>
      <c r="BH380" s="2471"/>
      <c r="BI380" s="2471"/>
      <c r="BJ380" s="2471"/>
      <c r="BK380" s="2471"/>
      <c r="BL380" s="2471"/>
      <c r="BM380" s="2471"/>
      <c r="BN380" s="2471"/>
      <c r="BO380" s="2471"/>
      <c r="BP380" s="2471"/>
      <c r="BQ380" s="2471"/>
      <c r="BR380" s="2471"/>
      <c r="BS380" s="2471"/>
      <c r="BT380" s="2471"/>
      <c r="BU380" s="2471"/>
      <c r="BV380" s="2471"/>
      <c r="BW380" s="2471"/>
      <c r="BX380" s="2471"/>
    </row>
    <row r="381" spans="1:76" s="2450" customFormat="1" ht="45" customHeight="1">
      <c r="A381" s="2470"/>
      <c r="B381" s="2470"/>
      <c r="C381" s="1381" t="s">
        <v>146</v>
      </c>
      <c r="D381" s="1381" t="s">
        <v>66</v>
      </c>
      <c r="E381" s="1381" t="s">
        <v>196</v>
      </c>
      <c r="F381" s="1381" t="s">
        <v>65</v>
      </c>
      <c r="G381" s="1381" t="s">
        <v>66</v>
      </c>
      <c r="H381" s="1381" t="s">
        <v>417</v>
      </c>
      <c r="I381" s="1703" t="s">
        <v>151</v>
      </c>
      <c r="J381" s="1703" t="s">
        <v>3708</v>
      </c>
      <c r="K381" s="2452">
        <v>60</v>
      </c>
      <c r="L381" s="2400">
        <f>5*65085255</f>
        <v>325426275</v>
      </c>
      <c r="M381" s="2452">
        <v>12</v>
      </c>
      <c r="N381" s="2400">
        <f>'[1]KEU '!$J$25*2</f>
        <v>106348400</v>
      </c>
      <c r="O381" s="2452">
        <v>12</v>
      </c>
      <c r="P381" s="2400">
        <v>28160000</v>
      </c>
      <c r="Q381" s="2452">
        <v>3</v>
      </c>
      <c r="R381" s="2400">
        <v>4200000</v>
      </c>
      <c r="S381" s="2400">
        <v>3</v>
      </c>
      <c r="T381" s="2453">
        <v>12793000</v>
      </c>
      <c r="U381" s="2400">
        <v>3</v>
      </c>
      <c r="V381" s="2400">
        <v>5975500</v>
      </c>
      <c r="W381" s="2453"/>
      <c r="X381" s="2453"/>
      <c r="Y381" s="2452">
        <f t="shared" si="112"/>
        <v>9</v>
      </c>
      <c r="Z381" s="2400">
        <f t="shared" si="111"/>
        <v>22968500</v>
      </c>
      <c r="AA381" s="2452">
        <f t="shared" si="113"/>
        <v>21</v>
      </c>
      <c r="AB381" s="2456">
        <f t="shared" si="113"/>
        <v>129316900</v>
      </c>
      <c r="AC381" s="2453">
        <f t="shared" si="114"/>
        <v>35</v>
      </c>
      <c r="AD381" s="2453">
        <f t="shared" si="114"/>
        <v>39.73769481274983</v>
      </c>
      <c r="AE381" s="2726"/>
      <c r="AF381" s="2471"/>
      <c r="AG381" s="2471"/>
      <c r="AH381" s="2471"/>
      <c r="AI381" s="2471"/>
      <c r="AJ381" s="2471"/>
      <c r="AK381" s="2471"/>
      <c r="AL381" s="2471"/>
      <c r="AM381" s="2471"/>
      <c r="AN381" s="2471"/>
      <c r="AO381" s="2471"/>
      <c r="AP381" s="2471"/>
      <c r="AQ381" s="2471"/>
      <c r="AR381" s="2471"/>
      <c r="AS381" s="2471"/>
      <c r="AT381" s="2471"/>
      <c r="AU381" s="2471"/>
      <c r="AV381" s="2471"/>
      <c r="AW381" s="2471"/>
      <c r="AX381" s="2471"/>
      <c r="AY381" s="2471"/>
      <c r="AZ381" s="2471"/>
      <c r="BA381" s="2471"/>
      <c r="BB381" s="2471"/>
      <c r="BC381" s="2471"/>
      <c r="BD381" s="2471"/>
      <c r="BE381" s="2471"/>
      <c r="BF381" s="2471"/>
      <c r="BG381" s="2471"/>
      <c r="BH381" s="2471"/>
      <c r="BI381" s="2471"/>
      <c r="BJ381" s="2471"/>
      <c r="BK381" s="2471"/>
      <c r="BL381" s="2471"/>
      <c r="BM381" s="2471"/>
      <c r="BN381" s="2471"/>
      <c r="BO381" s="2471"/>
      <c r="BP381" s="2471"/>
      <c r="BQ381" s="2471"/>
      <c r="BR381" s="2471"/>
      <c r="BS381" s="2471"/>
      <c r="BT381" s="2471"/>
      <c r="BU381" s="2471"/>
      <c r="BV381" s="2471"/>
      <c r="BW381" s="2471"/>
      <c r="BX381" s="2471"/>
    </row>
    <row r="382" spans="1:76" s="2450" customFormat="1" ht="63" customHeight="1">
      <c r="A382" s="2470"/>
      <c r="B382" s="2470"/>
      <c r="C382" s="1381" t="s">
        <v>146</v>
      </c>
      <c r="D382" s="1381" t="s">
        <v>66</v>
      </c>
      <c r="E382" s="1381" t="s">
        <v>196</v>
      </c>
      <c r="F382" s="1381" t="s">
        <v>65</v>
      </c>
      <c r="G382" s="1381" t="s">
        <v>66</v>
      </c>
      <c r="H382" s="1381">
        <v>12</v>
      </c>
      <c r="I382" s="1703" t="s">
        <v>152</v>
      </c>
      <c r="J382" s="1703" t="s">
        <v>3709</v>
      </c>
      <c r="K382" s="2452">
        <v>60</v>
      </c>
      <c r="L382" s="2400">
        <f>5*8052729</f>
        <v>40263645</v>
      </c>
      <c r="M382" s="2452">
        <v>12</v>
      </c>
      <c r="N382" s="2400">
        <f>'[1]KEU '!$J$27*2</f>
        <v>13161000</v>
      </c>
      <c r="O382" s="2452">
        <v>12</v>
      </c>
      <c r="P382" s="2400">
        <v>6400000</v>
      </c>
      <c r="Q382" s="2452">
        <v>3</v>
      </c>
      <c r="R382" s="2400">
        <v>146000</v>
      </c>
      <c r="S382" s="2400">
        <v>3</v>
      </c>
      <c r="T382" s="2453">
        <v>100000</v>
      </c>
      <c r="U382" s="2400">
        <v>3</v>
      </c>
      <c r="V382" s="2400">
        <v>950000</v>
      </c>
      <c r="W382" s="2453"/>
      <c r="X382" s="2453"/>
      <c r="Y382" s="2452">
        <f t="shared" si="112"/>
        <v>9</v>
      </c>
      <c r="Z382" s="2400">
        <f t="shared" si="111"/>
        <v>1196000</v>
      </c>
      <c r="AA382" s="2452">
        <f t="shared" si="113"/>
        <v>21</v>
      </c>
      <c r="AB382" s="2456">
        <f t="shared" si="113"/>
        <v>14357000</v>
      </c>
      <c r="AC382" s="2453">
        <f t="shared" si="114"/>
        <v>35</v>
      </c>
      <c r="AD382" s="2453">
        <f t="shared" si="114"/>
        <v>35.657477111175602</v>
      </c>
      <c r="AE382" s="2726"/>
      <c r="AF382" s="2471"/>
      <c r="AG382" s="2471"/>
      <c r="AH382" s="2471"/>
      <c r="AI382" s="2471"/>
      <c r="AJ382" s="2471"/>
      <c r="AK382" s="2471"/>
      <c r="AL382" s="2471"/>
      <c r="AM382" s="2471"/>
      <c r="AN382" s="2471"/>
      <c r="AO382" s="2471"/>
      <c r="AP382" s="2471"/>
      <c r="AQ382" s="2471"/>
      <c r="AR382" s="2471"/>
      <c r="AS382" s="2471"/>
      <c r="AT382" s="2471"/>
      <c r="AU382" s="2471"/>
      <c r="AV382" s="2471"/>
      <c r="AW382" s="2471"/>
      <c r="AX382" s="2471"/>
      <c r="AY382" s="2471"/>
      <c r="AZ382" s="2471"/>
      <c r="BA382" s="2471"/>
      <c r="BB382" s="2471"/>
      <c r="BC382" s="2471"/>
      <c r="BD382" s="2471"/>
      <c r="BE382" s="2471"/>
      <c r="BF382" s="2471"/>
      <c r="BG382" s="2471"/>
      <c r="BH382" s="2471"/>
      <c r="BI382" s="2471"/>
      <c r="BJ382" s="2471"/>
      <c r="BK382" s="2471"/>
      <c r="BL382" s="2471"/>
      <c r="BM382" s="2471"/>
      <c r="BN382" s="2471"/>
      <c r="BO382" s="2471"/>
      <c r="BP382" s="2471"/>
      <c r="BQ382" s="2471"/>
      <c r="BR382" s="2471"/>
      <c r="BS382" s="2471"/>
      <c r="BT382" s="2471"/>
      <c r="BU382" s="2471"/>
      <c r="BV382" s="2471"/>
      <c r="BW382" s="2471"/>
      <c r="BX382" s="2471"/>
    </row>
    <row r="383" spans="1:76" s="2450" customFormat="1" ht="56.25" customHeight="1">
      <c r="A383" s="2470"/>
      <c r="B383" s="2470"/>
      <c r="C383" s="1381" t="s">
        <v>146</v>
      </c>
      <c r="D383" s="1381" t="s">
        <v>66</v>
      </c>
      <c r="E383" s="1381" t="s">
        <v>196</v>
      </c>
      <c r="F383" s="1381" t="s">
        <v>65</v>
      </c>
      <c r="G383" s="1381" t="s">
        <v>66</v>
      </c>
      <c r="H383" s="1381">
        <v>15</v>
      </c>
      <c r="I383" s="1703" t="s">
        <v>156</v>
      </c>
      <c r="J383" s="1703" t="s">
        <v>3710</v>
      </c>
      <c r="K383" s="2452">
        <v>60</v>
      </c>
      <c r="L383" s="2400">
        <f>5*16090988</f>
        <v>80454940</v>
      </c>
      <c r="M383" s="2452">
        <v>12</v>
      </c>
      <c r="N383" s="2400">
        <f>'[1]KEU '!$J$29*2</f>
        <v>24250000</v>
      </c>
      <c r="O383" s="2452">
        <v>12</v>
      </c>
      <c r="P383" s="2400">
        <v>13900000</v>
      </c>
      <c r="Q383" s="2452">
        <v>3</v>
      </c>
      <c r="R383" s="2400">
        <v>870000</v>
      </c>
      <c r="S383" s="2400">
        <v>3</v>
      </c>
      <c r="T383" s="2453">
        <v>8775000</v>
      </c>
      <c r="U383" s="2400">
        <v>3</v>
      </c>
      <c r="V383" s="2400">
        <v>1325000</v>
      </c>
      <c r="W383" s="2453"/>
      <c r="X383" s="2453"/>
      <c r="Y383" s="2452">
        <f t="shared" si="112"/>
        <v>9</v>
      </c>
      <c r="Z383" s="2400">
        <f t="shared" si="111"/>
        <v>10970000</v>
      </c>
      <c r="AA383" s="2452">
        <f t="shared" si="113"/>
        <v>21</v>
      </c>
      <c r="AB383" s="2456">
        <f t="shared" si="113"/>
        <v>35220000</v>
      </c>
      <c r="AC383" s="2453">
        <f t="shared" si="114"/>
        <v>35</v>
      </c>
      <c r="AD383" s="2453">
        <f t="shared" si="114"/>
        <v>43.776056510638128</v>
      </c>
      <c r="AE383" s="2726"/>
      <c r="AF383" s="2471"/>
      <c r="AG383" s="2471"/>
      <c r="AH383" s="2471"/>
      <c r="AI383" s="2471"/>
      <c r="AJ383" s="2471"/>
      <c r="AK383" s="2471"/>
      <c r="AL383" s="2471"/>
      <c r="AM383" s="2471"/>
      <c r="AN383" s="2471"/>
      <c r="AO383" s="2471"/>
      <c r="AP383" s="2471"/>
      <c r="AQ383" s="2471"/>
      <c r="AR383" s="2471"/>
      <c r="AS383" s="2471"/>
      <c r="AT383" s="2471"/>
      <c r="AU383" s="2471"/>
      <c r="AV383" s="2471"/>
      <c r="AW383" s="2471"/>
      <c r="AX383" s="2471"/>
      <c r="AY383" s="2471"/>
      <c r="AZ383" s="2471"/>
      <c r="BA383" s="2471"/>
      <c r="BB383" s="2471"/>
      <c r="BC383" s="2471"/>
      <c r="BD383" s="2471"/>
      <c r="BE383" s="2471"/>
      <c r="BF383" s="2471"/>
      <c r="BG383" s="2471"/>
      <c r="BH383" s="2471"/>
      <c r="BI383" s="2471"/>
      <c r="BJ383" s="2471"/>
      <c r="BK383" s="2471"/>
      <c r="BL383" s="2471"/>
      <c r="BM383" s="2471"/>
      <c r="BN383" s="2471"/>
      <c r="BO383" s="2471"/>
      <c r="BP383" s="2471"/>
      <c r="BQ383" s="2471"/>
      <c r="BR383" s="2471"/>
      <c r="BS383" s="2471"/>
      <c r="BT383" s="2471"/>
      <c r="BU383" s="2471"/>
      <c r="BV383" s="2471"/>
      <c r="BW383" s="2471"/>
      <c r="BX383" s="2471"/>
    </row>
    <row r="384" spans="1:76" s="2450" customFormat="1" ht="56.25" customHeight="1">
      <c r="A384" s="2470"/>
      <c r="B384" s="2470"/>
      <c r="C384" s="1381" t="s">
        <v>146</v>
      </c>
      <c r="D384" s="1381" t="s">
        <v>66</v>
      </c>
      <c r="E384" s="1381" t="s">
        <v>196</v>
      </c>
      <c r="F384" s="1381" t="s">
        <v>65</v>
      </c>
      <c r="G384" s="1381" t="s">
        <v>66</v>
      </c>
      <c r="H384" s="1381">
        <v>17</v>
      </c>
      <c r="I384" s="1703" t="s">
        <v>157</v>
      </c>
      <c r="J384" s="1703" t="s">
        <v>3711</v>
      </c>
      <c r="K384" s="2452">
        <v>60</v>
      </c>
      <c r="L384" s="2400">
        <f>5*65880439</f>
        <v>329402195</v>
      </c>
      <c r="M384" s="2452">
        <v>12</v>
      </c>
      <c r="N384" s="2400">
        <f>'[1]KEU '!$J$31*2</f>
        <v>40975000</v>
      </c>
      <c r="O384" s="2452">
        <v>12</v>
      </c>
      <c r="P384" s="2400">
        <v>70122500</v>
      </c>
      <c r="Q384" s="2452">
        <v>3</v>
      </c>
      <c r="R384" s="2400">
        <v>10040000</v>
      </c>
      <c r="S384" s="2400">
        <v>3</v>
      </c>
      <c r="T384" s="2453">
        <v>4952500</v>
      </c>
      <c r="U384" s="2400">
        <v>3</v>
      </c>
      <c r="V384" s="2400">
        <v>11850000</v>
      </c>
      <c r="W384" s="2453"/>
      <c r="X384" s="2453"/>
      <c r="Y384" s="2452">
        <f t="shared" si="112"/>
        <v>9</v>
      </c>
      <c r="Z384" s="2400">
        <f t="shared" si="111"/>
        <v>26842500</v>
      </c>
      <c r="AA384" s="2452">
        <f t="shared" si="113"/>
        <v>21</v>
      </c>
      <c r="AB384" s="2456">
        <f t="shared" si="113"/>
        <v>67817500</v>
      </c>
      <c r="AC384" s="2453">
        <f t="shared" si="114"/>
        <v>35</v>
      </c>
      <c r="AD384" s="2453">
        <f t="shared" si="114"/>
        <v>20.588053458478019</v>
      </c>
      <c r="AE384" s="2726"/>
      <c r="AF384" s="2471"/>
      <c r="AG384" s="2471"/>
      <c r="AH384" s="2471"/>
      <c r="AI384" s="2471"/>
      <c r="AJ384" s="2471"/>
      <c r="AK384" s="2471"/>
      <c r="AL384" s="2471"/>
      <c r="AM384" s="2471"/>
      <c r="AN384" s="2471"/>
      <c r="AO384" s="2471"/>
      <c r="AP384" s="2471"/>
      <c r="AQ384" s="2471"/>
      <c r="AR384" s="2471"/>
      <c r="AS384" s="2471"/>
      <c r="AT384" s="2471"/>
      <c r="AU384" s="2471"/>
      <c r="AV384" s="2471"/>
      <c r="AW384" s="2471"/>
      <c r="AX384" s="2471"/>
      <c r="AY384" s="2471"/>
      <c r="AZ384" s="2471"/>
      <c r="BA384" s="2471"/>
      <c r="BB384" s="2471"/>
      <c r="BC384" s="2471"/>
      <c r="BD384" s="2471"/>
      <c r="BE384" s="2471"/>
      <c r="BF384" s="2471"/>
      <c r="BG384" s="2471"/>
      <c r="BH384" s="2471"/>
      <c r="BI384" s="2471"/>
      <c r="BJ384" s="2471"/>
      <c r="BK384" s="2471"/>
      <c r="BL384" s="2471"/>
      <c r="BM384" s="2471"/>
      <c r="BN384" s="2471"/>
      <c r="BO384" s="2471"/>
      <c r="BP384" s="2471"/>
      <c r="BQ384" s="2471"/>
      <c r="BR384" s="2471"/>
      <c r="BS384" s="2471"/>
      <c r="BT384" s="2471"/>
      <c r="BU384" s="2471"/>
      <c r="BV384" s="2471"/>
      <c r="BW384" s="2471"/>
      <c r="BX384" s="2471"/>
    </row>
    <row r="385" spans="1:76" s="2450" customFormat="1" ht="56.25" customHeight="1">
      <c r="A385" s="2470"/>
      <c r="B385" s="2470"/>
      <c r="C385" s="1381" t="s">
        <v>146</v>
      </c>
      <c r="D385" s="1381" t="s">
        <v>66</v>
      </c>
      <c r="E385" s="1381" t="s">
        <v>196</v>
      </c>
      <c r="F385" s="1381" t="s">
        <v>65</v>
      </c>
      <c r="G385" s="1381" t="s">
        <v>66</v>
      </c>
      <c r="H385" s="1381">
        <v>18</v>
      </c>
      <c r="I385" s="1703" t="s">
        <v>158</v>
      </c>
      <c r="J385" s="1703" t="s">
        <v>3712</v>
      </c>
      <c r="K385" s="2452">
        <v>60</v>
      </c>
      <c r="L385" s="2400">
        <f>5*191442234</f>
        <v>957211170</v>
      </c>
      <c r="M385" s="2452">
        <v>12</v>
      </c>
      <c r="N385" s="2400">
        <f>'[1]KEU '!$J$33*2</f>
        <v>288957420</v>
      </c>
      <c r="O385" s="2452">
        <v>12</v>
      </c>
      <c r="P385" s="2400">
        <v>112050000</v>
      </c>
      <c r="Q385" s="2452">
        <v>3</v>
      </c>
      <c r="R385" s="2400">
        <v>33847224</v>
      </c>
      <c r="S385" s="2400">
        <v>3</v>
      </c>
      <c r="T385" s="2453">
        <v>48970611</v>
      </c>
      <c r="U385" s="2400">
        <v>3</v>
      </c>
      <c r="V385" s="2400">
        <v>27358000</v>
      </c>
      <c r="W385" s="2453"/>
      <c r="X385" s="2453"/>
      <c r="Y385" s="2452">
        <f t="shared" si="112"/>
        <v>9</v>
      </c>
      <c r="Z385" s="2400">
        <f t="shared" si="111"/>
        <v>110175835</v>
      </c>
      <c r="AA385" s="2452">
        <f t="shared" si="113"/>
        <v>21</v>
      </c>
      <c r="AB385" s="2456">
        <f t="shared" si="113"/>
        <v>399133255</v>
      </c>
      <c r="AC385" s="2453">
        <f t="shared" si="114"/>
        <v>35</v>
      </c>
      <c r="AD385" s="2453">
        <f t="shared" si="114"/>
        <v>41.697513308374781</v>
      </c>
      <c r="AE385" s="2726"/>
      <c r="AF385" s="2471"/>
      <c r="AG385" s="2471"/>
      <c r="AH385" s="2471"/>
      <c r="AI385" s="2471"/>
      <c r="AJ385" s="2471"/>
      <c r="AK385" s="2471"/>
      <c r="AL385" s="2471"/>
      <c r="AM385" s="2471"/>
      <c r="AN385" s="2471"/>
      <c r="AO385" s="2471"/>
      <c r="AP385" s="2471"/>
      <c r="AQ385" s="2471"/>
      <c r="AR385" s="2471"/>
      <c r="AS385" s="2471"/>
      <c r="AT385" s="2471"/>
      <c r="AU385" s="2471"/>
      <c r="AV385" s="2471"/>
      <c r="AW385" s="2471"/>
      <c r="AX385" s="2471"/>
      <c r="AY385" s="2471"/>
      <c r="AZ385" s="2471"/>
      <c r="BA385" s="2471"/>
      <c r="BB385" s="2471"/>
      <c r="BC385" s="2471"/>
      <c r="BD385" s="2471"/>
      <c r="BE385" s="2471"/>
      <c r="BF385" s="2471"/>
      <c r="BG385" s="2471"/>
      <c r="BH385" s="2471"/>
      <c r="BI385" s="2471"/>
      <c r="BJ385" s="2471"/>
      <c r="BK385" s="2471"/>
      <c r="BL385" s="2471"/>
      <c r="BM385" s="2471"/>
      <c r="BN385" s="2471"/>
      <c r="BO385" s="2471"/>
      <c r="BP385" s="2471"/>
      <c r="BQ385" s="2471"/>
      <c r="BR385" s="2471"/>
      <c r="BS385" s="2471"/>
      <c r="BT385" s="2471"/>
      <c r="BU385" s="2471"/>
      <c r="BV385" s="2471"/>
      <c r="BW385" s="2471"/>
      <c r="BX385" s="2471"/>
    </row>
    <row r="386" spans="1:76" s="2450" customFormat="1" ht="56.25" customHeight="1">
      <c r="A386" s="2470"/>
      <c r="B386" s="2470"/>
      <c r="C386" s="1381" t="s">
        <v>146</v>
      </c>
      <c r="D386" s="1381" t="s">
        <v>66</v>
      </c>
      <c r="E386" s="1381" t="s">
        <v>196</v>
      </c>
      <c r="F386" s="1381" t="s">
        <v>65</v>
      </c>
      <c r="G386" s="1381" t="s">
        <v>66</v>
      </c>
      <c r="H386" s="1381">
        <v>20</v>
      </c>
      <c r="I386" s="1703" t="s">
        <v>159</v>
      </c>
      <c r="J386" s="1703" t="s">
        <v>3713</v>
      </c>
      <c r="K386" s="2452">
        <v>60</v>
      </c>
      <c r="L386" s="2400">
        <f>5*123835777</f>
        <v>619178885</v>
      </c>
      <c r="M386" s="2452">
        <v>12</v>
      </c>
      <c r="N386" s="2400">
        <f>'[1]KEU '!$J$35*2</f>
        <v>186046000</v>
      </c>
      <c r="O386" s="2452">
        <v>12</v>
      </c>
      <c r="P386" s="2400">
        <v>60590000</v>
      </c>
      <c r="Q386" s="2452">
        <v>3</v>
      </c>
      <c r="R386" s="2400">
        <v>30285000</v>
      </c>
      <c r="S386" s="2400">
        <v>3</v>
      </c>
      <c r="T386" s="2453">
        <v>24620000</v>
      </c>
      <c r="U386" s="2400">
        <v>3</v>
      </c>
      <c r="V386" s="2400">
        <v>5545000</v>
      </c>
      <c r="W386" s="2453"/>
      <c r="X386" s="2453"/>
      <c r="Y386" s="2452">
        <f t="shared" si="112"/>
        <v>9</v>
      </c>
      <c r="Z386" s="2400">
        <f t="shared" si="111"/>
        <v>60450000</v>
      </c>
      <c r="AA386" s="2452">
        <f t="shared" si="113"/>
        <v>21</v>
      </c>
      <c r="AB386" s="2456">
        <f t="shared" si="113"/>
        <v>246496000</v>
      </c>
      <c r="AC386" s="2453">
        <f t="shared" si="114"/>
        <v>35</v>
      </c>
      <c r="AD386" s="2453">
        <f t="shared" si="114"/>
        <v>39.810143073596578</v>
      </c>
      <c r="AE386" s="2726"/>
      <c r="AF386" s="2471"/>
      <c r="AG386" s="2471"/>
      <c r="AH386" s="2471"/>
      <c r="AI386" s="2471"/>
      <c r="AJ386" s="2471"/>
      <c r="AK386" s="2471"/>
      <c r="AL386" s="2471"/>
      <c r="AM386" s="2471"/>
      <c r="AN386" s="2471"/>
      <c r="AO386" s="2471"/>
      <c r="AP386" s="2471"/>
      <c r="AQ386" s="2471"/>
      <c r="AR386" s="2471"/>
      <c r="AS386" s="2471"/>
      <c r="AT386" s="2471"/>
      <c r="AU386" s="2471"/>
      <c r="AV386" s="2471"/>
      <c r="AW386" s="2471"/>
      <c r="AX386" s="2471"/>
      <c r="AY386" s="2471"/>
      <c r="AZ386" s="2471"/>
      <c r="BA386" s="2471"/>
      <c r="BB386" s="2471"/>
      <c r="BC386" s="2471"/>
      <c r="BD386" s="2471"/>
      <c r="BE386" s="2471"/>
      <c r="BF386" s="2471"/>
      <c r="BG386" s="2471"/>
      <c r="BH386" s="2471"/>
      <c r="BI386" s="2471"/>
      <c r="BJ386" s="2471"/>
      <c r="BK386" s="2471"/>
      <c r="BL386" s="2471"/>
      <c r="BM386" s="2471"/>
      <c r="BN386" s="2471"/>
      <c r="BO386" s="2471"/>
      <c r="BP386" s="2471"/>
      <c r="BQ386" s="2471"/>
      <c r="BR386" s="2471"/>
      <c r="BS386" s="2471"/>
      <c r="BT386" s="2471"/>
      <c r="BU386" s="2471"/>
      <c r="BV386" s="2471"/>
      <c r="BW386" s="2471"/>
      <c r="BX386" s="2471"/>
    </row>
    <row r="387" spans="1:76" s="2451" customFormat="1" ht="58.5" customHeight="1">
      <c r="A387" s="2470"/>
      <c r="B387" s="2470"/>
      <c r="C387" s="1381" t="s">
        <v>146</v>
      </c>
      <c r="D387" s="1381" t="s">
        <v>66</v>
      </c>
      <c r="E387" s="1381" t="s">
        <v>196</v>
      </c>
      <c r="F387" s="1381" t="s">
        <v>65</v>
      </c>
      <c r="G387" s="1381" t="s">
        <v>66</v>
      </c>
      <c r="H387" s="1381">
        <v>25</v>
      </c>
      <c r="I387" s="1703" t="s">
        <v>2265</v>
      </c>
      <c r="J387" s="1703" t="s">
        <v>3714</v>
      </c>
      <c r="K387" s="2452">
        <v>60</v>
      </c>
      <c r="L387" s="2400">
        <f>5*40902393</f>
        <v>204511965</v>
      </c>
      <c r="M387" s="2452">
        <v>12</v>
      </c>
      <c r="N387" s="2400">
        <f>'[1]KEU '!$J$37</f>
        <v>20748250</v>
      </c>
      <c r="O387" s="2452">
        <v>12</v>
      </c>
      <c r="P387" s="2400"/>
      <c r="Q387" s="2452">
        <v>0</v>
      </c>
      <c r="R387" s="2400"/>
      <c r="S387" s="2400">
        <v>0</v>
      </c>
      <c r="T387" s="2455">
        <v>0</v>
      </c>
      <c r="U387" s="2453">
        <v>0</v>
      </c>
      <c r="V387" s="2400">
        <v>0</v>
      </c>
      <c r="W387" s="2453"/>
      <c r="X387" s="2453"/>
      <c r="Y387" s="2452">
        <f t="shared" si="112"/>
        <v>0</v>
      </c>
      <c r="Z387" s="2400">
        <f t="shared" si="111"/>
        <v>0</v>
      </c>
      <c r="AA387" s="2452"/>
      <c r="AB387" s="2456"/>
      <c r="AC387" s="2453"/>
      <c r="AD387" s="2453"/>
      <c r="AE387" s="2726"/>
      <c r="AF387" s="2804"/>
      <c r="AG387" s="2804"/>
      <c r="AH387" s="2804"/>
      <c r="AI387" s="2804"/>
      <c r="AJ387" s="2804"/>
      <c r="AK387" s="2804"/>
      <c r="AL387" s="2804"/>
      <c r="AM387" s="2804"/>
      <c r="AN387" s="2804"/>
      <c r="AO387" s="2804"/>
      <c r="AP387" s="2804"/>
      <c r="AQ387" s="2804"/>
      <c r="AR387" s="2804"/>
      <c r="AS387" s="2804"/>
      <c r="AT387" s="2804"/>
      <c r="AU387" s="2804"/>
      <c r="AV387" s="2804"/>
      <c r="AW387" s="2804"/>
      <c r="AX387" s="2804"/>
      <c r="AY387" s="2804"/>
      <c r="AZ387" s="2804"/>
      <c r="BA387" s="2804"/>
      <c r="BB387" s="2804"/>
      <c r="BC387" s="2804"/>
      <c r="BD387" s="2804"/>
      <c r="BE387" s="2804"/>
      <c r="BF387" s="2804"/>
      <c r="BG387" s="2804"/>
      <c r="BH387" s="2804"/>
      <c r="BI387" s="2804"/>
      <c r="BJ387" s="2804"/>
      <c r="BK387" s="2804"/>
      <c r="BL387" s="2804"/>
      <c r="BM387" s="2804"/>
      <c r="BN387" s="2804"/>
      <c r="BO387" s="2804"/>
      <c r="BP387" s="2804"/>
      <c r="BQ387" s="2804"/>
      <c r="BR387" s="2804"/>
      <c r="BS387" s="2804"/>
      <c r="BT387" s="2804"/>
      <c r="BU387" s="2804"/>
      <c r="BV387" s="2804"/>
      <c r="BW387" s="2804"/>
      <c r="BX387" s="2804"/>
    </row>
    <row r="388" spans="1:76" s="2450" customFormat="1" ht="55.5" customHeight="1">
      <c r="A388" s="2465">
        <v>2</v>
      </c>
      <c r="B388" s="2465"/>
      <c r="C388" s="2873">
        <v>1</v>
      </c>
      <c r="D388" s="2352" t="s">
        <v>66</v>
      </c>
      <c r="E388" s="2352" t="s">
        <v>196</v>
      </c>
      <c r="F388" s="2352" t="s">
        <v>65</v>
      </c>
      <c r="G388" s="2352" t="s">
        <v>65</v>
      </c>
      <c r="H388" s="2873"/>
      <c r="I388" s="3156" t="s">
        <v>257</v>
      </c>
      <c r="J388" s="3156" t="s">
        <v>3715</v>
      </c>
      <c r="K388" s="2466">
        <v>60</v>
      </c>
      <c r="L388" s="2467">
        <f>SUM(L389:L393)</f>
        <v>3145825500</v>
      </c>
      <c r="M388" s="2466">
        <v>60</v>
      </c>
      <c r="N388" s="2467">
        <f>SUM(N389:N393)</f>
        <v>864244040</v>
      </c>
      <c r="O388" s="2466">
        <f>SUM(O389:O393)</f>
        <v>24</v>
      </c>
      <c r="P388" s="2467">
        <f>SUM(P392:P393)</f>
        <v>698637350</v>
      </c>
      <c r="Q388" s="2466">
        <v>3</v>
      </c>
      <c r="R388" s="2467">
        <f>SUM(R392:R393)</f>
        <v>90636550</v>
      </c>
      <c r="S388" s="2909">
        <v>3</v>
      </c>
      <c r="T388" s="2468">
        <f>SUM(T392:T393)</f>
        <v>217624333</v>
      </c>
      <c r="U388" s="2468"/>
      <c r="V388" s="2467">
        <f>SUM(V392:V393)</f>
        <v>127798050</v>
      </c>
      <c r="W388" s="2468"/>
      <c r="X388" s="2468"/>
      <c r="Y388" s="2466">
        <f t="shared" si="112"/>
        <v>6</v>
      </c>
      <c r="Z388" s="2467">
        <f t="shared" si="111"/>
        <v>436058933</v>
      </c>
      <c r="AA388" s="2466">
        <f>Y388+O388</f>
        <v>30</v>
      </c>
      <c r="AB388" s="2467">
        <f>Z388+P388</f>
        <v>1134696283</v>
      </c>
      <c r="AC388" s="2468">
        <f>AA388/K388*100</f>
        <v>50</v>
      </c>
      <c r="AD388" s="2468">
        <f>AB388/L388*100</f>
        <v>36.069905434996315</v>
      </c>
      <c r="AE388" s="2725" t="s">
        <v>3225</v>
      </c>
      <c r="AF388" s="2471"/>
      <c r="AG388" s="2471"/>
      <c r="AH388" s="2471"/>
      <c r="AI388" s="2471"/>
      <c r="AJ388" s="2471"/>
      <c r="AK388" s="2471"/>
      <c r="AL388" s="2471"/>
      <c r="AM388" s="2471"/>
      <c r="AN388" s="2471"/>
      <c r="AO388" s="2471"/>
      <c r="AP388" s="2471"/>
      <c r="AQ388" s="2471"/>
      <c r="AR388" s="2471"/>
      <c r="AS388" s="2471"/>
      <c r="AT388" s="2471"/>
      <c r="AU388" s="2471"/>
      <c r="AV388" s="2471"/>
      <c r="AW388" s="2471"/>
      <c r="AX388" s="2471"/>
      <c r="AY388" s="2471"/>
      <c r="AZ388" s="2471"/>
      <c r="BA388" s="2471"/>
      <c r="BB388" s="2471"/>
      <c r="BC388" s="2471"/>
      <c r="BD388" s="2471"/>
      <c r="BE388" s="2471"/>
      <c r="BF388" s="2471"/>
      <c r="BG388" s="2471"/>
      <c r="BH388" s="2471"/>
      <c r="BI388" s="2471"/>
      <c r="BJ388" s="2471"/>
      <c r="BK388" s="2471"/>
      <c r="BL388" s="2471"/>
      <c r="BM388" s="2471"/>
      <c r="BN388" s="2471"/>
      <c r="BO388" s="2471"/>
      <c r="BP388" s="2471"/>
      <c r="BQ388" s="2471"/>
      <c r="BR388" s="2471"/>
      <c r="BS388" s="2471"/>
      <c r="BT388" s="2471"/>
      <c r="BU388" s="2471"/>
      <c r="BV388" s="2471"/>
      <c r="BW388" s="2471"/>
      <c r="BX388" s="2471"/>
    </row>
    <row r="389" spans="1:76" s="2450" customFormat="1" ht="54" customHeight="1">
      <c r="A389" s="2470"/>
      <c r="B389" s="2470"/>
      <c r="C389" s="3146">
        <v>1</v>
      </c>
      <c r="D389" s="1381" t="s">
        <v>66</v>
      </c>
      <c r="E389" s="1381" t="s">
        <v>196</v>
      </c>
      <c r="F389" s="1381" t="s">
        <v>65</v>
      </c>
      <c r="G389" s="1381" t="s">
        <v>65</v>
      </c>
      <c r="H389" s="1715" t="s">
        <v>201</v>
      </c>
      <c r="I389" s="1703" t="s">
        <v>454</v>
      </c>
      <c r="J389" s="1703" t="s">
        <v>3716</v>
      </c>
      <c r="K389" s="2452">
        <v>12</v>
      </c>
      <c r="L389" s="2400">
        <v>339025500</v>
      </c>
      <c r="M389" s="2452">
        <v>12</v>
      </c>
      <c r="N389" s="2400">
        <f>'[1]KEU '!$J$41</f>
        <v>339025500</v>
      </c>
      <c r="O389" s="2452"/>
      <c r="P389" s="2400"/>
      <c r="Q389" s="2452"/>
      <c r="R389" s="2400"/>
      <c r="S389" s="2455" t="s">
        <v>2034</v>
      </c>
      <c r="T389" s="2455">
        <v>0</v>
      </c>
      <c r="U389" s="2453"/>
      <c r="V389" s="2400"/>
      <c r="W389" s="2453"/>
      <c r="X389" s="2453"/>
      <c r="Y389" s="2452">
        <f t="shared" si="112"/>
        <v>0</v>
      </c>
      <c r="Z389" s="2400">
        <f t="shared" si="111"/>
        <v>0</v>
      </c>
      <c r="AA389" s="2452"/>
      <c r="AB389" s="2456"/>
      <c r="AC389" s="2453"/>
      <c r="AD389" s="2453"/>
      <c r="AE389" s="2726"/>
      <c r="AF389" s="2471"/>
      <c r="AG389" s="2471"/>
      <c r="AH389" s="2471"/>
      <c r="AI389" s="2471"/>
      <c r="AJ389" s="2471"/>
      <c r="AK389" s="2471"/>
      <c r="AL389" s="2471"/>
      <c r="AM389" s="2471"/>
      <c r="AN389" s="2471"/>
      <c r="AO389" s="2471"/>
      <c r="AP389" s="2471"/>
      <c r="AQ389" s="2471"/>
      <c r="AR389" s="2471"/>
      <c r="AS389" s="2471"/>
      <c r="AT389" s="2471"/>
      <c r="AU389" s="2471"/>
      <c r="AV389" s="2471"/>
      <c r="AW389" s="2471"/>
      <c r="AX389" s="2471"/>
      <c r="AY389" s="2471"/>
      <c r="AZ389" s="2471"/>
      <c r="BA389" s="2471"/>
      <c r="BB389" s="2471"/>
      <c r="BC389" s="2471"/>
      <c r="BD389" s="2471"/>
      <c r="BE389" s="2471"/>
      <c r="BF389" s="2471"/>
      <c r="BG389" s="2471"/>
      <c r="BH389" s="2471"/>
      <c r="BI389" s="2471"/>
      <c r="BJ389" s="2471"/>
      <c r="BK389" s="2471"/>
      <c r="BL389" s="2471"/>
      <c r="BM389" s="2471"/>
      <c r="BN389" s="2471"/>
      <c r="BO389" s="2471"/>
      <c r="BP389" s="2471"/>
      <c r="BQ389" s="2471"/>
      <c r="BR389" s="2471"/>
      <c r="BS389" s="2471"/>
      <c r="BT389" s="2471"/>
      <c r="BU389" s="2471"/>
      <c r="BV389" s="2471"/>
      <c r="BW389" s="2471"/>
      <c r="BX389" s="2471"/>
    </row>
    <row r="390" spans="1:76" s="2450" customFormat="1" ht="50.25" customHeight="1">
      <c r="A390" s="2470"/>
      <c r="B390" s="2470"/>
      <c r="C390" s="3146">
        <v>1</v>
      </c>
      <c r="D390" s="1381" t="s">
        <v>66</v>
      </c>
      <c r="E390" s="1381" t="s">
        <v>196</v>
      </c>
      <c r="F390" s="1381" t="s">
        <v>65</v>
      </c>
      <c r="G390" s="1381" t="s">
        <v>65</v>
      </c>
      <c r="H390" s="1715">
        <v>10</v>
      </c>
      <c r="I390" s="1703" t="s">
        <v>3717</v>
      </c>
      <c r="J390" s="1703" t="s">
        <v>3718</v>
      </c>
      <c r="K390" s="2452">
        <v>12</v>
      </c>
      <c r="L390" s="2400">
        <v>21800000</v>
      </c>
      <c r="M390" s="2452">
        <v>12</v>
      </c>
      <c r="N390" s="2400">
        <f>'[1]KEU '!$J$49</f>
        <v>21800000</v>
      </c>
      <c r="O390" s="2452"/>
      <c r="P390" s="2400"/>
      <c r="Q390" s="2452"/>
      <c r="R390" s="2400"/>
      <c r="S390" s="2455">
        <v>0</v>
      </c>
      <c r="T390" s="2455">
        <v>0</v>
      </c>
      <c r="U390" s="2453"/>
      <c r="V390" s="2400"/>
      <c r="W390" s="2453"/>
      <c r="X390" s="2453"/>
      <c r="Y390" s="2452">
        <f t="shared" si="112"/>
        <v>0</v>
      </c>
      <c r="Z390" s="2400">
        <f t="shared" si="111"/>
        <v>0</v>
      </c>
      <c r="AA390" s="2452"/>
      <c r="AB390" s="2456"/>
      <c r="AC390" s="2453"/>
      <c r="AD390" s="2453"/>
      <c r="AE390" s="2726"/>
      <c r="AF390" s="2471"/>
      <c r="AG390" s="2471"/>
      <c r="AH390" s="2471"/>
      <c r="AI390" s="2471"/>
      <c r="AJ390" s="2471"/>
      <c r="AK390" s="2471"/>
      <c r="AL390" s="2471"/>
      <c r="AM390" s="2471"/>
      <c r="AN390" s="2471"/>
      <c r="AO390" s="2471"/>
      <c r="AP390" s="2471"/>
      <c r="AQ390" s="2471"/>
      <c r="AR390" s="2471"/>
      <c r="AS390" s="2471"/>
      <c r="AT390" s="2471"/>
      <c r="AU390" s="2471"/>
      <c r="AV390" s="2471"/>
      <c r="AW390" s="2471"/>
      <c r="AX390" s="2471"/>
      <c r="AY390" s="2471"/>
      <c r="AZ390" s="2471"/>
      <c r="BA390" s="2471"/>
      <c r="BB390" s="2471"/>
      <c r="BC390" s="2471"/>
      <c r="BD390" s="2471"/>
      <c r="BE390" s="2471"/>
      <c r="BF390" s="2471"/>
      <c r="BG390" s="2471"/>
      <c r="BH390" s="2471"/>
      <c r="BI390" s="2471"/>
      <c r="BJ390" s="2471"/>
      <c r="BK390" s="2471"/>
      <c r="BL390" s="2471"/>
      <c r="BM390" s="2471"/>
      <c r="BN390" s="2471"/>
      <c r="BO390" s="2471"/>
      <c r="BP390" s="2471"/>
      <c r="BQ390" s="2471"/>
      <c r="BR390" s="2471"/>
      <c r="BS390" s="2471"/>
      <c r="BT390" s="2471"/>
      <c r="BU390" s="2471"/>
      <c r="BV390" s="2471"/>
      <c r="BW390" s="2471"/>
      <c r="BX390" s="2471"/>
    </row>
    <row r="391" spans="1:76" s="2450" customFormat="1" ht="49.5" customHeight="1">
      <c r="A391" s="2470"/>
      <c r="B391" s="2470"/>
      <c r="C391" s="3146">
        <v>1</v>
      </c>
      <c r="D391" s="1381" t="s">
        <v>66</v>
      </c>
      <c r="E391" s="1381" t="s">
        <v>196</v>
      </c>
      <c r="F391" s="1381" t="s">
        <v>65</v>
      </c>
      <c r="G391" s="1381" t="s">
        <v>65</v>
      </c>
      <c r="H391" s="3137">
        <v>12</v>
      </c>
      <c r="I391" s="1703" t="s">
        <v>3719</v>
      </c>
      <c r="J391" s="1703" t="s">
        <v>3720</v>
      </c>
      <c r="K391" s="2452">
        <v>60</v>
      </c>
      <c r="L391" s="2400">
        <v>45000000</v>
      </c>
      <c r="M391" s="2452">
        <v>12</v>
      </c>
      <c r="N391" s="2400">
        <f>'[1]KEU '!$J$51</f>
        <v>20435000</v>
      </c>
      <c r="O391" s="2452"/>
      <c r="P391" s="2400"/>
      <c r="Q391" s="2452"/>
      <c r="R391" s="2400"/>
      <c r="S391" s="2455" t="s">
        <v>2034</v>
      </c>
      <c r="T391" s="2455">
        <v>0</v>
      </c>
      <c r="U391" s="2453"/>
      <c r="V391" s="2400"/>
      <c r="W391" s="2453"/>
      <c r="X391" s="2453"/>
      <c r="Y391" s="2452">
        <f t="shared" si="112"/>
        <v>0</v>
      </c>
      <c r="Z391" s="2400">
        <f t="shared" si="111"/>
        <v>0</v>
      </c>
      <c r="AA391" s="2452"/>
      <c r="AB391" s="2456"/>
      <c r="AC391" s="2453"/>
      <c r="AD391" s="2453"/>
      <c r="AE391" s="2726"/>
      <c r="AF391" s="2471"/>
      <c r="AG391" s="2471"/>
      <c r="AH391" s="2471"/>
      <c r="AI391" s="2471"/>
      <c r="AJ391" s="2471"/>
      <c r="AK391" s="2471"/>
      <c r="AL391" s="2471"/>
      <c r="AM391" s="2471"/>
      <c r="AN391" s="2471"/>
      <c r="AO391" s="2471"/>
      <c r="AP391" s="2471"/>
      <c r="AQ391" s="2471"/>
      <c r="AR391" s="2471"/>
      <c r="AS391" s="2471"/>
      <c r="AT391" s="2471"/>
      <c r="AU391" s="2471"/>
      <c r="AV391" s="2471"/>
      <c r="AW391" s="2471"/>
      <c r="AX391" s="2471"/>
      <c r="AY391" s="2471"/>
      <c r="AZ391" s="2471"/>
      <c r="BA391" s="2471"/>
      <c r="BB391" s="2471"/>
      <c r="BC391" s="2471"/>
      <c r="BD391" s="2471"/>
      <c r="BE391" s="2471"/>
      <c r="BF391" s="2471"/>
      <c r="BG391" s="2471"/>
      <c r="BH391" s="2471"/>
      <c r="BI391" s="2471"/>
      <c r="BJ391" s="2471"/>
      <c r="BK391" s="2471"/>
      <c r="BL391" s="2471"/>
      <c r="BM391" s="2471"/>
      <c r="BN391" s="2471"/>
      <c r="BO391" s="2471"/>
      <c r="BP391" s="2471"/>
      <c r="BQ391" s="2471"/>
      <c r="BR391" s="2471"/>
      <c r="BS391" s="2471"/>
      <c r="BT391" s="2471"/>
      <c r="BU391" s="2471"/>
      <c r="BV391" s="2471"/>
      <c r="BW391" s="2471"/>
      <c r="BX391" s="2471"/>
    </row>
    <row r="392" spans="1:76" s="2450" customFormat="1" ht="49.5" customHeight="1">
      <c r="A392" s="2470"/>
      <c r="B392" s="2470"/>
      <c r="C392" s="3146">
        <v>1</v>
      </c>
      <c r="D392" s="1381" t="s">
        <v>66</v>
      </c>
      <c r="E392" s="1381" t="s">
        <v>196</v>
      </c>
      <c r="F392" s="1381" t="s">
        <v>65</v>
      </c>
      <c r="G392" s="1381" t="s">
        <v>65</v>
      </c>
      <c r="H392" s="3137">
        <v>22</v>
      </c>
      <c r="I392" s="1703" t="s">
        <v>258</v>
      </c>
      <c r="J392" s="1703" t="s">
        <v>3721</v>
      </c>
      <c r="K392" s="2452">
        <v>60</v>
      </c>
      <c r="L392" s="2400">
        <f>4*285000000</f>
        <v>1140000000</v>
      </c>
      <c r="M392" s="2452">
        <v>12</v>
      </c>
      <c r="N392" s="2400">
        <f>'[1]KEU '!$J$54</f>
        <v>263642400</v>
      </c>
      <c r="O392" s="2452">
        <f>M392</f>
        <v>12</v>
      </c>
      <c r="P392" s="2400">
        <v>334832100</v>
      </c>
      <c r="Q392" s="2452">
        <v>3</v>
      </c>
      <c r="R392" s="2400">
        <v>32400000</v>
      </c>
      <c r="S392" s="2457">
        <v>3</v>
      </c>
      <c r="T392" s="2453">
        <v>119189000</v>
      </c>
      <c r="U392" s="2453">
        <v>3</v>
      </c>
      <c r="V392" s="2400">
        <v>58203000</v>
      </c>
      <c r="W392" s="2453"/>
      <c r="X392" s="2453"/>
      <c r="Y392" s="2452">
        <f t="shared" si="112"/>
        <v>9</v>
      </c>
      <c r="Z392" s="2400">
        <f>SUM(R392+T392+V392)</f>
        <v>209792000</v>
      </c>
      <c r="AA392" s="2452">
        <f>M392+Y392</f>
        <v>21</v>
      </c>
      <c r="AB392" s="2456">
        <f>N392+Z392</f>
        <v>473434400</v>
      </c>
      <c r="AC392" s="2453">
        <f>AA392/K392*100</f>
        <v>35</v>
      </c>
      <c r="AD392" s="2453">
        <f>AB392/L392*100</f>
        <v>41.529333333333334</v>
      </c>
      <c r="AE392" s="2726"/>
      <c r="AF392" s="2471"/>
      <c r="AG392" s="2471"/>
      <c r="AH392" s="2471"/>
      <c r="AI392" s="2471"/>
      <c r="AJ392" s="2471"/>
      <c r="AK392" s="2471"/>
      <c r="AL392" s="2471"/>
      <c r="AM392" s="2471"/>
      <c r="AN392" s="2471"/>
      <c r="AO392" s="2471"/>
      <c r="AP392" s="2471"/>
      <c r="AQ392" s="2471"/>
      <c r="AR392" s="2471"/>
      <c r="AS392" s="2471"/>
      <c r="AT392" s="2471"/>
      <c r="AU392" s="2471"/>
      <c r="AV392" s="2471"/>
      <c r="AW392" s="2471"/>
      <c r="AX392" s="2471"/>
      <c r="AY392" s="2471"/>
      <c r="AZ392" s="2471"/>
      <c r="BA392" s="2471"/>
      <c r="BB392" s="2471"/>
      <c r="BC392" s="2471"/>
      <c r="BD392" s="2471"/>
      <c r="BE392" s="2471"/>
      <c r="BF392" s="2471"/>
      <c r="BG392" s="2471"/>
      <c r="BH392" s="2471"/>
      <c r="BI392" s="2471"/>
      <c r="BJ392" s="2471"/>
      <c r="BK392" s="2471"/>
      <c r="BL392" s="2471"/>
      <c r="BM392" s="2471"/>
      <c r="BN392" s="2471"/>
      <c r="BO392" s="2471"/>
      <c r="BP392" s="2471"/>
      <c r="BQ392" s="2471"/>
      <c r="BR392" s="2471"/>
      <c r="BS392" s="2471"/>
      <c r="BT392" s="2471"/>
      <c r="BU392" s="2471"/>
      <c r="BV392" s="2471"/>
      <c r="BW392" s="2471"/>
      <c r="BX392" s="2471"/>
    </row>
    <row r="393" spans="1:76" s="2450" customFormat="1" ht="56.25" customHeight="1">
      <c r="A393" s="2470"/>
      <c r="B393" s="2470"/>
      <c r="C393" s="3146">
        <v>1</v>
      </c>
      <c r="D393" s="1381" t="s">
        <v>66</v>
      </c>
      <c r="E393" s="1381" t="s">
        <v>196</v>
      </c>
      <c r="F393" s="1381" t="s">
        <v>65</v>
      </c>
      <c r="G393" s="1381" t="s">
        <v>65</v>
      </c>
      <c r="H393" s="3137">
        <v>24</v>
      </c>
      <c r="I393" s="1703" t="s">
        <v>224</v>
      </c>
      <c r="J393" s="1703" t="s">
        <v>3722</v>
      </c>
      <c r="K393" s="2452">
        <v>60</v>
      </c>
      <c r="L393" s="2400">
        <f>4*400000000</f>
        <v>1600000000</v>
      </c>
      <c r="M393" s="2452">
        <v>12</v>
      </c>
      <c r="N393" s="2400">
        <f>'[1]KEU '!$J$57</f>
        <v>219341140</v>
      </c>
      <c r="O393" s="2452">
        <f>M393</f>
        <v>12</v>
      </c>
      <c r="P393" s="2400">
        <v>363805250</v>
      </c>
      <c r="Q393" s="2452">
        <v>3</v>
      </c>
      <c r="R393" s="2400">
        <v>58236550</v>
      </c>
      <c r="S393" s="2400">
        <v>3</v>
      </c>
      <c r="T393" s="2453">
        <v>98435333</v>
      </c>
      <c r="U393" s="2453">
        <v>3</v>
      </c>
      <c r="V393" s="2400">
        <v>69595050</v>
      </c>
      <c r="W393" s="2453"/>
      <c r="X393" s="2453"/>
      <c r="Y393" s="2452">
        <f t="shared" si="112"/>
        <v>9</v>
      </c>
      <c r="Z393" s="2400">
        <f>SUM(R393+T393+V393)</f>
        <v>226266933</v>
      </c>
      <c r="AA393" s="2452">
        <f>M393+Y393</f>
        <v>21</v>
      </c>
      <c r="AB393" s="2456">
        <f>N393+Z393</f>
        <v>445608073</v>
      </c>
      <c r="AC393" s="2453">
        <f>AA393/K393*100</f>
        <v>35</v>
      </c>
      <c r="AD393" s="2453">
        <f>AB393/L393*100</f>
        <v>27.850504562499999</v>
      </c>
      <c r="AE393" s="2726"/>
      <c r="AF393" s="2471"/>
      <c r="AG393" s="2471"/>
      <c r="AH393" s="2471"/>
      <c r="AI393" s="2471"/>
      <c r="AJ393" s="2471"/>
      <c r="AK393" s="2471"/>
      <c r="AL393" s="2471"/>
      <c r="AM393" s="2471"/>
      <c r="AN393" s="2471"/>
      <c r="AO393" s="2471"/>
      <c r="AP393" s="2471"/>
      <c r="AQ393" s="2471"/>
      <c r="AR393" s="2471"/>
      <c r="AS393" s="2471"/>
      <c r="AT393" s="2471"/>
      <c r="AU393" s="2471"/>
      <c r="AV393" s="2471"/>
      <c r="AW393" s="2471"/>
      <c r="AX393" s="2471"/>
      <c r="AY393" s="2471"/>
      <c r="AZ393" s="2471"/>
      <c r="BA393" s="2471"/>
      <c r="BB393" s="2471"/>
      <c r="BC393" s="2471"/>
      <c r="BD393" s="2471"/>
      <c r="BE393" s="2471"/>
      <c r="BF393" s="2471"/>
      <c r="BG393" s="2471"/>
      <c r="BH393" s="2471"/>
      <c r="BI393" s="2471"/>
      <c r="BJ393" s="2471"/>
      <c r="BK393" s="2471"/>
      <c r="BL393" s="2471"/>
      <c r="BM393" s="2471"/>
      <c r="BN393" s="2471"/>
      <c r="BO393" s="2471"/>
      <c r="BP393" s="2471"/>
      <c r="BQ393" s="2471"/>
      <c r="BR393" s="2471"/>
      <c r="BS393" s="2471"/>
      <c r="BT393" s="2471"/>
      <c r="BU393" s="2471"/>
      <c r="BV393" s="2471"/>
      <c r="BW393" s="2471"/>
      <c r="BX393" s="2471"/>
    </row>
    <row r="394" spans="1:76" s="2471" customFormat="1" ht="72" customHeight="1">
      <c r="A394" s="2465">
        <v>3</v>
      </c>
      <c r="B394" s="2465"/>
      <c r="C394" s="2873">
        <v>1</v>
      </c>
      <c r="D394" s="2352" t="s">
        <v>66</v>
      </c>
      <c r="E394" s="2352" t="s">
        <v>196</v>
      </c>
      <c r="F394" s="2352" t="s">
        <v>65</v>
      </c>
      <c r="G394" s="2352" t="s">
        <v>161</v>
      </c>
      <c r="H394" s="2873"/>
      <c r="I394" s="3156" t="s">
        <v>226</v>
      </c>
      <c r="J394" s="3156" t="s">
        <v>3723</v>
      </c>
      <c r="K394" s="2466">
        <f>K395</f>
        <v>14</v>
      </c>
      <c r="L394" s="2467">
        <f>L395</f>
        <v>50000000</v>
      </c>
      <c r="M394" s="2466">
        <f>M395</f>
        <v>14</v>
      </c>
      <c r="N394" s="2467">
        <f>N395</f>
        <v>47365000</v>
      </c>
      <c r="O394" s="2466"/>
      <c r="P394" s="2467"/>
      <c r="Q394" s="2466"/>
      <c r="R394" s="2467"/>
      <c r="S394" s="2847">
        <v>0</v>
      </c>
      <c r="T394" s="2468"/>
      <c r="U394" s="2468"/>
      <c r="V394" s="2467"/>
      <c r="W394" s="2468"/>
      <c r="X394" s="2468"/>
      <c r="Y394" s="2466">
        <f t="shared" si="112"/>
        <v>0</v>
      </c>
      <c r="Z394" s="2467">
        <f t="shared" si="111"/>
        <v>0</v>
      </c>
      <c r="AA394" s="2466">
        <f>SUM(AA395)</f>
        <v>0</v>
      </c>
      <c r="AB394" s="2469">
        <f>SUM(AB395)</f>
        <v>0</v>
      </c>
      <c r="AC394" s="2468">
        <f>SUM(AC395)</f>
        <v>0</v>
      </c>
      <c r="AD394" s="2468">
        <f>SUM(AD395)</f>
        <v>0</v>
      </c>
      <c r="AE394" s="2725"/>
    </row>
    <row r="395" spans="1:76" s="2450" customFormat="1" ht="47.25" customHeight="1">
      <c r="A395" s="2470"/>
      <c r="B395" s="2470"/>
      <c r="C395" s="3146">
        <v>1</v>
      </c>
      <c r="D395" s="1381" t="s">
        <v>66</v>
      </c>
      <c r="E395" s="1381" t="s">
        <v>196</v>
      </c>
      <c r="F395" s="1381" t="s">
        <v>65</v>
      </c>
      <c r="G395" s="1715" t="s">
        <v>161</v>
      </c>
      <c r="H395" s="1715" t="s">
        <v>66</v>
      </c>
      <c r="I395" s="1703" t="s">
        <v>209</v>
      </c>
      <c r="J395" s="1703" t="s">
        <v>3724</v>
      </c>
      <c r="K395" s="2452">
        <v>14</v>
      </c>
      <c r="L395" s="2400">
        <v>50000000</v>
      </c>
      <c r="M395" s="2452">
        <f>K395</f>
        <v>14</v>
      </c>
      <c r="N395" s="2400">
        <f>'[1]KEU '!$J$65</f>
        <v>47365000</v>
      </c>
      <c r="O395" s="2452"/>
      <c r="P395" s="2400"/>
      <c r="Q395" s="2452"/>
      <c r="R395" s="2400"/>
      <c r="S395" s="2453"/>
      <c r="T395" s="2453"/>
      <c r="U395" s="2453"/>
      <c r="V395" s="2400"/>
      <c r="W395" s="2453"/>
      <c r="X395" s="2453"/>
      <c r="Y395" s="2452">
        <f t="shared" si="112"/>
        <v>0</v>
      </c>
      <c r="Z395" s="2400">
        <f t="shared" si="111"/>
        <v>0</v>
      </c>
      <c r="AA395" s="2452"/>
      <c r="AB395" s="2456"/>
      <c r="AC395" s="2453"/>
      <c r="AD395" s="2453"/>
      <c r="AE395" s="2726"/>
      <c r="AF395" s="2471"/>
      <c r="AG395" s="2471"/>
      <c r="AH395" s="2471"/>
      <c r="AI395" s="2471"/>
      <c r="AJ395" s="2471"/>
      <c r="AK395" s="2471"/>
      <c r="AL395" s="2471"/>
      <c r="AM395" s="2471"/>
      <c r="AN395" s="2471"/>
      <c r="AO395" s="2471"/>
      <c r="AP395" s="2471"/>
      <c r="AQ395" s="2471"/>
      <c r="AR395" s="2471"/>
      <c r="AS395" s="2471"/>
      <c r="AT395" s="2471"/>
      <c r="AU395" s="2471"/>
      <c r="AV395" s="2471"/>
      <c r="AW395" s="2471"/>
      <c r="AX395" s="2471"/>
      <c r="AY395" s="2471"/>
      <c r="AZ395" s="2471"/>
      <c r="BA395" s="2471"/>
      <c r="BB395" s="2471"/>
      <c r="BC395" s="2471"/>
      <c r="BD395" s="2471"/>
      <c r="BE395" s="2471"/>
      <c r="BF395" s="2471"/>
      <c r="BG395" s="2471"/>
      <c r="BH395" s="2471"/>
      <c r="BI395" s="2471"/>
      <c r="BJ395" s="2471"/>
      <c r="BK395" s="2471"/>
      <c r="BL395" s="2471"/>
      <c r="BM395" s="2471"/>
      <c r="BN395" s="2471"/>
      <c r="BO395" s="2471"/>
      <c r="BP395" s="2471"/>
      <c r="BQ395" s="2471"/>
      <c r="BR395" s="2471"/>
      <c r="BS395" s="2471"/>
      <c r="BT395" s="2471"/>
      <c r="BU395" s="2471"/>
      <c r="BV395" s="2471"/>
      <c r="BW395" s="2471"/>
      <c r="BX395" s="2471"/>
    </row>
    <row r="396" spans="1:76" s="2450" customFormat="1" ht="99" customHeight="1">
      <c r="A396" s="2465">
        <v>4</v>
      </c>
      <c r="B396" s="2465"/>
      <c r="C396" s="2352">
        <v>1</v>
      </c>
      <c r="D396" s="2352" t="s">
        <v>66</v>
      </c>
      <c r="E396" s="2352" t="s">
        <v>196</v>
      </c>
      <c r="F396" s="2352" t="s">
        <v>65</v>
      </c>
      <c r="G396" s="2352" t="s">
        <v>166</v>
      </c>
      <c r="H396" s="2873"/>
      <c r="I396" s="3156" t="s">
        <v>2983</v>
      </c>
      <c r="J396" s="3156" t="s">
        <v>3725</v>
      </c>
      <c r="K396" s="2466">
        <v>80</v>
      </c>
      <c r="L396" s="2467">
        <f t="shared" ref="L396:Q396" si="115">SUM(L397:L399)</f>
        <v>11700000000</v>
      </c>
      <c r="M396" s="2466">
        <f t="shared" si="115"/>
        <v>58</v>
      </c>
      <c r="N396" s="2467">
        <f t="shared" si="115"/>
        <v>2714491450</v>
      </c>
      <c r="O396" s="2466">
        <f t="shared" si="115"/>
        <v>9</v>
      </c>
      <c r="P396" s="2467">
        <f>SUM(P397:P400)</f>
        <v>1784789535</v>
      </c>
      <c r="Q396" s="2466">
        <f t="shared" si="115"/>
        <v>0.5</v>
      </c>
      <c r="R396" s="2467">
        <f>SUM(R398:R399)</f>
        <v>58204800</v>
      </c>
      <c r="S396" s="2467">
        <v>4</v>
      </c>
      <c r="T396" s="2468">
        <f>SUM(T397:T399)</f>
        <v>475625750</v>
      </c>
      <c r="U396" s="2468"/>
      <c r="V396" s="2467">
        <f>SUM(V397:V400)</f>
        <v>1068835475</v>
      </c>
      <c r="W396" s="2468"/>
      <c r="X396" s="2468"/>
      <c r="Y396" s="2466">
        <f t="shared" si="112"/>
        <v>4.5</v>
      </c>
      <c r="Z396" s="2467">
        <f>SUM(R396+T396+V396)</f>
        <v>1602666025</v>
      </c>
      <c r="AA396" s="2466">
        <f>Y396+M396</f>
        <v>62.5</v>
      </c>
      <c r="AB396" s="2467">
        <f>Z396+N396</f>
        <v>4317157475</v>
      </c>
      <c r="AC396" s="2468">
        <f>AA396/K396*100</f>
        <v>78.125</v>
      </c>
      <c r="AD396" s="2468">
        <f>AB396/L396*100</f>
        <v>36.898781837606833</v>
      </c>
      <c r="AE396" s="2725" t="s">
        <v>3225</v>
      </c>
      <c r="AF396" s="2471"/>
      <c r="AG396" s="2471"/>
      <c r="AH396" s="2471"/>
      <c r="AI396" s="2471"/>
      <c r="AJ396" s="2471"/>
      <c r="AK396" s="2471"/>
      <c r="AL396" s="2471"/>
      <c r="AM396" s="2471"/>
      <c r="AN396" s="2471"/>
      <c r="AO396" s="2471"/>
      <c r="AP396" s="2471"/>
      <c r="AQ396" s="2471"/>
      <c r="AR396" s="2471"/>
      <c r="AS396" s="2471"/>
      <c r="AT396" s="2471"/>
      <c r="AU396" s="2471"/>
      <c r="AV396" s="2471"/>
      <c r="AW396" s="2471"/>
      <c r="AX396" s="2471"/>
      <c r="AY396" s="2471"/>
      <c r="AZ396" s="2471"/>
      <c r="BA396" s="2471"/>
      <c r="BB396" s="2471"/>
      <c r="BC396" s="2471"/>
      <c r="BD396" s="2471"/>
      <c r="BE396" s="2471"/>
      <c r="BF396" s="2471"/>
      <c r="BG396" s="2471"/>
      <c r="BH396" s="2471"/>
      <c r="BI396" s="2471"/>
      <c r="BJ396" s="2471"/>
      <c r="BK396" s="2471"/>
      <c r="BL396" s="2471"/>
      <c r="BM396" s="2471"/>
      <c r="BN396" s="2471"/>
      <c r="BO396" s="2471"/>
      <c r="BP396" s="2471"/>
      <c r="BQ396" s="2471"/>
      <c r="BR396" s="2471"/>
      <c r="BS396" s="2471"/>
      <c r="BT396" s="2471"/>
      <c r="BU396" s="2471"/>
      <c r="BV396" s="2471"/>
      <c r="BW396" s="2471"/>
      <c r="BX396" s="2471"/>
    </row>
    <row r="397" spans="1:76" s="2450" customFormat="1" ht="63.75">
      <c r="A397" s="2470"/>
      <c r="B397" s="1703" t="s">
        <v>3146</v>
      </c>
      <c r="C397" s="3792">
        <v>1</v>
      </c>
      <c r="D397" s="3792" t="s">
        <v>66</v>
      </c>
      <c r="E397" s="3792" t="s">
        <v>196</v>
      </c>
      <c r="F397" s="3792" t="s">
        <v>65</v>
      </c>
      <c r="G397" s="3792" t="s">
        <v>166</v>
      </c>
      <c r="H397" s="3792" t="s">
        <v>66</v>
      </c>
      <c r="I397" s="1703" t="s">
        <v>3147</v>
      </c>
      <c r="J397" s="1703" t="s">
        <v>3726</v>
      </c>
      <c r="K397" s="2452">
        <v>6</v>
      </c>
      <c r="L397" s="2400">
        <v>200000000</v>
      </c>
      <c r="M397" s="2454">
        <v>1</v>
      </c>
      <c r="N397" s="2457">
        <f>49588000</f>
        <v>49588000</v>
      </c>
      <c r="O397" s="2452">
        <v>1</v>
      </c>
      <c r="P397" s="2400">
        <v>59300000</v>
      </c>
      <c r="Q397" s="2454">
        <v>0</v>
      </c>
      <c r="R397" s="2400">
        <v>0</v>
      </c>
      <c r="S397" s="2455">
        <v>0</v>
      </c>
      <c r="T397" s="2400">
        <v>55471400</v>
      </c>
      <c r="U397" s="2453">
        <v>1</v>
      </c>
      <c r="V397" s="2400">
        <v>175000</v>
      </c>
      <c r="W397" s="2453"/>
      <c r="X397" s="2453"/>
      <c r="Y397" s="2454">
        <f t="shared" si="112"/>
        <v>1</v>
      </c>
      <c r="Z397" s="2400">
        <f t="shared" si="111"/>
        <v>55646400</v>
      </c>
      <c r="AA397" s="2452">
        <f t="shared" ref="AA397:AB399" si="116">M397+Y397</f>
        <v>2</v>
      </c>
      <c r="AB397" s="2456">
        <f t="shared" si="116"/>
        <v>105234400</v>
      </c>
      <c r="AC397" s="2453">
        <f t="shared" ref="AC397:AD399" si="117">AA397/K397*100</f>
        <v>33.333333333333329</v>
      </c>
      <c r="AD397" s="2453">
        <f t="shared" si="117"/>
        <v>52.617199999999997</v>
      </c>
      <c r="AE397" s="2726"/>
      <c r="AF397" s="2471"/>
      <c r="AG397" s="2471"/>
      <c r="AH397" s="2471"/>
      <c r="AI397" s="2471"/>
      <c r="AJ397" s="2471"/>
      <c r="AK397" s="2471"/>
      <c r="AL397" s="2471"/>
      <c r="AM397" s="2471"/>
      <c r="AN397" s="2471"/>
      <c r="AO397" s="2471"/>
      <c r="AP397" s="2471"/>
      <c r="AQ397" s="2471"/>
      <c r="AR397" s="2471"/>
      <c r="AS397" s="2471"/>
      <c r="AT397" s="2471"/>
      <c r="AU397" s="2471"/>
      <c r="AV397" s="2471"/>
      <c r="AW397" s="2471"/>
      <c r="AX397" s="2471"/>
      <c r="AY397" s="2471"/>
      <c r="AZ397" s="2471"/>
      <c r="BA397" s="2471"/>
      <c r="BB397" s="2471"/>
      <c r="BC397" s="2471"/>
      <c r="BD397" s="2471"/>
      <c r="BE397" s="2471"/>
      <c r="BF397" s="2471"/>
      <c r="BG397" s="2471"/>
      <c r="BH397" s="2471"/>
      <c r="BI397" s="2471"/>
      <c r="BJ397" s="2471"/>
      <c r="BK397" s="2471"/>
      <c r="BL397" s="2471"/>
      <c r="BM397" s="2471"/>
      <c r="BN397" s="2471"/>
      <c r="BO397" s="2471"/>
      <c r="BP397" s="2471"/>
      <c r="BQ397" s="2471"/>
      <c r="BR397" s="2471"/>
      <c r="BS397" s="2471"/>
      <c r="BT397" s="2471"/>
      <c r="BU397" s="2471"/>
      <c r="BV397" s="2471"/>
      <c r="BW397" s="2471"/>
      <c r="BX397" s="2471"/>
    </row>
    <row r="398" spans="1:76" s="2450" customFormat="1" ht="73.5" customHeight="1">
      <c r="A398" s="2470"/>
      <c r="B398" s="1703" t="s">
        <v>3146</v>
      </c>
      <c r="C398" s="3792">
        <v>1</v>
      </c>
      <c r="D398" s="3792" t="s">
        <v>66</v>
      </c>
      <c r="E398" s="3792" t="s">
        <v>196</v>
      </c>
      <c r="F398" s="3792" t="s">
        <v>65</v>
      </c>
      <c r="G398" s="3792" t="s">
        <v>166</v>
      </c>
      <c r="H398" s="3792" t="s">
        <v>196</v>
      </c>
      <c r="I398" s="1703" t="s">
        <v>3148</v>
      </c>
      <c r="J398" s="1703" t="s">
        <v>228</v>
      </c>
      <c r="K398" s="2452">
        <f>4*35</f>
        <v>140</v>
      </c>
      <c r="L398" s="2400">
        <f>5*2200000000</f>
        <v>11000000000</v>
      </c>
      <c r="M398" s="2454">
        <f>38+18</f>
        <v>56</v>
      </c>
      <c r="N398" s="2402">
        <v>2586003950</v>
      </c>
      <c r="O398" s="2452">
        <v>7</v>
      </c>
      <c r="P398" s="2400">
        <v>1500000000</v>
      </c>
      <c r="Q398" s="2454">
        <v>0</v>
      </c>
      <c r="R398" s="2400">
        <v>22876000</v>
      </c>
      <c r="S398" s="2455">
        <v>2</v>
      </c>
      <c r="T398" s="2400">
        <v>403387350</v>
      </c>
      <c r="U398" s="2453">
        <v>3</v>
      </c>
      <c r="V398" s="2400">
        <v>916010975</v>
      </c>
      <c r="W398" s="2453"/>
      <c r="X398" s="2453"/>
      <c r="Y398" s="2452">
        <f t="shared" si="112"/>
        <v>5</v>
      </c>
      <c r="Z398" s="2400">
        <f t="shared" si="111"/>
        <v>1342274325</v>
      </c>
      <c r="AA398" s="2452">
        <f t="shared" si="116"/>
        <v>61</v>
      </c>
      <c r="AB398" s="2456">
        <f t="shared" si="116"/>
        <v>3928278275</v>
      </c>
      <c r="AC398" s="2453">
        <f t="shared" si="117"/>
        <v>43.571428571428569</v>
      </c>
      <c r="AD398" s="2453">
        <f t="shared" si="117"/>
        <v>35.711620681818182</v>
      </c>
      <c r="AE398" s="2726"/>
      <c r="AF398" s="2471"/>
      <c r="AG398" s="2471"/>
      <c r="AH398" s="2471"/>
      <c r="AI398" s="2471"/>
      <c r="AJ398" s="2471"/>
      <c r="AK398" s="2471"/>
      <c r="AL398" s="2471"/>
      <c r="AM398" s="2471"/>
      <c r="AN398" s="2471"/>
      <c r="AO398" s="2471"/>
      <c r="AP398" s="2471"/>
      <c r="AQ398" s="2471"/>
      <c r="AR398" s="2471"/>
      <c r="AS398" s="2471"/>
      <c r="AT398" s="2471"/>
      <c r="AU398" s="2471"/>
      <c r="AV398" s="2471"/>
      <c r="AW398" s="2471"/>
      <c r="AX398" s="2471"/>
      <c r="AY398" s="2471"/>
      <c r="AZ398" s="2471"/>
      <c r="BA398" s="2471"/>
      <c r="BB398" s="2471"/>
      <c r="BC398" s="2471"/>
      <c r="BD398" s="2471"/>
      <c r="BE398" s="2471"/>
      <c r="BF398" s="2471"/>
      <c r="BG398" s="2471"/>
      <c r="BH398" s="2471"/>
      <c r="BI398" s="2471"/>
      <c r="BJ398" s="2471"/>
      <c r="BK398" s="2471"/>
      <c r="BL398" s="2471"/>
      <c r="BM398" s="2471"/>
      <c r="BN398" s="2471"/>
      <c r="BO398" s="2471"/>
      <c r="BP398" s="2471"/>
      <c r="BQ398" s="2471"/>
      <c r="BR398" s="2471"/>
      <c r="BS398" s="2471"/>
      <c r="BT398" s="2471"/>
      <c r="BU398" s="2471"/>
      <c r="BV398" s="2471"/>
      <c r="BW398" s="2471"/>
      <c r="BX398" s="2471"/>
    </row>
    <row r="399" spans="1:76" s="2450" customFormat="1" ht="73.5" customHeight="1">
      <c r="A399" s="2470"/>
      <c r="B399" s="1703" t="s">
        <v>3146</v>
      </c>
      <c r="C399" s="3792">
        <v>1</v>
      </c>
      <c r="D399" s="3792" t="s">
        <v>66</v>
      </c>
      <c r="E399" s="3792" t="s">
        <v>196</v>
      </c>
      <c r="F399" s="3792" t="s">
        <v>65</v>
      </c>
      <c r="G399" s="3792" t="s">
        <v>166</v>
      </c>
      <c r="H399" s="3792">
        <v>31</v>
      </c>
      <c r="I399" s="1703" t="s">
        <v>3149</v>
      </c>
      <c r="J399" s="1703" t="s">
        <v>3150</v>
      </c>
      <c r="K399" s="2452">
        <v>5</v>
      </c>
      <c r="L399" s="2400">
        <v>500000000</v>
      </c>
      <c r="M399" s="2454">
        <v>1</v>
      </c>
      <c r="N399" s="2400">
        <f>'[3]KEU '!$J$73</f>
        <v>78899500</v>
      </c>
      <c r="O399" s="2452">
        <v>1</v>
      </c>
      <c r="P399" s="2400">
        <v>88700000</v>
      </c>
      <c r="Q399" s="2454">
        <v>0.5</v>
      </c>
      <c r="R399" s="2400">
        <v>35328800</v>
      </c>
      <c r="S399" s="2400">
        <v>1</v>
      </c>
      <c r="T399" s="2400">
        <v>16767000</v>
      </c>
      <c r="U399" s="2453">
        <v>1</v>
      </c>
      <c r="V399" s="2400">
        <v>19584500</v>
      </c>
      <c r="W399" s="2453"/>
      <c r="X399" s="2453"/>
      <c r="Y399" s="2452">
        <f t="shared" si="112"/>
        <v>2.5</v>
      </c>
      <c r="Z399" s="2400">
        <f t="shared" si="111"/>
        <v>71680300</v>
      </c>
      <c r="AA399" s="2452">
        <f t="shared" si="116"/>
        <v>3.5</v>
      </c>
      <c r="AB399" s="2456">
        <f t="shared" si="116"/>
        <v>150579800</v>
      </c>
      <c r="AC399" s="2453">
        <f t="shared" si="117"/>
        <v>70</v>
      </c>
      <c r="AD399" s="2453">
        <f>AB399/L399*100</f>
        <v>30.115960000000001</v>
      </c>
      <c r="AE399" s="2726"/>
      <c r="AF399" s="2471"/>
      <c r="AG399" s="2471"/>
      <c r="AH399" s="2471"/>
      <c r="AI399" s="2471"/>
      <c r="AJ399" s="2471"/>
      <c r="AK399" s="2471"/>
      <c r="AL399" s="2471"/>
      <c r="AM399" s="2471"/>
      <c r="AN399" s="2471"/>
      <c r="AO399" s="2471"/>
      <c r="AP399" s="2471"/>
      <c r="AQ399" s="2471"/>
      <c r="AR399" s="2471"/>
      <c r="AS399" s="2471"/>
      <c r="AT399" s="2471"/>
      <c r="AU399" s="2471"/>
      <c r="AV399" s="2471"/>
      <c r="AW399" s="2471"/>
      <c r="AX399" s="2471"/>
      <c r="AY399" s="2471"/>
      <c r="AZ399" s="2471"/>
      <c r="BA399" s="2471"/>
      <c r="BB399" s="2471"/>
      <c r="BC399" s="2471"/>
      <c r="BD399" s="2471"/>
      <c r="BE399" s="2471"/>
      <c r="BF399" s="2471"/>
      <c r="BG399" s="2471"/>
      <c r="BH399" s="2471"/>
      <c r="BI399" s="2471"/>
      <c r="BJ399" s="2471"/>
      <c r="BK399" s="2471"/>
      <c r="BL399" s="2471"/>
      <c r="BM399" s="2471"/>
      <c r="BN399" s="2471"/>
      <c r="BO399" s="2471"/>
      <c r="BP399" s="2471"/>
      <c r="BQ399" s="2471"/>
      <c r="BR399" s="2471"/>
      <c r="BS399" s="2471"/>
      <c r="BT399" s="2471"/>
      <c r="BU399" s="2471"/>
      <c r="BV399" s="2471"/>
      <c r="BW399" s="2471"/>
      <c r="BX399" s="2471"/>
    </row>
    <row r="400" spans="1:76" s="2450" customFormat="1" ht="73.5" customHeight="1">
      <c r="A400" s="2470"/>
      <c r="B400" s="1703"/>
      <c r="C400" s="3792">
        <v>1</v>
      </c>
      <c r="D400" s="3792" t="s">
        <v>66</v>
      </c>
      <c r="E400" s="3792" t="s">
        <v>196</v>
      </c>
      <c r="F400" s="3792" t="s">
        <v>65</v>
      </c>
      <c r="G400" s="3792" t="s">
        <v>166</v>
      </c>
      <c r="H400" s="3792"/>
      <c r="I400" s="1703" t="s">
        <v>3151</v>
      </c>
      <c r="J400" s="1703" t="s">
        <v>3152</v>
      </c>
      <c r="K400" s="2452"/>
      <c r="L400" s="2400"/>
      <c r="M400" s="2454"/>
      <c r="N400" s="2400"/>
      <c r="O400" s="2452"/>
      <c r="P400" s="2400">
        <v>136789535</v>
      </c>
      <c r="Q400" s="2454"/>
      <c r="R400" s="2400"/>
      <c r="S400" s="2400" t="s">
        <v>2034</v>
      </c>
      <c r="T400" s="2453">
        <v>0</v>
      </c>
      <c r="U400" s="2453">
        <v>1</v>
      </c>
      <c r="V400" s="2400">
        <v>133065000</v>
      </c>
      <c r="W400" s="2453"/>
      <c r="X400" s="2453"/>
      <c r="Y400" s="2452"/>
      <c r="Z400" s="2400">
        <f>SUM(V400)</f>
        <v>133065000</v>
      </c>
      <c r="AA400" s="2452"/>
      <c r="AB400" s="2456"/>
      <c r="AC400" s="2453"/>
      <c r="AD400" s="2453"/>
      <c r="AE400" s="2726"/>
      <c r="AF400" s="2471"/>
      <c r="AG400" s="2471"/>
      <c r="AH400" s="2471"/>
      <c r="AI400" s="2471"/>
      <c r="AJ400" s="2471"/>
      <c r="AK400" s="2471"/>
      <c r="AL400" s="2471"/>
      <c r="AM400" s="2471"/>
      <c r="AN400" s="2471"/>
      <c r="AO400" s="2471"/>
      <c r="AP400" s="2471"/>
      <c r="AQ400" s="2471"/>
      <c r="AR400" s="2471"/>
      <c r="AS400" s="2471"/>
      <c r="AT400" s="2471"/>
      <c r="AU400" s="2471"/>
      <c r="AV400" s="2471"/>
      <c r="AW400" s="2471"/>
      <c r="AX400" s="2471"/>
      <c r="AY400" s="2471"/>
      <c r="AZ400" s="2471"/>
      <c r="BA400" s="2471"/>
      <c r="BB400" s="2471"/>
      <c r="BC400" s="2471"/>
      <c r="BD400" s="2471"/>
      <c r="BE400" s="2471"/>
      <c r="BF400" s="2471"/>
      <c r="BG400" s="2471"/>
      <c r="BH400" s="2471"/>
      <c r="BI400" s="2471"/>
      <c r="BJ400" s="2471"/>
      <c r="BK400" s="2471"/>
      <c r="BL400" s="2471"/>
      <c r="BM400" s="2471"/>
      <c r="BN400" s="2471"/>
      <c r="BO400" s="2471"/>
      <c r="BP400" s="2471"/>
      <c r="BQ400" s="2471"/>
      <c r="BR400" s="2471"/>
      <c r="BS400" s="2471"/>
      <c r="BT400" s="2471"/>
      <c r="BU400" s="2471"/>
      <c r="BV400" s="2471"/>
      <c r="BW400" s="2471"/>
      <c r="BX400" s="2471"/>
    </row>
    <row r="401" spans="1:76" s="2450" customFormat="1" ht="110.25" customHeight="1">
      <c r="A401" s="2465">
        <v>5</v>
      </c>
      <c r="B401" s="2465"/>
      <c r="C401" s="2352">
        <v>1</v>
      </c>
      <c r="D401" s="2352" t="s">
        <v>66</v>
      </c>
      <c r="E401" s="2352" t="s">
        <v>196</v>
      </c>
      <c r="F401" s="2352" t="s">
        <v>65</v>
      </c>
      <c r="G401" s="2352">
        <v>24</v>
      </c>
      <c r="H401" s="2873"/>
      <c r="I401" s="3156" t="s">
        <v>3151</v>
      </c>
      <c r="J401" s="3156" t="s">
        <v>3152</v>
      </c>
      <c r="K401" s="2466">
        <v>691</v>
      </c>
      <c r="L401" s="2467">
        <f t="shared" ref="L401:Q401" si="118">SUM(L402:L411)</f>
        <v>248746325000</v>
      </c>
      <c r="M401" s="2466">
        <f t="shared" si="118"/>
        <v>158</v>
      </c>
      <c r="N401" s="2467">
        <f t="shared" si="118"/>
        <v>24305515826</v>
      </c>
      <c r="O401" s="2466">
        <f t="shared" si="118"/>
        <v>36</v>
      </c>
      <c r="P401" s="2467">
        <f>SUM(P402:P411)</f>
        <v>12508492409</v>
      </c>
      <c r="Q401" s="2466">
        <f t="shared" si="118"/>
        <v>0</v>
      </c>
      <c r="R401" s="2467">
        <f>SUM(R402:R411)</f>
        <v>48790321</v>
      </c>
      <c r="S401" s="2847" t="s">
        <v>2034</v>
      </c>
      <c r="T401" s="2468">
        <v>0</v>
      </c>
      <c r="U401" s="2468">
        <v>1</v>
      </c>
      <c r="V401" s="2467">
        <f>SUM(V402:V411)</f>
        <v>4998373350</v>
      </c>
      <c r="W401" s="2468"/>
      <c r="X401" s="2468"/>
      <c r="Y401" s="2466">
        <f t="shared" si="112"/>
        <v>1</v>
      </c>
      <c r="Z401" s="2467">
        <f t="shared" si="111"/>
        <v>5047163671</v>
      </c>
      <c r="AA401" s="2466">
        <f>SUM(AA402:AA411)</f>
        <v>171</v>
      </c>
      <c r="AB401" s="2469">
        <f>SUM(AB402:AB411)</f>
        <v>31614131618</v>
      </c>
      <c r="AC401" s="2468">
        <f>AA401/K401*100</f>
        <v>24.746743849493487</v>
      </c>
      <c r="AD401" s="2468">
        <f>AB401/L401*100</f>
        <v>12.709386407216266</v>
      </c>
      <c r="AE401" s="2725" t="s">
        <v>3226</v>
      </c>
      <c r="AF401" s="2471"/>
      <c r="AG401" s="2471"/>
      <c r="AH401" s="2471"/>
      <c r="AI401" s="2471"/>
      <c r="AJ401" s="2471"/>
      <c r="AK401" s="2471"/>
      <c r="AL401" s="2471"/>
      <c r="AM401" s="2471"/>
      <c r="AN401" s="2471"/>
      <c r="AO401" s="2471"/>
      <c r="AP401" s="2471"/>
      <c r="AQ401" s="2471"/>
      <c r="AR401" s="2471"/>
      <c r="AS401" s="2471"/>
      <c r="AT401" s="2471"/>
      <c r="AU401" s="2471"/>
      <c r="AV401" s="2471"/>
      <c r="AW401" s="2471"/>
      <c r="AX401" s="2471"/>
      <c r="AY401" s="2471"/>
      <c r="AZ401" s="2471"/>
      <c r="BA401" s="2471"/>
      <c r="BB401" s="2471"/>
      <c r="BC401" s="2471"/>
      <c r="BD401" s="2471"/>
      <c r="BE401" s="2471"/>
      <c r="BF401" s="2471"/>
      <c r="BG401" s="2471"/>
      <c r="BH401" s="2471"/>
      <c r="BI401" s="2471"/>
      <c r="BJ401" s="2471"/>
      <c r="BK401" s="2471"/>
      <c r="BL401" s="2471"/>
      <c r="BM401" s="2471"/>
      <c r="BN401" s="2471"/>
      <c r="BO401" s="2471"/>
      <c r="BP401" s="2471"/>
      <c r="BQ401" s="2471"/>
      <c r="BR401" s="2471"/>
      <c r="BS401" s="2471"/>
      <c r="BT401" s="2471"/>
      <c r="BU401" s="2471"/>
      <c r="BV401" s="2471"/>
      <c r="BW401" s="2471"/>
      <c r="BX401" s="2471"/>
    </row>
    <row r="402" spans="1:76" s="2450" customFormat="1" ht="69" customHeight="1">
      <c r="A402" s="2470"/>
      <c r="B402" s="1703" t="s">
        <v>3146</v>
      </c>
      <c r="C402" s="3792">
        <v>1</v>
      </c>
      <c r="D402" s="3792" t="s">
        <v>66</v>
      </c>
      <c r="E402" s="3792" t="s">
        <v>196</v>
      </c>
      <c r="F402" s="3792" t="s">
        <v>65</v>
      </c>
      <c r="G402" s="3792">
        <v>24</v>
      </c>
      <c r="H402" s="1715">
        <v>72</v>
      </c>
      <c r="I402" s="1703" t="s">
        <v>3153</v>
      </c>
      <c r="J402" s="1703" t="s">
        <v>3727</v>
      </c>
      <c r="K402" s="2452">
        <v>9</v>
      </c>
      <c r="L402" s="2400">
        <v>800000000</v>
      </c>
      <c r="M402" s="2454">
        <f>3+6</f>
        <v>9</v>
      </c>
      <c r="N402" s="2457">
        <v>512985250</v>
      </c>
      <c r="O402" s="2452">
        <v>0</v>
      </c>
      <c r="P402" s="2400">
        <v>0</v>
      </c>
      <c r="Q402" s="2454">
        <v>0</v>
      </c>
      <c r="R402" s="2400"/>
      <c r="S402" s="2455" t="s">
        <v>2034</v>
      </c>
      <c r="T402" s="2455">
        <v>0</v>
      </c>
      <c r="U402" s="2455">
        <v>0</v>
      </c>
      <c r="V402" s="2400">
        <v>0</v>
      </c>
      <c r="W402" s="2455"/>
      <c r="X402" s="2453"/>
      <c r="Y402" s="2452">
        <f t="shared" si="112"/>
        <v>0</v>
      </c>
      <c r="Z402" s="2400">
        <f t="shared" si="111"/>
        <v>0</v>
      </c>
      <c r="AA402" s="2452"/>
      <c r="AB402" s="2456"/>
      <c r="AC402" s="2453"/>
      <c r="AD402" s="2453"/>
      <c r="AE402" s="2726"/>
      <c r="AF402" s="2471"/>
      <c r="AG402" s="2471"/>
      <c r="AH402" s="2471"/>
      <c r="AI402" s="2471"/>
      <c r="AJ402" s="2471"/>
      <c r="AK402" s="2471"/>
      <c r="AL402" s="2471"/>
      <c r="AM402" s="2471"/>
      <c r="AN402" s="2471"/>
      <c r="AO402" s="2471"/>
      <c r="AP402" s="2471"/>
      <c r="AQ402" s="2471"/>
      <c r="AR402" s="2471"/>
      <c r="AS402" s="2471"/>
      <c r="AT402" s="2471"/>
      <c r="AU402" s="2471"/>
      <c r="AV402" s="2471"/>
      <c r="AW402" s="2471"/>
      <c r="AX402" s="2471"/>
      <c r="AY402" s="2471"/>
      <c r="AZ402" s="2471"/>
      <c r="BA402" s="2471"/>
      <c r="BB402" s="2471"/>
      <c r="BC402" s="2471"/>
      <c r="BD402" s="2471"/>
      <c r="BE402" s="2471"/>
      <c r="BF402" s="2471"/>
      <c r="BG402" s="2471"/>
      <c r="BH402" s="2471"/>
      <c r="BI402" s="2471"/>
      <c r="BJ402" s="2471"/>
      <c r="BK402" s="2471"/>
      <c r="BL402" s="2471"/>
      <c r="BM402" s="2471"/>
      <c r="BN402" s="2471"/>
      <c r="BO402" s="2471"/>
      <c r="BP402" s="2471"/>
      <c r="BQ402" s="2471"/>
      <c r="BR402" s="2471"/>
      <c r="BS402" s="2471"/>
      <c r="BT402" s="2471"/>
      <c r="BU402" s="2471"/>
      <c r="BV402" s="2471"/>
      <c r="BW402" s="2471"/>
      <c r="BX402" s="2471"/>
    </row>
    <row r="403" spans="1:76" s="2450" customFormat="1" ht="87" customHeight="1">
      <c r="A403" s="2470"/>
      <c r="B403" s="1703" t="s">
        <v>3146</v>
      </c>
      <c r="C403" s="3792">
        <v>1</v>
      </c>
      <c r="D403" s="3792" t="s">
        <v>66</v>
      </c>
      <c r="E403" s="3792" t="s">
        <v>196</v>
      </c>
      <c r="F403" s="3792" t="s">
        <v>65</v>
      </c>
      <c r="G403" s="3792">
        <v>24</v>
      </c>
      <c r="H403" s="1715" t="s">
        <v>201</v>
      </c>
      <c r="I403" s="1703" t="s">
        <v>3154</v>
      </c>
      <c r="J403" s="1703" t="s">
        <v>3635</v>
      </c>
      <c r="K403" s="2452">
        <v>76</v>
      </c>
      <c r="L403" s="2400">
        <v>43171250000</v>
      </c>
      <c r="M403" s="2454">
        <v>23</v>
      </c>
      <c r="N403" s="2457">
        <v>2988020750</v>
      </c>
      <c r="O403" s="2452">
        <v>12</v>
      </c>
      <c r="P403" s="2400">
        <v>1599989409</v>
      </c>
      <c r="Q403" s="2454">
        <v>0</v>
      </c>
      <c r="R403" s="2400">
        <v>11600000</v>
      </c>
      <c r="S403" s="2455">
        <v>4</v>
      </c>
      <c r="T403" s="2400">
        <v>429906700</v>
      </c>
      <c r="U403" s="2453">
        <v>5</v>
      </c>
      <c r="V403" s="2400">
        <v>722795650</v>
      </c>
      <c r="W403" s="2453"/>
      <c r="X403" s="2453"/>
      <c r="Y403" s="2452">
        <f t="shared" si="112"/>
        <v>9</v>
      </c>
      <c r="Z403" s="2400">
        <f t="shared" si="111"/>
        <v>1164302350</v>
      </c>
      <c r="AA403" s="2452">
        <f t="shared" ref="AA403:AB406" si="119">M403+Y403</f>
        <v>32</v>
      </c>
      <c r="AB403" s="2456">
        <f t="shared" si="119"/>
        <v>4152323100</v>
      </c>
      <c r="AC403" s="2453">
        <f>AA403/K403*100</f>
        <v>42.105263157894733</v>
      </c>
      <c r="AD403" s="2453">
        <f>AB403/L403*100</f>
        <v>9.6182600689116029</v>
      </c>
      <c r="AE403" s="2726"/>
      <c r="AF403" s="2471"/>
      <c r="AG403" s="2471"/>
      <c r="AH403" s="2471"/>
      <c r="AI403" s="2471"/>
      <c r="AJ403" s="2471"/>
      <c r="AK403" s="2471"/>
      <c r="AL403" s="2471"/>
      <c r="AM403" s="2471"/>
      <c r="AN403" s="2471"/>
      <c r="AO403" s="2471"/>
      <c r="AP403" s="2471"/>
      <c r="AQ403" s="2471"/>
      <c r="AR403" s="2471"/>
      <c r="AS403" s="2471"/>
      <c r="AT403" s="2471"/>
      <c r="AU403" s="2471"/>
      <c r="AV403" s="2471"/>
      <c r="AW403" s="2471"/>
      <c r="AX403" s="2471"/>
      <c r="AY403" s="2471"/>
      <c r="AZ403" s="2471"/>
      <c r="BA403" s="2471"/>
      <c r="BB403" s="2471"/>
      <c r="BC403" s="2471"/>
      <c r="BD403" s="2471"/>
      <c r="BE403" s="2471"/>
      <c r="BF403" s="2471"/>
      <c r="BG403" s="2471"/>
      <c r="BH403" s="2471"/>
      <c r="BI403" s="2471"/>
      <c r="BJ403" s="2471"/>
      <c r="BK403" s="2471"/>
      <c r="BL403" s="2471"/>
      <c r="BM403" s="2471"/>
      <c r="BN403" s="2471"/>
      <c r="BO403" s="2471"/>
      <c r="BP403" s="2471"/>
      <c r="BQ403" s="2471"/>
      <c r="BR403" s="2471"/>
      <c r="BS403" s="2471"/>
      <c r="BT403" s="2471"/>
      <c r="BU403" s="2471"/>
      <c r="BV403" s="2471"/>
      <c r="BW403" s="2471"/>
      <c r="BX403" s="2471"/>
    </row>
    <row r="404" spans="1:76" s="2450" customFormat="1" ht="91.5" customHeight="1">
      <c r="A404" s="2470"/>
      <c r="B404" s="1703" t="s">
        <v>3155</v>
      </c>
      <c r="C404" s="3792">
        <v>1</v>
      </c>
      <c r="D404" s="3792" t="s">
        <v>66</v>
      </c>
      <c r="E404" s="3792" t="s">
        <v>196</v>
      </c>
      <c r="F404" s="3792" t="s">
        <v>65</v>
      </c>
      <c r="G404" s="3792">
        <v>24</v>
      </c>
      <c r="H404" s="1715">
        <v>10</v>
      </c>
      <c r="I404" s="1703" t="s">
        <v>3156</v>
      </c>
      <c r="J404" s="1703" t="s">
        <v>3728</v>
      </c>
      <c r="K404" s="2452">
        <v>204</v>
      </c>
      <c r="L404" s="2400">
        <v>37424500000</v>
      </c>
      <c r="M404" s="2454">
        <f>30+38</f>
        <v>68</v>
      </c>
      <c r="N404" s="2402">
        <v>5731671500</v>
      </c>
      <c r="O404" s="2452">
        <v>17</v>
      </c>
      <c r="P404" s="2400">
        <v>2140000000</v>
      </c>
      <c r="Q404" s="2454">
        <v>0</v>
      </c>
      <c r="R404" s="2400">
        <v>11132300</v>
      </c>
      <c r="S404" s="2455">
        <v>8</v>
      </c>
      <c r="T404" s="2400">
        <v>368196400</v>
      </c>
      <c r="U404" s="2453">
        <v>5</v>
      </c>
      <c r="V404" s="2400">
        <v>670700600</v>
      </c>
      <c r="W404" s="2453"/>
      <c r="X404" s="2453"/>
      <c r="Y404" s="2452">
        <f t="shared" si="112"/>
        <v>13</v>
      </c>
      <c r="Z404" s="2400">
        <f t="shared" si="111"/>
        <v>1050029300</v>
      </c>
      <c r="AA404" s="2452">
        <f t="shared" si="119"/>
        <v>81</v>
      </c>
      <c r="AB404" s="2456">
        <f t="shared" si="119"/>
        <v>6781700800</v>
      </c>
      <c r="AC404" s="2453">
        <f t="shared" ref="AC404:AD406" si="120">(AA404/K404)*100</f>
        <v>39.705882352941174</v>
      </c>
      <c r="AD404" s="2453">
        <f t="shared" si="120"/>
        <v>18.121019118491898</v>
      </c>
      <c r="AE404" s="2726"/>
      <c r="AF404" s="2471"/>
      <c r="AG404" s="2471"/>
      <c r="AH404" s="2471"/>
      <c r="AI404" s="2471"/>
      <c r="AJ404" s="2471"/>
      <c r="AK404" s="2471"/>
      <c r="AL404" s="2471"/>
      <c r="AM404" s="2471"/>
      <c r="AN404" s="2471"/>
      <c r="AO404" s="2471"/>
      <c r="AP404" s="2471"/>
      <c r="AQ404" s="2471"/>
      <c r="AR404" s="2471"/>
      <c r="AS404" s="2471"/>
      <c r="AT404" s="2471"/>
      <c r="AU404" s="2471"/>
      <c r="AV404" s="2471"/>
      <c r="AW404" s="2471"/>
      <c r="AX404" s="2471"/>
      <c r="AY404" s="2471"/>
      <c r="AZ404" s="2471"/>
      <c r="BA404" s="2471"/>
      <c r="BB404" s="2471"/>
      <c r="BC404" s="2471"/>
      <c r="BD404" s="2471"/>
      <c r="BE404" s="2471"/>
      <c r="BF404" s="2471"/>
      <c r="BG404" s="2471"/>
      <c r="BH404" s="2471"/>
      <c r="BI404" s="2471"/>
      <c r="BJ404" s="2471"/>
      <c r="BK404" s="2471"/>
      <c r="BL404" s="2471"/>
      <c r="BM404" s="2471"/>
      <c r="BN404" s="2471"/>
      <c r="BO404" s="2471"/>
      <c r="BP404" s="2471"/>
      <c r="BQ404" s="2471"/>
      <c r="BR404" s="2471"/>
      <c r="BS404" s="2471"/>
      <c r="BT404" s="2471"/>
      <c r="BU404" s="2471"/>
      <c r="BV404" s="2471"/>
      <c r="BW404" s="2471"/>
      <c r="BX404" s="2471"/>
    </row>
    <row r="405" spans="1:76" s="2450" customFormat="1" ht="71.25" customHeight="1">
      <c r="A405" s="2470"/>
      <c r="B405" s="1703" t="s">
        <v>3155</v>
      </c>
      <c r="C405" s="3792">
        <v>1</v>
      </c>
      <c r="D405" s="3792" t="s">
        <v>66</v>
      </c>
      <c r="E405" s="3792" t="s">
        <v>196</v>
      </c>
      <c r="F405" s="3792" t="s">
        <v>65</v>
      </c>
      <c r="G405" s="3792">
        <v>24</v>
      </c>
      <c r="H405" s="1715">
        <v>56</v>
      </c>
      <c r="I405" s="1703" t="s">
        <v>3157</v>
      </c>
      <c r="J405" s="1703" t="s">
        <v>3729</v>
      </c>
      <c r="K405" s="2452">
        <v>9</v>
      </c>
      <c r="L405" s="2400">
        <v>5022000000</v>
      </c>
      <c r="M405" s="2454">
        <f>4+2</f>
        <v>6</v>
      </c>
      <c r="N405" s="2457">
        <v>106498500</v>
      </c>
      <c r="O405" s="2452">
        <v>1</v>
      </c>
      <c r="P405" s="2400">
        <v>53675000</v>
      </c>
      <c r="Q405" s="2454">
        <v>0</v>
      </c>
      <c r="R405" s="2400">
        <v>0</v>
      </c>
      <c r="S405" s="2455" t="s">
        <v>2034</v>
      </c>
      <c r="T405" s="2453"/>
      <c r="U405" s="2453"/>
      <c r="V405" s="2400"/>
      <c r="W405" s="2453"/>
      <c r="X405" s="2453"/>
      <c r="Y405" s="2452">
        <f t="shared" si="112"/>
        <v>0</v>
      </c>
      <c r="Z405" s="2400">
        <f t="shared" si="111"/>
        <v>0</v>
      </c>
      <c r="AA405" s="2452">
        <f t="shared" si="119"/>
        <v>6</v>
      </c>
      <c r="AB405" s="2456">
        <f>N405+Z405</f>
        <v>106498500</v>
      </c>
      <c r="AC405" s="2453">
        <f>(AA405/K405)*100</f>
        <v>66.666666666666657</v>
      </c>
      <c r="AD405" s="2453">
        <f>(AB405/L405)*100</f>
        <v>2.1206391875746711</v>
      </c>
      <c r="AE405" s="2726"/>
      <c r="AF405" s="2471"/>
      <c r="AG405" s="2471"/>
      <c r="AH405" s="2471"/>
      <c r="AI405" s="2471"/>
      <c r="AJ405" s="2471"/>
      <c r="AK405" s="2471"/>
      <c r="AL405" s="2471"/>
      <c r="AM405" s="2471"/>
      <c r="AN405" s="2471"/>
      <c r="AO405" s="2471"/>
      <c r="AP405" s="2471"/>
      <c r="AQ405" s="2471"/>
      <c r="AR405" s="2471"/>
      <c r="AS405" s="2471"/>
      <c r="AT405" s="2471"/>
      <c r="AU405" s="2471"/>
      <c r="AV405" s="2471"/>
      <c r="AW405" s="2471"/>
      <c r="AX405" s="2471"/>
      <c r="AY405" s="2471"/>
      <c r="AZ405" s="2471"/>
      <c r="BA405" s="2471"/>
      <c r="BB405" s="2471"/>
      <c r="BC405" s="2471"/>
      <c r="BD405" s="2471"/>
      <c r="BE405" s="2471"/>
      <c r="BF405" s="2471"/>
      <c r="BG405" s="2471"/>
      <c r="BH405" s="2471"/>
      <c r="BI405" s="2471"/>
      <c r="BJ405" s="2471"/>
      <c r="BK405" s="2471"/>
      <c r="BL405" s="2471"/>
      <c r="BM405" s="2471"/>
      <c r="BN405" s="2471"/>
      <c r="BO405" s="2471"/>
      <c r="BP405" s="2471"/>
      <c r="BQ405" s="2471"/>
      <c r="BR405" s="2471"/>
      <c r="BS405" s="2471"/>
      <c r="BT405" s="2471"/>
      <c r="BU405" s="2471"/>
      <c r="BV405" s="2471"/>
      <c r="BW405" s="2471"/>
      <c r="BX405" s="2471"/>
    </row>
    <row r="406" spans="1:76" s="2450" customFormat="1" ht="71.25" customHeight="1">
      <c r="A406" s="2470"/>
      <c r="B406" s="1703" t="s">
        <v>3155</v>
      </c>
      <c r="C406" s="3792">
        <v>1</v>
      </c>
      <c r="D406" s="3792" t="s">
        <v>66</v>
      </c>
      <c r="E406" s="3792" t="s">
        <v>196</v>
      </c>
      <c r="F406" s="3792" t="s">
        <v>65</v>
      </c>
      <c r="G406" s="3792">
        <v>24</v>
      </c>
      <c r="H406" s="1715">
        <v>15</v>
      </c>
      <c r="I406" s="1703" t="s">
        <v>3158</v>
      </c>
      <c r="J406" s="1703" t="s">
        <v>3730</v>
      </c>
      <c r="K406" s="2452">
        <v>5</v>
      </c>
      <c r="L406" s="2400">
        <v>12500000000</v>
      </c>
      <c r="M406" s="2454">
        <v>1</v>
      </c>
      <c r="N406" s="2457">
        <v>705134100</v>
      </c>
      <c r="O406" s="2452">
        <v>1</v>
      </c>
      <c r="P406" s="2400">
        <v>700000000</v>
      </c>
      <c r="Q406" s="2454">
        <v>0</v>
      </c>
      <c r="R406" s="2400">
        <v>0</v>
      </c>
      <c r="S406" s="2455" t="s">
        <v>2034</v>
      </c>
      <c r="T406" s="2400">
        <v>179682350</v>
      </c>
      <c r="U406" s="2455" t="s">
        <v>2034</v>
      </c>
      <c r="V406" s="2400">
        <v>242667800</v>
      </c>
      <c r="W406" s="2453"/>
      <c r="X406" s="2453"/>
      <c r="Y406" s="2452">
        <f t="shared" si="112"/>
        <v>0</v>
      </c>
      <c r="Z406" s="2400">
        <f t="shared" si="111"/>
        <v>422350150</v>
      </c>
      <c r="AA406" s="2452">
        <f t="shared" si="119"/>
        <v>1</v>
      </c>
      <c r="AB406" s="2456">
        <f t="shared" si="119"/>
        <v>1127484250</v>
      </c>
      <c r="AC406" s="2453">
        <f t="shared" si="120"/>
        <v>20</v>
      </c>
      <c r="AD406" s="2453">
        <f t="shared" si="120"/>
        <v>9.0198739999999997</v>
      </c>
      <c r="AE406" s="2726"/>
      <c r="AF406" s="2471"/>
      <c r="AG406" s="2471"/>
      <c r="AH406" s="2471"/>
      <c r="AI406" s="2471"/>
      <c r="AJ406" s="2471"/>
      <c r="AK406" s="2471"/>
      <c r="AL406" s="2471"/>
      <c r="AM406" s="2471"/>
      <c r="AN406" s="2471"/>
      <c r="AO406" s="2471"/>
      <c r="AP406" s="2471"/>
      <c r="AQ406" s="2471"/>
      <c r="AR406" s="2471"/>
      <c r="AS406" s="2471"/>
      <c r="AT406" s="2471"/>
      <c r="AU406" s="2471"/>
      <c r="AV406" s="2471"/>
      <c r="AW406" s="2471"/>
      <c r="AX406" s="2471"/>
      <c r="AY406" s="2471"/>
      <c r="AZ406" s="2471"/>
      <c r="BA406" s="2471"/>
      <c r="BB406" s="2471"/>
      <c r="BC406" s="2471"/>
      <c r="BD406" s="2471"/>
      <c r="BE406" s="2471"/>
      <c r="BF406" s="2471"/>
      <c r="BG406" s="2471"/>
      <c r="BH406" s="2471"/>
      <c r="BI406" s="2471"/>
      <c r="BJ406" s="2471"/>
      <c r="BK406" s="2471"/>
      <c r="BL406" s="2471"/>
      <c r="BM406" s="2471"/>
      <c r="BN406" s="2471"/>
      <c r="BO406" s="2471"/>
      <c r="BP406" s="2471"/>
      <c r="BQ406" s="2471"/>
      <c r="BR406" s="2471"/>
      <c r="BS406" s="2471"/>
      <c r="BT406" s="2471"/>
      <c r="BU406" s="2471"/>
      <c r="BV406" s="2471"/>
      <c r="BW406" s="2471"/>
      <c r="BX406" s="2471"/>
    </row>
    <row r="407" spans="1:76" s="2450" customFormat="1" ht="66.75" customHeight="1">
      <c r="A407" s="2470"/>
      <c r="B407" s="1703" t="s">
        <v>3155</v>
      </c>
      <c r="C407" s="3792">
        <v>1</v>
      </c>
      <c r="D407" s="3792" t="s">
        <v>66</v>
      </c>
      <c r="E407" s="3792" t="s">
        <v>196</v>
      </c>
      <c r="F407" s="3792" t="s">
        <v>65</v>
      </c>
      <c r="G407" s="3792">
        <v>24</v>
      </c>
      <c r="H407" s="1715">
        <v>54</v>
      </c>
      <c r="I407" s="1703" t="s">
        <v>3159</v>
      </c>
      <c r="J407" s="1703" t="s">
        <v>3731</v>
      </c>
      <c r="K407" s="2452">
        <v>375</v>
      </c>
      <c r="L407" s="2400">
        <v>145296800000</v>
      </c>
      <c r="M407" s="2454">
        <f>14+34</f>
        <v>48</v>
      </c>
      <c r="N407" s="2457">
        <v>13571833976</v>
      </c>
      <c r="O407" s="2452">
        <v>1</v>
      </c>
      <c r="P407" s="2400">
        <v>7043753000</v>
      </c>
      <c r="Q407" s="2454">
        <v>0</v>
      </c>
      <c r="R407" s="2400">
        <v>26058021</v>
      </c>
      <c r="S407" s="2455" t="s">
        <v>2034</v>
      </c>
      <c r="T407" s="2400">
        <v>1748651921</v>
      </c>
      <c r="U407" s="2453"/>
      <c r="V407" s="2400">
        <v>3295209300</v>
      </c>
      <c r="W407" s="2453"/>
      <c r="X407" s="2453"/>
      <c r="Y407" s="2452">
        <f t="shared" si="112"/>
        <v>0</v>
      </c>
      <c r="Z407" s="2400">
        <f t="shared" si="111"/>
        <v>5069919242</v>
      </c>
      <c r="AA407" s="2452">
        <f t="shared" ref="AA407:AB410" si="121">M407+Y407</f>
        <v>48</v>
      </c>
      <c r="AB407" s="2456">
        <f t="shared" si="121"/>
        <v>18641753218</v>
      </c>
      <c r="AC407" s="2453">
        <f t="shared" ref="AC407:AD410" si="122">AA407/K407*100</f>
        <v>12.8</v>
      </c>
      <c r="AD407" s="2453">
        <f t="shared" si="122"/>
        <v>12.830119602083458</v>
      </c>
      <c r="AE407" s="2726"/>
      <c r="AF407" s="2471"/>
      <c r="AG407" s="2471"/>
      <c r="AH407" s="2471"/>
      <c r="AI407" s="2471"/>
      <c r="AJ407" s="2471"/>
      <c r="AK407" s="2471"/>
      <c r="AL407" s="2471"/>
      <c r="AM407" s="2471"/>
      <c r="AN407" s="2471"/>
      <c r="AO407" s="2471"/>
      <c r="AP407" s="2471"/>
      <c r="AQ407" s="2471"/>
      <c r="AR407" s="2471"/>
      <c r="AS407" s="2471"/>
      <c r="AT407" s="2471"/>
      <c r="AU407" s="2471"/>
      <c r="AV407" s="2471"/>
      <c r="AW407" s="2471"/>
      <c r="AX407" s="2471"/>
      <c r="AY407" s="2471"/>
      <c r="AZ407" s="2471"/>
      <c r="BA407" s="2471"/>
      <c r="BB407" s="2471"/>
      <c r="BC407" s="2471"/>
      <c r="BD407" s="2471"/>
      <c r="BE407" s="2471"/>
      <c r="BF407" s="2471"/>
      <c r="BG407" s="2471"/>
      <c r="BH407" s="2471"/>
      <c r="BI407" s="2471"/>
      <c r="BJ407" s="2471"/>
      <c r="BK407" s="2471"/>
      <c r="BL407" s="2471"/>
      <c r="BM407" s="2471"/>
      <c r="BN407" s="2471"/>
      <c r="BO407" s="2471"/>
      <c r="BP407" s="2471"/>
      <c r="BQ407" s="2471"/>
      <c r="BR407" s="2471"/>
      <c r="BS407" s="2471"/>
      <c r="BT407" s="2471"/>
      <c r="BU407" s="2471"/>
      <c r="BV407" s="2471"/>
      <c r="BW407" s="2471"/>
      <c r="BX407" s="2471"/>
    </row>
    <row r="408" spans="1:76" s="2450" customFormat="1" ht="48" customHeight="1">
      <c r="A408" s="2470"/>
      <c r="B408" s="1703" t="s">
        <v>3155</v>
      </c>
      <c r="C408" s="3792">
        <v>1</v>
      </c>
      <c r="D408" s="3792" t="s">
        <v>66</v>
      </c>
      <c r="E408" s="3792" t="s">
        <v>196</v>
      </c>
      <c r="F408" s="3792" t="s">
        <v>65</v>
      </c>
      <c r="G408" s="3792">
        <v>24</v>
      </c>
      <c r="H408" s="1715">
        <v>74</v>
      </c>
      <c r="I408" s="1703" t="s">
        <v>3160</v>
      </c>
      <c r="J408" s="1703" t="s">
        <v>3732</v>
      </c>
      <c r="K408" s="2452">
        <v>5</v>
      </c>
      <c r="L408" s="2400">
        <v>250000000</v>
      </c>
      <c r="M408" s="2454">
        <v>1</v>
      </c>
      <c r="N408" s="2457">
        <v>42891750</v>
      </c>
      <c r="O408" s="2452">
        <v>1</v>
      </c>
      <c r="P408" s="2400">
        <v>88700000</v>
      </c>
      <c r="Q408" s="2454">
        <v>0</v>
      </c>
      <c r="R408" s="2400">
        <v>0</v>
      </c>
      <c r="S408" s="2455" t="s">
        <v>2034</v>
      </c>
      <c r="T408" s="2400">
        <v>0</v>
      </c>
      <c r="U408" s="2453"/>
      <c r="V408" s="2400"/>
      <c r="W408" s="2453"/>
      <c r="X408" s="2453"/>
      <c r="Y408" s="2452">
        <f t="shared" si="112"/>
        <v>0</v>
      </c>
      <c r="Z408" s="2400">
        <f t="shared" si="111"/>
        <v>0</v>
      </c>
      <c r="AA408" s="2452">
        <f t="shared" si="121"/>
        <v>1</v>
      </c>
      <c r="AB408" s="2456">
        <f t="shared" si="121"/>
        <v>42891750</v>
      </c>
      <c r="AC408" s="2453">
        <f t="shared" si="122"/>
        <v>20</v>
      </c>
      <c r="AD408" s="2453">
        <f t="shared" si="122"/>
        <v>17.156700000000001</v>
      </c>
      <c r="AE408" s="2726"/>
      <c r="AF408" s="2471"/>
      <c r="AG408" s="2471"/>
      <c r="AH408" s="2471"/>
      <c r="AI408" s="2471"/>
      <c r="AJ408" s="2471"/>
      <c r="AK408" s="2471"/>
      <c r="AL408" s="2471"/>
      <c r="AM408" s="2471"/>
      <c r="AN408" s="2471"/>
      <c r="AO408" s="2471"/>
      <c r="AP408" s="2471"/>
      <c r="AQ408" s="2471"/>
      <c r="AR408" s="2471"/>
      <c r="AS408" s="2471"/>
      <c r="AT408" s="2471"/>
      <c r="AU408" s="2471"/>
      <c r="AV408" s="2471"/>
      <c r="AW408" s="2471"/>
      <c r="AX408" s="2471"/>
      <c r="AY408" s="2471"/>
      <c r="AZ408" s="2471"/>
      <c r="BA408" s="2471"/>
      <c r="BB408" s="2471"/>
      <c r="BC408" s="2471"/>
      <c r="BD408" s="2471"/>
      <c r="BE408" s="2471"/>
      <c r="BF408" s="2471"/>
      <c r="BG408" s="2471"/>
      <c r="BH408" s="2471"/>
      <c r="BI408" s="2471"/>
      <c r="BJ408" s="2471"/>
      <c r="BK408" s="2471"/>
      <c r="BL408" s="2471"/>
      <c r="BM408" s="2471"/>
      <c r="BN408" s="2471"/>
      <c r="BO408" s="2471"/>
      <c r="BP408" s="2471"/>
      <c r="BQ408" s="2471"/>
      <c r="BR408" s="2471"/>
      <c r="BS408" s="2471"/>
      <c r="BT408" s="2471"/>
      <c r="BU408" s="2471"/>
      <c r="BV408" s="2471"/>
      <c r="BW408" s="2471"/>
      <c r="BX408" s="2471"/>
    </row>
    <row r="409" spans="1:76" s="2450" customFormat="1" ht="48" customHeight="1">
      <c r="A409" s="2470"/>
      <c r="B409" s="1703" t="s">
        <v>3155</v>
      </c>
      <c r="C409" s="3792">
        <v>1</v>
      </c>
      <c r="D409" s="3792" t="s">
        <v>66</v>
      </c>
      <c r="E409" s="3792" t="s">
        <v>196</v>
      </c>
      <c r="F409" s="3792" t="s">
        <v>65</v>
      </c>
      <c r="G409" s="3792">
        <v>24</v>
      </c>
      <c r="H409" s="1715">
        <v>73</v>
      </c>
      <c r="I409" s="1703" t="s">
        <v>3161</v>
      </c>
      <c r="J409" s="1703" t="s">
        <v>228</v>
      </c>
      <c r="K409" s="2452">
        <v>6</v>
      </c>
      <c r="L409" s="2400">
        <v>3919200000</v>
      </c>
      <c r="M409" s="2454">
        <v>2</v>
      </c>
      <c r="N409" s="2457">
        <v>646480000</v>
      </c>
      <c r="O409" s="2452">
        <v>1</v>
      </c>
      <c r="P409" s="2400">
        <v>852000000</v>
      </c>
      <c r="Q409" s="2454">
        <v>0</v>
      </c>
      <c r="R409" s="2400">
        <v>0</v>
      </c>
      <c r="S409" s="2455" t="s">
        <v>2034</v>
      </c>
      <c r="T409" s="2457">
        <v>48000000</v>
      </c>
      <c r="U409" s="2453"/>
      <c r="V409" s="2400">
        <v>67000000</v>
      </c>
      <c r="W409" s="2453"/>
      <c r="X409" s="2453"/>
      <c r="Y409" s="2452">
        <f t="shared" si="112"/>
        <v>0</v>
      </c>
      <c r="Z409" s="2400">
        <f t="shared" si="111"/>
        <v>115000000</v>
      </c>
      <c r="AA409" s="2452">
        <f t="shared" si="121"/>
        <v>2</v>
      </c>
      <c r="AB409" s="2456">
        <f t="shared" si="121"/>
        <v>761480000</v>
      </c>
      <c r="AC409" s="2453">
        <f t="shared" si="122"/>
        <v>33.333333333333329</v>
      </c>
      <c r="AD409" s="2453">
        <f t="shared" si="122"/>
        <v>19.429475403143499</v>
      </c>
      <c r="AE409" s="2726"/>
      <c r="AF409" s="2471"/>
      <c r="AG409" s="2471"/>
      <c r="AH409" s="2471"/>
      <c r="AI409" s="2471"/>
      <c r="AJ409" s="2471"/>
      <c r="AK409" s="2471"/>
      <c r="AL409" s="2471"/>
      <c r="AM409" s="2471"/>
      <c r="AN409" s="2471"/>
      <c r="AO409" s="2471"/>
      <c r="AP409" s="2471"/>
      <c r="AQ409" s="2471"/>
      <c r="AR409" s="2471"/>
      <c r="AS409" s="2471"/>
      <c r="AT409" s="2471"/>
      <c r="AU409" s="2471"/>
      <c r="AV409" s="2471"/>
      <c r="AW409" s="2471"/>
      <c r="AX409" s="2471"/>
      <c r="AY409" s="2471"/>
      <c r="AZ409" s="2471"/>
      <c r="BA409" s="2471"/>
      <c r="BB409" s="2471"/>
      <c r="BC409" s="2471"/>
      <c r="BD409" s="2471"/>
      <c r="BE409" s="2471"/>
      <c r="BF409" s="2471"/>
      <c r="BG409" s="2471"/>
      <c r="BH409" s="2471"/>
      <c r="BI409" s="2471"/>
      <c r="BJ409" s="2471"/>
      <c r="BK409" s="2471"/>
      <c r="BL409" s="2471"/>
      <c r="BM409" s="2471"/>
      <c r="BN409" s="2471"/>
      <c r="BO409" s="2471"/>
      <c r="BP409" s="2471"/>
      <c r="BQ409" s="2471"/>
      <c r="BR409" s="2471"/>
      <c r="BS409" s="2471"/>
      <c r="BT409" s="2471"/>
      <c r="BU409" s="2471"/>
      <c r="BV409" s="2471"/>
      <c r="BW409" s="2471"/>
      <c r="BX409" s="2471"/>
    </row>
    <row r="410" spans="1:76" s="2450" customFormat="1" ht="48" customHeight="1">
      <c r="A410" s="2470"/>
      <c r="B410" s="1703" t="s">
        <v>3155</v>
      </c>
      <c r="C410" s="3792">
        <v>1</v>
      </c>
      <c r="D410" s="3792" t="s">
        <v>66</v>
      </c>
      <c r="E410" s="3792" t="s">
        <v>196</v>
      </c>
      <c r="F410" s="3792" t="s">
        <v>65</v>
      </c>
      <c r="G410" s="3792">
        <v>24</v>
      </c>
      <c r="H410" s="1715"/>
      <c r="I410" s="1703" t="s">
        <v>3162</v>
      </c>
      <c r="J410" s="1703" t="s">
        <v>3163</v>
      </c>
      <c r="K410" s="2452">
        <v>1</v>
      </c>
      <c r="L410" s="2400">
        <v>30375000</v>
      </c>
      <c r="M410" s="2454"/>
      <c r="N410" s="2457"/>
      <c r="O410" s="2452">
        <v>1</v>
      </c>
      <c r="P410" s="2400">
        <v>30375000</v>
      </c>
      <c r="Q410" s="2454">
        <v>0</v>
      </c>
      <c r="R410" s="2400">
        <v>0</v>
      </c>
      <c r="S410" s="2455" t="s">
        <v>2034</v>
      </c>
      <c r="T410" s="2457">
        <v>0</v>
      </c>
      <c r="U410" s="2453"/>
      <c r="V410" s="2400"/>
      <c r="W410" s="2453"/>
      <c r="X410" s="2453"/>
      <c r="Y410" s="2452">
        <f t="shared" si="112"/>
        <v>0</v>
      </c>
      <c r="Z410" s="2400">
        <f t="shared" si="111"/>
        <v>0</v>
      </c>
      <c r="AA410" s="2452">
        <f t="shared" si="121"/>
        <v>0</v>
      </c>
      <c r="AB410" s="2456">
        <f t="shared" si="121"/>
        <v>0</v>
      </c>
      <c r="AC410" s="2453">
        <f t="shared" si="122"/>
        <v>0</v>
      </c>
      <c r="AD410" s="2453">
        <f t="shared" si="122"/>
        <v>0</v>
      </c>
      <c r="AE410" s="2726"/>
      <c r="AF410" s="2471"/>
      <c r="AG410" s="2471"/>
      <c r="AH410" s="2471"/>
      <c r="AI410" s="2471"/>
      <c r="AJ410" s="2471"/>
      <c r="AK410" s="2471"/>
      <c r="AL410" s="2471"/>
      <c r="AM410" s="2471"/>
      <c r="AN410" s="2471"/>
      <c r="AO410" s="2471"/>
      <c r="AP410" s="2471"/>
      <c r="AQ410" s="2471"/>
      <c r="AR410" s="2471"/>
      <c r="AS410" s="2471"/>
      <c r="AT410" s="2471"/>
      <c r="AU410" s="2471"/>
      <c r="AV410" s="2471"/>
      <c r="AW410" s="2471"/>
      <c r="AX410" s="2471"/>
      <c r="AY410" s="2471"/>
      <c r="AZ410" s="2471"/>
      <c r="BA410" s="2471"/>
      <c r="BB410" s="2471"/>
      <c r="BC410" s="2471"/>
      <c r="BD410" s="2471"/>
      <c r="BE410" s="2471"/>
      <c r="BF410" s="2471"/>
      <c r="BG410" s="2471"/>
      <c r="BH410" s="2471"/>
      <c r="BI410" s="2471"/>
      <c r="BJ410" s="2471"/>
      <c r="BK410" s="2471"/>
      <c r="BL410" s="2471"/>
      <c r="BM410" s="2471"/>
      <c r="BN410" s="2471"/>
      <c r="BO410" s="2471"/>
      <c r="BP410" s="2471"/>
      <c r="BQ410" s="2471"/>
      <c r="BR410" s="2471"/>
      <c r="BS410" s="2471"/>
      <c r="BT410" s="2471"/>
      <c r="BU410" s="2471"/>
      <c r="BV410" s="2471"/>
      <c r="BW410" s="2471"/>
      <c r="BX410" s="2471"/>
    </row>
    <row r="411" spans="1:76" s="2450" customFormat="1" ht="119.25" customHeight="1">
      <c r="A411" s="2470"/>
      <c r="B411" s="1703" t="s">
        <v>3155</v>
      </c>
      <c r="C411" s="3792">
        <v>1</v>
      </c>
      <c r="D411" s="3792" t="s">
        <v>66</v>
      </c>
      <c r="E411" s="3792" t="s">
        <v>196</v>
      </c>
      <c r="F411" s="3792" t="s">
        <v>65</v>
      </c>
      <c r="G411" s="3792">
        <v>24</v>
      </c>
      <c r="H411" s="1715"/>
      <c r="I411" s="1703" t="s">
        <v>3164</v>
      </c>
      <c r="J411" s="1703" t="s">
        <v>3165</v>
      </c>
      <c r="K411" s="2452">
        <v>1</v>
      </c>
      <c r="L411" s="2400">
        <v>332200000</v>
      </c>
      <c r="M411" s="2454">
        <v>0</v>
      </c>
      <c r="N411" s="2457">
        <v>0</v>
      </c>
      <c r="O411" s="2452">
        <v>1</v>
      </c>
      <c r="P411" s="3145">
        <v>0</v>
      </c>
      <c r="Q411" s="3107">
        <v>0</v>
      </c>
      <c r="R411" s="3145">
        <v>0</v>
      </c>
      <c r="S411" s="3108" t="s">
        <v>2034</v>
      </c>
      <c r="T411" s="2535">
        <v>0</v>
      </c>
      <c r="U411" s="2453"/>
      <c r="V411" s="2400">
        <v>0</v>
      </c>
      <c r="W411" s="2453"/>
      <c r="X411" s="2453"/>
      <c r="Y411" s="2452">
        <f t="shared" si="112"/>
        <v>0</v>
      </c>
      <c r="Z411" s="2400">
        <f t="shared" si="111"/>
        <v>0</v>
      </c>
      <c r="AA411" s="2452"/>
      <c r="AB411" s="2456"/>
      <c r="AC411" s="2453"/>
      <c r="AD411" s="2453"/>
      <c r="AE411" s="2726"/>
      <c r="AF411" s="2471"/>
      <c r="AG411" s="2471"/>
      <c r="AH411" s="2471"/>
      <c r="AI411" s="2471"/>
      <c r="AJ411" s="2471"/>
      <c r="AK411" s="2471"/>
      <c r="AL411" s="2471"/>
      <c r="AM411" s="2471"/>
      <c r="AN411" s="2471"/>
      <c r="AO411" s="2471"/>
      <c r="AP411" s="2471"/>
      <c r="AQ411" s="2471"/>
      <c r="AR411" s="2471"/>
      <c r="AS411" s="2471"/>
      <c r="AT411" s="2471"/>
      <c r="AU411" s="2471"/>
      <c r="AV411" s="2471"/>
      <c r="AW411" s="2471"/>
      <c r="AX411" s="2471"/>
      <c r="AY411" s="2471"/>
      <c r="AZ411" s="2471"/>
      <c r="BA411" s="2471"/>
      <c r="BB411" s="2471"/>
      <c r="BC411" s="2471"/>
      <c r="BD411" s="2471"/>
      <c r="BE411" s="2471"/>
      <c r="BF411" s="2471"/>
      <c r="BG411" s="2471"/>
      <c r="BH411" s="2471"/>
      <c r="BI411" s="2471"/>
      <c r="BJ411" s="2471"/>
      <c r="BK411" s="2471"/>
      <c r="BL411" s="2471"/>
      <c r="BM411" s="2471"/>
      <c r="BN411" s="2471"/>
      <c r="BO411" s="2471"/>
      <c r="BP411" s="2471"/>
      <c r="BQ411" s="2471"/>
      <c r="BR411" s="2471"/>
      <c r="BS411" s="2471"/>
      <c r="BT411" s="2471"/>
      <c r="BU411" s="2471"/>
      <c r="BV411" s="2471"/>
      <c r="BW411" s="2471"/>
      <c r="BX411" s="2471"/>
    </row>
    <row r="412" spans="1:76" s="2450" customFormat="1" ht="101.25" customHeight="1">
      <c r="A412" s="2465">
        <v>5</v>
      </c>
      <c r="B412" s="2465"/>
      <c r="C412" s="2352">
        <v>1</v>
      </c>
      <c r="D412" s="2352" t="s">
        <v>66</v>
      </c>
      <c r="E412" s="2352" t="s">
        <v>196</v>
      </c>
      <c r="F412" s="2352" t="s">
        <v>65</v>
      </c>
      <c r="G412" s="2352">
        <v>26</v>
      </c>
      <c r="H412" s="2873"/>
      <c r="I412" s="3156" t="s">
        <v>3166</v>
      </c>
      <c r="J412" s="3156" t="s">
        <v>3167</v>
      </c>
      <c r="K412" s="2466">
        <v>90</v>
      </c>
      <c r="L412" s="2467">
        <f>SUM(L413:L417)</f>
        <v>4855213000</v>
      </c>
      <c r="M412" s="2466">
        <f>SUM(M413:M417)</f>
        <v>12</v>
      </c>
      <c r="N412" s="2467">
        <f>SUM(N413:N417)</f>
        <v>68328500</v>
      </c>
      <c r="O412" s="2466">
        <f>SUM(O414:O422)</f>
        <v>100.15</v>
      </c>
      <c r="P412" s="2467">
        <f>SUM(P413:P417)</f>
        <v>859060000</v>
      </c>
      <c r="Q412" s="2466">
        <f>SUM(Q414:Q422)</f>
        <v>0</v>
      </c>
      <c r="R412" s="2467">
        <f>SUM(R413:R417)</f>
        <v>18402000</v>
      </c>
      <c r="S412" s="2847" t="s">
        <v>2034</v>
      </c>
      <c r="T412" s="2468">
        <f>SUM(T413:T417)</f>
        <v>132852800</v>
      </c>
      <c r="U412" s="2468"/>
      <c r="V412" s="2467">
        <f>SUM(V413:V417)</f>
        <v>52339800</v>
      </c>
      <c r="W412" s="2468"/>
      <c r="X412" s="2468"/>
      <c r="Y412" s="2466">
        <f t="shared" si="112"/>
        <v>0</v>
      </c>
      <c r="Z412" s="2467">
        <f t="shared" si="111"/>
        <v>203594600</v>
      </c>
      <c r="AA412" s="2466">
        <f>SUM(AA413:AA417)</f>
        <v>17</v>
      </c>
      <c r="AB412" s="2469">
        <f>SUM(AB413:AB417)</f>
        <v>271923100</v>
      </c>
      <c r="AC412" s="2468">
        <f>AA412/K412*100</f>
        <v>18.888888888888889</v>
      </c>
      <c r="AD412" s="2468">
        <f>AB412/L412*100</f>
        <v>5.6006420315648358</v>
      </c>
      <c r="AE412" s="2725"/>
      <c r="AF412" s="2471"/>
      <c r="AG412" s="2471"/>
      <c r="AH412" s="2471"/>
      <c r="AI412" s="2471"/>
      <c r="AJ412" s="2471"/>
      <c r="AK412" s="2471"/>
      <c r="AL412" s="2471"/>
      <c r="AM412" s="2471"/>
      <c r="AN412" s="2471"/>
      <c r="AO412" s="2471"/>
      <c r="AP412" s="2471"/>
      <c r="AQ412" s="2471"/>
      <c r="AR412" s="2471"/>
      <c r="AS412" s="2471"/>
      <c r="AT412" s="2471"/>
      <c r="AU412" s="2471"/>
      <c r="AV412" s="2471"/>
      <c r="AW412" s="2471"/>
      <c r="AX412" s="2471"/>
      <c r="AY412" s="2471"/>
      <c r="AZ412" s="2471"/>
      <c r="BA412" s="2471"/>
      <c r="BB412" s="2471"/>
      <c r="BC412" s="2471"/>
      <c r="BD412" s="2471"/>
      <c r="BE412" s="2471"/>
      <c r="BF412" s="2471"/>
      <c r="BG412" s="2471"/>
      <c r="BH412" s="2471"/>
      <c r="BI412" s="2471"/>
      <c r="BJ412" s="2471"/>
      <c r="BK412" s="2471"/>
      <c r="BL412" s="2471"/>
      <c r="BM412" s="2471"/>
      <c r="BN412" s="2471"/>
      <c r="BO412" s="2471"/>
      <c r="BP412" s="2471"/>
      <c r="BQ412" s="2471"/>
      <c r="BR412" s="2471"/>
      <c r="BS412" s="2471"/>
      <c r="BT412" s="2471"/>
      <c r="BU412" s="2471"/>
      <c r="BV412" s="2471"/>
      <c r="BW412" s="2471"/>
      <c r="BX412" s="2471"/>
    </row>
    <row r="413" spans="1:76" s="2450" customFormat="1" ht="76.5">
      <c r="A413" s="2470"/>
      <c r="B413" s="1703" t="s">
        <v>3168</v>
      </c>
      <c r="C413" s="3792">
        <v>1</v>
      </c>
      <c r="D413" s="3792" t="s">
        <v>66</v>
      </c>
      <c r="E413" s="3792" t="s">
        <v>196</v>
      </c>
      <c r="F413" s="3792" t="s">
        <v>65</v>
      </c>
      <c r="G413" s="3792">
        <v>26</v>
      </c>
      <c r="H413" s="1715" t="s">
        <v>198</v>
      </c>
      <c r="I413" s="1703" t="s">
        <v>2199</v>
      </c>
      <c r="J413" s="1703" t="s">
        <v>3733</v>
      </c>
      <c r="K413" s="2452">
        <v>24</v>
      </c>
      <c r="L413" s="2400">
        <v>260213000</v>
      </c>
      <c r="M413" s="2454">
        <v>8</v>
      </c>
      <c r="N413" s="2457">
        <v>31688000</v>
      </c>
      <c r="O413" s="2452">
        <v>4</v>
      </c>
      <c r="P413" s="2400">
        <v>50055000</v>
      </c>
      <c r="Q413" s="2454"/>
      <c r="R413" s="2400">
        <v>0</v>
      </c>
      <c r="S413" s="2455"/>
      <c r="T413" s="2400">
        <v>2087000</v>
      </c>
      <c r="U413" s="2453">
        <v>2</v>
      </c>
      <c r="V413" s="2400">
        <v>3822600</v>
      </c>
      <c r="W413" s="2453"/>
      <c r="X413" s="2453"/>
      <c r="Y413" s="2452">
        <f t="shared" si="112"/>
        <v>2</v>
      </c>
      <c r="Z413" s="2400">
        <f t="shared" si="111"/>
        <v>5909600</v>
      </c>
      <c r="AA413" s="2452">
        <f t="shared" ref="AA413:AB417" si="123">M413+Y413</f>
        <v>10</v>
      </c>
      <c r="AB413" s="2456">
        <f t="shared" si="123"/>
        <v>37597600</v>
      </c>
      <c r="AC413" s="2453">
        <f t="shared" ref="AC413:AD417" si="124">AA413/K413*100</f>
        <v>41.666666666666671</v>
      </c>
      <c r="AD413" s="2453">
        <f t="shared" si="124"/>
        <v>14.448778500689819</v>
      </c>
      <c r="AE413" s="2726"/>
      <c r="AF413" s="2471"/>
      <c r="AG413" s="2471"/>
      <c r="AH413" s="2471"/>
      <c r="AI413" s="2471"/>
      <c r="AJ413" s="2471"/>
      <c r="AK413" s="2471"/>
      <c r="AL413" s="2471"/>
      <c r="AM413" s="2471"/>
      <c r="AN413" s="2471"/>
      <c r="AO413" s="2471"/>
      <c r="AP413" s="2471"/>
      <c r="AQ413" s="2471"/>
      <c r="AR413" s="2471"/>
      <c r="AS413" s="2471"/>
      <c r="AT413" s="2471"/>
      <c r="AU413" s="2471"/>
      <c r="AV413" s="2471"/>
      <c r="AW413" s="2471"/>
      <c r="AX413" s="2471"/>
      <c r="AY413" s="2471"/>
      <c r="AZ413" s="2471"/>
      <c r="BA413" s="2471"/>
      <c r="BB413" s="2471"/>
      <c r="BC413" s="2471"/>
      <c r="BD413" s="2471"/>
      <c r="BE413" s="2471"/>
      <c r="BF413" s="2471"/>
      <c r="BG413" s="2471"/>
      <c r="BH413" s="2471"/>
      <c r="BI413" s="2471"/>
      <c r="BJ413" s="2471"/>
      <c r="BK413" s="2471"/>
      <c r="BL413" s="2471"/>
      <c r="BM413" s="2471"/>
      <c r="BN413" s="2471"/>
      <c r="BO413" s="2471"/>
      <c r="BP413" s="2471"/>
      <c r="BQ413" s="2471"/>
      <c r="BR413" s="2471"/>
      <c r="BS413" s="2471"/>
      <c r="BT413" s="2471"/>
      <c r="BU413" s="2471"/>
      <c r="BV413" s="2471"/>
      <c r="BW413" s="2471"/>
      <c r="BX413" s="2471"/>
    </row>
    <row r="414" spans="1:76" s="2450" customFormat="1" ht="63" customHeight="1">
      <c r="A414" s="2470"/>
      <c r="B414" s="1703" t="s">
        <v>3168</v>
      </c>
      <c r="C414" s="3792">
        <v>1</v>
      </c>
      <c r="D414" s="3792" t="s">
        <v>66</v>
      </c>
      <c r="E414" s="3792" t="s">
        <v>196</v>
      </c>
      <c r="F414" s="3792" t="s">
        <v>65</v>
      </c>
      <c r="G414" s="3792">
        <v>26</v>
      </c>
      <c r="H414" s="1715" t="s">
        <v>93</v>
      </c>
      <c r="I414" s="1703" t="s">
        <v>3169</v>
      </c>
      <c r="J414" s="1703" t="s">
        <v>3639</v>
      </c>
      <c r="K414" s="2452">
        <v>48</v>
      </c>
      <c r="L414" s="2400">
        <v>2850000000</v>
      </c>
      <c r="M414" s="2454">
        <f>2</f>
        <v>2</v>
      </c>
      <c r="N414" s="2457"/>
      <c r="O414" s="2452">
        <v>1</v>
      </c>
      <c r="P414" s="2400">
        <v>0</v>
      </c>
      <c r="Q414" s="2454"/>
      <c r="R414" s="2400">
        <v>0</v>
      </c>
      <c r="S414" s="2455"/>
      <c r="T414" s="2455"/>
      <c r="U414" s="2453"/>
      <c r="V414" s="2400"/>
      <c r="W414" s="2453"/>
      <c r="X414" s="2453"/>
      <c r="Y414" s="2452">
        <f t="shared" si="112"/>
        <v>0</v>
      </c>
      <c r="Z414" s="2400">
        <f t="shared" si="111"/>
        <v>0</v>
      </c>
      <c r="AA414" s="2452">
        <f t="shared" si="123"/>
        <v>2</v>
      </c>
      <c r="AB414" s="2456">
        <f t="shared" si="123"/>
        <v>0</v>
      </c>
      <c r="AC414" s="2453">
        <f t="shared" si="124"/>
        <v>4.1666666666666661</v>
      </c>
      <c r="AD414" s="2453">
        <f t="shared" si="124"/>
        <v>0</v>
      </c>
      <c r="AE414" s="2726"/>
      <c r="AF414" s="2471"/>
      <c r="AG414" s="2471"/>
      <c r="AH414" s="2471"/>
      <c r="AI414" s="2471"/>
      <c r="AJ414" s="2471"/>
      <c r="AK414" s="2471"/>
      <c r="AL414" s="2471"/>
      <c r="AM414" s="2471"/>
      <c r="AN414" s="2471"/>
      <c r="AO414" s="2471"/>
      <c r="AP414" s="2471"/>
      <c r="AQ414" s="2471"/>
      <c r="AR414" s="2471"/>
      <c r="AS414" s="2471"/>
      <c r="AT414" s="2471"/>
      <c r="AU414" s="2471"/>
      <c r="AV414" s="2471"/>
      <c r="AW414" s="2471"/>
      <c r="AX414" s="2471"/>
      <c r="AY414" s="2471"/>
      <c r="AZ414" s="2471"/>
      <c r="BA414" s="2471"/>
      <c r="BB414" s="2471"/>
      <c r="BC414" s="2471"/>
      <c r="BD414" s="2471"/>
      <c r="BE414" s="2471"/>
      <c r="BF414" s="2471"/>
      <c r="BG414" s="2471"/>
      <c r="BH414" s="2471"/>
      <c r="BI414" s="2471"/>
      <c r="BJ414" s="2471"/>
      <c r="BK414" s="2471"/>
      <c r="BL414" s="2471"/>
      <c r="BM414" s="2471"/>
      <c r="BN414" s="2471"/>
      <c r="BO414" s="2471"/>
      <c r="BP414" s="2471"/>
      <c r="BQ414" s="2471"/>
      <c r="BR414" s="2471"/>
      <c r="BS414" s="2471"/>
      <c r="BT414" s="2471"/>
      <c r="BU414" s="2471"/>
      <c r="BV414" s="2471"/>
      <c r="BW414" s="2471"/>
      <c r="BX414" s="2471"/>
    </row>
    <row r="415" spans="1:76" s="2450" customFormat="1" ht="61.5" customHeight="1">
      <c r="A415" s="2470"/>
      <c r="B415" s="1703" t="s">
        <v>3168</v>
      </c>
      <c r="C415" s="3792">
        <v>1</v>
      </c>
      <c r="D415" s="3792" t="s">
        <v>66</v>
      </c>
      <c r="E415" s="3792" t="s">
        <v>196</v>
      </c>
      <c r="F415" s="3792" t="s">
        <v>65</v>
      </c>
      <c r="G415" s="3792">
        <v>26</v>
      </c>
      <c r="H415" s="1715" t="s">
        <v>201</v>
      </c>
      <c r="I415" s="1703" t="s">
        <v>3701</v>
      </c>
      <c r="J415" s="1703" t="s">
        <v>3638</v>
      </c>
      <c r="K415" s="2452">
        <v>10</v>
      </c>
      <c r="L415" s="2400">
        <v>675000000</v>
      </c>
      <c r="M415" s="2454">
        <f>1</f>
        <v>1</v>
      </c>
      <c r="N415" s="2457"/>
      <c r="O415" s="2452">
        <v>4</v>
      </c>
      <c r="P415" s="2400">
        <v>664525000</v>
      </c>
      <c r="Q415" s="2454"/>
      <c r="R415" s="2400">
        <v>1202000</v>
      </c>
      <c r="S415" s="2455"/>
      <c r="T415" s="2400">
        <v>116969800</v>
      </c>
      <c r="U415" s="2453">
        <v>2</v>
      </c>
      <c r="V415" s="2400">
        <v>7760200</v>
      </c>
      <c r="W415" s="2453"/>
      <c r="X415" s="2453"/>
      <c r="Y415" s="2452">
        <f t="shared" si="112"/>
        <v>2</v>
      </c>
      <c r="Z415" s="2400">
        <f t="shared" si="111"/>
        <v>125932000</v>
      </c>
      <c r="AA415" s="2452">
        <f t="shared" si="123"/>
        <v>3</v>
      </c>
      <c r="AB415" s="2456">
        <f t="shared" si="123"/>
        <v>125932000</v>
      </c>
      <c r="AC415" s="2453">
        <f t="shared" si="124"/>
        <v>30</v>
      </c>
      <c r="AD415" s="2453">
        <f t="shared" si="124"/>
        <v>18.656592592592592</v>
      </c>
      <c r="AE415" s="2726"/>
      <c r="AF415" s="2471"/>
      <c r="AG415" s="2471"/>
      <c r="AH415" s="2471"/>
      <c r="AI415" s="2471"/>
      <c r="AJ415" s="2471"/>
      <c r="AK415" s="2471"/>
      <c r="AL415" s="2471"/>
      <c r="AM415" s="2471"/>
      <c r="AN415" s="2471"/>
      <c r="AO415" s="2471"/>
      <c r="AP415" s="2471"/>
      <c r="AQ415" s="2471"/>
      <c r="AR415" s="2471"/>
      <c r="AS415" s="2471"/>
      <c r="AT415" s="2471"/>
      <c r="AU415" s="2471"/>
      <c r="AV415" s="2471"/>
      <c r="AW415" s="2471"/>
      <c r="AX415" s="2471"/>
      <c r="AY415" s="2471"/>
      <c r="AZ415" s="2471"/>
      <c r="BA415" s="2471"/>
      <c r="BB415" s="2471"/>
      <c r="BC415" s="2471"/>
      <c r="BD415" s="2471"/>
      <c r="BE415" s="2471"/>
      <c r="BF415" s="2471"/>
      <c r="BG415" s="2471"/>
      <c r="BH415" s="2471"/>
      <c r="BI415" s="2471"/>
      <c r="BJ415" s="2471"/>
      <c r="BK415" s="2471"/>
      <c r="BL415" s="2471"/>
      <c r="BM415" s="2471"/>
      <c r="BN415" s="2471"/>
      <c r="BO415" s="2471"/>
      <c r="BP415" s="2471"/>
      <c r="BQ415" s="2471"/>
      <c r="BR415" s="2471"/>
      <c r="BS415" s="2471"/>
      <c r="BT415" s="2471"/>
      <c r="BU415" s="2471"/>
      <c r="BV415" s="2471"/>
      <c r="BW415" s="2471"/>
      <c r="BX415" s="2471"/>
    </row>
    <row r="416" spans="1:76" s="2450" customFormat="1" ht="69" customHeight="1">
      <c r="A416" s="2470"/>
      <c r="B416" s="1703" t="s">
        <v>3168</v>
      </c>
      <c r="C416" s="3792">
        <v>1</v>
      </c>
      <c r="D416" s="3792" t="s">
        <v>66</v>
      </c>
      <c r="E416" s="3792" t="s">
        <v>196</v>
      </c>
      <c r="F416" s="3792" t="s">
        <v>65</v>
      </c>
      <c r="G416" s="3792">
        <v>26</v>
      </c>
      <c r="H416" s="1715">
        <v>18</v>
      </c>
      <c r="I416" s="1703" t="s">
        <v>3170</v>
      </c>
      <c r="J416" s="1703" t="s">
        <v>3636</v>
      </c>
      <c r="K416" s="2452">
        <v>4</v>
      </c>
      <c r="L416" s="2400">
        <v>600000000</v>
      </c>
      <c r="M416" s="2454">
        <f>1</f>
        <v>1</v>
      </c>
      <c r="N416" s="2457">
        <v>36640500</v>
      </c>
      <c r="O416" s="2452">
        <v>1</v>
      </c>
      <c r="P416" s="2400">
        <v>93680000</v>
      </c>
      <c r="Q416" s="2454"/>
      <c r="R416" s="2400">
        <v>17200000</v>
      </c>
      <c r="S416" s="2453"/>
      <c r="T416" s="2400">
        <v>13796000</v>
      </c>
      <c r="U416" s="2453">
        <v>1</v>
      </c>
      <c r="V416" s="2400">
        <v>40757000</v>
      </c>
      <c r="W416" s="2453"/>
      <c r="X416" s="2453"/>
      <c r="Y416" s="2452">
        <f t="shared" si="112"/>
        <v>1</v>
      </c>
      <c r="Z416" s="2400">
        <f t="shared" si="111"/>
        <v>71753000</v>
      </c>
      <c r="AA416" s="2452">
        <f t="shared" si="123"/>
        <v>2</v>
      </c>
      <c r="AB416" s="2456">
        <f t="shared" si="123"/>
        <v>108393500</v>
      </c>
      <c r="AC416" s="2453">
        <f t="shared" si="124"/>
        <v>50</v>
      </c>
      <c r="AD416" s="2453">
        <f t="shared" si="124"/>
        <v>18.065583333333333</v>
      </c>
      <c r="AE416" s="2726"/>
      <c r="AF416" s="2471"/>
      <c r="AG416" s="2471"/>
      <c r="AH416" s="2471"/>
      <c r="AI416" s="2471"/>
      <c r="AJ416" s="2471"/>
      <c r="AK416" s="2471"/>
      <c r="AL416" s="2471"/>
      <c r="AM416" s="2471"/>
      <c r="AN416" s="2471"/>
      <c r="AO416" s="2471"/>
      <c r="AP416" s="2471"/>
      <c r="AQ416" s="2471"/>
      <c r="AR416" s="2471"/>
      <c r="AS416" s="2471"/>
      <c r="AT416" s="2471"/>
      <c r="AU416" s="2471"/>
      <c r="AV416" s="2471"/>
      <c r="AW416" s="2471"/>
      <c r="AX416" s="2471"/>
      <c r="AY416" s="2471"/>
      <c r="AZ416" s="2471"/>
      <c r="BA416" s="2471"/>
      <c r="BB416" s="2471"/>
      <c r="BC416" s="2471"/>
      <c r="BD416" s="2471"/>
      <c r="BE416" s="2471"/>
      <c r="BF416" s="2471"/>
      <c r="BG416" s="2471"/>
      <c r="BH416" s="2471"/>
      <c r="BI416" s="2471"/>
      <c r="BJ416" s="2471"/>
      <c r="BK416" s="2471"/>
      <c r="BL416" s="2471"/>
      <c r="BM416" s="2471"/>
      <c r="BN416" s="2471"/>
      <c r="BO416" s="2471"/>
      <c r="BP416" s="2471"/>
      <c r="BQ416" s="2471"/>
      <c r="BR416" s="2471"/>
      <c r="BS416" s="2471"/>
      <c r="BT416" s="2471"/>
      <c r="BU416" s="2471"/>
      <c r="BV416" s="2471"/>
      <c r="BW416" s="2471"/>
      <c r="BX416" s="2471"/>
    </row>
    <row r="417" spans="1:76" s="2450" customFormat="1" ht="69" customHeight="1">
      <c r="A417" s="2470"/>
      <c r="B417" s="1703" t="s">
        <v>3168</v>
      </c>
      <c r="C417" s="3792">
        <v>1</v>
      </c>
      <c r="D417" s="3792" t="s">
        <v>66</v>
      </c>
      <c r="E417" s="3792" t="s">
        <v>196</v>
      </c>
      <c r="F417" s="3792" t="s">
        <v>65</v>
      </c>
      <c r="G417" s="3792">
        <v>26</v>
      </c>
      <c r="H417" s="1715"/>
      <c r="I417" s="1703" t="s">
        <v>3171</v>
      </c>
      <c r="J417" s="1703" t="s">
        <v>3734</v>
      </c>
      <c r="K417" s="2452">
        <v>4</v>
      </c>
      <c r="L417" s="2400">
        <v>470000000</v>
      </c>
      <c r="M417" s="2454"/>
      <c r="N417" s="2457"/>
      <c r="O417" s="2452">
        <v>1</v>
      </c>
      <c r="P417" s="2400">
        <v>50800000</v>
      </c>
      <c r="Q417" s="2454"/>
      <c r="R417" s="2400">
        <v>0</v>
      </c>
      <c r="S417" s="2453"/>
      <c r="T417" s="2453"/>
      <c r="U417" s="2453"/>
      <c r="V417" s="2400"/>
      <c r="W417" s="2453"/>
      <c r="X417" s="2453"/>
      <c r="Y417" s="2452">
        <f t="shared" si="112"/>
        <v>0</v>
      </c>
      <c r="Z417" s="2400">
        <f t="shared" si="111"/>
        <v>0</v>
      </c>
      <c r="AA417" s="2452">
        <f t="shared" si="123"/>
        <v>0</v>
      </c>
      <c r="AB417" s="2456">
        <f t="shared" si="123"/>
        <v>0</v>
      </c>
      <c r="AC417" s="2453">
        <f t="shared" si="124"/>
        <v>0</v>
      </c>
      <c r="AD417" s="2453">
        <f t="shared" si="124"/>
        <v>0</v>
      </c>
      <c r="AE417" s="2726"/>
      <c r="AF417" s="2471"/>
      <c r="AG417" s="2471"/>
      <c r="AH417" s="2471"/>
      <c r="AI417" s="2471"/>
      <c r="AJ417" s="2471"/>
      <c r="AK417" s="2471"/>
      <c r="AL417" s="2471"/>
      <c r="AM417" s="2471"/>
      <c r="AN417" s="2471"/>
      <c r="AO417" s="2471"/>
      <c r="AP417" s="2471"/>
      <c r="AQ417" s="2471"/>
      <c r="AR417" s="2471"/>
      <c r="AS417" s="2471"/>
      <c r="AT417" s="2471"/>
      <c r="AU417" s="2471"/>
      <c r="AV417" s="2471"/>
      <c r="AW417" s="2471"/>
      <c r="AX417" s="2471"/>
      <c r="AY417" s="2471"/>
      <c r="AZ417" s="2471"/>
      <c r="BA417" s="2471"/>
      <c r="BB417" s="2471"/>
      <c r="BC417" s="2471"/>
      <c r="BD417" s="2471"/>
      <c r="BE417" s="2471"/>
      <c r="BF417" s="2471"/>
      <c r="BG417" s="2471"/>
      <c r="BH417" s="2471"/>
      <c r="BI417" s="2471"/>
      <c r="BJ417" s="2471"/>
      <c r="BK417" s="2471"/>
      <c r="BL417" s="2471"/>
      <c r="BM417" s="2471"/>
      <c r="BN417" s="2471"/>
      <c r="BO417" s="2471"/>
      <c r="BP417" s="2471"/>
      <c r="BQ417" s="2471"/>
      <c r="BR417" s="2471"/>
      <c r="BS417" s="2471"/>
      <c r="BT417" s="2471"/>
      <c r="BU417" s="2471"/>
      <c r="BV417" s="2471"/>
      <c r="BW417" s="2471"/>
      <c r="BX417" s="2471"/>
    </row>
    <row r="418" spans="1:76" s="2458" customFormat="1" ht="65.25" customHeight="1">
      <c r="A418" s="2465">
        <v>6</v>
      </c>
      <c r="B418" s="2465"/>
      <c r="C418" s="2352">
        <v>1</v>
      </c>
      <c r="D418" s="2352" t="s">
        <v>66</v>
      </c>
      <c r="E418" s="2352" t="s">
        <v>196</v>
      </c>
      <c r="F418" s="2352" t="s">
        <v>65</v>
      </c>
      <c r="G418" s="2352">
        <v>28</v>
      </c>
      <c r="H418" s="2873"/>
      <c r="I418" s="3156" t="s">
        <v>3172</v>
      </c>
      <c r="J418" s="3156" t="s">
        <v>3637</v>
      </c>
      <c r="K418" s="2466">
        <v>459.26</v>
      </c>
      <c r="L418" s="2467">
        <f>SUM(L419:L422)</f>
        <v>29650000000</v>
      </c>
      <c r="M418" s="2466">
        <v>200</v>
      </c>
      <c r="N418" s="2467">
        <f>SUM(N419:N422)</f>
        <v>12571396150</v>
      </c>
      <c r="O418" s="2466">
        <v>72.150000000000006</v>
      </c>
      <c r="P418" s="2467">
        <f>SUM(P419:P422)</f>
        <v>6977127500</v>
      </c>
      <c r="Q418" s="2466">
        <f>SUM(Q420:Q422)</f>
        <v>0</v>
      </c>
      <c r="R418" s="2467">
        <f>SUM(R419:R422)</f>
        <v>79745050</v>
      </c>
      <c r="S418" s="2468">
        <f>0.25*O418</f>
        <v>18.037500000000001</v>
      </c>
      <c r="T418" s="2467">
        <f>SUM(T419:T422)</f>
        <v>1690820375</v>
      </c>
      <c r="U418" s="2468"/>
      <c r="V418" s="2467">
        <f>SUM(V419:V422)</f>
        <v>2743352200</v>
      </c>
      <c r="W418" s="2468"/>
      <c r="X418" s="2468"/>
      <c r="Y418" s="2466">
        <f t="shared" si="112"/>
        <v>18.037500000000001</v>
      </c>
      <c r="Z418" s="2467">
        <f t="shared" si="111"/>
        <v>4513917625</v>
      </c>
      <c r="AA418" s="2466">
        <f>SUM(AA419:AA422)</f>
        <v>39</v>
      </c>
      <c r="AB418" s="2469">
        <f>SUM(AB419:AB422)</f>
        <v>17085313775</v>
      </c>
      <c r="AC418" s="2468">
        <f>(AA418/K418)*100</f>
        <v>8.4919217872229247</v>
      </c>
      <c r="AD418" s="2468">
        <f>(AB418/L418)*100</f>
        <v>57.623317959527817</v>
      </c>
      <c r="AE418" s="2725" t="s">
        <v>3226</v>
      </c>
      <c r="AF418" s="2471"/>
      <c r="AG418" s="2471"/>
      <c r="AH418" s="2471"/>
      <c r="AI418" s="2471"/>
      <c r="AJ418" s="2471"/>
      <c r="AK418" s="2471"/>
      <c r="AL418" s="2471"/>
      <c r="AM418" s="2471"/>
      <c r="AN418" s="2471"/>
      <c r="AO418" s="2471"/>
      <c r="AP418" s="2471"/>
      <c r="AQ418" s="2471"/>
      <c r="AR418" s="2471"/>
      <c r="AS418" s="2471"/>
      <c r="AT418" s="2471"/>
      <c r="AU418" s="2471"/>
      <c r="AV418" s="2471"/>
      <c r="AW418" s="2471"/>
      <c r="AX418" s="2471"/>
      <c r="AY418" s="2471"/>
      <c r="AZ418" s="2471"/>
      <c r="BA418" s="2471"/>
      <c r="BB418" s="2471"/>
      <c r="BC418" s="2471"/>
      <c r="BD418" s="2471"/>
      <c r="BE418" s="2471"/>
      <c r="BF418" s="2471"/>
      <c r="BG418" s="2471"/>
      <c r="BH418" s="2471"/>
      <c r="BI418" s="2471"/>
      <c r="BJ418" s="2471"/>
      <c r="BK418" s="2471"/>
      <c r="BL418" s="2471"/>
      <c r="BM418" s="2471"/>
      <c r="BN418" s="2471"/>
      <c r="BO418" s="2471"/>
      <c r="BP418" s="2471"/>
      <c r="BQ418" s="2471"/>
      <c r="BR418" s="2471"/>
      <c r="BS418" s="2471"/>
      <c r="BT418" s="2471"/>
      <c r="BU418" s="2471"/>
      <c r="BV418" s="2471"/>
      <c r="BW418" s="2471"/>
      <c r="BX418" s="2471"/>
    </row>
    <row r="419" spans="1:76" s="2458" customFormat="1" ht="87.75" customHeight="1">
      <c r="A419" s="2459"/>
      <c r="B419" s="2459"/>
      <c r="C419" s="1381">
        <v>1</v>
      </c>
      <c r="D419" s="1381" t="s">
        <v>66</v>
      </c>
      <c r="E419" s="1381" t="s">
        <v>196</v>
      </c>
      <c r="F419" s="1381" t="s">
        <v>65</v>
      </c>
      <c r="G419" s="1381">
        <v>28</v>
      </c>
      <c r="H419" s="1381" t="s">
        <v>196</v>
      </c>
      <c r="I419" s="2460" t="s">
        <v>3173</v>
      </c>
      <c r="J419" s="2461" t="s">
        <v>3640</v>
      </c>
      <c r="K419" s="2462">
        <v>40</v>
      </c>
      <c r="L419" s="2463">
        <v>15850000000</v>
      </c>
      <c r="M419" s="2462">
        <v>16</v>
      </c>
      <c r="N419" s="2403">
        <v>8036676450</v>
      </c>
      <c r="O419" s="2462">
        <v>8</v>
      </c>
      <c r="P419" s="2463">
        <v>4413141000</v>
      </c>
      <c r="Q419" s="2462">
        <v>0</v>
      </c>
      <c r="R419" s="2463">
        <v>52230250</v>
      </c>
      <c r="S419" s="2463">
        <v>3</v>
      </c>
      <c r="T419" s="2463">
        <v>1493110300</v>
      </c>
      <c r="U419" s="2464"/>
      <c r="V419" s="2463">
        <v>1774710800</v>
      </c>
      <c r="W419" s="2464"/>
      <c r="X419" s="2464"/>
      <c r="Y419" s="2452">
        <f t="shared" si="112"/>
        <v>3</v>
      </c>
      <c r="Z419" s="2400">
        <f t="shared" si="111"/>
        <v>3320051350</v>
      </c>
      <c r="AA419" s="2452">
        <f t="shared" ref="AA419:AB422" si="125">M419+Y419</f>
        <v>19</v>
      </c>
      <c r="AB419" s="2456">
        <f t="shared" si="125"/>
        <v>11356727800</v>
      </c>
      <c r="AC419" s="2453">
        <f t="shared" ref="AC419:AD422" si="126">AA419/K419*100</f>
        <v>47.5</v>
      </c>
      <c r="AD419" s="2453">
        <f t="shared" si="126"/>
        <v>71.651279495268142</v>
      </c>
      <c r="AE419" s="2727"/>
      <c r="AF419" s="2471"/>
      <c r="AG419" s="2471"/>
      <c r="AH419" s="2471"/>
      <c r="AI419" s="2471"/>
      <c r="AJ419" s="2471"/>
      <c r="AK419" s="2471"/>
      <c r="AL419" s="2471"/>
      <c r="AM419" s="2471"/>
      <c r="AN419" s="2471"/>
      <c r="AO419" s="2471"/>
      <c r="AP419" s="2471"/>
      <c r="AQ419" s="2471"/>
      <c r="AR419" s="2471"/>
      <c r="AS419" s="2471"/>
      <c r="AT419" s="2471"/>
      <c r="AU419" s="2471"/>
      <c r="AV419" s="2471"/>
      <c r="AW419" s="2471"/>
      <c r="AX419" s="2471"/>
      <c r="AY419" s="2471"/>
      <c r="AZ419" s="2471"/>
      <c r="BA419" s="2471"/>
      <c r="BB419" s="2471"/>
      <c r="BC419" s="2471"/>
      <c r="BD419" s="2471"/>
      <c r="BE419" s="2471"/>
      <c r="BF419" s="2471"/>
      <c r="BG419" s="2471"/>
      <c r="BH419" s="2471"/>
      <c r="BI419" s="2471"/>
      <c r="BJ419" s="2471"/>
      <c r="BK419" s="2471"/>
      <c r="BL419" s="2471"/>
      <c r="BM419" s="2471"/>
      <c r="BN419" s="2471"/>
      <c r="BO419" s="2471"/>
      <c r="BP419" s="2471"/>
      <c r="BQ419" s="2471"/>
      <c r="BR419" s="2471"/>
      <c r="BS419" s="2471"/>
      <c r="BT419" s="2471"/>
      <c r="BU419" s="2471"/>
      <c r="BV419" s="2471"/>
      <c r="BW419" s="2471"/>
      <c r="BX419" s="2471"/>
    </row>
    <row r="420" spans="1:76" s="2458" customFormat="1" ht="63.75" customHeight="1">
      <c r="A420" s="2459"/>
      <c r="B420" s="2459"/>
      <c r="C420" s="1381">
        <v>1</v>
      </c>
      <c r="D420" s="1381" t="s">
        <v>66</v>
      </c>
      <c r="E420" s="1381" t="s">
        <v>196</v>
      </c>
      <c r="F420" s="1381" t="s">
        <v>65</v>
      </c>
      <c r="G420" s="1381">
        <v>28</v>
      </c>
      <c r="H420" s="1381" t="s">
        <v>95</v>
      </c>
      <c r="I420" s="2460" t="s">
        <v>3174</v>
      </c>
      <c r="J420" s="2461" t="s">
        <v>3642</v>
      </c>
      <c r="K420" s="2462">
        <v>46</v>
      </c>
      <c r="L420" s="2463">
        <f>4*2800000000</f>
        <v>11200000000</v>
      </c>
      <c r="M420" s="2462">
        <v>16</v>
      </c>
      <c r="N420" s="2403">
        <f>'[3]KEU '!$J$131</f>
        <v>4449081050</v>
      </c>
      <c r="O420" s="2462">
        <v>8</v>
      </c>
      <c r="P420" s="2463">
        <v>2300000000</v>
      </c>
      <c r="Q420" s="2462">
        <v>0</v>
      </c>
      <c r="R420" s="2463"/>
      <c r="S420" s="2464">
        <v>0</v>
      </c>
      <c r="T420" s="2463">
        <v>52877000</v>
      </c>
      <c r="U420" s="2464"/>
      <c r="V420" s="2463">
        <v>895752400</v>
      </c>
      <c r="W420" s="2464"/>
      <c r="X420" s="2464"/>
      <c r="Y420" s="2452">
        <f t="shared" si="112"/>
        <v>0</v>
      </c>
      <c r="Z420" s="2400">
        <f>T420+V420</f>
        <v>948629400</v>
      </c>
      <c r="AA420" s="2452">
        <f t="shared" si="125"/>
        <v>16</v>
      </c>
      <c r="AB420" s="2456">
        <f t="shared" si="125"/>
        <v>5397710450</v>
      </c>
      <c r="AC420" s="2453">
        <f t="shared" si="126"/>
        <v>34.782608695652172</v>
      </c>
      <c r="AD420" s="2453">
        <f t="shared" si="126"/>
        <v>48.193843303571427</v>
      </c>
      <c r="AE420" s="2727"/>
      <c r="AF420" s="2471"/>
      <c r="AG420" s="2471"/>
      <c r="AH420" s="2471"/>
      <c r="AI420" s="2471"/>
      <c r="AJ420" s="2471"/>
      <c r="AK420" s="2471"/>
      <c r="AL420" s="2471"/>
      <c r="AM420" s="2471"/>
      <c r="AN420" s="2471"/>
      <c r="AO420" s="2471"/>
      <c r="AP420" s="2471"/>
      <c r="AQ420" s="2471"/>
      <c r="AR420" s="2471"/>
      <c r="AS420" s="2471"/>
      <c r="AT420" s="2471"/>
      <c r="AU420" s="2471"/>
      <c r="AV420" s="2471"/>
      <c r="AW420" s="2471"/>
      <c r="AX420" s="2471"/>
      <c r="AY420" s="2471"/>
      <c r="AZ420" s="2471"/>
      <c r="BA420" s="2471"/>
      <c r="BB420" s="2471"/>
      <c r="BC420" s="2471"/>
      <c r="BD420" s="2471"/>
      <c r="BE420" s="2471"/>
      <c r="BF420" s="2471"/>
      <c r="BG420" s="2471"/>
      <c r="BH420" s="2471"/>
      <c r="BI420" s="2471"/>
      <c r="BJ420" s="2471"/>
      <c r="BK420" s="2471"/>
      <c r="BL420" s="2471"/>
      <c r="BM420" s="2471"/>
      <c r="BN420" s="2471"/>
      <c r="BO420" s="2471"/>
      <c r="BP420" s="2471"/>
      <c r="BQ420" s="2471"/>
      <c r="BR420" s="2471"/>
      <c r="BS420" s="2471"/>
      <c r="BT420" s="2471"/>
      <c r="BU420" s="2471"/>
      <c r="BV420" s="2471"/>
      <c r="BW420" s="2471"/>
      <c r="BX420" s="2471"/>
    </row>
    <row r="421" spans="1:76" s="2458" customFormat="1" ht="63" customHeight="1">
      <c r="A421" s="2459"/>
      <c r="B421" s="2459"/>
      <c r="C421" s="1381">
        <v>1</v>
      </c>
      <c r="D421" s="1381" t="s">
        <v>66</v>
      </c>
      <c r="E421" s="1381" t="s">
        <v>196</v>
      </c>
      <c r="F421" s="1381" t="s">
        <v>65</v>
      </c>
      <c r="G421" s="1381">
        <v>28</v>
      </c>
      <c r="H421" s="1381" t="s">
        <v>198</v>
      </c>
      <c r="I421" s="2460" t="s">
        <v>3175</v>
      </c>
      <c r="J421" s="2461" t="s">
        <v>3643</v>
      </c>
      <c r="K421" s="2462">
        <v>30</v>
      </c>
      <c r="L421" s="2463">
        <v>2000000000</v>
      </c>
      <c r="M421" s="2462">
        <v>0</v>
      </c>
      <c r="N421" s="2403">
        <v>0</v>
      </c>
      <c r="O421" s="2462">
        <v>4</v>
      </c>
      <c r="P421" s="2463">
        <v>175286500</v>
      </c>
      <c r="Q421" s="2462"/>
      <c r="R421" s="2463"/>
      <c r="S421" s="2464">
        <v>3</v>
      </c>
      <c r="T421" s="2463">
        <v>120593875</v>
      </c>
      <c r="U421" s="2464"/>
      <c r="V421" s="2463">
        <v>52244000</v>
      </c>
      <c r="W421" s="2464"/>
      <c r="X421" s="2464"/>
      <c r="Y421" s="2452">
        <f t="shared" si="112"/>
        <v>3</v>
      </c>
      <c r="Z421" s="2400">
        <f t="shared" si="111"/>
        <v>172837875</v>
      </c>
      <c r="AA421" s="2452">
        <f t="shared" si="125"/>
        <v>3</v>
      </c>
      <c r="AB421" s="2456">
        <f t="shared" si="125"/>
        <v>172837875</v>
      </c>
      <c r="AC421" s="2453">
        <f t="shared" si="126"/>
        <v>10</v>
      </c>
      <c r="AD421" s="2453">
        <f t="shared" si="126"/>
        <v>8.6418937499999995</v>
      </c>
      <c r="AE421" s="2727"/>
      <c r="AF421" s="2471"/>
      <c r="AG421" s="2471"/>
      <c r="AH421" s="2471"/>
      <c r="AI421" s="2471"/>
      <c r="AJ421" s="2471"/>
      <c r="AK421" s="2471"/>
      <c r="AL421" s="2471"/>
      <c r="AM421" s="2471"/>
      <c r="AN421" s="2471"/>
      <c r="AO421" s="2471"/>
      <c r="AP421" s="2471"/>
      <c r="AQ421" s="2471"/>
      <c r="AR421" s="2471"/>
      <c r="AS421" s="2471"/>
      <c r="AT421" s="2471"/>
      <c r="AU421" s="2471"/>
      <c r="AV421" s="2471"/>
      <c r="AW421" s="2471"/>
      <c r="AX421" s="2471"/>
      <c r="AY421" s="2471"/>
      <c r="AZ421" s="2471"/>
      <c r="BA421" s="2471"/>
      <c r="BB421" s="2471"/>
      <c r="BC421" s="2471"/>
      <c r="BD421" s="2471"/>
      <c r="BE421" s="2471"/>
      <c r="BF421" s="2471"/>
      <c r="BG421" s="2471"/>
      <c r="BH421" s="2471"/>
      <c r="BI421" s="2471"/>
      <c r="BJ421" s="2471"/>
      <c r="BK421" s="2471"/>
      <c r="BL421" s="2471"/>
      <c r="BM421" s="2471"/>
      <c r="BN421" s="2471"/>
      <c r="BO421" s="2471"/>
      <c r="BP421" s="2471"/>
      <c r="BQ421" s="2471"/>
      <c r="BR421" s="2471"/>
      <c r="BS421" s="2471"/>
      <c r="BT421" s="2471"/>
      <c r="BU421" s="2471"/>
      <c r="BV421" s="2471"/>
      <c r="BW421" s="2471"/>
      <c r="BX421" s="2471"/>
    </row>
    <row r="422" spans="1:76" s="2458" customFormat="1" ht="65.25" customHeight="1">
      <c r="A422" s="2459"/>
      <c r="B422" s="2459"/>
      <c r="C422" s="1381">
        <v>1</v>
      </c>
      <c r="D422" s="1381" t="s">
        <v>66</v>
      </c>
      <c r="E422" s="1381" t="s">
        <v>196</v>
      </c>
      <c r="F422" s="1381" t="s">
        <v>65</v>
      </c>
      <c r="G422" s="1381">
        <v>28</v>
      </c>
      <c r="H422" s="1381">
        <v>13</v>
      </c>
      <c r="I422" s="2461" t="s">
        <v>3176</v>
      </c>
      <c r="J422" s="2461" t="s">
        <v>3641</v>
      </c>
      <c r="K422" s="2462">
        <v>5</v>
      </c>
      <c r="L422" s="2463">
        <f>150000000*4</f>
        <v>600000000</v>
      </c>
      <c r="M422" s="2462">
        <v>1</v>
      </c>
      <c r="N422" s="2403">
        <f>'[3]KEU '!$J$138</f>
        <v>85638650</v>
      </c>
      <c r="O422" s="2462">
        <v>1</v>
      </c>
      <c r="P422" s="2463">
        <v>88700000</v>
      </c>
      <c r="Q422" s="2462">
        <v>0</v>
      </c>
      <c r="R422" s="2463">
        <v>27514800</v>
      </c>
      <c r="S422" s="2464">
        <v>0</v>
      </c>
      <c r="T422" s="2463">
        <v>24239200</v>
      </c>
      <c r="U422" s="2464"/>
      <c r="V422" s="2463">
        <v>20645000</v>
      </c>
      <c r="W422" s="2464"/>
      <c r="X422" s="2464"/>
      <c r="Y422" s="2452">
        <f t="shared" si="112"/>
        <v>0</v>
      </c>
      <c r="Z422" s="2400">
        <f t="shared" si="111"/>
        <v>72399000</v>
      </c>
      <c r="AA422" s="2452">
        <f t="shared" si="125"/>
        <v>1</v>
      </c>
      <c r="AB422" s="2456">
        <f t="shared" si="125"/>
        <v>158037650</v>
      </c>
      <c r="AC422" s="2453">
        <f t="shared" si="126"/>
        <v>20</v>
      </c>
      <c r="AD422" s="2453">
        <f t="shared" si="126"/>
        <v>26.339608333333331</v>
      </c>
      <c r="AE422" s="2727"/>
      <c r="AF422" s="2471"/>
      <c r="AG422" s="2471"/>
      <c r="AH422" s="2471"/>
      <c r="AI422" s="2471"/>
      <c r="AJ422" s="2471"/>
      <c r="AK422" s="2471"/>
      <c r="AL422" s="2471"/>
      <c r="AM422" s="2471"/>
      <c r="AN422" s="2471"/>
      <c r="AO422" s="2471"/>
      <c r="AP422" s="2471"/>
      <c r="AQ422" s="2471"/>
      <c r="AR422" s="2471"/>
      <c r="AS422" s="2471"/>
      <c r="AT422" s="2471"/>
      <c r="AU422" s="2471"/>
      <c r="AV422" s="2471"/>
      <c r="AW422" s="2471"/>
      <c r="AX422" s="2471"/>
      <c r="AY422" s="2471"/>
      <c r="AZ422" s="2471"/>
      <c r="BA422" s="2471"/>
      <c r="BB422" s="2471"/>
      <c r="BC422" s="2471"/>
      <c r="BD422" s="2471"/>
      <c r="BE422" s="2471"/>
      <c r="BF422" s="2471"/>
      <c r="BG422" s="2471"/>
      <c r="BH422" s="2471"/>
      <c r="BI422" s="2471"/>
      <c r="BJ422" s="2471"/>
      <c r="BK422" s="2471"/>
      <c r="BL422" s="2471"/>
      <c r="BM422" s="2471"/>
      <c r="BN422" s="2471"/>
      <c r="BO422" s="2471"/>
      <c r="BP422" s="2471"/>
      <c r="BQ422" s="2471"/>
      <c r="BR422" s="2471"/>
      <c r="BS422" s="2471"/>
      <c r="BT422" s="2471"/>
      <c r="BU422" s="2471"/>
      <c r="BV422" s="2471"/>
      <c r="BW422" s="2471"/>
      <c r="BX422" s="2471"/>
    </row>
    <row r="423" spans="1:76">
      <c r="A423" s="4244" t="s">
        <v>89</v>
      </c>
      <c r="B423" s="4244"/>
      <c r="C423" s="4245"/>
      <c r="D423" s="4245"/>
      <c r="E423" s="4245"/>
      <c r="F423" s="4245"/>
      <c r="G423" s="4245"/>
      <c r="H423" s="4245"/>
      <c r="I423" s="4245"/>
      <c r="J423" s="4245"/>
      <c r="K423" s="4245"/>
      <c r="L423" s="4245"/>
      <c r="M423" s="4245"/>
      <c r="N423" s="4245"/>
      <c r="O423" s="4245"/>
      <c r="P423" s="4245"/>
      <c r="Q423" s="4245"/>
      <c r="R423" s="4245"/>
      <c r="S423" s="4245"/>
      <c r="T423" s="4245"/>
      <c r="U423" s="4245"/>
      <c r="V423" s="4245"/>
      <c r="W423" s="4245"/>
      <c r="X423" s="4245"/>
      <c r="Y423" s="4245"/>
      <c r="Z423" s="4245"/>
      <c r="AA423" s="4245"/>
      <c r="AB423" s="4245"/>
      <c r="AC423" s="2030">
        <f>(AC375+AC388+AC396+AC401+AC418)/5</f>
        <v>39.272733127343287</v>
      </c>
      <c r="AD423" s="2030">
        <f>(AD375+AD388+AD396+AD401+AD418)/5</f>
        <v>35.862978084573086</v>
      </c>
      <c r="AE423" s="390"/>
    </row>
    <row r="424" spans="1:76" ht="15" customHeight="1">
      <c r="A424" s="4244" t="s">
        <v>90</v>
      </c>
      <c r="B424" s="4244"/>
      <c r="C424" s="4245"/>
      <c r="D424" s="4245"/>
      <c r="E424" s="4245"/>
      <c r="F424" s="4245"/>
      <c r="G424" s="4245"/>
      <c r="H424" s="4245"/>
      <c r="I424" s="4245"/>
      <c r="J424" s="4245"/>
      <c r="K424" s="4245"/>
      <c r="L424" s="4245"/>
      <c r="M424" s="4245"/>
      <c r="N424" s="4245"/>
      <c r="O424" s="4245"/>
      <c r="P424" s="4245"/>
      <c r="Q424" s="4245"/>
      <c r="R424" s="4245"/>
      <c r="S424" s="4245"/>
      <c r="T424" s="4245"/>
      <c r="U424" s="4245"/>
      <c r="V424" s="4245"/>
      <c r="W424" s="4245"/>
      <c r="X424" s="4245"/>
      <c r="Y424" s="4245"/>
      <c r="Z424" s="4245"/>
      <c r="AA424" s="4245"/>
      <c r="AB424" s="4245"/>
      <c r="AC424" s="3152" t="str">
        <f>IF(AC423&gt;=91,"ST",IF(AC423&gt;=76,"T",IF(AC423&gt;=66,"S",IF(AC423&gt;=51,"R","SR"))))</f>
        <v>SR</v>
      </c>
      <c r="AD424" s="3152" t="str">
        <f>IF(AD423&gt;=91,"ST",IF(AD423&gt;=76,"T",IF(AD423&gt;=66,"S",IF(AD423&gt;=51,"R","SR"))))</f>
        <v>SR</v>
      </c>
      <c r="AE424" s="390"/>
    </row>
    <row r="425" spans="1:76" s="3208" customFormat="1" ht="18.75" customHeight="1">
      <c r="A425" s="4289"/>
      <c r="B425" s="4289"/>
      <c r="C425" s="4289"/>
      <c r="D425" s="4289"/>
      <c r="E425" s="4289"/>
      <c r="F425" s="4289"/>
      <c r="G425" s="4289"/>
      <c r="H425" s="4289"/>
      <c r="I425" s="4289"/>
      <c r="J425" s="4289"/>
      <c r="K425" s="4289"/>
      <c r="L425" s="4289"/>
      <c r="M425" s="4289"/>
      <c r="N425" s="4289"/>
      <c r="O425" s="4289"/>
      <c r="P425" s="4289"/>
      <c r="Q425" s="4289"/>
      <c r="R425" s="4289"/>
      <c r="S425" s="4289"/>
      <c r="T425" s="4289"/>
      <c r="U425" s="4289"/>
      <c r="V425" s="4289"/>
      <c r="W425" s="4289"/>
      <c r="X425" s="4289"/>
      <c r="Y425" s="4289"/>
      <c r="Z425" s="4289"/>
      <c r="AA425" s="4289"/>
      <c r="AB425" s="4289"/>
      <c r="AC425" s="4289"/>
      <c r="AD425" s="4289"/>
      <c r="AE425" s="4289"/>
    </row>
    <row r="426" spans="1:76" s="353" customFormat="1" ht="65.25" customHeight="1">
      <c r="A426" s="3287" t="s">
        <v>123</v>
      </c>
      <c r="B426" s="3288"/>
      <c r="C426" s="3287"/>
      <c r="D426" s="3287"/>
      <c r="E426" s="3287"/>
      <c r="F426" s="3287"/>
      <c r="G426" s="3287"/>
      <c r="H426" s="3287"/>
      <c r="I426" s="3289" t="s">
        <v>130</v>
      </c>
      <c r="J426" s="3288"/>
      <c r="K426" s="3290"/>
      <c r="L426" s="3291">
        <f>L427+L438+L445+L451+L453+L455+L459+L471</f>
        <v>153921112850</v>
      </c>
      <c r="M426" s="3290"/>
      <c r="N426" s="3292">
        <f>N427+N438+N445+N451+N453+N455+N459+N471</f>
        <v>15394326825</v>
      </c>
      <c r="O426" s="3290"/>
      <c r="P426" s="3292">
        <f>P427+P438+P445+P451+P453+P455+P459+P471</f>
        <v>22770551460</v>
      </c>
      <c r="Q426" s="3290"/>
      <c r="R426" s="3293">
        <f>R427+R438+R445+R451+R453+R455+R459+R471</f>
        <v>368417157</v>
      </c>
      <c r="S426" s="3294"/>
      <c r="T426" s="3295">
        <f>T427+T438+T445+T451+T453+T455+T459+T471</f>
        <v>5633914267</v>
      </c>
      <c r="U426" s="3288"/>
      <c r="V426" s="3293">
        <f>V427+V438+V445+V451+V453+V455+V459+V471</f>
        <v>9280567999</v>
      </c>
      <c r="W426" s="3288"/>
      <c r="X426" s="3288"/>
      <c r="Y426" s="3290"/>
      <c r="Z426" s="3293">
        <f>R426+T426+V426</f>
        <v>15282899423</v>
      </c>
      <c r="AA426" s="3290"/>
      <c r="AB426" s="3293">
        <f>AB427+AB438+AB445+AB451+AB453+AB455+AB459+AB471</f>
        <v>30677226248</v>
      </c>
      <c r="AC426" s="3290"/>
      <c r="AD426" s="3290"/>
      <c r="AE426" s="3296"/>
    </row>
    <row r="427" spans="1:76" s="2806" customFormat="1" ht="54.75" customHeight="1">
      <c r="A427" s="4007">
        <v>1</v>
      </c>
      <c r="B427" s="2502"/>
      <c r="C427" s="2640">
        <v>5</v>
      </c>
      <c r="D427" s="2640"/>
      <c r="E427" s="2781" t="s">
        <v>66</v>
      </c>
      <c r="F427" s="2781" t="s">
        <v>66</v>
      </c>
      <c r="G427" s="2640"/>
      <c r="H427" s="2640">
        <v>1</v>
      </c>
      <c r="I427" s="4005" t="s">
        <v>1662</v>
      </c>
      <c r="J427" s="4005" t="s">
        <v>3735</v>
      </c>
      <c r="K427" s="2782">
        <v>60</v>
      </c>
      <c r="L427" s="2662">
        <f>SUM(L428:L437)</f>
        <v>4874280600</v>
      </c>
      <c r="M427" s="2782">
        <v>12</v>
      </c>
      <c r="N427" s="2662">
        <f>SUM(N428:N437)</f>
        <v>1406262646</v>
      </c>
      <c r="O427" s="2755">
        <v>12</v>
      </c>
      <c r="P427" s="2662">
        <f>SUM(P428:P437)</f>
        <v>930280600</v>
      </c>
      <c r="Q427" s="2509">
        <v>3</v>
      </c>
      <c r="R427" s="2662">
        <f>SUM(R428:R437)</f>
        <v>148187126</v>
      </c>
      <c r="S427" s="2501">
        <v>3</v>
      </c>
      <c r="T427" s="2913">
        <f>SUM(T428:T437)</f>
        <v>330230653</v>
      </c>
      <c r="U427" s="2502">
        <v>9</v>
      </c>
      <c r="V427" s="2913">
        <f>SUM(V428:V437)</f>
        <v>665954890</v>
      </c>
      <c r="W427" s="2502"/>
      <c r="X427" s="2502"/>
      <c r="Y427" s="2782">
        <f t="shared" ref="Y427:Y474" si="127">Q427+S427+U427+W427</f>
        <v>15</v>
      </c>
      <c r="Z427" s="2445">
        <f t="shared" ref="Z427:Z474" si="128">R427+T427+V427+X427</f>
        <v>1144372669</v>
      </c>
      <c r="AA427" s="2782">
        <f t="shared" ref="AA427:AB442" si="129">M427+Y427</f>
        <v>27</v>
      </c>
      <c r="AB427" s="2445">
        <f>SUM(AB428:AB437)</f>
        <v>2550635315</v>
      </c>
      <c r="AC427" s="2782">
        <f t="shared" ref="AC427:AD442" si="130">(AA427/K427)*100</f>
        <v>45</v>
      </c>
      <c r="AD427" s="2751">
        <f t="shared" si="130"/>
        <v>52.328446478850644</v>
      </c>
      <c r="AE427" s="4007" t="s">
        <v>3227</v>
      </c>
      <c r="AF427" s="4078"/>
    </row>
    <row r="428" spans="1:76" s="2806" customFormat="1" ht="76.5" customHeight="1">
      <c r="A428" s="2736"/>
      <c r="B428" s="2736"/>
      <c r="C428" s="2783">
        <v>5</v>
      </c>
      <c r="D428" s="2783"/>
      <c r="E428" s="2784" t="s">
        <v>66</v>
      </c>
      <c r="F428" s="2784" t="s">
        <v>66</v>
      </c>
      <c r="G428" s="2783"/>
      <c r="H428" s="2784"/>
      <c r="I428" s="1936" t="s">
        <v>195</v>
      </c>
      <c r="J428" s="1936" t="s">
        <v>3736</v>
      </c>
      <c r="K428" s="2736">
        <v>60</v>
      </c>
      <c r="L428" s="2785">
        <v>416900000</v>
      </c>
      <c r="M428" s="2736">
        <v>12</v>
      </c>
      <c r="N428" s="2786">
        <v>33264416</v>
      </c>
      <c r="O428" s="2736">
        <v>12</v>
      </c>
      <c r="P428" s="2786">
        <v>76900000</v>
      </c>
      <c r="Q428" s="2736">
        <v>3</v>
      </c>
      <c r="R428" s="2786">
        <v>11957025</v>
      </c>
      <c r="S428" s="3380">
        <v>3</v>
      </c>
      <c r="T428" s="2910">
        <v>124150000</v>
      </c>
      <c r="U428" s="1697">
        <v>9</v>
      </c>
      <c r="V428" s="3299">
        <v>49358334</v>
      </c>
      <c r="W428" s="2736"/>
      <c r="X428" s="2736"/>
      <c r="Y428" s="2736">
        <f t="shared" si="127"/>
        <v>15</v>
      </c>
      <c r="Z428" s="2401">
        <f t="shared" si="128"/>
        <v>185465359</v>
      </c>
      <c r="AA428" s="2736">
        <f t="shared" si="129"/>
        <v>27</v>
      </c>
      <c r="AB428" s="2401">
        <f t="shared" si="129"/>
        <v>218729775</v>
      </c>
      <c r="AC428" s="2787">
        <f t="shared" si="130"/>
        <v>45</v>
      </c>
      <c r="AD428" s="2788">
        <f t="shared" si="130"/>
        <v>52.465765171503953</v>
      </c>
      <c r="AE428" s="2783"/>
    </row>
    <row r="429" spans="1:76" s="2806" customFormat="1" ht="66.75" customHeight="1">
      <c r="A429" s="2736"/>
      <c r="B429" s="2736"/>
      <c r="C429" s="2783">
        <v>5</v>
      </c>
      <c r="D429" s="2783"/>
      <c r="E429" s="2784" t="s">
        <v>66</v>
      </c>
      <c r="F429" s="2784" t="s">
        <v>66</v>
      </c>
      <c r="G429" s="2783"/>
      <c r="H429" s="2784"/>
      <c r="I429" s="1936" t="s">
        <v>199</v>
      </c>
      <c r="J429" s="1936" t="s">
        <v>3737</v>
      </c>
      <c r="K429" s="2736">
        <v>60</v>
      </c>
      <c r="L429" s="2785">
        <v>1221600000</v>
      </c>
      <c r="M429" s="2736">
        <v>12</v>
      </c>
      <c r="N429" s="2786">
        <v>206350000</v>
      </c>
      <c r="O429" s="2736">
        <v>12</v>
      </c>
      <c r="P429" s="2786">
        <v>281600000</v>
      </c>
      <c r="Q429" s="2736">
        <v>2</v>
      </c>
      <c r="R429" s="2786">
        <v>41000000</v>
      </c>
      <c r="S429" s="3380">
        <v>3</v>
      </c>
      <c r="T429" s="2910">
        <v>37742630</v>
      </c>
      <c r="U429" s="1697">
        <v>8</v>
      </c>
      <c r="V429" s="3299">
        <v>192400000</v>
      </c>
      <c r="W429" s="2736"/>
      <c r="X429" s="2736"/>
      <c r="Y429" s="2736">
        <f t="shared" si="127"/>
        <v>13</v>
      </c>
      <c r="Z429" s="2401">
        <f t="shared" si="128"/>
        <v>271142630</v>
      </c>
      <c r="AA429" s="2736">
        <f t="shared" si="129"/>
        <v>25</v>
      </c>
      <c r="AB429" s="2401">
        <f t="shared" si="129"/>
        <v>477492630</v>
      </c>
      <c r="AC429" s="2737">
        <f t="shared" si="130"/>
        <v>41.666666666666671</v>
      </c>
      <c r="AD429" s="2788">
        <f t="shared" si="130"/>
        <v>39.087477897838902</v>
      </c>
      <c r="AE429" s="2783"/>
    </row>
    <row r="430" spans="1:76" s="2806" customFormat="1" ht="72" customHeight="1">
      <c r="A430" s="2736"/>
      <c r="B430" s="2736"/>
      <c r="C430" s="2783">
        <v>5</v>
      </c>
      <c r="D430" s="2783"/>
      <c r="E430" s="2784" t="s">
        <v>66</v>
      </c>
      <c r="F430" s="2784" t="s">
        <v>66</v>
      </c>
      <c r="G430" s="2783"/>
      <c r="H430" s="2784"/>
      <c r="I430" s="1936" t="s">
        <v>200</v>
      </c>
      <c r="J430" s="1936" t="s">
        <v>3738</v>
      </c>
      <c r="K430" s="2736">
        <v>60</v>
      </c>
      <c r="L430" s="2785">
        <v>403688800</v>
      </c>
      <c r="M430" s="2736">
        <v>12</v>
      </c>
      <c r="N430" s="2786">
        <v>76954000</v>
      </c>
      <c r="O430" s="2736">
        <v>12</v>
      </c>
      <c r="P430" s="2786">
        <v>75688800</v>
      </c>
      <c r="Q430" s="2736">
        <v>3</v>
      </c>
      <c r="R430" s="2786">
        <v>4788800</v>
      </c>
      <c r="S430" s="3380">
        <v>3</v>
      </c>
      <c r="T430" s="2910">
        <v>14584900</v>
      </c>
      <c r="U430" s="1697">
        <v>9</v>
      </c>
      <c r="V430" s="3299">
        <v>37742630</v>
      </c>
      <c r="W430" s="2736"/>
      <c r="X430" s="2736"/>
      <c r="Y430" s="2736">
        <f t="shared" si="127"/>
        <v>15</v>
      </c>
      <c r="Z430" s="2401">
        <f t="shared" si="128"/>
        <v>57116330</v>
      </c>
      <c r="AA430" s="2736">
        <f t="shared" si="129"/>
        <v>27</v>
      </c>
      <c r="AB430" s="2401">
        <f t="shared" si="129"/>
        <v>134070330</v>
      </c>
      <c r="AC430" s="2736">
        <f t="shared" si="130"/>
        <v>45</v>
      </c>
      <c r="AD430" s="2788">
        <f t="shared" si="130"/>
        <v>33.211307819290504</v>
      </c>
      <c r="AE430" s="2783"/>
    </row>
    <row r="431" spans="1:76" s="2806" customFormat="1" ht="45" customHeight="1">
      <c r="A431" s="2736"/>
      <c r="B431" s="2736"/>
      <c r="C431" s="2783">
        <v>5</v>
      </c>
      <c r="D431" s="2783"/>
      <c r="E431" s="2784" t="s">
        <v>66</v>
      </c>
      <c r="F431" s="2784" t="s">
        <v>66</v>
      </c>
      <c r="G431" s="2783"/>
      <c r="H431" s="2784"/>
      <c r="I431" s="1936" t="s">
        <v>203</v>
      </c>
      <c r="J431" s="1936" t="s">
        <v>3707</v>
      </c>
      <c r="K431" s="2736">
        <v>60</v>
      </c>
      <c r="L431" s="2785">
        <v>153703600</v>
      </c>
      <c r="M431" s="2736">
        <v>12</v>
      </c>
      <c r="N431" s="2786">
        <v>33135800</v>
      </c>
      <c r="O431" s="2736">
        <v>12</v>
      </c>
      <c r="P431" s="2786">
        <v>28703600</v>
      </c>
      <c r="Q431" s="2736">
        <v>3</v>
      </c>
      <c r="R431" s="2786">
        <v>7167700</v>
      </c>
      <c r="S431" s="3380">
        <v>3</v>
      </c>
      <c r="T431" s="2910">
        <v>11628500</v>
      </c>
      <c r="U431" s="1697">
        <v>9</v>
      </c>
      <c r="V431" s="3299">
        <v>21985000</v>
      </c>
      <c r="W431" s="2736"/>
      <c r="X431" s="2736"/>
      <c r="Y431" s="2736">
        <f t="shared" si="127"/>
        <v>15</v>
      </c>
      <c r="Z431" s="2401">
        <f t="shared" si="128"/>
        <v>40781200</v>
      </c>
      <c r="AA431" s="2736">
        <f t="shared" si="129"/>
        <v>27</v>
      </c>
      <c r="AB431" s="2401">
        <f t="shared" si="129"/>
        <v>73917000</v>
      </c>
      <c r="AC431" s="2736">
        <f t="shared" si="130"/>
        <v>45</v>
      </c>
      <c r="AD431" s="2788">
        <f t="shared" si="130"/>
        <v>48.090610759930151</v>
      </c>
      <c r="AE431" s="2783"/>
    </row>
    <row r="432" spans="1:76" s="2806" customFormat="1" ht="69" customHeight="1">
      <c r="A432" s="2736"/>
      <c r="B432" s="2736"/>
      <c r="C432" s="2783">
        <v>5</v>
      </c>
      <c r="D432" s="2783"/>
      <c r="E432" s="2784" t="s">
        <v>66</v>
      </c>
      <c r="F432" s="2784" t="s">
        <v>66</v>
      </c>
      <c r="G432" s="2783"/>
      <c r="H432" s="2784"/>
      <c r="I432" s="1936" t="s">
        <v>204</v>
      </c>
      <c r="J432" s="1936" t="s">
        <v>3739</v>
      </c>
      <c r="K432" s="2736">
        <v>60</v>
      </c>
      <c r="L432" s="2785">
        <v>202157700</v>
      </c>
      <c r="M432" s="2736">
        <v>12</v>
      </c>
      <c r="N432" s="2786">
        <v>20085900</v>
      </c>
      <c r="O432" s="2736">
        <v>12</v>
      </c>
      <c r="P432" s="2786">
        <v>37157700</v>
      </c>
      <c r="Q432" s="2736">
        <v>3</v>
      </c>
      <c r="R432" s="2786">
        <v>8847700</v>
      </c>
      <c r="S432" s="3380">
        <v>3</v>
      </c>
      <c r="T432" s="2910">
        <v>5961500</v>
      </c>
      <c r="U432" s="1697">
        <v>9</v>
      </c>
      <c r="V432" s="3299">
        <v>19639500</v>
      </c>
      <c r="W432" s="2736"/>
      <c r="X432" s="2736"/>
      <c r="Y432" s="2736">
        <f t="shared" si="127"/>
        <v>15</v>
      </c>
      <c r="Z432" s="2401">
        <f t="shared" si="128"/>
        <v>34448700</v>
      </c>
      <c r="AA432" s="2736">
        <f t="shared" si="129"/>
        <v>27</v>
      </c>
      <c r="AB432" s="2401">
        <f t="shared" si="129"/>
        <v>54534600</v>
      </c>
      <c r="AC432" s="2736">
        <f t="shared" si="130"/>
        <v>45</v>
      </c>
      <c r="AD432" s="2788">
        <f t="shared" si="130"/>
        <v>26.976266548343197</v>
      </c>
      <c r="AE432" s="2783"/>
    </row>
    <row r="433" spans="1:31" s="2806" customFormat="1" ht="60" customHeight="1">
      <c r="A433" s="2736"/>
      <c r="B433" s="2736"/>
      <c r="C433" s="2783">
        <v>5</v>
      </c>
      <c r="D433" s="2783"/>
      <c r="E433" s="2784" t="s">
        <v>66</v>
      </c>
      <c r="F433" s="2784" t="s">
        <v>66</v>
      </c>
      <c r="G433" s="2783"/>
      <c r="H433" s="2784"/>
      <c r="I433" s="1936" t="s">
        <v>205</v>
      </c>
      <c r="J433" s="1936" t="s">
        <v>3740</v>
      </c>
      <c r="K433" s="2736">
        <v>60</v>
      </c>
      <c r="L433" s="2785">
        <v>157690500</v>
      </c>
      <c r="M433" s="2736">
        <v>12</v>
      </c>
      <c r="N433" s="2786">
        <v>52789080</v>
      </c>
      <c r="O433" s="2736">
        <v>12</v>
      </c>
      <c r="P433" s="2786">
        <v>11690500</v>
      </c>
      <c r="Q433" s="2736">
        <v>3</v>
      </c>
      <c r="R433" s="2786">
        <v>3091700</v>
      </c>
      <c r="S433" s="3380">
        <v>3</v>
      </c>
      <c r="T433" s="2910">
        <v>10427972</v>
      </c>
      <c r="U433" s="1697">
        <v>9</v>
      </c>
      <c r="V433" s="3299">
        <v>8657200</v>
      </c>
      <c r="W433" s="2736"/>
      <c r="X433" s="2736"/>
      <c r="Y433" s="2736">
        <f t="shared" si="127"/>
        <v>15</v>
      </c>
      <c r="Z433" s="2401">
        <f t="shared" si="128"/>
        <v>22176872</v>
      </c>
      <c r="AA433" s="2736">
        <f t="shared" si="129"/>
        <v>27</v>
      </c>
      <c r="AB433" s="2401">
        <f t="shared" si="129"/>
        <v>74965952</v>
      </c>
      <c r="AC433" s="2736">
        <f t="shared" si="130"/>
        <v>45</v>
      </c>
      <c r="AD433" s="2788">
        <f t="shared" si="130"/>
        <v>47.539929165041649</v>
      </c>
      <c r="AE433" s="2783"/>
    </row>
    <row r="434" spans="1:31" s="2806" customFormat="1" ht="60" customHeight="1">
      <c r="A434" s="2736"/>
      <c r="B434" s="2736"/>
      <c r="C434" s="2783">
        <v>5</v>
      </c>
      <c r="D434" s="2783"/>
      <c r="E434" s="2784" t="s">
        <v>66</v>
      </c>
      <c r="F434" s="2784" t="s">
        <v>66</v>
      </c>
      <c r="G434" s="2783"/>
      <c r="H434" s="2784"/>
      <c r="I434" s="1936" t="s">
        <v>2972</v>
      </c>
      <c r="J434" s="1936" t="s">
        <v>3741</v>
      </c>
      <c r="K434" s="2736">
        <v>114</v>
      </c>
      <c r="L434" s="2785">
        <v>872240000</v>
      </c>
      <c r="M434" s="2736">
        <v>78</v>
      </c>
      <c r="N434" s="2786">
        <v>626821000</v>
      </c>
      <c r="O434" s="2736">
        <v>36</v>
      </c>
      <c r="P434" s="2786">
        <v>172240000</v>
      </c>
      <c r="Q434" s="2736">
        <v>3</v>
      </c>
      <c r="R434" s="2786">
        <v>1200000</v>
      </c>
      <c r="S434" s="3380">
        <v>3</v>
      </c>
      <c r="T434" s="2910">
        <v>11820000</v>
      </c>
      <c r="U434" s="1697">
        <v>20</v>
      </c>
      <c r="V434" s="3299">
        <v>121880125</v>
      </c>
      <c r="W434" s="2736"/>
      <c r="X434" s="2736"/>
      <c r="Y434" s="2736">
        <f t="shared" si="127"/>
        <v>26</v>
      </c>
      <c r="Z434" s="2401">
        <f t="shared" si="128"/>
        <v>134900125</v>
      </c>
      <c r="AA434" s="2736">
        <f t="shared" si="129"/>
        <v>104</v>
      </c>
      <c r="AB434" s="2401">
        <f t="shared" si="129"/>
        <v>761721125</v>
      </c>
      <c r="AC434" s="2737">
        <f t="shared" si="130"/>
        <v>91.228070175438589</v>
      </c>
      <c r="AD434" s="2788">
        <f t="shared" si="130"/>
        <v>87.32930443455929</v>
      </c>
      <c r="AE434" s="2783"/>
    </row>
    <row r="435" spans="1:31" s="2806" customFormat="1" ht="54.75" customHeight="1">
      <c r="A435" s="2736"/>
      <c r="B435" s="2736"/>
      <c r="C435" s="2783">
        <v>5</v>
      </c>
      <c r="D435" s="2783"/>
      <c r="E435" s="2784" t="s">
        <v>66</v>
      </c>
      <c r="F435" s="2784" t="s">
        <v>66</v>
      </c>
      <c r="G435" s="2783"/>
      <c r="H435" s="2784"/>
      <c r="I435" s="1936" t="s">
        <v>206</v>
      </c>
      <c r="J435" s="1936" t="s">
        <v>3742</v>
      </c>
      <c r="K435" s="2736">
        <v>60</v>
      </c>
      <c r="L435" s="2785">
        <v>195000000</v>
      </c>
      <c r="M435" s="2736">
        <v>12</v>
      </c>
      <c r="N435" s="2786">
        <v>45027500</v>
      </c>
      <c r="O435" s="2736">
        <v>12</v>
      </c>
      <c r="P435" s="2786">
        <v>35000000</v>
      </c>
      <c r="Q435" s="2736">
        <v>3</v>
      </c>
      <c r="R435" s="2786">
        <v>8595000</v>
      </c>
      <c r="S435" s="3380">
        <v>6</v>
      </c>
      <c r="T435" s="2910">
        <v>88307401</v>
      </c>
      <c r="U435" s="1697">
        <v>9</v>
      </c>
      <c r="V435" s="3299">
        <v>22887500</v>
      </c>
      <c r="W435" s="2736"/>
      <c r="X435" s="2736"/>
      <c r="Y435" s="2736">
        <f t="shared" si="127"/>
        <v>18</v>
      </c>
      <c r="Z435" s="2401">
        <f t="shared" si="128"/>
        <v>119789901</v>
      </c>
      <c r="AA435" s="2736">
        <f t="shared" si="129"/>
        <v>30</v>
      </c>
      <c r="AB435" s="2401">
        <f t="shared" si="129"/>
        <v>164817401</v>
      </c>
      <c r="AC435" s="2736">
        <f t="shared" si="130"/>
        <v>50</v>
      </c>
      <c r="AD435" s="2788">
        <f t="shared" si="130"/>
        <v>84.521744102564099</v>
      </c>
      <c r="AE435" s="2783"/>
    </row>
    <row r="436" spans="1:31" s="4079" customFormat="1" ht="64.5" customHeight="1">
      <c r="A436" s="2736"/>
      <c r="B436" s="2736"/>
      <c r="C436" s="2783">
        <v>5</v>
      </c>
      <c r="D436" s="2783"/>
      <c r="E436" s="2784" t="s">
        <v>66</v>
      </c>
      <c r="F436" s="2784" t="s">
        <v>66</v>
      </c>
      <c r="G436" s="2783"/>
      <c r="H436" s="2784"/>
      <c r="I436" s="1936" t="s">
        <v>207</v>
      </c>
      <c r="J436" s="1936" t="s">
        <v>3743</v>
      </c>
      <c r="K436" s="2736">
        <v>60</v>
      </c>
      <c r="L436" s="2785">
        <v>787600000</v>
      </c>
      <c r="M436" s="2736">
        <v>12</v>
      </c>
      <c r="N436" s="2786">
        <v>217811950</v>
      </c>
      <c r="O436" s="2736">
        <v>12</v>
      </c>
      <c r="P436" s="2786">
        <v>137600000</v>
      </c>
      <c r="Q436" s="2736">
        <v>3</v>
      </c>
      <c r="R436" s="2786">
        <v>52323201</v>
      </c>
      <c r="S436" s="3380">
        <v>3</v>
      </c>
      <c r="T436" s="2910">
        <v>25607750</v>
      </c>
      <c r="U436" s="1697">
        <v>9</v>
      </c>
      <c r="V436" s="3299">
        <v>132628801</v>
      </c>
      <c r="W436" s="2736"/>
      <c r="X436" s="2736"/>
      <c r="Y436" s="2736">
        <f t="shared" si="127"/>
        <v>15</v>
      </c>
      <c r="Z436" s="2401">
        <f t="shared" si="128"/>
        <v>210559752</v>
      </c>
      <c r="AA436" s="2736">
        <f t="shared" si="129"/>
        <v>27</v>
      </c>
      <c r="AB436" s="2401">
        <f t="shared" si="129"/>
        <v>428371702</v>
      </c>
      <c r="AC436" s="2736">
        <f t="shared" si="130"/>
        <v>45</v>
      </c>
      <c r="AD436" s="2788">
        <f t="shared" si="130"/>
        <v>54.389499999999998</v>
      </c>
      <c r="AE436" s="2783"/>
    </row>
    <row r="437" spans="1:31" s="2806" customFormat="1" ht="57" customHeight="1">
      <c r="A437" s="2736"/>
      <c r="B437" s="2736"/>
      <c r="C437" s="2783">
        <v>5</v>
      </c>
      <c r="D437" s="2783"/>
      <c r="E437" s="2784" t="s">
        <v>66</v>
      </c>
      <c r="F437" s="2784" t="s">
        <v>66</v>
      </c>
      <c r="G437" s="2783"/>
      <c r="H437" s="2784"/>
      <c r="I437" s="1936" t="s">
        <v>208</v>
      </c>
      <c r="J437" s="1936" t="s">
        <v>3743</v>
      </c>
      <c r="K437" s="2736">
        <v>60</v>
      </c>
      <c r="L437" s="2785">
        <v>463700000</v>
      </c>
      <c r="M437" s="2736">
        <v>12</v>
      </c>
      <c r="N437" s="2786">
        <v>94023000</v>
      </c>
      <c r="O437" s="2736">
        <v>12</v>
      </c>
      <c r="P437" s="2786">
        <v>73700000</v>
      </c>
      <c r="Q437" s="2736">
        <v>3</v>
      </c>
      <c r="R437" s="2786">
        <v>9216000</v>
      </c>
      <c r="S437" s="2736">
        <v>3</v>
      </c>
      <c r="T437" s="2736"/>
      <c r="U437" s="1697">
        <v>9</v>
      </c>
      <c r="V437" s="3299">
        <v>58775800</v>
      </c>
      <c r="W437" s="2736"/>
      <c r="X437" s="2736"/>
      <c r="Y437" s="2736">
        <f t="shared" si="127"/>
        <v>15</v>
      </c>
      <c r="Z437" s="2401">
        <f t="shared" si="128"/>
        <v>67991800</v>
      </c>
      <c r="AA437" s="2736">
        <f t="shared" si="129"/>
        <v>27</v>
      </c>
      <c r="AB437" s="2401">
        <f t="shared" si="129"/>
        <v>162014800</v>
      </c>
      <c r="AC437" s="2736">
        <f t="shared" si="130"/>
        <v>45</v>
      </c>
      <c r="AD437" s="2788">
        <f t="shared" si="130"/>
        <v>34.939572999784339</v>
      </c>
      <c r="AE437" s="2783"/>
    </row>
    <row r="438" spans="1:31" s="2806" customFormat="1" ht="70.5" customHeight="1">
      <c r="A438" s="2502">
        <v>2</v>
      </c>
      <c r="B438" s="2502"/>
      <c r="C438" s="2640">
        <v>5</v>
      </c>
      <c r="D438" s="2640"/>
      <c r="E438" s="2781" t="s">
        <v>66</v>
      </c>
      <c r="F438" s="2781" t="s">
        <v>65</v>
      </c>
      <c r="G438" s="2640"/>
      <c r="H438" s="2640"/>
      <c r="I438" s="4005" t="s">
        <v>1681</v>
      </c>
      <c r="J438" s="4005" t="s">
        <v>3228</v>
      </c>
      <c r="K438" s="2789">
        <v>60</v>
      </c>
      <c r="L438" s="2662">
        <f>SUM(L439:L444)</f>
        <v>17878712500</v>
      </c>
      <c r="M438" s="2789">
        <v>12</v>
      </c>
      <c r="N438" s="2662">
        <f>SUM(N439:N444)</f>
        <v>1914085043</v>
      </c>
      <c r="O438" s="2789">
        <v>12</v>
      </c>
      <c r="P438" s="2662">
        <f>SUM(P439:P444)</f>
        <v>1941712500</v>
      </c>
      <c r="Q438" s="2509">
        <v>3</v>
      </c>
      <c r="R438" s="2662">
        <f>SUM(R439:R444)</f>
        <v>50263731</v>
      </c>
      <c r="S438" s="2501">
        <v>3</v>
      </c>
      <c r="T438" s="2664">
        <f>SUM(T439:T444)</f>
        <v>721362562</v>
      </c>
      <c r="U438" s="2502">
        <v>3</v>
      </c>
      <c r="V438" s="2664">
        <f>SUM(V439:V444)</f>
        <v>997232418</v>
      </c>
      <c r="W438" s="2502"/>
      <c r="X438" s="2502"/>
      <c r="Y438" s="2509">
        <f t="shared" si="127"/>
        <v>9</v>
      </c>
      <c r="Z438" s="2445">
        <f t="shared" si="128"/>
        <v>1768858711</v>
      </c>
      <c r="AA438" s="2789">
        <f t="shared" si="129"/>
        <v>21</v>
      </c>
      <c r="AB438" s="2445">
        <f>SUM(AB439:AB444)</f>
        <v>3682943754</v>
      </c>
      <c r="AC438" s="2509">
        <f t="shared" si="130"/>
        <v>35</v>
      </c>
      <c r="AD438" s="2790">
        <f t="shared" si="130"/>
        <v>20.599602762223508</v>
      </c>
      <c r="AE438" s="4007" t="s">
        <v>3227</v>
      </c>
    </row>
    <row r="439" spans="1:31" s="2806" customFormat="1" ht="69.75" customHeight="1">
      <c r="A439" s="2736"/>
      <c r="B439" s="2736"/>
      <c r="C439" s="2783">
        <v>5</v>
      </c>
      <c r="D439" s="2783"/>
      <c r="E439" s="2784" t="s">
        <v>66</v>
      </c>
      <c r="F439" s="2784" t="s">
        <v>65</v>
      </c>
      <c r="G439" s="2783"/>
      <c r="H439" s="2784" t="s">
        <v>65</v>
      </c>
      <c r="I439" s="1936" t="s">
        <v>2973</v>
      </c>
      <c r="J439" s="1936" t="s">
        <v>3644</v>
      </c>
      <c r="K439" s="2736">
        <v>12</v>
      </c>
      <c r="L439" s="2785">
        <v>12409087500</v>
      </c>
      <c r="M439" s="2736">
        <v>4</v>
      </c>
      <c r="N439" s="2786">
        <v>1443584500</v>
      </c>
      <c r="O439" s="2736">
        <v>1</v>
      </c>
      <c r="P439" s="2786">
        <v>807087500</v>
      </c>
      <c r="Q439" s="2791"/>
      <c r="R439" s="2786">
        <v>631900</v>
      </c>
      <c r="S439" s="3380">
        <v>0</v>
      </c>
      <c r="T439" s="2910">
        <v>150026900</v>
      </c>
      <c r="U439" s="1697">
        <v>1</v>
      </c>
      <c r="V439" s="3299">
        <v>151726900</v>
      </c>
      <c r="W439" s="2736"/>
      <c r="X439" s="2736"/>
      <c r="Y439" s="2787">
        <f t="shared" si="127"/>
        <v>1</v>
      </c>
      <c r="Z439" s="2401">
        <f t="shared" si="128"/>
        <v>302385700</v>
      </c>
      <c r="AA439" s="2736">
        <f t="shared" si="129"/>
        <v>5</v>
      </c>
      <c r="AB439" s="2401">
        <f t="shared" si="129"/>
        <v>1745970200</v>
      </c>
      <c r="AC439" s="2737">
        <f t="shared" ref="AC439:AC470" si="131">AA439/K439*100</f>
        <v>41.666666666666671</v>
      </c>
      <c r="AD439" s="2788">
        <f t="shared" si="130"/>
        <v>14.070093389219796</v>
      </c>
      <c r="AE439" s="2783"/>
    </row>
    <row r="440" spans="1:31" s="2806" customFormat="1" ht="60" customHeight="1">
      <c r="A440" s="2736"/>
      <c r="B440" s="2736"/>
      <c r="C440" s="2783">
        <v>5</v>
      </c>
      <c r="D440" s="2783"/>
      <c r="E440" s="2784" t="s">
        <v>66</v>
      </c>
      <c r="F440" s="2784" t="s">
        <v>65</v>
      </c>
      <c r="G440" s="2783"/>
      <c r="H440" s="2784" t="s">
        <v>196</v>
      </c>
      <c r="I440" s="1936" t="s">
        <v>1683</v>
      </c>
      <c r="J440" s="1936" t="s">
        <v>3645</v>
      </c>
      <c r="K440" s="2736">
        <v>5</v>
      </c>
      <c r="L440" s="2785">
        <v>950000000</v>
      </c>
      <c r="M440" s="2736"/>
      <c r="N440" s="2786"/>
      <c r="O440" s="2736">
        <v>2</v>
      </c>
      <c r="P440" s="2786">
        <v>450000000</v>
      </c>
      <c r="Q440" s="2787">
        <v>0</v>
      </c>
      <c r="R440" s="2786">
        <v>372100</v>
      </c>
      <c r="S440" s="3380">
        <v>0</v>
      </c>
      <c r="T440" s="2910">
        <v>11294500</v>
      </c>
      <c r="U440" s="1697">
        <v>2</v>
      </c>
      <c r="V440" s="3299">
        <v>250116900</v>
      </c>
      <c r="W440" s="2736"/>
      <c r="X440" s="2736"/>
      <c r="Y440" s="2787">
        <f t="shared" si="127"/>
        <v>2</v>
      </c>
      <c r="Z440" s="2401">
        <f t="shared" si="128"/>
        <v>261783500</v>
      </c>
      <c r="AA440" s="2736">
        <f t="shared" si="129"/>
        <v>2</v>
      </c>
      <c r="AB440" s="2401">
        <f t="shared" si="129"/>
        <v>261783500</v>
      </c>
      <c r="AC440" s="2736">
        <f t="shared" si="131"/>
        <v>40</v>
      </c>
      <c r="AD440" s="2788">
        <f t="shared" si="130"/>
        <v>27.556157894736842</v>
      </c>
      <c r="AE440" s="2783"/>
    </row>
    <row r="441" spans="1:31" s="2806" customFormat="1" ht="36.75" customHeight="1">
      <c r="A441" s="2736"/>
      <c r="B441" s="2736"/>
      <c r="C441" s="2783">
        <v>5</v>
      </c>
      <c r="D441" s="2783"/>
      <c r="E441" s="2784" t="s">
        <v>66</v>
      </c>
      <c r="F441" s="2784" t="s">
        <v>65</v>
      </c>
      <c r="G441" s="2783"/>
      <c r="H441" s="2784" t="s">
        <v>202</v>
      </c>
      <c r="I441" s="1936" t="s">
        <v>938</v>
      </c>
      <c r="J441" s="1936" t="s">
        <v>3646</v>
      </c>
      <c r="K441" s="2736">
        <v>150</v>
      </c>
      <c r="L441" s="2785">
        <v>374080000</v>
      </c>
      <c r="M441" s="2736">
        <v>86</v>
      </c>
      <c r="N441" s="2786">
        <v>150436000</v>
      </c>
      <c r="O441" s="2736">
        <v>37</v>
      </c>
      <c r="P441" s="2786">
        <v>54080000</v>
      </c>
      <c r="Q441" s="2787">
        <v>20</v>
      </c>
      <c r="R441" s="2786">
        <v>33775500</v>
      </c>
      <c r="S441" s="3380">
        <v>17</v>
      </c>
      <c r="T441" s="2910">
        <v>50589000</v>
      </c>
      <c r="U441" s="1697">
        <v>0</v>
      </c>
      <c r="V441" s="3299">
        <v>53464000</v>
      </c>
      <c r="W441" s="2736"/>
      <c r="X441" s="2736"/>
      <c r="Y441" s="2787">
        <f t="shared" si="127"/>
        <v>37</v>
      </c>
      <c r="Z441" s="2401">
        <f t="shared" si="128"/>
        <v>137828500</v>
      </c>
      <c r="AA441" s="2736">
        <f t="shared" si="129"/>
        <v>123</v>
      </c>
      <c r="AB441" s="2401">
        <f t="shared" si="129"/>
        <v>288264500</v>
      </c>
      <c r="AC441" s="2737">
        <f t="shared" si="131"/>
        <v>82</v>
      </c>
      <c r="AD441" s="2788">
        <f t="shared" si="130"/>
        <v>77.059586184773309</v>
      </c>
      <c r="AE441" s="2783"/>
    </row>
    <row r="442" spans="1:31" s="2806" customFormat="1" ht="69.75" customHeight="1">
      <c r="A442" s="2736"/>
      <c r="B442" s="2736"/>
      <c r="C442" s="2783">
        <v>5</v>
      </c>
      <c r="D442" s="2783"/>
      <c r="E442" s="2784" t="s">
        <v>66</v>
      </c>
      <c r="F442" s="2784" t="s">
        <v>65</v>
      </c>
      <c r="G442" s="2783"/>
      <c r="H442" s="2784" t="s">
        <v>165</v>
      </c>
      <c r="I442" s="1936" t="s">
        <v>2974</v>
      </c>
      <c r="J442" s="1936" t="s">
        <v>3647</v>
      </c>
      <c r="K442" s="2736">
        <v>60</v>
      </c>
      <c r="L442" s="2785">
        <v>419770000</v>
      </c>
      <c r="M442" s="2736">
        <v>12</v>
      </c>
      <c r="N442" s="2786">
        <v>113786803</v>
      </c>
      <c r="O442" s="2736">
        <v>12</v>
      </c>
      <c r="P442" s="2786">
        <v>84770000</v>
      </c>
      <c r="Q442" s="2787">
        <v>3</v>
      </c>
      <c r="R442" s="2786">
        <v>11754831</v>
      </c>
      <c r="S442" s="3380">
        <v>3</v>
      </c>
      <c r="T442" s="2910">
        <v>15330362</v>
      </c>
      <c r="U442" s="1697">
        <v>9</v>
      </c>
      <c r="V442" s="3299">
        <v>36749018</v>
      </c>
      <c r="W442" s="2736"/>
      <c r="X442" s="2736"/>
      <c r="Y442" s="2787">
        <f t="shared" si="127"/>
        <v>15</v>
      </c>
      <c r="Z442" s="2401">
        <f t="shared" si="128"/>
        <v>63834211</v>
      </c>
      <c r="AA442" s="2736">
        <f t="shared" si="129"/>
        <v>27</v>
      </c>
      <c r="AB442" s="2401">
        <f t="shared" si="129"/>
        <v>177621014</v>
      </c>
      <c r="AC442" s="2736">
        <f t="shared" si="131"/>
        <v>45</v>
      </c>
      <c r="AD442" s="2788">
        <f t="shared" si="130"/>
        <v>42.31388951092265</v>
      </c>
      <c r="AE442" s="2783"/>
    </row>
    <row r="443" spans="1:31" s="4080" customFormat="1" ht="60.75" customHeight="1">
      <c r="A443" s="2736"/>
      <c r="B443" s="2736"/>
      <c r="C443" s="2783">
        <v>5</v>
      </c>
      <c r="D443" s="2783"/>
      <c r="E443" s="2784" t="s">
        <v>66</v>
      </c>
      <c r="F443" s="2784" t="s">
        <v>65</v>
      </c>
      <c r="G443" s="2783"/>
      <c r="H443" s="2784" t="s">
        <v>178</v>
      </c>
      <c r="I443" s="1936" t="s">
        <v>2975</v>
      </c>
      <c r="J443" s="1936" t="s">
        <v>3648</v>
      </c>
      <c r="K443" s="2736">
        <v>60</v>
      </c>
      <c r="L443" s="2785">
        <v>125775000</v>
      </c>
      <c r="M443" s="2736">
        <v>12</v>
      </c>
      <c r="N443" s="2786">
        <v>7737390</v>
      </c>
      <c r="O443" s="2736">
        <v>12</v>
      </c>
      <c r="P443" s="2786">
        <v>18775000</v>
      </c>
      <c r="Q443" s="2787">
        <v>3</v>
      </c>
      <c r="R443" s="2786">
        <v>3500000</v>
      </c>
      <c r="S443" s="3380">
        <v>3</v>
      </c>
      <c r="T443" s="2910">
        <v>4250000</v>
      </c>
      <c r="U443" s="1697">
        <v>9</v>
      </c>
      <c r="V443" s="3299">
        <v>8550000</v>
      </c>
      <c r="W443" s="2736"/>
      <c r="X443" s="2736"/>
      <c r="Y443" s="2787">
        <f t="shared" si="127"/>
        <v>15</v>
      </c>
      <c r="Z443" s="2401">
        <f t="shared" si="128"/>
        <v>16300000</v>
      </c>
      <c r="AA443" s="2736">
        <f t="shared" ref="AA443:AB453" si="132">M443+Y443</f>
        <v>27</v>
      </c>
      <c r="AB443" s="2401">
        <f t="shared" si="132"/>
        <v>24037390</v>
      </c>
      <c r="AC443" s="2736">
        <f t="shared" si="131"/>
        <v>45</v>
      </c>
      <c r="AD443" s="2788">
        <f t="shared" ref="AD443:AD470" si="133">(AB443/L443)*100</f>
        <v>19.111421188630491</v>
      </c>
      <c r="AE443" s="2783"/>
    </row>
    <row r="444" spans="1:31" s="2806" customFormat="1" ht="47.25" customHeight="1">
      <c r="A444" s="2736"/>
      <c r="B444" s="2736"/>
      <c r="C444" s="2783">
        <v>5</v>
      </c>
      <c r="D444" s="2783"/>
      <c r="E444" s="2784" t="s">
        <v>66</v>
      </c>
      <c r="F444" s="2784" t="s">
        <v>65</v>
      </c>
      <c r="G444" s="2783"/>
      <c r="H444" s="2784" t="s">
        <v>1140</v>
      </c>
      <c r="I444" s="1936" t="s">
        <v>2976</v>
      </c>
      <c r="J444" s="1936" t="s">
        <v>3649</v>
      </c>
      <c r="K444" s="2736">
        <v>10</v>
      </c>
      <c r="L444" s="2785">
        <v>3600000000</v>
      </c>
      <c r="M444" s="2736">
        <v>1</v>
      </c>
      <c r="N444" s="2786">
        <v>198540350</v>
      </c>
      <c r="O444" s="2736">
        <v>3</v>
      </c>
      <c r="P444" s="2786">
        <v>527000000</v>
      </c>
      <c r="Q444" s="2787"/>
      <c r="R444" s="2786">
        <v>229400</v>
      </c>
      <c r="S444" s="3380">
        <v>3</v>
      </c>
      <c r="T444" s="2910">
        <v>489871800</v>
      </c>
      <c r="U444" s="1697">
        <v>3</v>
      </c>
      <c r="V444" s="3299">
        <v>496625600</v>
      </c>
      <c r="W444" s="2736"/>
      <c r="X444" s="2736"/>
      <c r="Y444" s="2787">
        <f t="shared" si="127"/>
        <v>6</v>
      </c>
      <c r="Z444" s="2401">
        <f t="shared" si="128"/>
        <v>986726800</v>
      </c>
      <c r="AA444" s="2736">
        <f t="shared" si="132"/>
        <v>7</v>
      </c>
      <c r="AB444" s="2401">
        <f t="shared" si="132"/>
        <v>1185267150</v>
      </c>
      <c r="AC444" s="2736">
        <f t="shared" si="131"/>
        <v>70</v>
      </c>
      <c r="AD444" s="2788">
        <f t="shared" si="133"/>
        <v>32.924087499999999</v>
      </c>
      <c r="AE444" s="2783"/>
    </row>
    <row r="445" spans="1:31" s="2806" customFormat="1" ht="47.25" customHeight="1">
      <c r="A445" s="2792">
        <v>3</v>
      </c>
      <c r="B445" s="4005"/>
      <c r="C445" s="2781" t="s">
        <v>146</v>
      </c>
      <c r="D445" s="2781"/>
      <c r="E445" s="2781" t="s">
        <v>66</v>
      </c>
      <c r="F445" s="2781" t="s">
        <v>197</v>
      </c>
      <c r="G445" s="2781"/>
      <c r="H445" s="2640"/>
      <c r="I445" s="4005" t="s">
        <v>2977</v>
      </c>
      <c r="J445" s="2440" t="s">
        <v>3229</v>
      </c>
      <c r="K445" s="2612">
        <v>60</v>
      </c>
      <c r="L445" s="2662">
        <f>SUM(L446:L450)</f>
        <v>1491673900</v>
      </c>
      <c r="M445" s="2612">
        <v>12</v>
      </c>
      <c r="N445" s="2662">
        <f>SUM(N446:N450)</f>
        <v>105344650</v>
      </c>
      <c r="O445" s="2612">
        <v>12</v>
      </c>
      <c r="P445" s="2662">
        <f>SUM(P446:P450)</f>
        <v>301673900</v>
      </c>
      <c r="Q445" s="2509">
        <v>3</v>
      </c>
      <c r="R445" s="2662">
        <f>SUM(R446:R450)</f>
        <v>52492600</v>
      </c>
      <c r="S445" s="2502">
        <v>6</v>
      </c>
      <c r="T445" s="2911">
        <f>SUM(T446:T450)</f>
        <v>90582850</v>
      </c>
      <c r="U445" s="2502">
        <v>9</v>
      </c>
      <c r="V445" s="2911">
        <f>SUM(V446:V450)</f>
        <v>171141250</v>
      </c>
      <c r="W445" s="2502"/>
      <c r="X445" s="2502"/>
      <c r="Y445" s="2509">
        <f t="shared" si="127"/>
        <v>18</v>
      </c>
      <c r="Z445" s="2445">
        <f t="shared" si="128"/>
        <v>314216700</v>
      </c>
      <c r="AA445" s="2612">
        <f t="shared" si="132"/>
        <v>30</v>
      </c>
      <c r="AB445" s="2445">
        <f>SUM(AB446:AB450)</f>
        <v>419561350</v>
      </c>
      <c r="AC445" s="2612">
        <f t="shared" si="131"/>
        <v>50</v>
      </c>
      <c r="AD445" s="2793">
        <f t="shared" si="133"/>
        <v>28.126881485289779</v>
      </c>
      <c r="AE445" s="4007" t="s">
        <v>2978</v>
      </c>
    </row>
    <row r="446" spans="1:31" s="2806" customFormat="1" ht="54" customHeight="1">
      <c r="A446" s="2736"/>
      <c r="B446" s="2736"/>
      <c r="C446" s="2784" t="s">
        <v>146</v>
      </c>
      <c r="D446" s="2784"/>
      <c r="E446" s="2784" t="s">
        <v>66</v>
      </c>
      <c r="F446" s="2784" t="s">
        <v>197</v>
      </c>
      <c r="G446" s="2783"/>
      <c r="H446" s="2784" t="s">
        <v>201</v>
      </c>
      <c r="I446" s="1936" t="s">
        <v>1788</v>
      </c>
      <c r="J446" s="1936" t="s">
        <v>3650</v>
      </c>
      <c r="K446" s="2736">
        <v>24</v>
      </c>
      <c r="L446" s="2539">
        <v>469449500</v>
      </c>
      <c r="M446" s="2736">
        <v>8</v>
      </c>
      <c r="N446" s="2786">
        <v>64125400</v>
      </c>
      <c r="O446" s="2736">
        <v>4</v>
      </c>
      <c r="P446" s="2786">
        <v>94449500</v>
      </c>
      <c r="Q446" s="2787">
        <v>0</v>
      </c>
      <c r="R446" s="2786">
        <v>13502300</v>
      </c>
      <c r="S446" s="3380">
        <v>0</v>
      </c>
      <c r="T446" s="2910">
        <v>24569550</v>
      </c>
      <c r="U446" s="1697">
        <v>9</v>
      </c>
      <c r="V446" s="3299">
        <v>56676350</v>
      </c>
      <c r="W446" s="2736"/>
      <c r="X446" s="2736"/>
      <c r="Y446" s="2787">
        <f t="shared" si="127"/>
        <v>9</v>
      </c>
      <c r="Z446" s="2401">
        <f t="shared" si="128"/>
        <v>94748200</v>
      </c>
      <c r="AA446" s="2736">
        <f t="shared" si="132"/>
        <v>17</v>
      </c>
      <c r="AB446" s="2401">
        <f t="shared" si="132"/>
        <v>158873600</v>
      </c>
      <c r="AC446" s="2737">
        <f t="shared" si="131"/>
        <v>70.833333333333343</v>
      </c>
      <c r="AD446" s="2788">
        <f t="shared" si="133"/>
        <v>33.842532583376908</v>
      </c>
      <c r="AE446" s="2783"/>
    </row>
    <row r="447" spans="1:31" s="2806" customFormat="1" ht="54" customHeight="1">
      <c r="A447" s="2736"/>
      <c r="B447" s="2736"/>
      <c r="C447" s="2784" t="s">
        <v>146</v>
      </c>
      <c r="D447" s="2784"/>
      <c r="E447" s="2784" t="s">
        <v>66</v>
      </c>
      <c r="F447" s="2784" t="s">
        <v>197</v>
      </c>
      <c r="G447" s="2784"/>
      <c r="H447" s="2784" t="s">
        <v>202</v>
      </c>
      <c r="I447" s="1936" t="s">
        <v>2979</v>
      </c>
      <c r="J447" s="1936" t="s">
        <v>3651</v>
      </c>
      <c r="K447" s="2736">
        <v>24</v>
      </c>
      <c r="L447" s="2539">
        <v>270000000</v>
      </c>
      <c r="M447" s="2736">
        <v>8</v>
      </c>
      <c r="N447" s="2786">
        <v>41219250</v>
      </c>
      <c r="O447" s="2736">
        <v>4</v>
      </c>
      <c r="P447" s="2786">
        <v>60000000</v>
      </c>
      <c r="Q447" s="2787">
        <v>0</v>
      </c>
      <c r="R447" s="2786">
        <v>18240000</v>
      </c>
      <c r="S447" s="3380">
        <v>1</v>
      </c>
      <c r="T447" s="2910">
        <v>23864900</v>
      </c>
      <c r="U447" s="1697">
        <v>9</v>
      </c>
      <c r="V447" s="3299">
        <v>37440900</v>
      </c>
      <c r="W447" s="2736"/>
      <c r="X447" s="2736"/>
      <c r="Y447" s="2787">
        <f t="shared" si="127"/>
        <v>10</v>
      </c>
      <c r="Z447" s="2401">
        <f t="shared" si="128"/>
        <v>79545800</v>
      </c>
      <c r="AA447" s="2736">
        <f t="shared" si="132"/>
        <v>18</v>
      </c>
      <c r="AB447" s="2401">
        <f t="shared" si="132"/>
        <v>120765050</v>
      </c>
      <c r="AC447" s="2737">
        <f t="shared" si="131"/>
        <v>75</v>
      </c>
      <c r="AD447" s="2788">
        <f t="shared" si="133"/>
        <v>44.727796296296297</v>
      </c>
      <c r="AE447" s="2783"/>
    </row>
    <row r="448" spans="1:31" s="2806" customFormat="1" ht="71.25" customHeight="1">
      <c r="A448" s="2736"/>
      <c r="B448" s="2736"/>
      <c r="C448" s="2784" t="s">
        <v>146</v>
      </c>
      <c r="D448" s="2784"/>
      <c r="E448" s="2784" t="s">
        <v>66</v>
      </c>
      <c r="F448" s="2784" t="s">
        <v>197</v>
      </c>
      <c r="G448" s="2784"/>
      <c r="H448" s="2784" t="s">
        <v>396</v>
      </c>
      <c r="I448" s="1936" t="s">
        <v>2980</v>
      </c>
      <c r="J448" s="1936" t="s">
        <v>3652</v>
      </c>
      <c r="K448" s="2736">
        <v>16</v>
      </c>
      <c r="L448" s="2539">
        <v>288547800</v>
      </c>
      <c r="M448" s="2736"/>
      <c r="N448" s="2786"/>
      <c r="O448" s="2736">
        <v>4</v>
      </c>
      <c r="P448" s="2786">
        <v>43547800</v>
      </c>
      <c r="Q448" s="2787">
        <v>0</v>
      </c>
      <c r="R448" s="2786">
        <v>12693100</v>
      </c>
      <c r="S448" s="3380">
        <v>0</v>
      </c>
      <c r="T448" s="2910">
        <v>26023100</v>
      </c>
      <c r="U448" s="1697">
        <v>9</v>
      </c>
      <c r="V448" s="3299">
        <v>37641900</v>
      </c>
      <c r="W448" s="2736"/>
      <c r="X448" s="2736"/>
      <c r="Y448" s="2787">
        <f t="shared" si="127"/>
        <v>9</v>
      </c>
      <c r="Z448" s="2401">
        <f t="shared" si="128"/>
        <v>76358100</v>
      </c>
      <c r="AA448" s="2736">
        <f t="shared" si="132"/>
        <v>9</v>
      </c>
      <c r="AB448" s="2401">
        <f t="shared" si="132"/>
        <v>76358100</v>
      </c>
      <c r="AC448" s="2736">
        <f t="shared" si="131"/>
        <v>56.25</v>
      </c>
      <c r="AD448" s="2788">
        <f t="shared" si="133"/>
        <v>26.462894536017949</v>
      </c>
      <c r="AE448" s="2783"/>
    </row>
    <row r="449" spans="1:31" s="4079" customFormat="1" ht="62.25" customHeight="1">
      <c r="A449" s="2736"/>
      <c r="B449" s="2736"/>
      <c r="C449" s="2784" t="s">
        <v>146</v>
      </c>
      <c r="D449" s="2784"/>
      <c r="E449" s="2784" t="s">
        <v>66</v>
      </c>
      <c r="F449" s="2784" t="s">
        <v>197</v>
      </c>
      <c r="G449" s="2784"/>
      <c r="H449" s="2784" t="s">
        <v>155</v>
      </c>
      <c r="I449" s="1936" t="s">
        <v>2981</v>
      </c>
      <c r="J449" s="1936" t="s">
        <v>3653</v>
      </c>
      <c r="K449" s="2736">
        <v>16</v>
      </c>
      <c r="L449" s="2539">
        <v>150297800</v>
      </c>
      <c r="M449" s="2736"/>
      <c r="N449" s="2786"/>
      <c r="O449" s="2736">
        <v>4</v>
      </c>
      <c r="P449" s="2786">
        <v>50297800</v>
      </c>
      <c r="Q449" s="2787">
        <v>0</v>
      </c>
      <c r="R449" s="2786">
        <v>4051200</v>
      </c>
      <c r="S449" s="3380">
        <v>0</v>
      </c>
      <c r="T449" s="2910">
        <v>4953700</v>
      </c>
      <c r="U449" s="1697">
        <v>9</v>
      </c>
      <c r="V449" s="3299">
        <v>8163700</v>
      </c>
      <c r="W449" s="2736"/>
      <c r="X449" s="2736"/>
      <c r="Y449" s="2787">
        <f t="shared" si="127"/>
        <v>9</v>
      </c>
      <c r="Z449" s="2401">
        <f t="shared" si="128"/>
        <v>17168600</v>
      </c>
      <c r="AA449" s="2736">
        <f t="shared" si="132"/>
        <v>9</v>
      </c>
      <c r="AB449" s="2401">
        <f t="shared" si="132"/>
        <v>17168600</v>
      </c>
      <c r="AC449" s="2736">
        <f t="shared" si="131"/>
        <v>56.25</v>
      </c>
      <c r="AD449" s="2788">
        <f t="shared" si="133"/>
        <v>11.42305476194595</v>
      </c>
      <c r="AE449" s="2783"/>
    </row>
    <row r="450" spans="1:31" s="4079" customFormat="1" ht="54" customHeight="1">
      <c r="A450" s="2736"/>
      <c r="B450" s="2736"/>
      <c r="C450" s="2784" t="s">
        <v>146</v>
      </c>
      <c r="D450" s="2784"/>
      <c r="E450" s="2784" t="s">
        <v>66</v>
      </c>
      <c r="F450" s="2784" t="s">
        <v>197</v>
      </c>
      <c r="G450" s="2784"/>
      <c r="H450" s="2784" t="s">
        <v>166</v>
      </c>
      <c r="I450" s="1936" t="s">
        <v>2982</v>
      </c>
      <c r="J450" s="1936" t="s">
        <v>3743</v>
      </c>
      <c r="K450" s="2736">
        <v>60</v>
      </c>
      <c r="L450" s="2539">
        <v>313378800</v>
      </c>
      <c r="M450" s="2736"/>
      <c r="N450" s="2786"/>
      <c r="O450" s="2736">
        <v>12</v>
      </c>
      <c r="P450" s="2786">
        <v>53378800</v>
      </c>
      <c r="Q450" s="2787">
        <v>3</v>
      </c>
      <c r="R450" s="2786">
        <v>4006000</v>
      </c>
      <c r="S450" s="3380">
        <v>3</v>
      </c>
      <c r="T450" s="2910">
        <v>11171600</v>
      </c>
      <c r="U450" s="1697">
        <v>9</v>
      </c>
      <c r="V450" s="3299">
        <v>31218400</v>
      </c>
      <c r="W450" s="2736"/>
      <c r="X450" s="2736"/>
      <c r="Y450" s="2787">
        <f t="shared" si="127"/>
        <v>15</v>
      </c>
      <c r="Z450" s="2401">
        <f t="shared" si="128"/>
        <v>46396000</v>
      </c>
      <c r="AA450" s="2736">
        <f t="shared" si="132"/>
        <v>15</v>
      </c>
      <c r="AB450" s="2401">
        <f t="shared" si="132"/>
        <v>46396000</v>
      </c>
      <c r="AC450" s="2736">
        <f t="shared" si="131"/>
        <v>25</v>
      </c>
      <c r="AD450" s="2788">
        <f t="shared" si="133"/>
        <v>14.805085730113204</v>
      </c>
      <c r="AE450" s="2783"/>
    </row>
    <row r="451" spans="1:31" s="4079" customFormat="1" ht="66.75" customHeight="1">
      <c r="A451" s="2502">
        <v>4</v>
      </c>
      <c r="B451" s="2502"/>
      <c r="C451" s="2781" t="s">
        <v>146</v>
      </c>
      <c r="D451" s="2781"/>
      <c r="E451" s="2781" t="s">
        <v>66</v>
      </c>
      <c r="F451" s="2781" t="s">
        <v>196</v>
      </c>
      <c r="G451" s="2781" t="s">
        <v>166</v>
      </c>
      <c r="H451" s="2640"/>
      <c r="I451" s="4005" t="s">
        <v>2983</v>
      </c>
      <c r="J451" s="4005" t="s">
        <v>3230</v>
      </c>
      <c r="K451" s="2502">
        <v>96.17</v>
      </c>
      <c r="L451" s="2794">
        <f>L452</f>
        <v>82134600000</v>
      </c>
      <c r="M451" s="2502">
        <v>10</v>
      </c>
      <c r="N451" s="2662">
        <v>9776696000</v>
      </c>
      <c r="O451" s="2502">
        <v>8</v>
      </c>
      <c r="P451" s="2662">
        <f>P452</f>
        <v>7935000000</v>
      </c>
      <c r="Q451" s="2684"/>
      <c r="R451" s="2662">
        <f>R452</f>
        <v>40632300</v>
      </c>
      <c r="S451" s="2501"/>
      <c r="T451" s="2664">
        <f>T452</f>
        <v>2869493650</v>
      </c>
      <c r="U451" s="2502"/>
      <c r="V451" s="2664">
        <f>V452</f>
        <v>4680307900</v>
      </c>
      <c r="W451" s="2502"/>
      <c r="X451" s="2502"/>
      <c r="Y451" s="2509">
        <f t="shared" si="127"/>
        <v>0</v>
      </c>
      <c r="Z451" s="2445">
        <f t="shared" si="128"/>
        <v>7590433850</v>
      </c>
      <c r="AA451" s="2795">
        <f t="shared" si="132"/>
        <v>10</v>
      </c>
      <c r="AB451" s="2445">
        <f t="shared" si="132"/>
        <v>17367129850</v>
      </c>
      <c r="AC451" s="2751">
        <f t="shared" si="131"/>
        <v>10.398253093480294</v>
      </c>
      <c r="AD451" s="2790">
        <f t="shared" si="133"/>
        <v>21.144718364733013</v>
      </c>
      <c r="AE451" s="4007" t="s">
        <v>2978</v>
      </c>
    </row>
    <row r="452" spans="1:31" s="4079" customFormat="1" ht="75" customHeight="1">
      <c r="A452" s="372"/>
      <c r="B452" s="372"/>
      <c r="C452" s="2784" t="s">
        <v>146</v>
      </c>
      <c r="D452" s="2784"/>
      <c r="E452" s="2784" t="s">
        <v>66</v>
      </c>
      <c r="F452" s="2784" t="s">
        <v>196</v>
      </c>
      <c r="G452" s="2784" t="s">
        <v>166</v>
      </c>
      <c r="H452" s="2784" t="s">
        <v>2403</v>
      </c>
      <c r="I452" s="1936" t="s">
        <v>2984</v>
      </c>
      <c r="J452" s="1936" t="s">
        <v>2985</v>
      </c>
      <c r="K452" s="2736">
        <v>96.17</v>
      </c>
      <c r="L452" s="2785">
        <v>82134600000</v>
      </c>
      <c r="M452" s="2736">
        <v>10</v>
      </c>
      <c r="N452" s="2796">
        <v>9776696000</v>
      </c>
      <c r="O452" s="2736">
        <f>O451</f>
        <v>8</v>
      </c>
      <c r="P452" s="2786">
        <v>7935000000</v>
      </c>
      <c r="Q452" s="2791"/>
      <c r="R452" s="2786">
        <v>40632300</v>
      </c>
      <c r="S452" s="233">
        <v>0</v>
      </c>
      <c r="T452" s="2912">
        <v>2869493650</v>
      </c>
      <c r="U452" s="2736">
        <v>8</v>
      </c>
      <c r="V452" s="2648">
        <f>7549801550-T452</f>
        <v>4680307900</v>
      </c>
      <c r="W452" s="372"/>
      <c r="X452" s="372"/>
      <c r="Y452" s="2797">
        <f t="shared" si="127"/>
        <v>8</v>
      </c>
      <c r="Z452" s="2401">
        <f t="shared" si="128"/>
        <v>7590433850</v>
      </c>
      <c r="AA452" s="2736">
        <f t="shared" si="132"/>
        <v>18</v>
      </c>
      <c r="AB452" s="2401">
        <f t="shared" si="132"/>
        <v>17367129850</v>
      </c>
      <c r="AC452" s="2737">
        <f t="shared" si="131"/>
        <v>18.716855568264531</v>
      </c>
      <c r="AD452" s="2788">
        <f t="shared" si="133"/>
        <v>21.144718364733013</v>
      </c>
      <c r="AE452" s="371"/>
    </row>
    <row r="453" spans="1:31" s="4079" customFormat="1" ht="52.5" customHeight="1">
      <c r="A453" s="2502">
        <v>5</v>
      </c>
      <c r="B453" s="2502"/>
      <c r="C453" s="2781" t="s">
        <v>146</v>
      </c>
      <c r="D453" s="2781"/>
      <c r="E453" s="2781" t="s">
        <v>66</v>
      </c>
      <c r="F453" s="2781" t="s">
        <v>196</v>
      </c>
      <c r="G453" s="2781" t="s">
        <v>368</v>
      </c>
      <c r="H453" s="2640"/>
      <c r="I453" s="4005" t="s">
        <v>2986</v>
      </c>
      <c r="J453" s="4005" t="s">
        <v>3231</v>
      </c>
      <c r="K453" s="2502">
        <v>1</v>
      </c>
      <c r="L453" s="2794">
        <f>L454</f>
        <v>500000000</v>
      </c>
      <c r="M453" s="2502">
        <v>0</v>
      </c>
      <c r="N453" s="2662"/>
      <c r="O453" s="2502">
        <v>1</v>
      </c>
      <c r="P453" s="2662">
        <f>P454</f>
        <v>500000000</v>
      </c>
      <c r="Q453" s="2509">
        <v>0</v>
      </c>
      <c r="R453" s="2662">
        <f>R454</f>
        <v>0</v>
      </c>
      <c r="S453" s="2501"/>
      <c r="T453" s="2913">
        <f>T454</f>
        <v>142701000</v>
      </c>
      <c r="U453" s="2502">
        <f>U454</f>
        <v>1</v>
      </c>
      <c r="V453" s="2913">
        <f>V454</f>
        <v>464760000</v>
      </c>
      <c r="W453" s="2502"/>
      <c r="X453" s="2502"/>
      <c r="Y453" s="2509">
        <f t="shared" si="127"/>
        <v>1</v>
      </c>
      <c r="Z453" s="2445">
        <f t="shared" si="128"/>
        <v>607461000</v>
      </c>
      <c r="AA453" s="2789">
        <f t="shared" si="132"/>
        <v>1</v>
      </c>
      <c r="AB453" s="2445">
        <f t="shared" si="132"/>
        <v>607461000</v>
      </c>
      <c r="AC453" s="2751">
        <f t="shared" si="131"/>
        <v>100</v>
      </c>
      <c r="AD453" s="2751">
        <f t="shared" si="133"/>
        <v>121.49220000000001</v>
      </c>
      <c r="AE453" s="4007" t="s">
        <v>2978</v>
      </c>
    </row>
    <row r="454" spans="1:31" s="4079" customFormat="1" ht="63" customHeight="1">
      <c r="A454" s="372"/>
      <c r="B454" s="372"/>
      <c r="C454" s="2784" t="s">
        <v>146</v>
      </c>
      <c r="D454" s="2784"/>
      <c r="E454" s="2784" t="s">
        <v>66</v>
      </c>
      <c r="F454" s="2784" t="s">
        <v>196</v>
      </c>
      <c r="G454" s="2784" t="s">
        <v>368</v>
      </c>
      <c r="H454" s="2784" t="s">
        <v>373</v>
      </c>
      <c r="I454" s="1936" t="s">
        <v>2987</v>
      </c>
      <c r="J454" s="1936" t="s">
        <v>3744</v>
      </c>
      <c r="K454" s="2736">
        <v>1</v>
      </c>
      <c r="L454" s="2785">
        <v>500000000</v>
      </c>
      <c r="M454" s="2736"/>
      <c r="N454" s="2796"/>
      <c r="O454" s="2736">
        <v>1</v>
      </c>
      <c r="P454" s="2786">
        <v>500000000</v>
      </c>
      <c r="Q454" s="2791"/>
      <c r="R454" s="2796"/>
      <c r="S454" s="286"/>
      <c r="T454" s="2912">
        <v>142701000</v>
      </c>
      <c r="U454" s="2736">
        <v>1</v>
      </c>
      <c r="V454" s="2912">
        <v>464760000</v>
      </c>
      <c r="W454" s="372"/>
      <c r="X454" s="372"/>
      <c r="Y454" s="2785">
        <f t="shared" si="127"/>
        <v>1</v>
      </c>
      <c r="Z454" s="2268">
        <f t="shared" si="128"/>
        <v>607461000</v>
      </c>
      <c r="AA454" s="2736">
        <v>1</v>
      </c>
      <c r="AB454" s="2401">
        <f t="shared" ref="AB454:AB461" si="134">N454+Z454</f>
        <v>607461000</v>
      </c>
      <c r="AC454" s="2736">
        <f t="shared" si="131"/>
        <v>100</v>
      </c>
      <c r="AD454" s="2788">
        <f t="shared" si="133"/>
        <v>121.49220000000001</v>
      </c>
      <c r="AE454" s="371"/>
    </row>
    <row r="455" spans="1:31" s="4079" customFormat="1" ht="35.25" customHeight="1">
      <c r="A455" s="2502">
        <v>6</v>
      </c>
      <c r="B455" s="2502"/>
      <c r="C455" s="2781" t="s">
        <v>146</v>
      </c>
      <c r="D455" s="2781"/>
      <c r="E455" s="2781" t="s">
        <v>66</v>
      </c>
      <c r="F455" s="2781" t="s">
        <v>196</v>
      </c>
      <c r="G455" s="2781" t="s">
        <v>373</v>
      </c>
      <c r="H455" s="2640"/>
      <c r="I455" s="4005" t="s">
        <v>2988</v>
      </c>
      <c r="J455" s="4005" t="s">
        <v>3232</v>
      </c>
      <c r="K455" s="2502">
        <v>120</v>
      </c>
      <c r="L455" s="2662">
        <f>SUM(L456:L458)</f>
        <v>700000000</v>
      </c>
      <c r="M455" s="2502">
        <v>30</v>
      </c>
      <c r="N455" s="2662">
        <v>300000000</v>
      </c>
      <c r="O455" s="2502">
        <v>20</v>
      </c>
      <c r="P455" s="2662">
        <f>SUM(P456:P458)</f>
        <v>289437500</v>
      </c>
      <c r="Q455" s="2684"/>
      <c r="R455" s="2662">
        <f>SUM(R456:R458)</f>
        <v>7863000</v>
      </c>
      <c r="S455" s="2501"/>
      <c r="T455" s="2662">
        <f>SUM(T456:T458)</f>
        <v>79102100</v>
      </c>
      <c r="U455" s="2502"/>
      <c r="V455" s="2662">
        <f>SUM(V456:V458)</f>
        <v>158160700</v>
      </c>
      <c r="W455" s="2502"/>
      <c r="X455" s="2502"/>
      <c r="Y455" s="2752">
        <f t="shared" si="127"/>
        <v>0</v>
      </c>
      <c r="Z455" s="2445">
        <f t="shared" si="128"/>
        <v>245125800</v>
      </c>
      <c r="AA455" s="2612">
        <f>M455+Y455</f>
        <v>30</v>
      </c>
      <c r="AB455" s="2445">
        <f t="shared" si="134"/>
        <v>545125800</v>
      </c>
      <c r="AC455" s="2509">
        <f t="shared" si="131"/>
        <v>25</v>
      </c>
      <c r="AD455" s="2751">
        <f t="shared" si="133"/>
        <v>77.87511428571429</v>
      </c>
      <c r="AE455" s="4007" t="s">
        <v>2978</v>
      </c>
    </row>
    <row r="456" spans="1:31" s="4079" customFormat="1" ht="49.5" customHeight="1">
      <c r="A456" s="372"/>
      <c r="B456" s="372"/>
      <c r="C456" s="2784" t="s">
        <v>146</v>
      </c>
      <c r="D456" s="2784"/>
      <c r="E456" s="2784" t="s">
        <v>66</v>
      </c>
      <c r="F456" s="2784" t="s">
        <v>196</v>
      </c>
      <c r="G456" s="2784" t="s">
        <v>373</v>
      </c>
      <c r="H456" s="2784" t="s">
        <v>65</v>
      </c>
      <c r="I456" s="1936" t="s">
        <v>2989</v>
      </c>
      <c r="J456" s="1936" t="s">
        <v>2990</v>
      </c>
      <c r="K456" s="2786">
        <v>1</v>
      </c>
      <c r="L456" s="2785">
        <v>200000000</v>
      </c>
      <c r="M456" s="2786"/>
      <c r="N456" s="2786"/>
      <c r="O456" s="2786">
        <v>1</v>
      </c>
      <c r="P456" s="2786">
        <v>200000000</v>
      </c>
      <c r="Q456" s="2791"/>
      <c r="R456" s="2786">
        <v>1803000</v>
      </c>
      <c r="S456" s="286"/>
      <c r="T456" s="2912">
        <v>66674100</v>
      </c>
      <c r="U456" s="233">
        <v>1</v>
      </c>
      <c r="V456" s="2912">
        <f>193003000-T456</f>
        <v>126328900</v>
      </c>
      <c r="W456" s="372"/>
      <c r="X456" s="372"/>
      <c r="Y456" s="2787">
        <f t="shared" si="127"/>
        <v>1</v>
      </c>
      <c r="Z456" s="2401">
        <f t="shared" si="128"/>
        <v>194806000</v>
      </c>
      <c r="AA456" s="2736">
        <v>1</v>
      </c>
      <c r="AB456" s="2401">
        <f t="shared" si="134"/>
        <v>194806000</v>
      </c>
      <c r="AC456" s="2736">
        <f t="shared" si="131"/>
        <v>100</v>
      </c>
      <c r="AD456" s="2788">
        <f t="shared" si="133"/>
        <v>97.402999999999992</v>
      </c>
      <c r="AE456" s="371"/>
    </row>
    <row r="457" spans="1:31" s="4079" customFormat="1" ht="123" customHeight="1">
      <c r="A457" s="372"/>
      <c r="B457" s="372"/>
      <c r="C457" s="2784" t="s">
        <v>146</v>
      </c>
      <c r="D457" s="2784"/>
      <c r="E457" s="2784" t="s">
        <v>66</v>
      </c>
      <c r="F457" s="2784" t="s">
        <v>196</v>
      </c>
      <c r="G457" s="2784" t="s">
        <v>373</v>
      </c>
      <c r="H457" s="2784" t="s">
        <v>2991</v>
      </c>
      <c r="I457" s="1936" t="s">
        <v>2992</v>
      </c>
      <c r="J457" s="1936" t="s">
        <v>3654</v>
      </c>
      <c r="K457" s="2786">
        <v>48</v>
      </c>
      <c r="L457" s="2785">
        <f>50000000*5</f>
        <v>250000000</v>
      </c>
      <c r="M457" s="2786"/>
      <c r="N457" s="2786"/>
      <c r="O457" s="2786">
        <v>12</v>
      </c>
      <c r="P457" s="2786">
        <v>46037500</v>
      </c>
      <c r="Q457" s="2787">
        <v>3</v>
      </c>
      <c r="R457" s="2786">
        <v>4958000</v>
      </c>
      <c r="S457" s="233">
        <v>3</v>
      </c>
      <c r="T457" s="2912">
        <v>11326000</v>
      </c>
      <c r="U457" s="233">
        <v>9</v>
      </c>
      <c r="V457" s="2912">
        <v>26358800</v>
      </c>
      <c r="W457" s="372"/>
      <c r="X457" s="372"/>
      <c r="Y457" s="2787">
        <f t="shared" si="127"/>
        <v>15</v>
      </c>
      <c r="Z457" s="2401">
        <f t="shared" si="128"/>
        <v>42642800</v>
      </c>
      <c r="AA457" s="2736">
        <f>M457+Y457</f>
        <v>15</v>
      </c>
      <c r="AB457" s="2401">
        <f t="shared" si="134"/>
        <v>42642800</v>
      </c>
      <c r="AC457" s="2736">
        <f t="shared" si="131"/>
        <v>31.25</v>
      </c>
      <c r="AD457" s="2788">
        <f t="shared" si="133"/>
        <v>17.057120000000001</v>
      </c>
      <c r="AE457" s="371"/>
    </row>
    <row r="458" spans="1:31" s="4079" customFormat="1" ht="72" customHeight="1">
      <c r="A458" s="372"/>
      <c r="B458" s="372"/>
      <c r="C458" s="2784" t="s">
        <v>146</v>
      </c>
      <c r="D458" s="2784"/>
      <c r="E458" s="2784" t="s">
        <v>66</v>
      </c>
      <c r="F458" s="2784" t="s">
        <v>196</v>
      </c>
      <c r="G458" s="2784" t="s">
        <v>373</v>
      </c>
      <c r="H458" s="2784" t="s">
        <v>2910</v>
      </c>
      <c r="I458" s="1936" t="s">
        <v>2993</v>
      </c>
      <c r="J458" s="1936" t="s">
        <v>3655</v>
      </c>
      <c r="K458" s="2786">
        <v>300</v>
      </c>
      <c r="L458" s="2785">
        <f>5*50000000</f>
        <v>250000000</v>
      </c>
      <c r="M458" s="2786"/>
      <c r="N458" s="2786"/>
      <c r="O458" s="2786">
        <v>50</v>
      </c>
      <c r="P458" s="2786">
        <v>43400000</v>
      </c>
      <c r="Q458" s="2791"/>
      <c r="R458" s="2786">
        <v>1102000</v>
      </c>
      <c r="S458" s="286"/>
      <c r="T458" s="2912">
        <v>1102000</v>
      </c>
      <c r="U458" s="286"/>
      <c r="V458" s="2912">
        <v>5473000</v>
      </c>
      <c r="W458" s="372"/>
      <c r="X458" s="372"/>
      <c r="Y458" s="2787">
        <f t="shared" si="127"/>
        <v>0</v>
      </c>
      <c r="Z458" s="2401">
        <f t="shared" si="128"/>
        <v>7677000</v>
      </c>
      <c r="AA458" s="2736"/>
      <c r="AB458" s="2401">
        <f t="shared" si="134"/>
        <v>7677000</v>
      </c>
      <c r="AC458" s="2736">
        <f t="shared" si="131"/>
        <v>0</v>
      </c>
      <c r="AD458" s="2788">
        <f t="shared" si="133"/>
        <v>3.0707999999999998</v>
      </c>
      <c r="AE458" s="371"/>
    </row>
    <row r="459" spans="1:31" s="4079" customFormat="1" ht="53.25" customHeight="1">
      <c r="A459" s="2502">
        <v>7</v>
      </c>
      <c r="B459" s="2502"/>
      <c r="C459" s="2781" t="s">
        <v>146</v>
      </c>
      <c r="D459" s="2781"/>
      <c r="E459" s="2781" t="s">
        <v>66</v>
      </c>
      <c r="F459" s="2781" t="s">
        <v>95</v>
      </c>
      <c r="G459" s="2640">
        <v>15</v>
      </c>
      <c r="H459" s="2640"/>
      <c r="I459" s="4005" t="s">
        <v>2994</v>
      </c>
      <c r="J459" s="4005" t="s">
        <v>3233</v>
      </c>
      <c r="K459" s="2502">
        <v>71.430000000000007</v>
      </c>
      <c r="L459" s="2662">
        <f>SUM(L460:L470)</f>
        <v>33207695850</v>
      </c>
      <c r="M459" s="2502">
        <v>16.66</v>
      </c>
      <c r="N459" s="2662">
        <f>SUM(N460:N470)</f>
        <v>1891938486</v>
      </c>
      <c r="O459" s="2502">
        <v>10</v>
      </c>
      <c r="P459" s="2662">
        <f>SUM(P460:P470)</f>
        <v>6922096960</v>
      </c>
      <c r="Q459" s="2509">
        <v>0</v>
      </c>
      <c r="R459" s="2662">
        <f>SUM(R460:R470)</f>
        <v>62848500</v>
      </c>
      <c r="S459" s="2501">
        <v>0</v>
      </c>
      <c r="T459" s="2664">
        <f>SUM(T460:T470)</f>
        <v>954265312</v>
      </c>
      <c r="U459" s="2502"/>
      <c r="V459" s="2664">
        <f>SUM(V460:V470)</f>
        <v>1578069621</v>
      </c>
      <c r="W459" s="2502"/>
      <c r="X459" s="2502"/>
      <c r="Y459" s="2509">
        <f t="shared" si="127"/>
        <v>0</v>
      </c>
      <c r="Z459" s="2445">
        <f t="shared" si="128"/>
        <v>2595183433</v>
      </c>
      <c r="AA459" s="2612">
        <f>M459+Y459</f>
        <v>16.66</v>
      </c>
      <c r="AB459" s="2445">
        <f t="shared" si="134"/>
        <v>4487121919</v>
      </c>
      <c r="AC459" s="2751">
        <f t="shared" si="131"/>
        <v>23.323533529329413</v>
      </c>
      <c r="AD459" s="2790">
        <f t="shared" si="133"/>
        <v>13.512295280191806</v>
      </c>
      <c r="AE459" s="4007" t="s">
        <v>2978</v>
      </c>
    </row>
    <row r="460" spans="1:31" s="4079" customFormat="1" ht="61.5" customHeight="1">
      <c r="A460" s="372"/>
      <c r="B460" s="372"/>
      <c r="C460" s="2784" t="s">
        <v>146</v>
      </c>
      <c r="D460" s="2784"/>
      <c r="E460" s="2784" t="s">
        <v>66</v>
      </c>
      <c r="F460" s="2784" t="s">
        <v>95</v>
      </c>
      <c r="G460" s="2783">
        <v>15</v>
      </c>
      <c r="H460" s="2784" t="s">
        <v>417</v>
      </c>
      <c r="I460" s="1936" t="s">
        <v>2995</v>
      </c>
      <c r="J460" s="1936" t="s">
        <v>3656</v>
      </c>
      <c r="K460" s="2736">
        <v>60</v>
      </c>
      <c r="L460" s="2785">
        <v>848816400</v>
      </c>
      <c r="M460" s="2736">
        <v>12</v>
      </c>
      <c r="N460" s="2786">
        <v>152523536</v>
      </c>
      <c r="O460" s="2736">
        <v>12</v>
      </c>
      <c r="P460" s="2786">
        <v>168816400</v>
      </c>
      <c r="Q460" s="2787">
        <v>3</v>
      </c>
      <c r="R460" s="2786">
        <v>13954000</v>
      </c>
      <c r="S460" s="233">
        <v>3</v>
      </c>
      <c r="T460" s="2912">
        <v>31155600</v>
      </c>
      <c r="U460" s="233">
        <v>9</v>
      </c>
      <c r="V460" s="2912">
        <v>68695100</v>
      </c>
      <c r="W460" s="372"/>
      <c r="X460" s="372"/>
      <c r="Y460" s="2787">
        <f t="shared" si="127"/>
        <v>15</v>
      </c>
      <c r="Z460" s="2401">
        <f t="shared" si="128"/>
        <v>113804700</v>
      </c>
      <c r="AA460" s="2736">
        <f>M460+Y460</f>
        <v>27</v>
      </c>
      <c r="AB460" s="2401">
        <f t="shared" si="134"/>
        <v>266328236</v>
      </c>
      <c r="AC460" s="2736">
        <f t="shared" si="131"/>
        <v>45</v>
      </c>
      <c r="AD460" s="2788">
        <f t="shared" si="133"/>
        <v>31.376424395193119</v>
      </c>
      <c r="AE460" s="371"/>
    </row>
    <row r="461" spans="1:31" s="4079" customFormat="1" ht="47.25" customHeight="1">
      <c r="A461" s="372"/>
      <c r="B461" s="372"/>
      <c r="C461" s="2784" t="s">
        <v>146</v>
      </c>
      <c r="D461" s="2784"/>
      <c r="E461" s="2784" t="s">
        <v>66</v>
      </c>
      <c r="F461" s="2784" t="s">
        <v>95</v>
      </c>
      <c r="G461" s="2783">
        <v>15</v>
      </c>
      <c r="H461" s="2784" t="s">
        <v>391</v>
      </c>
      <c r="I461" s="1936" t="s">
        <v>2996</v>
      </c>
      <c r="J461" s="1936" t="s">
        <v>3745</v>
      </c>
      <c r="K461" s="2736">
        <v>20</v>
      </c>
      <c r="L461" s="2785">
        <v>4000000000</v>
      </c>
      <c r="M461" s="2736">
        <v>3</v>
      </c>
      <c r="N461" s="2786">
        <v>679676550</v>
      </c>
      <c r="O461" s="2736">
        <v>4</v>
      </c>
      <c r="P461" s="2786">
        <v>650000000</v>
      </c>
      <c r="Q461" s="2787"/>
      <c r="R461" s="2786">
        <v>8620100</v>
      </c>
      <c r="S461" s="233">
        <v>4</v>
      </c>
      <c r="T461" s="2912">
        <v>533198207</v>
      </c>
      <c r="U461" s="233">
        <v>4</v>
      </c>
      <c r="V461" s="2912">
        <v>597772900</v>
      </c>
      <c r="W461" s="372"/>
      <c r="X461" s="372"/>
      <c r="Y461" s="2787">
        <f t="shared" si="127"/>
        <v>8</v>
      </c>
      <c r="Z461" s="2401">
        <f t="shared" si="128"/>
        <v>1139591207</v>
      </c>
      <c r="AA461" s="2736">
        <f>M461+Y461</f>
        <v>11</v>
      </c>
      <c r="AB461" s="2401">
        <f t="shared" si="134"/>
        <v>1819267757</v>
      </c>
      <c r="AC461" s="2736">
        <f t="shared" si="131"/>
        <v>55.000000000000007</v>
      </c>
      <c r="AD461" s="2788">
        <f t="shared" si="133"/>
        <v>45.481693925000002</v>
      </c>
      <c r="AE461" s="371"/>
    </row>
    <row r="462" spans="1:31" s="2806" customFormat="1" ht="62.25" customHeight="1">
      <c r="A462" s="372"/>
      <c r="B462" s="372"/>
      <c r="C462" s="2784" t="s">
        <v>146</v>
      </c>
      <c r="D462" s="2784"/>
      <c r="E462" s="2784" t="s">
        <v>66</v>
      </c>
      <c r="F462" s="2784" t="s">
        <v>95</v>
      </c>
      <c r="G462" s="2783">
        <v>15</v>
      </c>
      <c r="H462" s="2784" t="s">
        <v>396</v>
      </c>
      <c r="I462" s="1936" t="s">
        <v>2997</v>
      </c>
      <c r="J462" s="1936" t="s">
        <v>3746</v>
      </c>
      <c r="K462" s="2736">
        <v>1</v>
      </c>
      <c r="L462" s="2785">
        <v>500000000</v>
      </c>
      <c r="M462" s="2736"/>
      <c r="N462" s="2786"/>
      <c r="O462" s="2736">
        <v>1</v>
      </c>
      <c r="P462" s="2786">
        <v>500000000</v>
      </c>
      <c r="Q462" s="2787"/>
      <c r="R462" s="2786">
        <v>229400</v>
      </c>
      <c r="S462" s="233"/>
      <c r="T462" s="2912">
        <v>96837800</v>
      </c>
      <c r="U462" s="233"/>
      <c r="V462" s="2912">
        <v>212431400</v>
      </c>
      <c r="W462" s="372"/>
      <c r="X462" s="372"/>
      <c r="Y462" s="2787">
        <f t="shared" si="127"/>
        <v>0</v>
      </c>
      <c r="Z462" s="2401">
        <f t="shared" si="128"/>
        <v>309498600</v>
      </c>
      <c r="AA462" s="2736"/>
      <c r="AB462" s="2401">
        <f t="shared" ref="AB462:AB471" si="135">N462+Z462</f>
        <v>309498600</v>
      </c>
      <c r="AC462" s="2736">
        <f t="shared" si="131"/>
        <v>0</v>
      </c>
      <c r="AD462" s="2788">
        <f t="shared" si="133"/>
        <v>61.899720000000002</v>
      </c>
      <c r="AE462" s="371"/>
    </row>
    <row r="463" spans="1:31" s="2806" customFormat="1" ht="66" customHeight="1">
      <c r="A463" s="372"/>
      <c r="B463" s="372"/>
      <c r="C463" s="2784" t="s">
        <v>146</v>
      </c>
      <c r="D463" s="2784"/>
      <c r="E463" s="2784" t="s">
        <v>66</v>
      </c>
      <c r="F463" s="2784" t="s">
        <v>95</v>
      </c>
      <c r="G463" s="2783">
        <v>15</v>
      </c>
      <c r="H463" s="2784" t="s">
        <v>155</v>
      </c>
      <c r="I463" s="1936" t="s">
        <v>2998</v>
      </c>
      <c r="J463" s="1936" t="s">
        <v>3747</v>
      </c>
      <c r="K463" s="2736">
        <v>6</v>
      </c>
      <c r="L463" s="2785">
        <v>1621658550</v>
      </c>
      <c r="M463" s="2736">
        <v>1</v>
      </c>
      <c r="N463" s="2786">
        <v>118436150</v>
      </c>
      <c r="O463" s="2736">
        <v>1</v>
      </c>
      <c r="P463" s="2786">
        <v>61007900</v>
      </c>
      <c r="Q463" s="2919">
        <v>0</v>
      </c>
      <c r="R463" s="2786">
        <v>11123500</v>
      </c>
      <c r="S463" s="233"/>
      <c r="T463" s="2912">
        <v>24483500</v>
      </c>
      <c r="U463" s="233">
        <v>1</v>
      </c>
      <c r="V463" s="2912">
        <v>24713100</v>
      </c>
      <c r="W463" s="372"/>
      <c r="X463" s="372"/>
      <c r="Y463" s="2798">
        <f t="shared" si="127"/>
        <v>1</v>
      </c>
      <c r="Z463" s="2401">
        <f t="shared" si="128"/>
        <v>60320100</v>
      </c>
      <c r="AA463" s="2736">
        <f t="shared" ref="AA463:AA469" si="136">M463+Y463</f>
        <v>2</v>
      </c>
      <c r="AB463" s="2401">
        <f t="shared" si="135"/>
        <v>178756250</v>
      </c>
      <c r="AC463" s="2736">
        <f t="shared" si="131"/>
        <v>33.333333333333329</v>
      </c>
      <c r="AD463" s="2788">
        <f t="shared" si="133"/>
        <v>11.023051060903049</v>
      </c>
      <c r="AE463" s="371"/>
    </row>
    <row r="464" spans="1:31" s="2806" customFormat="1" ht="53.25" customHeight="1">
      <c r="A464" s="372"/>
      <c r="B464" s="372"/>
      <c r="C464" s="2784" t="s">
        <v>146</v>
      </c>
      <c r="D464" s="2784"/>
      <c r="E464" s="2784" t="s">
        <v>66</v>
      </c>
      <c r="F464" s="2784" t="s">
        <v>95</v>
      </c>
      <c r="G464" s="2783">
        <v>15</v>
      </c>
      <c r="H464" s="2784" t="s">
        <v>166</v>
      </c>
      <c r="I464" s="1936" t="s">
        <v>2999</v>
      </c>
      <c r="J464" s="1936" t="s">
        <v>3657</v>
      </c>
      <c r="K464" s="2736">
        <v>2</v>
      </c>
      <c r="L464" s="2785">
        <v>420000000</v>
      </c>
      <c r="M464" s="2736">
        <v>1</v>
      </c>
      <c r="N464" s="2786">
        <v>217659750</v>
      </c>
      <c r="O464" s="2736">
        <v>1</v>
      </c>
      <c r="P464" s="2786">
        <v>200000000</v>
      </c>
      <c r="Q464" s="2787"/>
      <c r="R464" s="2786">
        <v>1903000</v>
      </c>
      <c r="S464" s="233"/>
      <c r="T464" s="2912">
        <v>9669700</v>
      </c>
      <c r="U464" s="233"/>
      <c r="V464" s="2912">
        <v>65466700</v>
      </c>
      <c r="W464" s="372"/>
      <c r="X464" s="372"/>
      <c r="Y464" s="2787">
        <f t="shared" si="127"/>
        <v>0</v>
      </c>
      <c r="Z464" s="2401">
        <f t="shared" si="128"/>
        <v>77039400</v>
      </c>
      <c r="AA464" s="2736">
        <f t="shared" si="136"/>
        <v>1</v>
      </c>
      <c r="AB464" s="2401">
        <f t="shared" si="135"/>
        <v>294699150</v>
      </c>
      <c r="AC464" s="2736">
        <f t="shared" si="131"/>
        <v>50</v>
      </c>
      <c r="AD464" s="2788">
        <f t="shared" si="133"/>
        <v>70.166464285714284</v>
      </c>
      <c r="AE464" s="371"/>
    </row>
    <row r="465" spans="1:76" s="2806" customFormat="1" ht="48.75" customHeight="1">
      <c r="A465" s="2736"/>
      <c r="B465" s="2736"/>
      <c r="C465" s="2784" t="s">
        <v>146</v>
      </c>
      <c r="D465" s="2784"/>
      <c r="E465" s="2784" t="s">
        <v>66</v>
      </c>
      <c r="F465" s="2784" t="s">
        <v>95</v>
      </c>
      <c r="G465" s="2783">
        <v>15</v>
      </c>
      <c r="H465" s="2784" t="s">
        <v>448</v>
      </c>
      <c r="I465" s="1936" t="s">
        <v>3000</v>
      </c>
      <c r="J465" s="1936" t="s">
        <v>3001</v>
      </c>
      <c r="K465" s="2736">
        <v>828</v>
      </c>
      <c r="L465" s="2785">
        <v>19846674500</v>
      </c>
      <c r="M465" s="2736">
        <v>28</v>
      </c>
      <c r="N465" s="2786">
        <v>723642500</v>
      </c>
      <c r="O465" s="2736">
        <v>200</v>
      </c>
      <c r="P465" s="2786">
        <v>4246674500</v>
      </c>
      <c r="Q465" s="2787"/>
      <c r="R465" s="2786">
        <v>1727500</v>
      </c>
      <c r="S465" s="3380"/>
      <c r="T465" s="2910">
        <v>34212205</v>
      </c>
      <c r="U465" s="3380"/>
      <c r="V465" s="2910">
        <v>130398501</v>
      </c>
      <c r="W465" s="2736"/>
      <c r="X465" s="2736"/>
      <c r="Y465" s="2787">
        <f t="shared" si="127"/>
        <v>0</v>
      </c>
      <c r="Z465" s="2401">
        <f t="shared" si="128"/>
        <v>166338206</v>
      </c>
      <c r="AA465" s="2736">
        <f t="shared" si="136"/>
        <v>28</v>
      </c>
      <c r="AB465" s="2401">
        <f t="shared" si="135"/>
        <v>889980706</v>
      </c>
      <c r="AC465" s="2736">
        <f t="shared" si="131"/>
        <v>3.3816425120772946</v>
      </c>
      <c r="AD465" s="2788">
        <f t="shared" si="133"/>
        <v>4.4842812633421287</v>
      </c>
      <c r="AE465" s="2783"/>
    </row>
    <row r="466" spans="1:76" s="2806" customFormat="1" ht="69" customHeight="1">
      <c r="A466" s="2736"/>
      <c r="B466" s="2736"/>
      <c r="C466" s="2784" t="s">
        <v>146</v>
      </c>
      <c r="D466" s="2784"/>
      <c r="E466" s="2784" t="s">
        <v>66</v>
      </c>
      <c r="F466" s="2784" t="s">
        <v>95</v>
      </c>
      <c r="G466" s="2783">
        <v>15</v>
      </c>
      <c r="H466" s="2784" t="s">
        <v>67</v>
      </c>
      <c r="I466" s="1936" t="s">
        <v>3002</v>
      </c>
      <c r="J466" s="1936" t="s">
        <v>3748</v>
      </c>
      <c r="K466" s="2736">
        <v>1</v>
      </c>
      <c r="L466" s="2785">
        <v>880000000</v>
      </c>
      <c r="M466" s="2736"/>
      <c r="N466" s="2786"/>
      <c r="O466" s="2736">
        <v>1</v>
      </c>
      <c r="P466" s="2786">
        <v>862150000</v>
      </c>
      <c r="Q466" s="2787"/>
      <c r="R466" s="2786">
        <v>2694400</v>
      </c>
      <c r="S466" s="3380"/>
      <c r="T466" s="2910">
        <v>172491500</v>
      </c>
      <c r="U466" s="3380">
        <v>0.5</v>
      </c>
      <c r="V466" s="2910">
        <v>373380340</v>
      </c>
      <c r="W466" s="2736"/>
      <c r="X466" s="2736"/>
      <c r="Y466" s="2737">
        <f t="shared" si="127"/>
        <v>0.5</v>
      </c>
      <c r="Z466" s="2401">
        <f t="shared" si="128"/>
        <v>548566240</v>
      </c>
      <c r="AA466" s="2736">
        <f t="shared" si="136"/>
        <v>0.5</v>
      </c>
      <c r="AB466" s="2401">
        <f t="shared" si="135"/>
        <v>548566240</v>
      </c>
      <c r="AC466" s="2737">
        <f t="shared" si="131"/>
        <v>50</v>
      </c>
      <c r="AD466" s="2788">
        <f t="shared" si="133"/>
        <v>62.337072727272727</v>
      </c>
      <c r="AE466" s="2783"/>
    </row>
    <row r="467" spans="1:76" s="2806" customFormat="1" ht="58.5" customHeight="1">
      <c r="A467" s="2736"/>
      <c r="B467" s="2736"/>
      <c r="C467" s="2784" t="s">
        <v>146</v>
      </c>
      <c r="D467" s="2784"/>
      <c r="E467" s="2784" t="s">
        <v>66</v>
      </c>
      <c r="F467" s="2784" t="s">
        <v>95</v>
      </c>
      <c r="G467" s="2783">
        <v>15</v>
      </c>
      <c r="H467" s="2784" t="s">
        <v>163</v>
      </c>
      <c r="I467" s="1936" t="s">
        <v>3003</v>
      </c>
      <c r="J467" s="1936" t="s">
        <v>3004</v>
      </c>
      <c r="K467" s="2736">
        <v>48</v>
      </c>
      <c r="L467" s="2785">
        <v>302098400</v>
      </c>
      <c r="M467" s="2736"/>
      <c r="N467" s="2786"/>
      <c r="O467" s="2736">
        <v>12</v>
      </c>
      <c r="P467" s="2786">
        <v>62098400</v>
      </c>
      <c r="Q467" s="2787">
        <v>3</v>
      </c>
      <c r="R467" s="2786">
        <v>3307000</v>
      </c>
      <c r="S467" s="3380">
        <v>3</v>
      </c>
      <c r="T467" s="2910">
        <v>22873100</v>
      </c>
      <c r="U467" s="3380">
        <v>9</v>
      </c>
      <c r="V467" s="2910">
        <v>45765100</v>
      </c>
      <c r="W467" s="2736"/>
      <c r="X467" s="2736"/>
      <c r="Y467" s="2787">
        <f t="shared" si="127"/>
        <v>15</v>
      </c>
      <c r="Z467" s="2401">
        <f t="shared" si="128"/>
        <v>71945200</v>
      </c>
      <c r="AA467" s="2736">
        <f t="shared" si="136"/>
        <v>15</v>
      </c>
      <c r="AB467" s="2401">
        <f t="shared" si="135"/>
        <v>71945200</v>
      </c>
      <c r="AC467" s="2736">
        <f t="shared" si="131"/>
        <v>31.25</v>
      </c>
      <c r="AD467" s="2788">
        <f t="shared" si="133"/>
        <v>23.815154267616116</v>
      </c>
      <c r="AE467" s="2783"/>
    </row>
    <row r="468" spans="1:76" s="2806" customFormat="1" ht="63" customHeight="1">
      <c r="A468" s="2736"/>
      <c r="B468" s="2736"/>
      <c r="C468" s="2784" t="s">
        <v>146</v>
      </c>
      <c r="D468" s="2784"/>
      <c r="E468" s="2784" t="s">
        <v>66</v>
      </c>
      <c r="F468" s="2784" t="s">
        <v>95</v>
      </c>
      <c r="G468" s="2783">
        <v>15</v>
      </c>
      <c r="H468" s="2784" t="s">
        <v>360</v>
      </c>
      <c r="I468" s="1936" t="s">
        <v>3005</v>
      </c>
      <c r="J468" s="1936" t="s">
        <v>3749</v>
      </c>
      <c r="K468" s="2736">
        <v>48</v>
      </c>
      <c r="L468" s="2785">
        <v>320672000</v>
      </c>
      <c r="M468" s="2736"/>
      <c r="N468" s="2786"/>
      <c r="O468" s="2736">
        <v>12</v>
      </c>
      <c r="P468" s="2786">
        <v>80672000</v>
      </c>
      <c r="Q468" s="2787">
        <v>3</v>
      </c>
      <c r="R468" s="2786">
        <v>19289600</v>
      </c>
      <c r="S468" s="3380">
        <v>3</v>
      </c>
      <c r="T468" s="2910">
        <v>23343700</v>
      </c>
      <c r="U468" s="3380">
        <v>9</v>
      </c>
      <c r="V468" s="2910">
        <v>36917180</v>
      </c>
      <c r="W468" s="2736"/>
      <c r="X468" s="2736"/>
      <c r="Y468" s="2787">
        <f t="shared" si="127"/>
        <v>15</v>
      </c>
      <c r="Z468" s="2401">
        <f t="shared" si="128"/>
        <v>79550480</v>
      </c>
      <c r="AA468" s="2736">
        <f t="shared" si="136"/>
        <v>15</v>
      </c>
      <c r="AB468" s="2401">
        <f t="shared" si="135"/>
        <v>79550480</v>
      </c>
      <c r="AC468" s="2736">
        <f t="shared" si="131"/>
        <v>31.25</v>
      </c>
      <c r="AD468" s="2788">
        <f t="shared" si="133"/>
        <v>24.807429398263647</v>
      </c>
      <c r="AE468" s="2783"/>
    </row>
    <row r="469" spans="1:76" s="2806" customFormat="1" ht="42.75" customHeight="1">
      <c r="A469" s="2736"/>
      <c r="B469" s="2736"/>
      <c r="C469" s="2784"/>
      <c r="D469" s="2784"/>
      <c r="E469" s="2784"/>
      <c r="F469" s="2784"/>
      <c r="G469" s="2783"/>
      <c r="H469" s="2784"/>
      <c r="I469" s="1936" t="s">
        <v>3702</v>
      </c>
      <c r="J469" s="1936" t="s">
        <v>3752</v>
      </c>
      <c r="K469" s="2736">
        <v>2000</v>
      </c>
      <c r="L469" s="2785">
        <f>2000*200000</f>
        <v>400000000</v>
      </c>
      <c r="M469" s="2736">
        <v>0</v>
      </c>
      <c r="N469" s="2786">
        <v>0</v>
      </c>
      <c r="O469" s="2786">
        <f>P469/200000</f>
        <v>250</v>
      </c>
      <c r="P469" s="2786">
        <v>50000000</v>
      </c>
      <c r="Q469" s="2787">
        <v>0</v>
      </c>
      <c r="R469" s="2786">
        <v>0</v>
      </c>
      <c r="S469" s="4017">
        <v>0</v>
      </c>
      <c r="T469" s="3176">
        <v>0</v>
      </c>
      <c r="U469" s="3380"/>
      <c r="V469" s="2910">
        <v>573900</v>
      </c>
      <c r="W469" s="2736"/>
      <c r="X469" s="2736"/>
      <c r="Y469" s="2787">
        <f t="shared" si="127"/>
        <v>0</v>
      </c>
      <c r="Z469" s="2401">
        <f t="shared" si="128"/>
        <v>573900</v>
      </c>
      <c r="AA469" s="2736">
        <f t="shared" si="136"/>
        <v>0</v>
      </c>
      <c r="AB469" s="2401">
        <f t="shared" si="135"/>
        <v>573900</v>
      </c>
      <c r="AC469" s="2736">
        <f t="shared" si="131"/>
        <v>0</v>
      </c>
      <c r="AD469" s="2788">
        <f t="shared" si="133"/>
        <v>0.14347499999999999</v>
      </c>
      <c r="AE469" s="2783"/>
    </row>
    <row r="470" spans="1:76" s="2806" customFormat="1" ht="33" customHeight="1">
      <c r="A470" s="2736"/>
      <c r="B470" s="2736"/>
      <c r="C470" s="2784" t="s">
        <v>146</v>
      </c>
      <c r="D470" s="2784"/>
      <c r="E470" s="2784" t="s">
        <v>66</v>
      </c>
      <c r="F470" s="2784" t="s">
        <v>95</v>
      </c>
      <c r="G470" s="2783">
        <v>15</v>
      </c>
      <c r="H470" s="2784" t="s">
        <v>363</v>
      </c>
      <c r="I470" s="1936" t="s">
        <v>3006</v>
      </c>
      <c r="J470" s="1936" t="s">
        <v>3658</v>
      </c>
      <c r="K470" s="2736">
        <v>260</v>
      </c>
      <c r="L470" s="2785">
        <v>4067776000</v>
      </c>
      <c r="M470" s="2736"/>
      <c r="N470" s="2786"/>
      <c r="O470" s="2736">
        <v>65</v>
      </c>
      <c r="P470" s="2786">
        <v>40677760</v>
      </c>
      <c r="Q470" s="2787"/>
      <c r="R470" s="2786"/>
      <c r="S470" s="3380"/>
      <c r="T470" s="2910">
        <v>6000000</v>
      </c>
      <c r="U470" s="3380">
        <v>52.34</v>
      </c>
      <c r="V470" s="2910">
        <v>21955400</v>
      </c>
      <c r="W470" s="2736"/>
      <c r="X470" s="2736"/>
      <c r="Y470" s="2787">
        <f t="shared" si="127"/>
        <v>52.34</v>
      </c>
      <c r="Z470" s="2401">
        <f t="shared" si="128"/>
        <v>27955400</v>
      </c>
      <c r="AA470" s="2736"/>
      <c r="AB470" s="2401">
        <f t="shared" si="135"/>
        <v>27955400</v>
      </c>
      <c r="AC470" s="2736">
        <f t="shared" si="131"/>
        <v>0</v>
      </c>
      <c r="AD470" s="2788">
        <f t="shared" si="133"/>
        <v>0.68724039868468667</v>
      </c>
      <c r="AE470" s="2783"/>
    </row>
    <row r="471" spans="1:76" s="2806" customFormat="1" ht="56.25" customHeight="1">
      <c r="A471" s="2502">
        <v>8</v>
      </c>
      <c r="B471" s="2502"/>
      <c r="C471" s="2781" t="s">
        <v>146</v>
      </c>
      <c r="D471" s="2781"/>
      <c r="E471" s="2781" t="s">
        <v>66</v>
      </c>
      <c r="F471" s="2781" t="s">
        <v>95</v>
      </c>
      <c r="G471" s="2640">
        <v>16</v>
      </c>
      <c r="H471" s="2640"/>
      <c r="I471" s="4005" t="s">
        <v>3007</v>
      </c>
      <c r="J471" s="4005" t="s">
        <v>4650</v>
      </c>
      <c r="K471" s="2502">
        <v>100</v>
      </c>
      <c r="L471" s="2662">
        <f>SUM(L472:L474)</f>
        <v>13134150000</v>
      </c>
      <c r="M471" s="2502">
        <v>0</v>
      </c>
      <c r="N471" s="2662">
        <v>0</v>
      </c>
      <c r="O471" s="2502">
        <v>25</v>
      </c>
      <c r="P471" s="2662">
        <f>SUM(P472:P474)</f>
        <v>3950350000</v>
      </c>
      <c r="Q471" s="2752">
        <v>0</v>
      </c>
      <c r="R471" s="2662">
        <f>SUM(R472:R474)</f>
        <v>6129900</v>
      </c>
      <c r="S471" s="2350">
        <v>0</v>
      </c>
      <c r="T471" s="2662">
        <f>SUM(T472:T474)</f>
        <v>446176140</v>
      </c>
      <c r="U471" s="2502">
        <v>0</v>
      </c>
      <c r="V471" s="2662">
        <f>SUM(V472:V474)</f>
        <v>564941220</v>
      </c>
      <c r="W471" s="2502"/>
      <c r="X471" s="2502"/>
      <c r="Y471" s="2752">
        <f t="shared" si="127"/>
        <v>0</v>
      </c>
      <c r="Z471" s="2445">
        <f t="shared" si="128"/>
        <v>1017247260</v>
      </c>
      <c r="AA471" s="2612">
        <f>M471+Y471</f>
        <v>0</v>
      </c>
      <c r="AB471" s="2445">
        <f t="shared" si="135"/>
        <v>1017247260</v>
      </c>
      <c r="AC471" s="2752">
        <f>AA471/K471*100</f>
        <v>0</v>
      </c>
      <c r="AD471" s="2790">
        <f>(AB471/L471)*100</f>
        <v>7.7450559038841487</v>
      </c>
      <c r="AE471" s="4007" t="s">
        <v>2978</v>
      </c>
    </row>
    <row r="472" spans="1:76" s="2806" customFormat="1" ht="32.25" customHeight="1">
      <c r="A472" s="2736"/>
      <c r="B472" s="2736"/>
      <c r="C472" s="2784" t="s">
        <v>146</v>
      </c>
      <c r="D472" s="2784"/>
      <c r="E472" s="2784" t="s">
        <v>66</v>
      </c>
      <c r="F472" s="2784" t="s">
        <v>95</v>
      </c>
      <c r="G472" s="2783">
        <v>16</v>
      </c>
      <c r="H472" s="2784" t="s">
        <v>93</v>
      </c>
      <c r="I472" s="1936" t="s">
        <v>3008</v>
      </c>
      <c r="J472" s="1936" t="s">
        <v>3750</v>
      </c>
      <c r="K472" s="2736">
        <v>2000</v>
      </c>
      <c r="L472" s="2785">
        <v>11460000000</v>
      </c>
      <c r="M472" s="2736"/>
      <c r="N472" s="2786"/>
      <c r="O472" s="2736">
        <v>573</v>
      </c>
      <c r="P472" s="2786">
        <v>2865000000</v>
      </c>
      <c r="Q472" s="2787"/>
      <c r="R472" s="2786"/>
      <c r="S472" s="3380"/>
      <c r="T472" s="2910"/>
      <c r="U472" s="3380"/>
      <c r="V472" s="2910"/>
      <c r="W472" s="2736"/>
      <c r="X472" s="2736"/>
      <c r="Y472" s="2787">
        <f t="shared" si="127"/>
        <v>0</v>
      </c>
      <c r="Z472" s="2401">
        <f t="shared" si="128"/>
        <v>0</v>
      </c>
      <c r="AA472" s="2736"/>
      <c r="AB472" s="2401">
        <f>N472+Z472</f>
        <v>0</v>
      </c>
      <c r="AC472" s="2736">
        <f>AA472/K472*100</f>
        <v>0</v>
      </c>
      <c r="AD472" s="2788">
        <f>(AB472/L472)*100</f>
        <v>0</v>
      </c>
      <c r="AE472" s="2783"/>
    </row>
    <row r="473" spans="1:76" s="4079" customFormat="1" ht="61.5" customHeight="1">
      <c r="A473" s="2736"/>
      <c r="B473" s="2736"/>
      <c r="C473" s="2784" t="s">
        <v>146</v>
      </c>
      <c r="D473" s="2784"/>
      <c r="E473" s="2784" t="s">
        <v>66</v>
      </c>
      <c r="F473" s="2784" t="s">
        <v>95</v>
      </c>
      <c r="G473" s="2783">
        <v>16</v>
      </c>
      <c r="H473" s="2784" t="s">
        <v>201</v>
      </c>
      <c r="I473" s="1936" t="s">
        <v>3009</v>
      </c>
      <c r="J473" s="1936" t="s">
        <v>3751</v>
      </c>
      <c r="K473" s="2736">
        <v>48</v>
      </c>
      <c r="L473" s="2785">
        <v>818400000</v>
      </c>
      <c r="M473" s="2736"/>
      <c r="N473" s="2786"/>
      <c r="O473" s="2736">
        <v>12</v>
      </c>
      <c r="P473" s="2786">
        <v>229600000</v>
      </c>
      <c r="Q473" s="2787">
        <v>3</v>
      </c>
      <c r="R473" s="2786">
        <v>3053100</v>
      </c>
      <c r="S473" s="3380">
        <v>6</v>
      </c>
      <c r="T473" s="2910">
        <v>69891100</v>
      </c>
      <c r="U473" s="3380">
        <v>9</v>
      </c>
      <c r="V473" s="2910">
        <v>160796400</v>
      </c>
      <c r="W473" s="2736"/>
      <c r="X473" s="2736"/>
      <c r="Y473" s="2787">
        <f t="shared" si="127"/>
        <v>18</v>
      </c>
      <c r="Z473" s="2401">
        <f t="shared" si="128"/>
        <v>233740600</v>
      </c>
      <c r="AA473" s="2736">
        <f>M473+Y473</f>
        <v>18</v>
      </c>
      <c r="AB473" s="2401">
        <f>N473+Z473</f>
        <v>233740600</v>
      </c>
      <c r="AC473" s="2736">
        <f>AA473/K473*100</f>
        <v>37.5</v>
      </c>
      <c r="AD473" s="2788">
        <f>(AB473/L473)*100</f>
        <v>28.560679374389053</v>
      </c>
      <c r="AE473" s="2783"/>
    </row>
    <row r="474" spans="1:76" s="2806" customFormat="1" ht="40.5" customHeight="1">
      <c r="A474" s="2736"/>
      <c r="B474" s="2736"/>
      <c r="C474" s="2784" t="s">
        <v>146</v>
      </c>
      <c r="D474" s="2784"/>
      <c r="E474" s="2784" t="s">
        <v>66</v>
      </c>
      <c r="F474" s="2784" t="s">
        <v>95</v>
      </c>
      <c r="G474" s="2783">
        <v>16</v>
      </c>
      <c r="H474" s="2784"/>
      <c r="I474" s="1936" t="s">
        <v>3010</v>
      </c>
      <c r="J474" s="1936" t="s">
        <v>3011</v>
      </c>
      <c r="K474" s="2736">
        <v>1</v>
      </c>
      <c r="L474" s="2785">
        <v>855750000</v>
      </c>
      <c r="M474" s="2736"/>
      <c r="N474" s="2786"/>
      <c r="O474" s="2736">
        <v>1</v>
      </c>
      <c r="P474" s="2786">
        <v>855750000</v>
      </c>
      <c r="Q474" s="2787"/>
      <c r="R474" s="2786">
        <v>3076800</v>
      </c>
      <c r="S474" s="3380"/>
      <c r="T474" s="2910">
        <v>376285040</v>
      </c>
      <c r="U474" s="3380"/>
      <c r="V474" s="2910">
        <v>404144820</v>
      </c>
      <c r="W474" s="2736"/>
      <c r="X474" s="2736"/>
      <c r="Y474" s="2787">
        <f t="shared" si="127"/>
        <v>0</v>
      </c>
      <c r="Z474" s="2401">
        <f t="shared" si="128"/>
        <v>783506660</v>
      </c>
      <c r="AA474" s="2736"/>
      <c r="AB474" s="2401">
        <f>N474+Z474</f>
        <v>783506660</v>
      </c>
      <c r="AC474" s="2736"/>
      <c r="AD474" s="2788">
        <f>(AB474/L474)*100</f>
        <v>91.557891907683313</v>
      </c>
      <c r="AE474" s="2783"/>
    </row>
    <row r="475" spans="1:76" s="2548" customFormat="1" ht="18.75" customHeight="1">
      <c r="A475" s="4244" t="s">
        <v>89</v>
      </c>
      <c r="B475" s="4244"/>
      <c r="C475" s="4245"/>
      <c r="D475" s="4245"/>
      <c r="E475" s="4245"/>
      <c r="F475" s="4245"/>
      <c r="G475" s="4245"/>
      <c r="H475" s="4245"/>
      <c r="I475" s="4245"/>
      <c r="J475" s="4245"/>
      <c r="K475" s="4245"/>
      <c r="L475" s="4245"/>
      <c r="M475" s="4245"/>
      <c r="N475" s="4245"/>
      <c r="O475" s="4245"/>
      <c r="P475" s="4245"/>
      <c r="Q475" s="4245"/>
      <c r="R475" s="4245"/>
      <c r="S475" s="4245"/>
      <c r="T475" s="4245"/>
      <c r="U475" s="4245"/>
      <c r="V475" s="4245"/>
      <c r="W475" s="4245"/>
      <c r="X475" s="4245"/>
      <c r="Y475" s="4245"/>
      <c r="Z475" s="4245"/>
      <c r="AA475" s="4245"/>
      <c r="AB475" s="4245"/>
      <c r="AC475" s="2030">
        <f>(AC427+AC438+AC445+AC451+AC453+AC455+AC459+AC471+AC677)/8</f>
        <v>43.59022332785122</v>
      </c>
      <c r="AD475" s="2030">
        <f>(AD427+AD438+AD445+AD451+AD453+AD455+AD459+AD471+AD677)/8</f>
        <v>46.897337616945542</v>
      </c>
      <c r="AE475" s="4002"/>
      <c r="AF475" s="639"/>
      <c r="AG475" s="639"/>
      <c r="AH475" s="639"/>
      <c r="AI475" s="639"/>
      <c r="AJ475" s="639"/>
      <c r="AK475" s="639"/>
      <c r="AL475" s="639"/>
      <c r="AM475" s="639"/>
      <c r="AN475" s="639"/>
      <c r="AO475" s="639"/>
      <c r="AP475" s="639"/>
      <c r="AQ475" s="639"/>
      <c r="AR475" s="639"/>
      <c r="AS475" s="639"/>
      <c r="AT475" s="639"/>
      <c r="AU475" s="639"/>
      <c r="AV475" s="639"/>
      <c r="AW475" s="639"/>
      <c r="AX475" s="639"/>
      <c r="AY475" s="639"/>
      <c r="AZ475" s="639"/>
      <c r="BA475" s="639"/>
      <c r="BB475" s="639"/>
      <c r="BC475" s="639"/>
      <c r="BD475" s="639"/>
      <c r="BE475" s="639"/>
      <c r="BF475" s="639"/>
      <c r="BG475" s="639"/>
      <c r="BH475" s="639"/>
      <c r="BI475" s="639"/>
      <c r="BJ475" s="639"/>
      <c r="BK475" s="639"/>
      <c r="BL475" s="639"/>
      <c r="BM475" s="639"/>
      <c r="BN475" s="639"/>
      <c r="BO475" s="639"/>
      <c r="BP475" s="639"/>
      <c r="BQ475" s="639"/>
      <c r="BR475" s="639"/>
      <c r="BS475" s="639"/>
      <c r="BT475" s="639"/>
      <c r="BU475" s="639"/>
      <c r="BV475" s="639"/>
      <c r="BW475" s="639"/>
      <c r="BX475" s="639"/>
    </row>
    <row r="476" spans="1:76" ht="17.25" customHeight="1">
      <c r="A476" s="4244" t="s">
        <v>90</v>
      </c>
      <c r="B476" s="4244"/>
      <c r="C476" s="4245"/>
      <c r="D476" s="4245"/>
      <c r="E476" s="4245"/>
      <c r="F476" s="4245"/>
      <c r="G476" s="4245"/>
      <c r="H476" s="4245"/>
      <c r="I476" s="4245"/>
      <c r="J476" s="4245"/>
      <c r="K476" s="4245"/>
      <c r="L476" s="4245"/>
      <c r="M476" s="4245"/>
      <c r="N476" s="4245"/>
      <c r="O476" s="4245"/>
      <c r="P476" s="4245"/>
      <c r="Q476" s="4245"/>
      <c r="R476" s="4245"/>
      <c r="S476" s="4245"/>
      <c r="T476" s="4245"/>
      <c r="U476" s="4245"/>
      <c r="V476" s="4245"/>
      <c r="W476" s="4245"/>
      <c r="X476" s="4245"/>
      <c r="Y476" s="4245"/>
      <c r="Z476" s="4245"/>
      <c r="AA476" s="4245"/>
      <c r="AB476" s="4245"/>
      <c r="AC476" s="3999" t="str">
        <f>IF(AC475&gt;=91,"ST",IF(AC475&gt;=76,"T",IF(AC475&gt;=66,"S",IF(AC475&gt;=51,"R","SR"))))</f>
        <v>SR</v>
      </c>
      <c r="AD476" s="3999" t="str">
        <f>IF(AD475&gt;=91,"ST",IF(AD475&gt;=76,"T",IF(AD475&gt;=66,"S",IF(AD475&gt;=51,"R","SR"))))</f>
        <v>SR</v>
      </c>
      <c r="AE476" s="4002"/>
    </row>
    <row r="477" spans="1:76" s="145" customFormat="1" ht="40.5" customHeight="1">
      <c r="A477" s="2547" t="s">
        <v>3252</v>
      </c>
      <c r="B477" s="2930"/>
      <c r="C477" s="2547"/>
      <c r="D477" s="2547"/>
      <c r="E477" s="2547"/>
      <c r="F477" s="2547"/>
      <c r="G477" s="2547"/>
      <c r="H477" s="2547"/>
      <c r="I477" s="2472" t="s">
        <v>132</v>
      </c>
      <c r="J477" s="2930"/>
      <c r="K477" s="2930"/>
      <c r="L477" s="2931">
        <f>L478+L510</f>
        <v>46791895802</v>
      </c>
      <c r="M477" s="2930"/>
      <c r="N477" s="2932">
        <f>N478+N510</f>
        <v>9805156664</v>
      </c>
      <c r="O477" s="2930"/>
      <c r="P477" s="2932">
        <f>P478+P510</f>
        <v>5663014741</v>
      </c>
      <c r="Q477" s="2930"/>
      <c r="R477" s="2932">
        <f>R478+R510</f>
        <v>474717485</v>
      </c>
      <c r="S477" s="2930"/>
      <c r="T477" s="2932">
        <f>T478+T510</f>
        <v>1815808108</v>
      </c>
      <c r="U477" s="2930"/>
      <c r="V477" s="2932"/>
      <c r="W477" s="2930"/>
      <c r="X477" s="2930"/>
      <c r="Y477" s="2930"/>
      <c r="Z477" s="2932">
        <f>R477+T477+V477+X477</f>
        <v>2290525593</v>
      </c>
      <c r="AA477" s="2930"/>
      <c r="AB477" s="2932">
        <f>AB478+AB510</f>
        <v>12197699846</v>
      </c>
      <c r="AC477" s="2930"/>
      <c r="AD477" s="2930"/>
      <c r="AE477" s="3181"/>
    </row>
    <row r="478" spans="1:76" s="63" customFormat="1" ht="23.25" customHeight="1">
      <c r="A478" s="3199" t="s">
        <v>3235</v>
      </c>
      <c r="B478" s="3199"/>
      <c r="C478" s="3840"/>
      <c r="D478" s="3840"/>
      <c r="E478" s="3840"/>
      <c r="F478" s="3840"/>
      <c r="G478" s="3840"/>
      <c r="H478" s="3840"/>
      <c r="I478" s="3199"/>
      <c r="J478" s="3199"/>
      <c r="K478" s="3199"/>
      <c r="L478" s="3206">
        <f>L493+L495+L497+L499+L502+L505+L479+L491</f>
        <v>13130298210</v>
      </c>
      <c r="M478" s="3199"/>
      <c r="N478" s="3201">
        <f>N493+N495+N497+N499+N502+N505+N479+N491</f>
        <v>3915146974</v>
      </c>
      <c r="O478" s="3199"/>
      <c r="P478" s="3201">
        <f>P493+P495+P497+P499+P502+P505+P479+P491</f>
        <v>1850000000</v>
      </c>
      <c r="Q478" s="3199"/>
      <c r="R478" s="3201">
        <f>R493+R495+R497+R499+R502+R505+R479+R491</f>
        <v>325488865</v>
      </c>
      <c r="S478" s="2921"/>
      <c r="T478" s="2922">
        <f>T493+T495+T497+T499+T502+T505+T479+T491</f>
        <v>423503197</v>
      </c>
      <c r="U478" s="3199"/>
      <c r="V478" s="3201">
        <f>SUM(V480:V490)</f>
        <v>260803124</v>
      </c>
      <c r="W478" s="3199"/>
      <c r="X478" s="3199"/>
      <c r="Y478" s="3199"/>
      <c r="Z478" s="3201">
        <f t="shared" ref="Z478:Z506" si="137">R478+T478+V478+X478</f>
        <v>1009795186</v>
      </c>
      <c r="AA478" s="3199"/>
      <c r="AB478" s="3201">
        <f>AB493+AB495+AB497+AB499+AB502+AB505+AB479+AB491</f>
        <v>5284015805</v>
      </c>
      <c r="AC478" s="3199"/>
      <c r="AD478" s="3199"/>
      <c r="AE478" s="3203"/>
    </row>
    <row r="479" spans="1:76" s="2983" customFormat="1" ht="63.75">
      <c r="A479" s="2549">
        <v>7</v>
      </c>
      <c r="B479" s="2335" t="s">
        <v>3320</v>
      </c>
      <c r="C479" s="3795">
        <v>1</v>
      </c>
      <c r="D479" s="2374" t="s">
        <v>66</v>
      </c>
      <c r="E479" s="3795">
        <v>1</v>
      </c>
      <c r="F479" s="2374" t="s">
        <v>66</v>
      </c>
      <c r="G479" s="3795"/>
      <c r="H479" s="2595"/>
      <c r="I479" s="2359" t="s">
        <v>520</v>
      </c>
      <c r="J479" s="2335" t="s">
        <v>3321</v>
      </c>
      <c r="K479" s="3282" t="s">
        <v>4142</v>
      </c>
      <c r="L479" s="2347">
        <v>5943002400</v>
      </c>
      <c r="M479" s="2700" t="s">
        <v>165</v>
      </c>
      <c r="N479" s="2347">
        <v>1868728950</v>
      </c>
      <c r="O479" s="3283" t="s">
        <v>165</v>
      </c>
      <c r="P479" s="2347">
        <v>1039873475</v>
      </c>
      <c r="Q479" s="3245" t="s">
        <v>602</v>
      </c>
      <c r="R479" s="2347">
        <v>207219265</v>
      </c>
      <c r="S479" s="3245" t="s">
        <v>602</v>
      </c>
      <c r="T479" s="2340">
        <v>289201766</v>
      </c>
      <c r="U479" s="2905">
        <v>3</v>
      </c>
      <c r="V479" s="2342">
        <f>SUM(V480:V490)</f>
        <v>260803124</v>
      </c>
      <c r="W479" s="2905">
        <f>X479/P479*100</f>
        <v>0</v>
      </c>
      <c r="X479" s="2347">
        <f>SUM(X480:X490)</f>
        <v>0</v>
      </c>
      <c r="Y479" s="3284">
        <f>SUM(Q479+S479+U479)</f>
        <v>9</v>
      </c>
      <c r="Z479" s="2347">
        <f t="shared" ref="Z479:Z492" si="138">R479+T479+V479+X479</f>
        <v>757224155</v>
      </c>
      <c r="AA479" s="2560">
        <f t="shared" ref="AA479:AA490" si="139">Y479+M479</f>
        <v>33</v>
      </c>
      <c r="AB479" s="2347">
        <f t="shared" ref="AB479:AB490" si="140">Z479+N479</f>
        <v>2625953105</v>
      </c>
      <c r="AC479" s="2563">
        <f t="shared" ref="AC479:AC490" si="141">AA479/K479*100</f>
        <v>45.833333333333329</v>
      </c>
      <c r="AD479" s="2720">
        <f t="shared" ref="AD479:AD490" si="142">AB479/L479*100</f>
        <v>44.185630902656207</v>
      </c>
      <c r="AE479" s="3138" t="s">
        <v>3305</v>
      </c>
      <c r="AF479" s="642"/>
      <c r="AG479" s="642"/>
      <c r="AH479" s="642"/>
      <c r="AI479" s="642"/>
      <c r="AJ479" s="642"/>
      <c r="AK479" s="642"/>
      <c r="AL479" s="642"/>
      <c r="AM479" s="642"/>
      <c r="AN479" s="642"/>
      <c r="AO479" s="642"/>
      <c r="AP479" s="642"/>
      <c r="AQ479" s="642"/>
      <c r="AR479" s="642"/>
      <c r="AS479" s="642"/>
      <c r="AT479" s="642"/>
      <c r="AU479" s="642"/>
      <c r="AV479" s="642"/>
      <c r="AW479" s="642"/>
      <c r="AX479" s="642"/>
      <c r="AY479" s="642"/>
      <c r="AZ479" s="642"/>
      <c r="BA479" s="642"/>
      <c r="BB479" s="642"/>
      <c r="BC479" s="642"/>
      <c r="BD479" s="642"/>
      <c r="BE479" s="642"/>
      <c r="BF479" s="642"/>
      <c r="BG479" s="642"/>
      <c r="BH479" s="642"/>
      <c r="BI479" s="642"/>
      <c r="BJ479" s="642"/>
      <c r="BK479" s="642"/>
      <c r="BL479" s="642"/>
      <c r="BM479" s="642"/>
      <c r="BN479" s="642"/>
      <c r="BO479" s="642"/>
      <c r="BP479" s="642"/>
      <c r="BQ479" s="642"/>
      <c r="BR479" s="642"/>
      <c r="BS479" s="642"/>
      <c r="BT479" s="642"/>
      <c r="BU479" s="642"/>
      <c r="BV479" s="642"/>
      <c r="BW479" s="642"/>
      <c r="BX479" s="642"/>
    </row>
    <row r="480" spans="1:76" s="2548" customFormat="1" ht="57.75" customHeight="1">
      <c r="A480" s="3009"/>
      <c r="B480" s="1388"/>
      <c r="C480" s="3014">
        <v>1</v>
      </c>
      <c r="D480" s="3015" t="s">
        <v>66</v>
      </c>
      <c r="E480" s="3014">
        <v>1</v>
      </c>
      <c r="F480" s="3015" t="s">
        <v>66</v>
      </c>
      <c r="G480" s="3015" t="s">
        <v>65</v>
      </c>
      <c r="H480" s="2207"/>
      <c r="I480" s="3168" t="s">
        <v>3322</v>
      </c>
      <c r="J480" s="2516" t="s">
        <v>3323</v>
      </c>
      <c r="K480" s="3095" t="s">
        <v>4142</v>
      </c>
      <c r="L480" s="1387">
        <v>639828000</v>
      </c>
      <c r="M480" s="3280" t="s">
        <v>165</v>
      </c>
      <c r="N480" s="1387">
        <v>250740000</v>
      </c>
      <c r="O480" s="3281" t="s">
        <v>160</v>
      </c>
      <c r="P480" s="1387">
        <v>63140000</v>
      </c>
      <c r="Q480" s="3279" t="s">
        <v>602</v>
      </c>
      <c r="R480" s="3019">
        <v>13107101</v>
      </c>
      <c r="S480" s="3608" t="s">
        <v>602</v>
      </c>
      <c r="T480" s="1196">
        <f>20627787-R480</f>
        <v>7520686</v>
      </c>
      <c r="U480" s="3609">
        <v>3</v>
      </c>
      <c r="V480" s="2307">
        <v>7051336</v>
      </c>
      <c r="W480" s="2936">
        <f>X480/P480*100</f>
        <v>0</v>
      </c>
      <c r="X480" s="1387">
        <f>0</f>
        <v>0</v>
      </c>
      <c r="Y480" s="3018">
        <f t="shared" ref="Y480:Y492" si="143">Q480+S480+U480+W480</f>
        <v>9</v>
      </c>
      <c r="Z480" s="1388">
        <f t="shared" si="138"/>
        <v>27679123</v>
      </c>
      <c r="AA480" s="3018">
        <f t="shared" si="139"/>
        <v>33</v>
      </c>
      <c r="AB480" s="1388">
        <f t="shared" si="140"/>
        <v>278419123</v>
      </c>
      <c r="AC480" s="2591">
        <f t="shared" si="141"/>
        <v>45.833333333333329</v>
      </c>
      <c r="AD480" s="3009">
        <f t="shared" si="142"/>
        <v>43.514682539682539</v>
      </c>
      <c r="AE480" s="2207"/>
      <c r="AF480" s="639"/>
      <c r="AG480" s="639"/>
      <c r="AH480" s="639"/>
      <c r="AI480" s="639"/>
      <c r="AJ480" s="639"/>
      <c r="AK480" s="639"/>
      <c r="AL480" s="639"/>
      <c r="AM480" s="639"/>
      <c r="AN480" s="639"/>
      <c r="AO480" s="639"/>
      <c r="AP480" s="639"/>
      <c r="AQ480" s="639"/>
      <c r="AR480" s="639"/>
      <c r="AS480" s="639"/>
      <c r="AT480" s="639"/>
      <c r="AU480" s="639"/>
      <c r="AV480" s="639"/>
      <c r="AW480" s="639"/>
      <c r="AX480" s="639"/>
      <c r="AY480" s="639"/>
      <c r="AZ480" s="639"/>
      <c r="BA480" s="639"/>
      <c r="BB480" s="639"/>
      <c r="BC480" s="639"/>
      <c r="BD480" s="639"/>
      <c r="BE480" s="639"/>
      <c r="BF480" s="639"/>
      <c r="BG480" s="639"/>
      <c r="BH480" s="639"/>
      <c r="BI480" s="639"/>
      <c r="BJ480" s="639"/>
      <c r="BK480" s="639"/>
      <c r="BL480" s="639"/>
      <c r="BM480" s="639"/>
      <c r="BN480" s="639"/>
      <c r="BO480" s="639"/>
      <c r="BP480" s="639"/>
      <c r="BQ480" s="639"/>
      <c r="BR480" s="639"/>
      <c r="BS480" s="639"/>
      <c r="BT480" s="639"/>
      <c r="BU480" s="639"/>
      <c r="BV480" s="639"/>
      <c r="BW480" s="639"/>
      <c r="BX480" s="639"/>
    </row>
    <row r="481" spans="1:76" s="2548" customFormat="1" ht="57.75" customHeight="1">
      <c r="A481" s="3009"/>
      <c r="B481" s="1388"/>
      <c r="C481" s="3014">
        <v>1</v>
      </c>
      <c r="D481" s="3015" t="s">
        <v>66</v>
      </c>
      <c r="E481" s="3014">
        <v>1</v>
      </c>
      <c r="F481" s="3015" t="s">
        <v>66</v>
      </c>
      <c r="G481" s="3015" t="s">
        <v>198</v>
      </c>
      <c r="H481" s="2207"/>
      <c r="I481" s="3168" t="s">
        <v>3324</v>
      </c>
      <c r="J481" s="2516" t="s">
        <v>3325</v>
      </c>
      <c r="K481" s="3095" t="s">
        <v>4142</v>
      </c>
      <c r="L481" s="1387">
        <v>3027403000</v>
      </c>
      <c r="M481" s="3280" t="s">
        <v>165</v>
      </c>
      <c r="N481" s="1387">
        <v>761600000</v>
      </c>
      <c r="O481" s="3095" t="s">
        <v>160</v>
      </c>
      <c r="P481" s="1387">
        <v>777300000</v>
      </c>
      <c r="Q481" s="3279" t="s">
        <v>602</v>
      </c>
      <c r="R481" s="1387">
        <v>123000000</v>
      </c>
      <c r="S481" s="3608" t="s">
        <v>602</v>
      </c>
      <c r="T481" s="1196">
        <f>379800000-R481</f>
        <v>256800000</v>
      </c>
      <c r="U481" s="3609">
        <v>3</v>
      </c>
      <c r="V481" s="2307">
        <v>195585000</v>
      </c>
      <c r="W481" s="2936">
        <f>X481/P481*100</f>
        <v>0</v>
      </c>
      <c r="X481" s="1387">
        <f>0</f>
        <v>0</v>
      </c>
      <c r="Y481" s="3018">
        <f t="shared" si="143"/>
        <v>9</v>
      </c>
      <c r="Z481" s="1388">
        <f t="shared" si="138"/>
        <v>575385000</v>
      </c>
      <c r="AA481" s="3018">
        <f t="shared" si="139"/>
        <v>33</v>
      </c>
      <c r="AB481" s="1388">
        <f t="shared" si="140"/>
        <v>1336985000</v>
      </c>
      <c r="AC481" s="2591">
        <f t="shared" si="141"/>
        <v>45.833333333333329</v>
      </c>
      <c r="AD481" s="3009">
        <f t="shared" si="142"/>
        <v>44.162769211763347</v>
      </c>
      <c r="AE481" s="2207"/>
      <c r="AF481" s="639"/>
      <c r="AG481" s="639"/>
      <c r="AH481" s="639"/>
      <c r="AI481" s="639"/>
      <c r="AJ481" s="639"/>
      <c r="AK481" s="639"/>
      <c r="AL481" s="639"/>
      <c r="AM481" s="639"/>
      <c r="AN481" s="639"/>
      <c r="AO481" s="639"/>
      <c r="AP481" s="639"/>
      <c r="AQ481" s="639"/>
      <c r="AR481" s="639"/>
      <c r="AS481" s="639"/>
      <c r="AT481" s="639"/>
      <c r="AU481" s="639"/>
      <c r="AV481" s="639"/>
      <c r="AW481" s="639"/>
      <c r="AX481" s="639"/>
      <c r="AY481" s="639"/>
      <c r="AZ481" s="639"/>
      <c r="BA481" s="639"/>
      <c r="BB481" s="639"/>
      <c r="BC481" s="639"/>
      <c r="BD481" s="639"/>
      <c r="BE481" s="639"/>
      <c r="BF481" s="639"/>
      <c r="BG481" s="639"/>
      <c r="BH481" s="639"/>
      <c r="BI481" s="639"/>
      <c r="BJ481" s="639"/>
      <c r="BK481" s="639"/>
      <c r="BL481" s="639"/>
      <c r="BM481" s="639"/>
      <c r="BN481" s="639"/>
      <c r="BO481" s="639"/>
      <c r="BP481" s="639"/>
      <c r="BQ481" s="639"/>
      <c r="BR481" s="639"/>
      <c r="BS481" s="639"/>
      <c r="BT481" s="639"/>
      <c r="BU481" s="639"/>
      <c r="BV481" s="639"/>
      <c r="BW481" s="639"/>
      <c r="BX481" s="639"/>
    </row>
    <row r="482" spans="1:76" s="2548" customFormat="1" ht="57.75" customHeight="1">
      <c r="A482" s="2312"/>
      <c r="B482" s="1388"/>
      <c r="C482" s="3014">
        <v>1</v>
      </c>
      <c r="D482" s="3015" t="s">
        <v>66</v>
      </c>
      <c r="E482" s="3014">
        <v>1</v>
      </c>
      <c r="F482" s="3015" t="s">
        <v>66</v>
      </c>
      <c r="G482" s="3015" t="s">
        <v>93</v>
      </c>
      <c r="H482" s="2207"/>
      <c r="I482" s="3168" t="s">
        <v>200</v>
      </c>
      <c r="J482" s="2516" t="s">
        <v>3326</v>
      </c>
      <c r="K482" s="3095" t="s">
        <v>4142</v>
      </c>
      <c r="L482" s="1387">
        <v>66750600</v>
      </c>
      <c r="M482" s="3280" t="s">
        <v>165</v>
      </c>
      <c r="N482" s="1387">
        <v>22250200</v>
      </c>
      <c r="O482" s="3095" t="s">
        <v>160</v>
      </c>
      <c r="P482" s="1387">
        <v>6119100</v>
      </c>
      <c r="Q482" s="3279" t="s">
        <v>602</v>
      </c>
      <c r="R482" s="2516">
        <v>0</v>
      </c>
      <c r="S482" s="3608" t="s">
        <v>602</v>
      </c>
      <c r="T482" s="590">
        <v>986000</v>
      </c>
      <c r="U482" s="3609">
        <v>3</v>
      </c>
      <c r="V482" s="2307">
        <v>200550</v>
      </c>
      <c r="W482" s="2936">
        <f>X482/P482*100</f>
        <v>0</v>
      </c>
      <c r="X482" s="1387">
        <f>0</f>
        <v>0</v>
      </c>
      <c r="Y482" s="3018">
        <f t="shared" si="143"/>
        <v>9</v>
      </c>
      <c r="Z482" s="1388">
        <f t="shared" si="138"/>
        <v>1186550</v>
      </c>
      <c r="AA482" s="3018">
        <f t="shared" si="139"/>
        <v>33</v>
      </c>
      <c r="AB482" s="1388">
        <f t="shared" si="140"/>
        <v>23436750</v>
      </c>
      <c r="AC482" s="2591">
        <f t="shared" si="141"/>
        <v>45.833333333333329</v>
      </c>
      <c r="AD482" s="3009">
        <f t="shared" si="142"/>
        <v>35.110920351277741</v>
      </c>
      <c r="AE482" s="2207"/>
      <c r="AF482" s="639"/>
      <c r="AG482" s="639"/>
      <c r="AH482" s="639"/>
      <c r="AI482" s="639"/>
      <c r="AJ482" s="639"/>
      <c r="AK482" s="639"/>
      <c r="AL482" s="639"/>
      <c r="AM482" s="639"/>
      <c r="AN482" s="639"/>
      <c r="AO482" s="639"/>
      <c r="AP482" s="639"/>
      <c r="AQ482" s="639"/>
      <c r="AR482" s="639"/>
      <c r="AS482" s="639"/>
      <c r="AT482" s="639"/>
      <c r="AU482" s="639"/>
      <c r="AV482" s="639"/>
      <c r="AW482" s="639"/>
      <c r="AX482" s="639"/>
      <c r="AY482" s="639"/>
      <c r="AZ482" s="639"/>
      <c r="BA482" s="639"/>
      <c r="BB482" s="639"/>
      <c r="BC482" s="639"/>
      <c r="BD482" s="639"/>
      <c r="BE482" s="639"/>
      <c r="BF482" s="639"/>
      <c r="BG482" s="639"/>
      <c r="BH482" s="639"/>
      <c r="BI482" s="639"/>
      <c r="BJ482" s="639"/>
      <c r="BK482" s="639"/>
      <c r="BL482" s="639"/>
      <c r="BM482" s="639"/>
      <c r="BN482" s="639"/>
      <c r="BO482" s="639"/>
      <c r="BP482" s="639"/>
      <c r="BQ482" s="639"/>
      <c r="BR482" s="639"/>
      <c r="BS482" s="639"/>
      <c r="BT482" s="639"/>
      <c r="BU482" s="639"/>
      <c r="BV482" s="639"/>
      <c r="BW482" s="639"/>
      <c r="BX482" s="639"/>
    </row>
    <row r="483" spans="1:76" s="2548" customFormat="1" ht="57.75" customHeight="1">
      <c r="A483" s="3020"/>
      <c r="B483" s="1388"/>
      <c r="C483" s="3014">
        <v>1</v>
      </c>
      <c r="D483" s="3015" t="s">
        <v>66</v>
      </c>
      <c r="E483" s="3014">
        <v>1</v>
      </c>
      <c r="F483" s="3015" t="s">
        <v>66</v>
      </c>
      <c r="G483" s="3015" t="s">
        <v>201</v>
      </c>
      <c r="H483" s="2207"/>
      <c r="I483" s="3168" t="s">
        <v>528</v>
      </c>
      <c r="J483" s="2516" t="s">
        <v>3327</v>
      </c>
      <c r="K483" s="3095" t="s">
        <v>4142</v>
      </c>
      <c r="L483" s="1387">
        <v>186895800</v>
      </c>
      <c r="M483" s="3280" t="s">
        <v>165</v>
      </c>
      <c r="N483" s="1387">
        <v>75449300</v>
      </c>
      <c r="O483" s="3095" t="s">
        <v>160</v>
      </c>
      <c r="P483" s="1387">
        <v>12100000</v>
      </c>
      <c r="Q483" s="3279" t="s">
        <v>602</v>
      </c>
      <c r="R483" s="1387">
        <v>50000</v>
      </c>
      <c r="S483" s="3608" t="s">
        <v>602</v>
      </c>
      <c r="T483" s="1196">
        <f>4645000-R483</f>
        <v>4595000</v>
      </c>
      <c r="U483" s="3609">
        <v>3</v>
      </c>
      <c r="V483" s="2307">
        <v>7040000</v>
      </c>
      <c r="W483" s="2936">
        <f t="shared" ref="W483:W490" si="144">X483/P483*100</f>
        <v>0</v>
      </c>
      <c r="X483" s="1387">
        <f>0</f>
        <v>0</v>
      </c>
      <c r="Y483" s="3018">
        <f t="shared" si="143"/>
        <v>9</v>
      </c>
      <c r="Z483" s="1388">
        <f t="shared" si="138"/>
        <v>11685000</v>
      </c>
      <c r="AA483" s="3018">
        <f t="shared" si="139"/>
        <v>33</v>
      </c>
      <c r="AB483" s="1388">
        <f t="shared" si="140"/>
        <v>87134300</v>
      </c>
      <c r="AC483" s="2591">
        <f t="shared" si="141"/>
        <v>45.833333333333329</v>
      </c>
      <c r="AD483" s="3009">
        <f t="shared" si="142"/>
        <v>46.621860951396449</v>
      </c>
      <c r="AE483" s="2207"/>
      <c r="AF483" s="639"/>
      <c r="AG483" s="639"/>
      <c r="AH483" s="639"/>
      <c r="AI483" s="639"/>
      <c r="AJ483" s="639"/>
      <c r="AK483" s="639"/>
      <c r="AL483" s="639"/>
      <c r="AM483" s="639"/>
      <c r="AN483" s="639"/>
      <c r="AO483" s="639"/>
      <c r="AP483" s="639"/>
      <c r="AQ483" s="639"/>
      <c r="AR483" s="639"/>
      <c r="AS483" s="639"/>
      <c r="AT483" s="639"/>
      <c r="AU483" s="639"/>
      <c r="AV483" s="639"/>
      <c r="AW483" s="639"/>
      <c r="AX483" s="639"/>
      <c r="AY483" s="639"/>
      <c r="AZ483" s="639"/>
      <c r="BA483" s="639"/>
      <c r="BB483" s="639"/>
      <c r="BC483" s="639"/>
      <c r="BD483" s="639"/>
      <c r="BE483" s="639"/>
      <c r="BF483" s="639"/>
      <c r="BG483" s="639"/>
      <c r="BH483" s="639"/>
      <c r="BI483" s="639"/>
      <c r="BJ483" s="639"/>
      <c r="BK483" s="639"/>
      <c r="BL483" s="639"/>
      <c r="BM483" s="639"/>
      <c r="BN483" s="639"/>
      <c r="BO483" s="639"/>
      <c r="BP483" s="639"/>
      <c r="BQ483" s="639"/>
      <c r="BR483" s="639"/>
      <c r="BS483" s="639"/>
      <c r="BT483" s="639"/>
      <c r="BU483" s="639"/>
      <c r="BV483" s="639"/>
      <c r="BW483" s="639"/>
      <c r="BX483" s="639"/>
    </row>
    <row r="484" spans="1:76" s="2548" customFormat="1" ht="39.75" customHeight="1">
      <c r="A484" s="3009"/>
      <c r="B484" s="1388"/>
      <c r="C484" s="3014">
        <v>1</v>
      </c>
      <c r="D484" s="3015" t="s">
        <v>66</v>
      </c>
      <c r="E484" s="3014">
        <v>1</v>
      </c>
      <c r="F484" s="3015" t="s">
        <v>66</v>
      </c>
      <c r="G484" s="3014">
        <v>10</v>
      </c>
      <c r="H484" s="2207"/>
      <c r="I484" s="3168" t="s">
        <v>203</v>
      </c>
      <c r="J484" s="2516" t="s">
        <v>3328</v>
      </c>
      <c r="K484" s="3095" t="s">
        <v>4142</v>
      </c>
      <c r="L484" s="1387">
        <v>240000000</v>
      </c>
      <c r="M484" s="3280" t="s">
        <v>165</v>
      </c>
      <c r="N484" s="1387">
        <v>80000000</v>
      </c>
      <c r="O484" s="3095" t="s">
        <v>160</v>
      </c>
      <c r="P484" s="1387">
        <v>24657056</v>
      </c>
      <c r="Q484" s="3279" t="s">
        <v>602</v>
      </c>
      <c r="R484" s="1387">
        <v>7768114</v>
      </c>
      <c r="S484" s="3608" t="s">
        <v>602</v>
      </c>
      <c r="T484" s="1196">
        <f>16130994-R484</f>
        <v>8362880</v>
      </c>
      <c r="U484" s="3609">
        <v>3</v>
      </c>
      <c r="V484" s="2307">
        <v>7957200</v>
      </c>
      <c r="W484" s="2936">
        <f t="shared" si="144"/>
        <v>0</v>
      </c>
      <c r="X484" s="1387">
        <f>0</f>
        <v>0</v>
      </c>
      <c r="Y484" s="3018">
        <f t="shared" si="143"/>
        <v>9</v>
      </c>
      <c r="Z484" s="1388">
        <f t="shared" si="138"/>
        <v>24088194</v>
      </c>
      <c r="AA484" s="3018">
        <f t="shared" si="139"/>
        <v>33</v>
      </c>
      <c r="AB484" s="1388">
        <f t="shared" si="140"/>
        <v>104088194</v>
      </c>
      <c r="AC484" s="2591">
        <f t="shared" si="141"/>
        <v>45.833333333333329</v>
      </c>
      <c r="AD484" s="3009">
        <f t="shared" si="142"/>
        <v>43.370080833333333</v>
      </c>
      <c r="AE484" s="2207"/>
      <c r="AF484" s="639"/>
      <c r="AG484" s="639"/>
      <c r="AH484" s="639"/>
      <c r="AI484" s="639"/>
      <c r="AJ484" s="639"/>
      <c r="AK484" s="639"/>
      <c r="AL484" s="639"/>
      <c r="AM484" s="639"/>
      <c r="AN484" s="639"/>
      <c r="AO484" s="639"/>
      <c r="AP484" s="639"/>
      <c r="AQ484" s="639"/>
      <c r="AR484" s="639"/>
      <c r="AS484" s="639"/>
      <c r="AT484" s="639"/>
      <c r="AU484" s="639"/>
      <c r="AV484" s="639"/>
      <c r="AW484" s="639"/>
      <c r="AX484" s="639"/>
      <c r="AY484" s="639"/>
      <c r="AZ484" s="639"/>
      <c r="BA484" s="639"/>
      <c r="BB484" s="639"/>
      <c r="BC484" s="639"/>
      <c r="BD484" s="639"/>
      <c r="BE484" s="639"/>
      <c r="BF484" s="639"/>
      <c r="BG484" s="639"/>
      <c r="BH484" s="639"/>
      <c r="BI484" s="639"/>
      <c r="BJ484" s="639"/>
      <c r="BK484" s="639"/>
      <c r="BL484" s="639"/>
      <c r="BM484" s="639"/>
      <c r="BN484" s="639"/>
      <c r="BO484" s="639"/>
      <c r="BP484" s="639"/>
      <c r="BQ484" s="639"/>
      <c r="BR484" s="639"/>
      <c r="BS484" s="639"/>
      <c r="BT484" s="639"/>
      <c r="BU484" s="639"/>
      <c r="BV484" s="639"/>
      <c r="BW484" s="639"/>
      <c r="BX484" s="639"/>
    </row>
    <row r="485" spans="1:76" s="2548" customFormat="1" ht="63.75">
      <c r="A485" s="3009"/>
      <c r="B485" s="1388"/>
      <c r="C485" s="3014">
        <v>1</v>
      </c>
      <c r="D485" s="3015" t="s">
        <v>66</v>
      </c>
      <c r="E485" s="3014">
        <v>1</v>
      </c>
      <c r="F485" s="3015" t="s">
        <v>66</v>
      </c>
      <c r="G485" s="3014">
        <v>11</v>
      </c>
      <c r="H485" s="2207"/>
      <c r="I485" s="3168" t="s">
        <v>204</v>
      </c>
      <c r="J485" s="2516" t="s">
        <v>3329</v>
      </c>
      <c r="K485" s="3095" t="s">
        <v>4142</v>
      </c>
      <c r="L485" s="1387">
        <v>210000000</v>
      </c>
      <c r="M485" s="3280" t="s">
        <v>165</v>
      </c>
      <c r="N485" s="1387">
        <v>70000000</v>
      </c>
      <c r="O485" s="3095" t="s">
        <v>160</v>
      </c>
      <c r="P485" s="1387">
        <v>19810084</v>
      </c>
      <c r="Q485" s="3279" t="s">
        <v>602</v>
      </c>
      <c r="R485" s="1387">
        <v>6106400</v>
      </c>
      <c r="S485" s="3608" t="s">
        <v>602</v>
      </c>
      <c r="T485" s="590">
        <f>8713600-R485</f>
        <v>2607200</v>
      </c>
      <c r="U485" s="3609">
        <v>3</v>
      </c>
      <c r="V485" s="2307">
        <v>10472400</v>
      </c>
      <c r="W485" s="2936">
        <f t="shared" si="144"/>
        <v>0</v>
      </c>
      <c r="X485" s="1387">
        <f>0</f>
        <v>0</v>
      </c>
      <c r="Y485" s="3018">
        <f t="shared" si="143"/>
        <v>9</v>
      </c>
      <c r="Z485" s="1388">
        <f t="shared" si="138"/>
        <v>19186000</v>
      </c>
      <c r="AA485" s="3018">
        <f t="shared" si="139"/>
        <v>33</v>
      </c>
      <c r="AB485" s="1388">
        <f t="shared" si="140"/>
        <v>89186000</v>
      </c>
      <c r="AC485" s="2591">
        <f t="shared" si="141"/>
        <v>45.833333333333329</v>
      </c>
      <c r="AD485" s="3009">
        <f t="shared" si="142"/>
        <v>42.469523809523807</v>
      </c>
      <c r="AE485" s="2207"/>
      <c r="AF485" s="639"/>
      <c r="AG485" s="639"/>
      <c r="AH485" s="639"/>
      <c r="AI485" s="639"/>
      <c r="AJ485" s="639"/>
      <c r="AK485" s="639"/>
      <c r="AL485" s="639"/>
      <c r="AM485" s="639"/>
      <c r="AN485" s="639"/>
      <c r="AO485" s="639"/>
      <c r="AP485" s="639"/>
      <c r="AQ485" s="639"/>
      <c r="AR485" s="639"/>
      <c r="AS485" s="639"/>
      <c r="AT485" s="639"/>
      <c r="AU485" s="639"/>
      <c r="AV485" s="639"/>
      <c r="AW485" s="639"/>
      <c r="AX485" s="639"/>
      <c r="AY485" s="639"/>
      <c r="AZ485" s="639"/>
      <c r="BA485" s="639"/>
      <c r="BB485" s="639"/>
      <c r="BC485" s="639"/>
      <c r="BD485" s="639"/>
      <c r="BE485" s="639"/>
      <c r="BF485" s="639"/>
      <c r="BG485" s="639"/>
      <c r="BH485" s="639"/>
      <c r="BI485" s="639"/>
      <c r="BJ485" s="639"/>
      <c r="BK485" s="639"/>
      <c r="BL485" s="639"/>
      <c r="BM485" s="639"/>
      <c r="BN485" s="639"/>
      <c r="BO485" s="639"/>
      <c r="BP485" s="639"/>
      <c r="BQ485" s="639"/>
      <c r="BR485" s="639"/>
      <c r="BS485" s="639"/>
      <c r="BT485" s="639"/>
      <c r="BU485" s="639"/>
      <c r="BV485" s="639"/>
      <c r="BW485" s="639"/>
      <c r="BX485" s="639"/>
    </row>
    <row r="486" spans="1:76" s="2548" customFormat="1" ht="87.75" customHeight="1">
      <c r="A486" s="1388"/>
      <c r="B486" s="1388"/>
      <c r="C486" s="3014">
        <v>1</v>
      </c>
      <c r="D486" s="3015" t="s">
        <v>66</v>
      </c>
      <c r="E486" s="3014">
        <v>1</v>
      </c>
      <c r="F486" s="3015" t="s">
        <v>66</v>
      </c>
      <c r="G486" s="3014">
        <v>12</v>
      </c>
      <c r="H486" s="2207"/>
      <c r="I486" s="3168" t="s">
        <v>205</v>
      </c>
      <c r="J486" s="2516" t="s">
        <v>3330</v>
      </c>
      <c r="K486" s="3095" t="s">
        <v>4142</v>
      </c>
      <c r="L486" s="1387">
        <v>60000000</v>
      </c>
      <c r="M486" s="3280" t="s">
        <v>165</v>
      </c>
      <c r="N486" s="1387">
        <v>19999450</v>
      </c>
      <c r="O486" s="3095" t="s">
        <v>160</v>
      </c>
      <c r="P486" s="1387">
        <v>3001200</v>
      </c>
      <c r="Q486" s="3279" t="s">
        <v>602</v>
      </c>
      <c r="R486" s="1387">
        <v>0</v>
      </c>
      <c r="S486" s="3608" t="s">
        <v>602</v>
      </c>
      <c r="T486" s="384">
        <f>0</f>
        <v>0</v>
      </c>
      <c r="U486" s="3609">
        <v>3</v>
      </c>
      <c r="V486" s="2307">
        <v>0</v>
      </c>
      <c r="W486" s="2936">
        <f t="shared" si="144"/>
        <v>0</v>
      </c>
      <c r="X486" s="1387">
        <f>0</f>
        <v>0</v>
      </c>
      <c r="Y486" s="3018">
        <f t="shared" si="143"/>
        <v>9</v>
      </c>
      <c r="Z486" s="1388">
        <f t="shared" si="138"/>
        <v>0</v>
      </c>
      <c r="AA486" s="3018">
        <f t="shared" si="139"/>
        <v>33</v>
      </c>
      <c r="AB486" s="1388">
        <f t="shared" si="140"/>
        <v>19999450</v>
      </c>
      <c r="AC486" s="2591">
        <f t="shared" si="141"/>
        <v>45.833333333333329</v>
      </c>
      <c r="AD486" s="3009">
        <f t="shared" si="142"/>
        <v>33.332416666666667</v>
      </c>
      <c r="AE486" s="2207"/>
      <c r="AF486" s="639"/>
      <c r="AG486" s="639"/>
      <c r="AH486" s="639"/>
      <c r="AI486" s="639"/>
      <c r="AJ486" s="639"/>
      <c r="AK486" s="639"/>
      <c r="AL486" s="639"/>
      <c r="AM486" s="639"/>
      <c r="AN486" s="639"/>
      <c r="AO486" s="639"/>
      <c r="AP486" s="639"/>
      <c r="AQ486" s="639"/>
      <c r="AR486" s="639"/>
      <c r="AS486" s="639"/>
      <c r="AT486" s="639"/>
      <c r="AU486" s="639"/>
      <c r="AV486" s="639"/>
      <c r="AW486" s="639"/>
      <c r="AX486" s="639"/>
      <c r="AY486" s="639"/>
      <c r="AZ486" s="639"/>
      <c r="BA486" s="639"/>
      <c r="BB486" s="639"/>
      <c r="BC486" s="639"/>
      <c r="BD486" s="639"/>
      <c r="BE486" s="639"/>
      <c r="BF486" s="639"/>
      <c r="BG486" s="639"/>
      <c r="BH486" s="639"/>
      <c r="BI486" s="639"/>
      <c r="BJ486" s="639"/>
      <c r="BK486" s="639"/>
      <c r="BL486" s="639"/>
      <c r="BM486" s="639"/>
      <c r="BN486" s="639"/>
      <c r="BO486" s="639"/>
      <c r="BP486" s="639"/>
      <c r="BQ486" s="639"/>
      <c r="BR486" s="639"/>
      <c r="BS486" s="639"/>
      <c r="BT486" s="639"/>
      <c r="BU486" s="639"/>
      <c r="BV486" s="639"/>
      <c r="BW486" s="639"/>
      <c r="BX486" s="639"/>
    </row>
    <row r="487" spans="1:76" s="2548" customFormat="1" ht="61.5" customHeight="1">
      <c r="A487" s="1388"/>
      <c r="B487" s="1388"/>
      <c r="C487" s="3014">
        <v>1</v>
      </c>
      <c r="D487" s="3015" t="s">
        <v>66</v>
      </c>
      <c r="E487" s="3014">
        <v>1</v>
      </c>
      <c r="F487" s="3015" t="s">
        <v>66</v>
      </c>
      <c r="G487" s="3014">
        <v>15</v>
      </c>
      <c r="H487" s="2207"/>
      <c r="I487" s="3168" t="s">
        <v>533</v>
      </c>
      <c r="J487" s="2516" t="s">
        <v>3331</v>
      </c>
      <c r="K487" s="3095" t="s">
        <v>4142</v>
      </c>
      <c r="L487" s="1387">
        <v>27000000</v>
      </c>
      <c r="M487" s="3280" t="s">
        <v>165</v>
      </c>
      <c r="N487" s="1387">
        <v>10000000</v>
      </c>
      <c r="O487" s="3095" t="s">
        <v>160</v>
      </c>
      <c r="P487" s="1387">
        <v>4500000</v>
      </c>
      <c r="Q487" s="3279" t="s">
        <v>602</v>
      </c>
      <c r="R487" s="1387">
        <v>810000</v>
      </c>
      <c r="S487" s="3608" t="s">
        <v>602</v>
      </c>
      <c r="T487" s="1196">
        <f>1110000-R487</f>
        <v>300000</v>
      </c>
      <c r="U487" s="3609">
        <v>3</v>
      </c>
      <c r="V487" s="2307">
        <v>1170000</v>
      </c>
      <c r="W487" s="2936">
        <f t="shared" si="144"/>
        <v>0</v>
      </c>
      <c r="X487" s="1387">
        <f>0</f>
        <v>0</v>
      </c>
      <c r="Y487" s="3018">
        <f t="shared" si="143"/>
        <v>9</v>
      </c>
      <c r="Z487" s="1388">
        <f t="shared" si="138"/>
        <v>2280000</v>
      </c>
      <c r="AA487" s="3018">
        <f t="shared" si="139"/>
        <v>33</v>
      </c>
      <c r="AB487" s="1388">
        <f t="shared" si="140"/>
        <v>12280000</v>
      </c>
      <c r="AC487" s="2591">
        <f t="shared" si="141"/>
        <v>45.833333333333329</v>
      </c>
      <c r="AD487" s="3009">
        <f t="shared" si="142"/>
        <v>45.481481481481481</v>
      </c>
      <c r="AE487" s="2207"/>
      <c r="AF487" s="639"/>
      <c r="AG487" s="639"/>
      <c r="AH487" s="639"/>
      <c r="AI487" s="639"/>
      <c r="AJ487" s="639"/>
      <c r="AK487" s="639"/>
      <c r="AL487" s="639"/>
      <c r="AM487" s="639"/>
      <c r="AN487" s="639"/>
      <c r="AO487" s="639"/>
      <c r="AP487" s="639"/>
      <c r="AQ487" s="639"/>
      <c r="AR487" s="639"/>
      <c r="AS487" s="639"/>
      <c r="AT487" s="639"/>
      <c r="AU487" s="639"/>
      <c r="AV487" s="639"/>
      <c r="AW487" s="639"/>
      <c r="AX487" s="639"/>
      <c r="AY487" s="639"/>
      <c r="AZ487" s="639"/>
      <c r="BA487" s="639"/>
      <c r="BB487" s="639"/>
      <c r="BC487" s="639"/>
      <c r="BD487" s="639"/>
      <c r="BE487" s="639"/>
      <c r="BF487" s="639"/>
      <c r="BG487" s="639"/>
      <c r="BH487" s="639"/>
      <c r="BI487" s="639"/>
      <c r="BJ487" s="639"/>
      <c r="BK487" s="639"/>
      <c r="BL487" s="639"/>
      <c r="BM487" s="639"/>
      <c r="BN487" s="639"/>
      <c r="BO487" s="639"/>
      <c r="BP487" s="639"/>
      <c r="BQ487" s="639"/>
      <c r="BR487" s="639"/>
      <c r="BS487" s="639"/>
      <c r="BT487" s="639"/>
      <c r="BU487" s="639"/>
      <c r="BV487" s="639"/>
      <c r="BW487" s="639"/>
      <c r="BX487" s="639"/>
    </row>
    <row r="488" spans="1:76" s="2548" customFormat="1" ht="69.75" customHeight="1">
      <c r="A488" s="1388"/>
      <c r="B488" s="1388"/>
      <c r="C488" s="3014">
        <v>1</v>
      </c>
      <c r="D488" s="3015" t="s">
        <v>66</v>
      </c>
      <c r="E488" s="3014">
        <v>1</v>
      </c>
      <c r="F488" s="3015" t="s">
        <v>66</v>
      </c>
      <c r="G488" s="3014">
        <v>17</v>
      </c>
      <c r="H488" s="2207"/>
      <c r="I488" s="3168" t="s">
        <v>206</v>
      </c>
      <c r="J488" s="2516" t="s">
        <v>3332</v>
      </c>
      <c r="K488" s="3095" t="s">
        <v>4142</v>
      </c>
      <c r="L488" s="1387">
        <v>70625000</v>
      </c>
      <c r="M488" s="3280" t="s">
        <v>165</v>
      </c>
      <c r="N488" s="1387">
        <v>23750000</v>
      </c>
      <c r="O488" s="3095" t="s">
        <v>160</v>
      </c>
      <c r="P488" s="1387">
        <v>5125000</v>
      </c>
      <c r="Q488" s="3279" t="s">
        <v>602</v>
      </c>
      <c r="R488" s="1387">
        <v>797500</v>
      </c>
      <c r="S488" s="3608" t="s">
        <v>602</v>
      </c>
      <c r="T488" s="1196">
        <f>1292500-R488</f>
        <v>495000</v>
      </c>
      <c r="U488" s="3609">
        <v>3</v>
      </c>
      <c r="V488" s="2307">
        <v>2242500</v>
      </c>
      <c r="W488" s="2936">
        <f t="shared" si="144"/>
        <v>0</v>
      </c>
      <c r="X488" s="1387">
        <f>0</f>
        <v>0</v>
      </c>
      <c r="Y488" s="3018">
        <f t="shared" si="143"/>
        <v>9</v>
      </c>
      <c r="Z488" s="1388">
        <f t="shared" si="138"/>
        <v>3535000</v>
      </c>
      <c r="AA488" s="3018">
        <f t="shared" si="139"/>
        <v>33</v>
      </c>
      <c r="AB488" s="1388">
        <f t="shared" si="140"/>
        <v>27285000</v>
      </c>
      <c r="AC488" s="2591">
        <f t="shared" si="141"/>
        <v>45.833333333333329</v>
      </c>
      <c r="AD488" s="3009">
        <f t="shared" si="142"/>
        <v>38.633628318584073</v>
      </c>
      <c r="AE488" s="2207"/>
      <c r="AF488" s="639"/>
      <c r="AG488" s="639"/>
      <c r="AH488" s="639"/>
      <c r="AI488" s="639"/>
      <c r="AJ488" s="639"/>
      <c r="AK488" s="639"/>
      <c r="AL488" s="639"/>
      <c r="AM488" s="639"/>
      <c r="AN488" s="639"/>
      <c r="AO488" s="639"/>
      <c r="AP488" s="639"/>
      <c r="AQ488" s="639"/>
      <c r="AR488" s="639"/>
      <c r="AS488" s="639"/>
      <c r="AT488" s="639"/>
      <c r="AU488" s="639"/>
      <c r="AV488" s="639"/>
      <c r="AW488" s="639"/>
      <c r="AX488" s="639"/>
      <c r="AY488" s="639"/>
      <c r="AZ488" s="639"/>
      <c r="BA488" s="639"/>
      <c r="BB488" s="639"/>
      <c r="BC488" s="639"/>
      <c r="BD488" s="639"/>
      <c r="BE488" s="639"/>
      <c r="BF488" s="639"/>
      <c r="BG488" s="639"/>
      <c r="BH488" s="639"/>
      <c r="BI488" s="639"/>
      <c r="BJ488" s="639"/>
      <c r="BK488" s="639"/>
      <c r="BL488" s="639"/>
      <c r="BM488" s="639"/>
      <c r="BN488" s="639"/>
      <c r="BO488" s="639"/>
      <c r="BP488" s="639"/>
      <c r="BQ488" s="639"/>
      <c r="BR488" s="639"/>
      <c r="BS488" s="639"/>
      <c r="BT488" s="639"/>
      <c r="BU488" s="639"/>
      <c r="BV488" s="639"/>
      <c r="BW488" s="639"/>
      <c r="BX488" s="639"/>
    </row>
    <row r="489" spans="1:76" s="2548" customFormat="1" ht="63.75">
      <c r="A489" s="1388"/>
      <c r="B489" s="1388"/>
      <c r="C489" s="3014">
        <v>1</v>
      </c>
      <c r="D489" s="3015" t="s">
        <v>66</v>
      </c>
      <c r="E489" s="3014">
        <v>1</v>
      </c>
      <c r="F489" s="3015" t="s">
        <v>66</v>
      </c>
      <c r="G489" s="3014">
        <v>18</v>
      </c>
      <c r="H489" s="2207"/>
      <c r="I489" s="3168" t="s">
        <v>207</v>
      </c>
      <c r="J489" s="2516" t="s">
        <v>3333</v>
      </c>
      <c r="K489" s="3095" t="s">
        <v>4142</v>
      </c>
      <c r="L489" s="1387">
        <v>1045000000</v>
      </c>
      <c r="M489" s="3280" t="s">
        <v>165</v>
      </c>
      <c r="N489" s="1387">
        <v>419515000</v>
      </c>
      <c r="O489" s="3095" t="s">
        <v>160</v>
      </c>
      <c r="P489" s="1387">
        <v>82921035</v>
      </c>
      <c r="Q489" s="3279" t="s">
        <v>602</v>
      </c>
      <c r="R489" s="1387">
        <v>45655150</v>
      </c>
      <c r="S489" s="3608" t="s">
        <v>602</v>
      </c>
      <c r="T489" s="1196">
        <f>54280150-R489</f>
        <v>8625000</v>
      </c>
      <c r="U489" s="3609">
        <v>3</v>
      </c>
      <c r="V489" s="2307">
        <v>20779138</v>
      </c>
      <c r="W489" s="2936">
        <f t="shared" si="144"/>
        <v>0</v>
      </c>
      <c r="X489" s="1387">
        <f>0</f>
        <v>0</v>
      </c>
      <c r="Y489" s="3018">
        <f t="shared" si="143"/>
        <v>9</v>
      </c>
      <c r="Z489" s="1388">
        <f t="shared" si="138"/>
        <v>75059288</v>
      </c>
      <c r="AA489" s="3018">
        <f t="shared" si="139"/>
        <v>33</v>
      </c>
      <c r="AB489" s="1388">
        <f t="shared" si="140"/>
        <v>494574288</v>
      </c>
      <c r="AC489" s="2591">
        <f t="shared" si="141"/>
        <v>45.833333333333329</v>
      </c>
      <c r="AD489" s="3009">
        <f t="shared" si="142"/>
        <v>47.327683062200961</v>
      </c>
      <c r="AE489" s="2207"/>
      <c r="AF489" s="639"/>
      <c r="AG489" s="639"/>
      <c r="AH489" s="639"/>
      <c r="AI489" s="639"/>
      <c r="AJ489" s="639"/>
      <c r="AK489" s="639"/>
      <c r="AL489" s="639"/>
      <c r="AM489" s="639"/>
      <c r="AN489" s="639"/>
      <c r="AO489" s="639"/>
      <c r="AP489" s="639"/>
      <c r="AQ489" s="639"/>
      <c r="AR489" s="639"/>
      <c r="AS489" s="639"/>
      <c r="AT489" s="639"/>
      <c r="AU489" s="639"/>
      <c r="AV489" s="639"/>
      <c r="AW489" s="639"/>
      <c r="AX489" s="639"/>
      <c r="AY489" s="639"/>
      <c r="AZ489" s="639"/>
      <c r="BA489" s="639"/>
      <c r="BB489" s="639"/>
      <c r="BC489" s="639"/>
      <c r="BD489" s="639"/>
      <c r="BE489" s="639"/>
      <c r="BF489" s="639"/>
      <c r="BG489" s="639"/>
      <c r="BH489" s="639"/>
      <c r="BI489" s="639"/>
      <c r="BJ489" s="639"/>
      <c r="BK489" s="639"/>
      <c r="BL489" s="639"/>
      <c r="BM489" s="639"/>
      <c r="BN489" s="639"/>
      <c r="BO489" s="639"/>
      <c r="BP489" s="639"/>
      <c r="BQ489" s="639"/>
      <c r="BR489" s="639"/>
      <c r="BS489" s="639"/>
      <c r="BT489" s="639"/>
      <c r="BU489" s="639"/>
      <c r="BV489" s="639"/>
      <c r="BW489" s="639"/>
      <c r="BX489" s="639"/>
    </row>
    <row r="490" spans="1:76" ht="51">
      <c r="A490" s="1388"/>
      <c r="B490" s="1388"/>
      <c r="C490" s="3014">
        <v>1</v>
      </c>
      <c r="D490" s="3015" t="s">
        <v>66</v>
      </c>
      <c r="E490" s="3014">
        <v>1</v>
      </c>
      <c r="F490" s="3015" t="s">
        <v>66</v>
      </c>
      <c r="G490" s="3014">
        <v>20</v>
      </c>
      <c r="H490" s="2207"/>
      <c r="I490" s="3168" t="s">
        <v>208</v>
      </c>
      <c r="J490" s="2516" t="s">
        <v>3346</v>
      </c>
      <c r="K490" s="3095" t="s">
        <v>4142</v>
      </c>
      <c r="L490" s="1387">
        <v>369500000</v>
      </c>
      <c r="M490" s="3280" t="s">
        <v>165</v>
      </c>
      <c r="N490" s="1387">
        <v>135425000</v>
      </c>
      <c r="O490" s="3095" t="s">
        <v>160</v>
      </c>
      <c r="P490" s="1387">
        <v>41200000</v>
      </c>
      <c r="Q490" s="3279" t="s">
        <v>602</v>
      </c>
      <c r="R490" s="1387">
        <v>9925000</v>
      </c>
      <c r="S490" s="3608" t="s">
        <v>602</v>
      </c>
      <c r="T490" s="1196">
        <f>17835000-R490</f>
        <v>7910000</v>
      </c>
      <c r="U490" s="3609">
        <v>3</v>
      </c>
      <c r="V490" s="2307">
        <v>8305000</v>
      </c>
      <c r="W490" s="2936">
        <f t="shared" si="144"/>
        <v>0</v>
      </c>
      <c r="X490" s="1387">
        <f>0</f>
        <v>0</v>
      </c>
      <c r="Y490" s="3018">
        <f t="shared" si="143"/>
        <v>9</v>
      </c>
      <c r="Z490" s="1388">
        <f t="shared" si="138"/>
        <v>26140000</v>
      </c>
      <c r="AA490" s="3018">
        <f t="shared" si="139"/>
        <v>33</v>
      </c>
      <c r="AB490" s="1388">
        <f t="shared" si="140"/>
        <v>161565000</v>
      </c>
      <c r="AC490" s="2591">
        <f t="shared" si="141"/>
        <v>45.833333333333329</v>
      </c>
      <c r="AD490" s="3009">
        <f t="shared" si="142"/>
        <v>43.725304465493906</v>
      </c>
      <c r="AE490" s="2207"/>
    </row>
    <row r="491" spans="1:76" s="639" customFormat="1" ht="46.5" customHeight="1">
      <c r="A491" s="2335">
        <v>8</v>
      </c>
      <c r="B491" s="2335"/>
      <c r="C491" s="3793">
        <v>1</v>
      </c>
      <c r="D491" s="3021" t="s">
        <v>66</v>
      </c>
      <c r="E491" s="3793">
        <v>1</v>
      </c>
      <c r="F491" s="3021" t="s">
        <v>65</v>
      </c>
      <c r="G491" s="2374"/>
      <c r="H491" s="2595"/>
      <c r="I491" s="2359" t="s">
        <v>162</v>
      </c>
      <c r="J491" s="2335" t="s">
        <v>3334</v>
      </c>
      <c r="K491" s="2700" t="s">
        <v>4142</v>
      </c>
      <c r="L491" s="2347">
        <v>952711140</v>
      </c>
      <c r="M491" s="3245" t="s">
        <v>165</v>
      </c>
      <c r="N491" s="2347">
        <v>379016630</v>
      </c>
      <c r="O491" s="2700" t="s">
        <v>160</v>
      </c>
      <c r="P491" s="2347">
        <v>113749881</v>
      </c>
      <c r="Q491" s="3245" t="s">
        <v>602</v>
      </c>
      <c r="R491" s="2340">
        <v>13842450</v>
      </c>
      <c r="S491" s="3245" t="s">
        <v>602</v>
      </c>
      <c r="T491" s="2340">
        <v>22535381</v>
      </c>
      <c r="U491" s="2905">
        <v>3</v>
      </c>
      <c r="V491" s="2342">
        <f>SUM(V492:V492)</f>
        <v>29855500</v>
      </c>
      <c r="W491" s="2905">
        <f>X491/P491*100</f>
        <v>0</v>
      </c>
      <c r="X491" s="2347">
        <f>SUM(X492:X492)</f>
        <v>0</v>
      </c>
      <c r="Y491" s="2560">
        <f t="shared" si="143"/>
        <v>9</v>
      </c>
      <c r="Z491" s="2340">
        <f t="shared" si="138"/>
        <v>66233331</v>
      </c>
      <c r="AA491" s="2560">
        <f t="shared" ref="AA491:AA506" si="145">Y491+M491</f>
        <v>33</v>
      </c>
      <c r="AB491" s="2347">
        <f t="shared" ref="AB491:AB506" si="146">Z491+N491</f>
        <v>445249961</v>
      </c>
      <c r="AC491" s="2563">
        <f t="shared" ref="AC491:AC506" si="147">AA491/K491*100</f>
        <v>45.833333333333329</v>
      </c>
      <c r="AD491" s="2720">
        <f t="shared" ref="AD491:AD506" si="148">AB491/L491*100</f>
        <v>46.735043005795021</v>
      </c>
      <c r="AE491" s="3138" t="s">
        <v>3305</v>
      </c>
    </row>
    <row r="492" spans="1:76" s="63" customFormat="1" ht="63.75">
      <c r="A492" s="1388"/>
      <c r="B492" s="1388"/>
      <c r="C492" s="3014">
        <v>1</v>
      </c>
      <c r="D492" s="3015" t="s">
        <v>66</v>
      </c>
      <c r="E492" s="3014">
        <v>1</v>
      </c>
      <c r="F492" s="3015" t="s">
        <v>65</v>
      </c>
      <c r="G492" s="3014">
        <v>24</v>
      </c>
      <c r="H492" s="2207"/>
      <c r="I492" s="3168" t="s">
        <v>1216</v>
      </c>
      <c r="J492" s="2516" t="s">
        <v>3335</v>
      </c>
      <c r="K492" s="2700" t="s">
        <v>4142</v>
      </c>
      <c r="L492" s="1387">
        <v>952711140</v>
      </c>
      <c r="M492" s="3245" t="s">
        <v>165</v>
      </c>
      <c r="N492" s="1387">
        <v>379016630</v>
      </c>
      <c r="O492" s="3095" t="s">
        <v>160</v>
      </c>
      <c r="P492" s="1387">
        <v>113749881</v>
      </c>
      <c r="Q492" s="3280" t="s">
        <v>602</v>
      </c>
      <c r="R492" s="1387">
        <v>13842450</v>
      </c>
      <c r="S492" s="3280" t="s">
        <v>602</v>
      </c>
      <c r="T492" s="1387">
        <f>T491</f>
        <v>22535381</v>
      </c>
      <c r="U492" s="2936">
        <v>3</v>
      </c>
      <c r="V492" s="2307">
        <v>29855500</v>
      </c>
      <c r="W492" s="2936">
        <f>X492/P492*100</f>
        <v>0</v>
      </c>
      <c r="X492" s="1387">
        <f>0</f>
        <v>0</v>
      </c>
      <c r="Y492" s="3018">
        <f t="shared" si="143"/>
        <v>9</v>
      </c>
      <c r="Z492" s="1388">
        <f t="shared" si="138"/>
        <v>66233331</v>
      </c>
      <c r="AA492" s="3018">
        <f t="shared" si="145"/>
        <v>33</v>
      </c>
      <c r="AB492" s="1388">
        <f t="shared" si="146"/>
        <v>445249961</v>
      </c>
      <c r="AC492" s="2591">
        <f t="shared" si="147"/>
        <v>45.833333333333329</v>
      </c>
      <c r="AD492" s="3009">
        <f t="shared" si="148"/>
        <v>46.735043005795021</v>
      </c>
      <c r="AE492" s="2207" t="s">
        <v>3305</v>
      </c>
    </row>
    <row r="493" spans="1:76" s="63" customFormat="1" ht="85.5" customHeight="1">
      <c r="A493" s="2549">
        <v>1</v>
      </c>
      <c r="B493" s="2335" t="s">
        <v>3303</v>
      </c>
      <c r="C493" s="3795">
        <v>2</v>
      </c>
      <c r="D493" s="2374" t="s">
        <v>107</v>
      </c>
      <c r="E493" s="2374" t="s">
        <v>65</v>
      </c>
      <c r="F493" s="3795">
        <v>15</v>
      </c>
      <c r="G493" s="3795"/>
      <c r="H493" s="2595"/>
      <c r="I493" s="2359" t="s">
        <v>2450</v>
      </c>
      <c r="J493" s="2335" t="s">
        <v>3337</v>
      </c>
      <c r="K493" s="2557">
        <v>100</v>
      </c>
      <c r="L493" s="2347">
        <v>95000000</v>
      </c>
      <c r="M493" s="2557">
        <v>33</v>
      </c>
      <c r="N493" s="2347">
        <v>35439854</v>
      </c>
      <c r="O493" s="2557">
        <v>17</v>
      </c>
      <c r="P493" s="2347">
        <v>15000000</v>
      </c>
      <c r="Q493" s="2557">
        <f t="shared" ref="Q493:X493" si="149">Q494</f>
        <v>0</v>
      </c>
      <c r="R493" s="2340">
        <v>0</v>
      </c>
      <c r="S493" s="2335">
        <v>17</v>
      </c>
      <c r="T493" s="2340">
        <f>T494</f>
        <v>13834900</v>
      </c>
      <c r="U493" s="2905">
        <f t="shared" si="149"/>
        <v>0</v>
      </c>
      <c r="V493" s="2342">
        <f t="shared" si="149"/>
        <v>0</v>
      </c>
      <c r="W493" s="2905">
        <f t="shared" si="149"/>
        <v>0</v>
      </c>
      <c r="X493" s="2340">
        <f t="shared" si="149"/>
        <v>0</v>
      </c>
      <c r="Y493" s="2335">
        <f t="shared" ref="Y493:Y506" si="150">Q493+S493+U493+W493</f>
        <v>17</v>
      </c>
      <c r="Z493" s="2340">
        <f t="shared" si="137"/>
        <v>13834900</v>
      </c>
      <c r="AA493" s="2340">
        <f t="shared" si="145"/>
        <v>50</v>
      </c>
      <c r="AB493" s="2347">
        <f t="shared" si="146"/>
        <v>49274754</v>
      </c>
      <c r="AC493" s="2563">
        <f t="shared" si="147"/>
        <v>50</v>
      </c>
      <c r="AD493" s="2720">
        <f t="shared" si="148"/>
        <v>51.86816210526316</v>
      </c>
      <c r="AE493" s="3138" t="s">
        <v>3305</v>
      </c>
      <c r="AF493" s="2814"/>
    </row>
    <row r="494" spans="1:76" s="63" customFormat="1" ht="30" customHeight="1">
      <c r="A494" s="2516"/>
      <c r="B494" s="2516"/>
      <c r="C494" s="2207">
        <v>2</v>
      </c>
      <c r="D494" s="2448" t="s">
        <v>107</v>
      </c>
      <c r="E494" s="2448" t="s">
        <v>65</v>
      </c>
      <c r="F494" s="2207">
        <v>15</v>
      </c>
      <c r="G494" s="2207">
        <v>10</v>
      </c>
      <c r="H494" s="2207"/>
      <c r="I494" s="3168" t="s">
        <v>3304</v>
      </c>
      <c r="J494" s="2516" t="s">
        <v>3336</v>
      </c>
      <c r="K494" s="3002">
        <v>5</v>
      </c>
      <c r="L494" s="1387">
        <v>95000000</v>
      </c>
      <c r="M494" s="3003">
        <v>1</v>
      </c>
      <c r="N494" s="1387">
        <v>35439854</v>
      </c>
      <c r="O494" s="3002">
        <v>1</v>
      </c>
      <c r="P494" s="1387">
        <v>15000000</v>
      </c>
      <c r="Q494" s="3002">
        <v>0</v>
      </c>
      <c r="R494" s="3004">
        <v>0</v>
      </c>
      <c r="S494" s="2516">
        <v>1</v>
      </c>
      <c r="T494" s="3004">
        <v>13834900</v>
      </c>
      <c r="U494" s="2936">
        <f>0</f>
        <v>0</v>
      </c>
      <c r="V494" s="2307">
        <f>0</f>
        <v>0</v>
      </c>
      <c r="W494" s="2936">
        <f>X494/P494*100</f>
        <v>0</v>
      </c>
      <c r="X494" s="1387">
        <f>0</f>
        <v>0</v>
      </c>
      <c r="Y494" s="1387">
        <f t="shared" si="150"/>
        <v>1</v>
      </c>
      <c r="Z494" s="3005">
        <f t="shared" si="137"/>
        <v>13834900</v>
      </c>
      <c r="AA494" s="1387">
        <f t="shared" si="145"/>
        <v>2</v>
      </c>
      <c r="AB494" s="1388">
        <f t="shared" si="146"/>
        <v>49274754</v>
      </c>
      <c r="AC494" s="2591">
        <f t="shared" si="147"/>
        <v>40</v>
      </c>
      <c r="AD494" s="2591">
        <f t="shared" si="148"/>
        <v>51.86816210526316</v>
      </c>
      <c r="AE494" s="2207"/>
    </row>
    <row r="495" spans="1:76" s="2548" customFormat="1" ht="51">
      <c r="A495" s="2549">
        <v>2</v>
      </c>
      <c r="B495" s="2335" t="s">
        <v>3306</v>
      </c>
      <c r="C495" s="3795">
        <v>1</v>
      </c>
      <c r="D495" s="2374" t="s">
        <v>66</v>
      </c>
      <c r="E495" s="2374" t="s">
        <v>196</v>
      </c>
      <c r="F495" s="3795">
        <v>23</v>
      </c>
      <c r="G495" s="3795"/>
      <c r="H495" s="2595"/>
      <c r="I495" s="2359" t="s">
        <v>3338</v>
      </c>
      <c r="J495" s="2335" t="s">
        <v>3340</v>
      </c>
      <c r="K495" s="2557">
        <v>100</v>
      </c>
      <c r="L495" s="2347">
        <v>571800000</v>
      </c>
      <c r="M495" s="2340">
        <f>M496</f>
        <v>12</v>
      </c>
      <c r="N495" s="2347">
        <v>97198000</v>
      </c>
      <c r="O495" s="2557">
        <v>17</v>
      </c>
      <c r="P495" s="2347">
        <v>45400000</v>
      </c>
      <c r="Q495" s="3006">
        <v>2</v>
      </c>
      <c r="R495" s="2347">
        <v>1200000</v>
      </c>
      <c r="S495" s="2905">
        <v>4</v>
      </c>
      <c r="T495" s="2340">
        <v>19273400</v>
      </c>
      <c r="U495" s="2905">
        <v>6</v>
      </c>
      <c r="V495" s="2342">
        <f>V496</f>
        <v>6203945</v>
      </c>
      <c r="W495" s="2905">
        <f>W496</f>
        <v>0</v>
      </c>
      <c r="X495" s="2340">
        <f>X496</f>
        <v>0</v>
      </c>
      <c r="Y495" s="3007">
        <f t="shared" si="150"/>
        <v>12</v>
      </c>
      <c r="Z495" s="2347">
        <f t="shared" si="137"/>
        <v>26677345</v>
      </c>
      <c r="AA495" s="2563">
        <f t="shared" si="145"/>
        <v>24</v>
      </c>
      <c r="AB495" s="2347">
        <f t="shared" si="146"/>
        <v>123875345</v>
      </c>
      <c r="AC495" s="2563">
        <f t="shared" si="147"/>
        <v>24</v>
      </c>
      <c r="AD495" s="2937">
        <f t="shared" si="148"/>
        <v>21.664103707590066</v>
      </c>
      <c r="AE495" s="3138" t="s">
        <v>3305</v>
      </c>
      <c r="AF495" s="639"/>
      <c r="AG495" s="639"/>
      <c r="AH495" s="639"/>
      <c r="AI495" s="639"/>
      <c r="AJ495" s="639"/>
      <c r="AK495" s="639"/>
      <c r="AL495" s="639"/>
      <c r="AM495" s="639"/>
      <c r="AN495" s="639"/>
      <c r="AO495" s="639"/>
      <c r="AP495" s="639"/>
      <c r="AQ495" s="639"/>
      <c r="AR495" s="639"/>
      <c r="AS495" s="639"/>
      <c r="AT495" s="639"/>
      <c r="AU495" s="639"/>
      <c r="AV495" s="639"/>
      <c r="AW495" s="639"/>
      <c r="AX495" s="639"/>
      <c r="AY495" s="639"/>
      <c r="AZ495" s="639"/>
      <c r="BA495" s="639"/>
      <c r="BB495" s="639"/>
      <c r="BC495" s="639"/>
      <c r="BD495" s="639"/>
      <c r="BE495" s="639"/>
      <c r="BF495" s="639"/>
      <c r="BG495" s="639"/>
      <c r="BH495" s="639"/>
      <c r="BI495" s="639"/>
      <c r="BJ495" s="639"/>
      <c r="BK495" s="639"/>
      <c r="BL495" s="639"/>
      <c r="BM495" s="639"/>
      <c r="BN495" s="639"/>
      <c r="BO495" s="639"/>
      <c r="BP495" s="639"/>
      <c r="BQ495" s="639"/>
      <c r="BR495" s="639"/>
      <c r="BS495" s="639"/>
      <c r="BT495" s="639"/>
      <c r="BU495" s="639"/>
      <c r="BV495" s="639"/>
      <c r="BW495" s="639"/>
      <c r="BX495" s="639"/>
    </row>
    <row r="496" spans="1:76" s="2548" customFormat="1" ht="58.5" customHeight="1">
      <c r="A496" s="2516"/>
      <c r="B496" s="2516"/>
      <c r="C496" s="2207">
        <v>1</v>
      </c>
      <c r="D496" s="2448" t="s">
        <v>66</v>
      </c>
      <c r="E496" s="2448" t="s">
        <v>196</v>
      </c>
      <c r="F496" s="2207">
        <v>23</v>
      </c>
      <c r="G496" s="2207">
        <v>20</v>
      </c>
      <c r="H496" s="2207"/>
      <c r="I496" s="3168" t="s">
        <v>3307</v>
      </c>
      <c r="J496" s="2516" t="s">
        <v>3339</v>
      </c>
      <c r="K496" s="3002">
        <v>60</v>
      </c>
      <c r="L496" s="1387">
        <v>571800000</v>
      </c>
      <c r="M496" s="3003">
        <v>12</v>
      </c>
      <c r="N496" s="1387">
        <v>97198000</v>
      </c>
      <c r="O496" s="3002">
        <v>12</v>
      </c>
      <c r="P496" s="1387">
        <v>45400000</v>
      </c>
      <c r="Q496" s="3008">
        <v>3</v>
      </c>
      <c r="R496" s="1387">
        <v>1200000</v>
      </c>
      <c r="S496" s="2936">
        <v>3</v>
      </c>
      <c r="T496" s="1387">
        <v>19273400</v>
      </c>
      <c r="U496" s="2936">
        <f>V496/P496*100</f>
        <v>13.665077092511012</v>
      </c>
      <c r="V496" s="2307">
        <v>6203945</v>
      </c>
      <c r="W496" s="2936">
        <f>X496/P496*100</f>
        <v>0</v>
      </c>
      <c r="X496" s="1387">
        <f>0</f>
        <v>0</v>
      </c>
      <c r="Y496" s="1387">
        <f t="shared" si="150"/>
        <v>19.665077092511012</v>
      </c>
      <c r="Z496" s="1388">
        <f t="shared" si="137"/>
        <v>26677345</v>
      </c>
      <c r="AA496" s="2591">
        <f t="shared" si="145"/>
        <v>31.665077092511012</v>
      </c>
      <c r="AB496" s="1388">
        <f t="shared" si="146"/>
        <v>123875345</v>
      </c>
      <c r="AC496" s="2591">
        <f t="shared" si="147"/>
        <v>52.775128487518352</v>
      </c>
      <c r="AD496" s="3009">
        <f t="shared" si="148"/>
        <v>21.664103707590066</v>
      </c>
      <c r="AE496" s="2207"/>
      <c r="AF496" s="639"/>
      <c r="AG496" s="639"/>
      <c r="AH496" s="639"/>
      <c r="AI496" s="639"/>
      <c r="AJ496" s="639"/>
      <c r="AK496" s="639"/>
      <c r="AL496" s="639"/>
      <c r="AM496" s="639"/>
      <c r="AN496" s="639"/>
      <c r="AO496" s="639"/>
      <c r="AP496" s="639"/>
      <c r="AQ496" s="639"/>
      <c r="AR496" s="639"/>
      <c r="AS496" s="639"/>
      <c r="AT496" s="639"/>
      <c r="AU496" s="639"/>
      <c r="AV496" s="639"/>
      <c r="AW496" s="639"/>
      <c r="AX496" s="639"/>
      <c r="AY496" s="639"/>
      <c r="AZ496" s="639"/>
      <c r="BA496" s="639"/>
      <c r="BB496" s="639"/>
      <c r="BC496" s="639"/>
      <c r="BD496" s="639"/>
      <c r="BE496" s="639"/>
      <c r="BF496" s="639"/>
      <c r="BG496" s="639"/>
      <c r="BH496" s="639"/>
      <c r="BI496" s="639"/>
      <c r="BJ496" s="639"/>
      <c r="BK496" s="639"/>
      <c r="BL496" s="639"/>
      <c r="BM496" s="639"/>
      <c r="BN496" s="639"/>
      <c r="BO496" s="639"/>
      <c r="BP496" s="639"/>
      <c r="BQ496" s="639"/>
      <c r="BR496" s="639"/>
      <c r="BS496" s="639"/>
      <c r="BT496" s="639"/>
      <c r="BU496" s="639"/>
      <c r="BV496" s="639"/>
      <c r="BW496" s="639"/>
      <c r="BX496" s="639"/>
    </row>
    <row r="497" spans="1:76" s="2983" customFormat="1" ht="70.5" customHeight="1">
      <c r="A497" s="2549">
        <v>3</v>
      </c>
      <c r="B497" s="2335" t="s">
        <v>3303</v>
      </c>
      <c r="C497" s="3795">
        <v>1</v>
      </c>
      <c r="D497" s="2374" t="s">
        <v>66</v>
      </c>
      <c r="E497" s="2374" t="s">
        <v>161</v>
      </c>
      <c r="F497" s="3795">
        <v>23</v>
      </c>
      <c r="G497" s="3795"/>
      <c r="H497" s="2595"/>
      <c r="I497" s="2359" t="s">
        <v>3308</v>
      </c>
      <c r="J497" s="2335" t="s">
        <v>3341</v>
      </c>
      <c r="K497" s="2557">
        <v>100</v>
      </c>
      <c r="L497" s="2347">
        <v>717375320</v>
      </c>
      <c r="M497" s="2340">
        <v>60</v>
      </c>
      <c r="N497" s="2347">
        <v>249779070</v>
      </c>
      <c r="O497" s="2557">
        <v>20</v>
      </c>
      <c r="P497" s="2347">
        <v>36383000</v>
      </c>
      <c r="Q497" s="3006">
        <f>R497/P497*100%</f>
        <v>0</v>
      </c>
      <c r="R497" s="2347">
        <v>0</v>
      </c>
      <c r="S497" s="2906"/>
      <c r="T497" s="3010"/>
      <c r="U497" s="2905">
        <f>V497/P497*100</f>
        <v>5.4970728087293512</v>
      </c>
      <c r="V497" s="2342">
        <f>SUM(V498:V498)</f>
        <v>2000000</v>
      </c>
      <c r="W497" s="2905">
        <f>X497/P497*100</f>
        <v>0</v>
      </c>
      <c r="X497" s="2347">
        <f>SUM(X498:X498)</f>
        <v>0</v>
      </c>
      <c r="Y497" s="2929">
        <f t="shared" si="150"/>
        <v>5.4970728087293512</v>
      </c>
      <c r="Z497" s="2347">
        <f t="shared" si="137"/>
        <v>2000000</v>
      </c>
      <c r="AA497" s="3011">
        <f t="shared" si="145"/>
        <v>65.497072808729357</v>
      </c>
      <c r="AB497" s="2347">
        <f t="shared" si="146"/>
        <v>251779070</v>
      </c>
      <c r="AC497" s="2563">
        <f t="shared" si="147"/>
        <v>65.497072808729357</v>
      </c>
      <c r="AD497" s="2720">
        <f t="shared" si="148"/>
        <v>35.097258433702464</v>
      </c>
      <c r="AE497" s="3138" t="s">
        <v>3305</v>
      </c>
      <c r="AF497" s="642"/>
      <c r="AG497" s="642"/>
      <c r="AH497" s="642"/>
      <c r="AI497" s="642"/>
      <c r="AJ497" s="642"/>
      <c r="AK497" s="642"/>
      <c r="AL497" s="642"/>
      <c r="AM497" s="642"/>
      <c r="AN497" s="642"/>
      <c r="AO497" s="642"/>
      <c r="AP497" s="642"/>
      <c r="AQ497" s="642"/>
      <c r="AR497" s="642"/>
      <c r="AS497" s="642"/>
      <c r="AT497" s="642"/>
      <c r="AU497" s="642"/>
      <c r="AV497" s="642"/>
      <c r="AW497" s="642"/>
      <c r="AX497" s="642"/>
      <c r="AY497" s="642"/>
      <c r="AZ497" s="642"/>
      <c r="BA497" s="642"/>
      <c r="BB497" s="642"/>
      <c r="BC497" s="642"/>
      <c r="BD497" s="642"/>
      <c r="BE497" s="642"/>
      <c r="BF497" s="642"/>
      <c r="BG497" s="642"/>
      <c r="BH497" s="642"/>
      <c r="BI497" s="642"/>
      <c r="BJ497" s="642"/>
      <c r="BK497" s="642"/>
      <c r="BL497" s="642"/>
      <c r="BM497" s="642"/>
      <c r="BN497" s="642"/>
      <c r="BO497" s="642"/>
      <c r="BP497" s="642"/>
      <c r="BQ497" s="642"/>
      <c r="BR497" s="642"/>
      <c r="BS497" s="642"/>
      <c r="BT497" s="642"/>
      <c r="BU497" s="642"/>
      <c r="BV497" s="642"/>
      <c r="BW497" s="642"/>
      <c r="BX497" s="642"/>
    </row>
    <row r="498" spans="1:76" s="2548" customFormat="1" ht="43.5" customHeight="1">
      <c r="A498" s="2516"/>
      <c r="B498" s="2516"/>
      <c r="C498" s="2207">
        <v>1</v>
      </c>
      <c r="D498" s="2448" t="s">
        <v>66</v>
      </c>
      <c r="E498" s="2448" t="s">
        <v>161</v>
      </c>
      <c r="F498" s="2207">
        <v>23</v>
      </c>
      <c r="G498" s="2207">
        <v>13</v>
      </c>
      <c r="H498" s="2207"/>
      <c r="I498" s="3168" t="s">
        <v>3309</v>
      </c>
      <c r="J498" s="2516" t="s">
        <v>3753</v>
      </c>
      <c r="K498" s="3002">
        <v>5</v>
      </c>
      <c r="L498" s="1387">
        <v>717375320</v>
      </c>
      <c r="M498" s="1387">
        <v>1</v>
      </c>
      <c r="N498" s="1387">
        <v>249779070</v>
      </c>
      <c r="O498" s="3002">
        <v>1</v>
      </c>
      <c r="P498" s="1387">
        <v>36383000</v>
      </c>
      <c r="Q498" s="3002">
        <f>0</f>
        <v>0</v>
      </c>
      <c r="R498" s="2516">
        <v>0</v>
      </c>
      <c r="S498" s="2516"/>
      <c r="T498" s="1387"/>
      <c r="U498" s="2312">
        <v>0.5</v>
      </c>
      <c r="V498" s="2307">
        <v>2000000</v>
      </c>
      <c r="W498" s="2936">
        <f>X498/P498*100</f>
        <v>0</v>
      </c>
      <c r="X498" s="1387">
        <f>0</f>
        <v>0</v>
      </c>
      <c r="Y498" s="2312">
        <f t="shared" si="150"/>
        <v>0.5</v>
      </c>
      <c r="Z498" s="1388">
        <f t="shared" si="137"/>
        <v>2000000</v>
      </c>
      <c r="AA498" s="3012">
        <f t="shared" si="145"/>
        <v>1.5</v>
      </c>
      <c r="AB498" s="1388">
        <f t="shared" si="146"/>
        <v>251779070</v>
      </c>
      <c r="AC498" s="2591">
        <f t="shared" si="147"/>
        <v>30</v>
      </c>
      <c r="AD498" s="3009">
        <f t="shared" si="148"/>
        <v>35.097258433702464</v>
      </c>
      <c r="AE498" s="2207"/>
      <c r="AF498" s="639"/>
      <c r="AG498" s="639"/>
      <c r="AH498" s="639"/>
      <c r="AI498" s="639"/>
      <c r="AJ498" s="639"/>
      <c r="AK498" s="639"/>
      <c r="AL498" s="639"/>
      <c r="AM498" s="639"/>
      <c r="AN498" s="639"/>
      <c r="AO498" s="639"/>
      <c r="AP498" s="639"/>
      <c r="AQ498" s="639"/>
      <c r="AR498" s="639"/>
      <c r="AS498" s="639"/>
      <c r="AT498" s="639"/>
      <c r="AU498" s="639"/>
      <c r="AV498" s="639"/>
      <c r="AW498" s="639"/>
      <c r="AX498" s="639"/>
      <c r="AY498" s="639"/>
      <c r="AZ498" s="639"/>
      <c r="BA498" s="639"/>
      <c r="BB498" s="639"/>
      <c r="BC498" s="639"/>
      <c r="BD498" s="639"/>
      <c r="BE498" s="639"/>
      <c r="BF498" s="639"/>
      <c r="BG498" s="639"/>
      <c r="BH498" s="639"/>
      <c r="BI498" s="639"/>
      <c r="BJ498" s="639"/>
      <c r="BK498" s="639"/>
      <c r="BL498" s="639"/>
      <c r="BM498" s="639"/>
      <c r="BN498" s="639"/>
      <c r="BO498" s="639"/>
      <c r="BP498" s="639"/>
      <c r="BQ498" s="639"/>
      <c r="BR498" s="639"/>
      <c r="BS498" s="639"/>
      <c r="BT498" s="639"/>
      <c r="BU498" s="639"/>
      <c r="BV498" s="639"/>
      <c r="BW498" s="639"/>
      <c r="BX498" s="639"/>
    </row>
    <row r="499" spans="1:76" s="2548" customFormat="1" ht="55.5" customHeight="1">
      <c r="A499" s="2549">
        <v>4</v>
      </c>
      <c r="B499" s="2335" t="s">
        <v>3310</v>
      </c>
      <c r="C499" s="3795">
        <v>1</v>
      </c>
      <c r="D499" s="2374" t="s">
        <v>66</v>
      </c>
      <c r="E499" s="2374" t="s">
        <v>161</v>
      </c>
      <c r="F499" s="3795">
        <v>26</v>
      </c>
      <c r="G499" s="3795"/>
      <c r="H499" s="2595"/>
      <c r="I499" s="2359" t="s">
        <v>3311</v>
      </c>
      <c r="J499" s="2335" t="s">
        <v>3312</v>
      </c>
      <c r="K499" s="2557">
        <v>100</v>
      </c>
      <c r="L499" s="2347">
        <v>2164210800</v>
      </c>
      <c r="M499" s="2340">
        <v>33</v>
      </c>
      <c r="N499" s="2347">
        <v>671498250</v>
      </c>
      <c r="O499" s="2557">
        <v>17</v>
      </c>
      <c r="P499" s="2347">
        <v>387817000</v>
      </c>
      <c r="Q499" s="3006">
        <v>2</v>
      </c>
      <c r="R499" s="2347">
        <v>65301600</v>
      </c>
      <c r="S499" s="2905">
        <v>1</v>
      </c>
      <c r="T499" s="2340">
        <f>SUM(AG538)</f>
        <v>0</v>
      </c>
      <c r="U499" s="2905">
        <v>14</v>
      </c>
      <c r="V499" s="2342">
        <f>SUM(V500:V501)</f>
        <v>241078500</v>
      </c>
      <c r="W499" s="2905">
        <f>(X499/P499)*100</f>
        <v>0</v>
      </c>
      <c r="X499" s="2340">
        <f>SUM(X500:X501)</f>
        <v>0</v>
      </c>
      <c r="Y499" s="2340">
        <f t="shared" si="150"/>
        <v>17</v>
      </c>
      <c r="Z499" s="2347">
        <f t="shared" si="137"/>
        <v>306380100</v>
      </c>
      <c r="AA499" s="2340">
        <f t="shared" si="145"/>
        <v>50</v>
      </c>
      <c r="AB499" s="2347">
        <f t="shared" si="146"/>
        <v>977878350</v>
      </c>
      <c r="AC499" s="2563">
        <f t="shared" si="147"/>
        <v>50</v>
      </c>
      <c r="AD499" s="3013">
        <f t="shared" si="148"/>
        <v>45.184062014661421</v>
      </c>
      <c r="AE499" s="3138" t="s">
        <v>3305</v>
      </c>
      <c r="AF499" s="639"/>
      <c r="AG499" s="639"/>
      <c r="AH499" s="639"/>
      <c r="AI499" s="639"/>
      <c r="AJ499" s="639"/>
      <c r="AK499" s="639"/>
      <c r="AL499" s="639"/>
      <c r="AM499" s="639"/>
      <c r="AN499" s="639"/>
      <c r="AO499" s="639"/>
      <c r="AP499" s="639"/>
      <c r="AQ499" s="639"/>
      <c r="AR499" s="639"/>
      <c r="AS499" s="639"/>
      <c r="AT499" s="639"/>
      <c r="AU499" s="639"/>
      <c r="AV499" s="639"/>
      <c r="AW499" s="639"/>
      <c r="AX499" s="639"/>
      <c r="AY499" s="639"/>
      <c r="AZ499" s="639"/>
      <c r="BA499" s="639"/>
      <c r="BB499" s="639"/>
      <c r="BC499" s="639"/>
      <c r="BD499" s="639"/>
      <c r="BE499" s="639"/>
      <c r="BF499" s="639"/>
      <c r="BG499" s="639"/>
      <c r="BH499" s="639"/>
      <c r="BI499" s="639"/>
      <c r="BJ499" s="639"/>
      <c r="BK499" s="639"/>
      <c r="BL499" s="639"/>
      <c r="BM499" s="639"/>
      <c r="BN499" s="639"/>
      <c r="BO499" s="639"/>
      <c r="BP499" s="639"/>
      <c r="BQ499" s="639"/>
      <c r="BR499" s="639"/>
      <c r="BS499" s="639"/>
      <c r="BT499" s="639"/>
      <c r="BU499" s="639"/>
      <c r="BV499" s="639"/>
      <c r="BW499" s="639"/>
      <c r="BX499" s="639"/>
    </row>
    <row r="500" spans="1:76" s="2548" customFormat="1" ht="51">
      <c r="A500" s="1388"/>
      <c r="B500" s="1388"/>
      <c r="C500" s="3014">
        <v>1</v>
      </c>
      <c r="D500" s="3015" t="s">
        <v>66</v>
      </c>
      <c r="E500" s="3015" t="s">
        <v>161</v>
      </c>
      <c r="F500" s="3014">
        <v>26</v>
      </c>
      <c r="G500" s="3015" t="s">
        <v>65</v>
      </c>
      <c r="H500" s="2207"/>
      <c r="I500" s="3168" t="s">
        <v>3313</v>
      </c>
      <c r="J500" s="2516" t="s">
        <v>3754</v>
      </c>
      <c r="K500" s="3002">
        <v>60</v>
      </c>
      <c r="L500" s="1387">
        <v>1205008500</v>
      </c>
      <c r="M500" s="1387">
        <v>12</v>
      </c>
      <c r="N500" s="1387">
        <v>499850900</v>
      </c>
      <c r="O500" s="3003">
        <v>12</v>
      </c>
      <c r="P500" s="1387">
        <v>335812306</v>
      </c>
      <c r="Q500" s="3008">
        <v>3</v>
      </c>
      <c r="R500" s="1387">
        <v>48708500</v>
      </c>
      <c r="S500" s="2312">
        <v>3</v>
      </c>
      <c r="T500" s="1387">
        <v>21962250</v>
      </c>
      <c r="U500" s="2936">
        <v>3</v>
      </c>
      <c r="V500" s="2307">
        <v>223817450</v>
      </c>
      <c r="W500" s="2936">
        <f>X500/P500*100</f>
        <v>0</v>
      </c>
      <c r="X500" s="1387">
        <f>0</f>
        <v>0</v>
      </c>
      <c r="Y500" s="1387">
        <f t="shared" si="150"/>
        <v>9</v>
      </c>
      <c r="Z500" s="1388">
        <f t="shared" si="137"/>
        <v>294488200</v>
      </c>
      <c r="AA500" s="1387">
        <f t="shared" si="145"/>
        <v>21</v>
      </c>
      <c r="AB500" s="1388">
        <f t="shared" si="146"/>
        <v>794339100</v>
      </c>
      <c r="AC500" s="2591">
        <f t="shared" si="147"/>
        <v>35</v>
      </c>
      <c r="AD500" s="3016">
        <f t="shared" si="148"/>
        <v>65.9197922670255</v>
      </c>
      <c r="AE500" s="2207"/>
      <c r="AF500" s="639"/>
      <c r="AG500" s="639"/>
      <c r="AH500" s="639"/>
      <c r="AI500" s="639"/>
      <c r="AJ500" s="639"/>
      <c r="AK500" s="639"/>
      <c r="AL500" s="639"/>
      <c r="AM500" s="639"/>
      <c r="AN500" s="639"/>
      <c r="AO500" s="639"/>
      <c r="AP500" s="639"/>
      <c r="AQ500" s="639"/>
      <c r="AR500" s="639"/>
      <c r="AS500" s="639"/>
      <c r="AT500" s="639"/>
      <c r="AU500" s="639"/>
      <c r="AV500" s="639"/>
      <c r="AW500" s="639"/>
      <c r="AX500" s="639"/>
      <c r="AY500" s="639"/>
      <c r="AZ500" s="639"/>
      <c r="BA500" s="639"/>
      <c r="BB500" s="639"/>
      <c r="BC500" s="639"/>
      <c r="BD500" s="639"/>
      <c r="BE500" s="639"/>
      <c r="BF500" s="639"/>
      <c r="BG500" s="639"/>
      <c r="BH500" s="639"/>
      <c r="BI500" s="639"/>
      <c r="BJ500" s="639"/>
      <c r="BK500" s="639"/>
      <c r="BL500" s="639"/>
      <c r="BM500" s="639"/>
      <c r="BN500" s="639"/>
      <c r="BO500" s="639"/>
      <c r="BP500" s="639"/>
      <c r="BQ500" s="639"/>
      <c r="BR500" s="639"/>
      <c r="BS500" s="639"/>
      <c r="BT500" s="639"/>
      <c r="BU500" s="639"/>
      <c r="BV500" s="639"/>
      <c r="BW500" s="639"/>
      <c r="BX500" s="639"/>
    </row>
    <row r="501" spans="1:76" s="2548" customFormat="1" ht="68.25" customHeight="1">
      <c r="A501" s="3009"/>
      <c r="B501" s="1388"/>
      <c r="C501" s="3014">
        <v>1</v>
      </c>
      <c r="D501" s="3015" t="s">
        <v>66</v>
      </c>
      <c r="E501" s="3015" t="s">
        <v>161</v>
      </c>
      <c r="F501" s="3014">
        <v>26</v>
      </c>
      <c r="G501" s="3015" t="s">
        <v>196</v>
      </c>
      <c r="H501" s="2207"/>
      <c r="I501" s="3168" t="s">
        <v>3314</v>
      </c>
      <c r="J501" s="2516" t="s">
        <v>3342</v>
      </c>
      <c r="K501" s="3002">
        <v>60</v>
      </c>
      <c r="L501" s="1387">
        <v>959202300</v>
      </c>
      <c r="M501" s="1387">
        <v>12</v>
      </c>
      <c r="N501" s="1387">
        <v>171647350</v>
      </c>
      <c r="O501" s="3003">
        <v>12</v>
      </c>
      <c r="P501" s="1387">
        <v>52004694</v>
      </c>
      <c r="Q501" s="3008">
        <v>3</v>
      </c>
      <c r="R501" s="1387">
        <v>16593100</v>
      </c>
      <c r="S501" s="2516"/>
      <c r="T501" s="2516"/>
      <c r="U501" s="2936">
        <v>6</v>
      </c>
      <c r="V501" s="2307">
        <v>17261050</v>
      </c>
      <c r="W501" s="2936">
        <f>X501/P501*100</f>
        <v>0</v>
      </c>
      <c r="X501" s="1387">
        <f>0</f>
        <v>0</v>
      </c>
      <c r="Y501" s="1387">
        <f t="shared" si="150"/>
        <v>9</v>
      </c>
      <c r="Z501" s="1388">
        <f t="shared" si="137"/>
        <v>33854150</v>
      </c>
      <c r="AA501" s="2591">
        <f t="shared" si="145"/>
        <v>21</v>
      </c>
      <c r="AB501" s="1388">
        <f t="shared" si="146"/>
        <v>205501500</v>
      </c>
      <c r="AC501" s="2591">
        <f t="shared" si="147"/>
        <v>35</v>
      </c>
      <c r="AD501" s="3016">
        <f t="shared" si="148"/>
        <v>21.424208428190799</v>
      </c>
      <c r="AE501" s="2207"/>
      <c r="AF501" s="639"/>
      <c r="AG501" s="639"/>
      <c r="AH501" s="639"/>
      <c r="AI501" s="639"/>
      <c r="AJ501" s="639"/>
      <c r="AK501" s="639"/>
      <c r="AL501" s="639"/>
      <c r="AM501" s="639"/>
      <c r="AN501" s="639"/>
      <c r="AO501" s="639"/>
      <c r="AP501" s="639"/>
      <c r="AQ501" s="639"/>
      <c r="AR501" s="639"/>
      <c r="AS501" s="639"/>
      <c r="AT501" s="639"/>
      <c r="AU501" s="639"/>
      <c r="AV501" s="639"/>
      <c r="AW501" s="639"/>
      <c r="AX501" s="639"/>
      <c r="AY501" s="639"/>
      <c r="AZ501" s="639"/>
      <c r="BA501" s="639"/>
      <c r="BB501" s="639"/>
      <c r="BC501" s="639"/>
      <c r="BD501" s="639"/>
      <c r="BE501" s="639"/>
      <c r="BF501" s="639"/>
      <c r="BG501" s="639"/>
      <c r="BH501" s="639"/>
      <c r="BI501" s="639"/>
      <c r="BJ501" s="639"/>
      <c r="BK501" s="639"/>
      <c r="BL501" s="639"/>
      <c r="BM501" s="639"/>
      <c r="BN501" s="639"/>
      <c r="BO501" s="639"/>
      <c r="BP501" s="639"/>
      <c r="BQ501" s="639"/>
      <c r="BR501" s="639"/>
      <c r="BS501" s="639"/>
      <c r="BT501" s="639"/>
      <c r="BU501" s="639"/>
      <c r="BV501" s="639"/>
      <c r="BW501" s="639"/>
      <c r="BX501" s="639"/>
    </row>
    <row r="502" spans="1:76" s="2548" customFormat="1" ht="51">
      <c r="A502" s="2549">
        <v>5</v>
      </c>
      <c r="B502" s="2335" t="s">
        <v>3306</v>
      </c>
      <c r="C502" s="3795">
        <v>1</v>
      </c>
      <c r="D502" s="2374" t="s">
        <v>66</v>
      </c>
      <c r="E502" s="2374" t="s">
        <v>161</v>
      </c>
      <c r="F502" s="3795">
        <v>27</v>
      </c>
      <c r="G502" s="3795"/>
      <c r="H502" s="2595"/>
      <c r="I502" s="2359" t="s">
        <v>3315</v>
      </c>
      <c r="J502" s="2335" t="s">
        <v>3344</v>
      </c>
      <c r="K502" s="2557">
        <v>80</v>
      </c>
      <c r="L502" s="2347">
        <v>1229144600</v>
      </c>
      <c r="M502" s="2340">
        <v>60</v>
      </c>
      <c r="N502" s="2347">
        <v>179614160</v>
      </c>
      <c r="O502" s="2557">
        <v>10</v>
      </c>
      <c r="P502" s="2347">
        <v>109906000</v>
      </c>
      <c r="Q502" s="3006">
        <v>2</v>
      </c>
      <c r="R502" s="2347">
        <v>31773300</v>
      </c>
      <c r="S502" s="2367">
        <v>2</v>
      </c>
      <c r="T502" s="2340">
        <f>SUM(T503:T504)</f>
        <v>56540550</v>
      </c>
      <c r="U502" s="2905">
        <v>2</v>
      </c>
      <c r="V502" s="2342">
        <f>SUM(V503:V504)</f>
        <v>35170850</v>
      </c>
      <c r="W502" s="2905">
        <f>(X502/P502)*100</f>
        <v>0</v>
      </c>
      <c r="X502" s="2347">
        <f>SUM(X503:X504)</f>
        <v>0</v>
      </c>
      <c r="Y502" s="3286">
        <f>Q502+S502+U502</f>
        <v>6</v>
      </c>
      <c r="Z502" s="2347">
        <f t="shared" si="137"/>
        <v>123484700</v>
      </c>
      <c r="AA502" s="2340">
        <f t="shared" si="145"/>
        <v>66</v>
      </c>
      <c r="AB502" s="2347">
        <f t="shared" si="146"/>
        <v>303098860</v>
      </c>
      <c r="AC502" s="2563">
        <f t="shared" si="147"/>
        <v>82.5</v>
      </c>
      <c r="AD502" s="2720">
        <f t="shared" si="148"/>
        <v>24.659333002805369</v>
      </c>
      <c r="AE502" s="3138" t="s">
        <v>3305</v>
      </c>
      <c r="AF502" s="639"/>
      <c r="AG502" s="639"/>
      <c r="AH502" s="639"/>
      <c r="AI502" s="639"/>
      <c r="AJ502" s="639"/>
      <c r="AK502" s="639"/>
      <c r="AL502" s="639"/>
      <c r="AM502" s="639"/>
      <c r="AN502" s="639"/>
      <c r="AO502" s="639"/>
      <c r="AP502" s="639"/>
      <c r="AQ502" s="639"/>
      <c r="AR502" s="639"/>
      <c r="AS502" s="639"/>
      <c r="AT502" s="639"/>
      <c r="AU502" s="639"/>
      <c r="AV502" s="639"/>
      <c r="AW502" s="639"/>
      <c r="AX502" s="639"/>
      <c r="AY502" s="639"/>
      <c r="AZ502" s="639"/>
      <c r="BA502" s="639"/>
      <c r="BB502" s="639"/>
      <c r="BC502" s="639"/>
      <c r="BD502" s="639"/>
      <c r="BE502" s="639"/>
      <c r="BF502" s="639"/>
      <c r="BG502" s="639"/>
      <c r="BH502" s="639"/>
      <c r="BI502" s="639"/>
      <c r="BJ502" s="639"/>
      <c r="BK502" s="639"/>
      <c r="BL502" s="639"/>
      <c r="BM502" s="639"/>
      <c r="BN502" s="639"/>
      <c r="BO502" s="639"/>
      <c r="BP502" s="639"/>
      <c r="BQ502" s="639"/>
      <c r="BR502" s="639"/>
      <c r="BS502" s="639"/>
      <c r="BT502" s="639"/>
      <c r="BU502" s="639"/>
      <c r="BV502" s="639"/>
      <c r="BW502" s="639"/>
      <c r="BX502" s="639"/>
    </row>
    <row r="503" spans="1:76" s="2548" customFormat="1" ht="45" customHeight="1">
      <c r="A503" s="1388"/>
      <c r="B503" s="1388"/>
      <c r="C503" s="3014">
        <v>1</v>
      </c>
      <c r="D503" s="3015" t="s">
        <v>66</v>
      </c>
      <c r="E503" s="3015" t="s">
        <v>161</v>
      </c>
      <c r="F503" s="3014">
        <v>27</v>
      </c>
      <c r="G503" s="3015" t="s">
        <v>66</v>
      </c>
      <c r="H503" s="2207"/>
      <c r="I503" s="3168" t="s">
        <v>3316</v>
      </c>
      <c r="J503" s="2516" t="s">
        <v>3755</v>
      </c>
      <c r="K503" s="3002">
        <v>20</v>
      </c>
      <c r="L503" s="1387">
        <v>564113600</v>
      </c>
      <c r="M503" s="1387">
        <v>4</v>
      </c>
      <c r="N503" s="1387">
        <v>73413560</v>
      </c>
      <c r="O503" s="3002">
        <v>4</v>
      </c>
      <c r="P503" s="1387">
        <v>58193000</v>
      </c>
      <c r="Q503" s="3008">
        <v>1</v>
      </c>
      <c r="R503" s="1387">
        <v>21404700</v>
      </c>
      <c r="S503" s="2936">
        <v>1</v>
      </c>
      <c r="T503" s="1388">
        <f>70670750-R503</f>
        <v>49266050</v>
      </c>
      <c r="U503" s="2936">
        <v>1</v>
      </c>
      <c r="V503" s="2307">
        <v>18094499</v>
      </c>
      <c r="W503" s="2936">
        <f>X503/P503*100</f>
        <v>0</v>
      </c>
      <c r="X503" s="1387">
        <f>0</f>
        <v>0</v>
      </c>
      <c r="Y503" s="3285">
        <f>Q503+S503+U503</f>
        <v>3</v>
      </c>
      <c r="Z503" s="1388">
        <f>R503+T503+V503</f>
        <v>88765249</v>
      </c>
      <c r="AA503" s="1387">
        <f t="shared" si="145"/>
        <v>7</v>
      </c>
      <c r="AB503" s="1388">
        <f t="shared" si="146"/>
        <v>162178809</v>
      </c>
      <c r="AC503" s="2591">
        <f t="shared" si="147"/>
        <v>35</v>
      </c>
      <c r="AD503" s="3009">
        <f t="shared" si="148"/>
        <v>28.749317336082665</v>
      </c>
      <c r="AE503" s="2207"/>
      <c r="AF503" s="639"/>
      <c r="AG503" s="639"/>
      <c r="AH503" s="639"/>
      <c r="AI503" s="639"/>
      <c r="AJ503" s="639"/>
      <c r="AK503" s="639"/>
      <c r="AL503" s="639"/>
      <c r="AM503" s="639"/>
      <c r="AN503" s="639"/>
      <c r="AO503" s="639"/>
      <c r="AP503" s="639"/>
      <c r="AQ503" s="639"/>
      <c r="AR503" s="639"/>
      <c r="AS503" s="639"/>
      <c r="AT503" s="639"/>
      <c r="AU503" s="639"/>
      <c r="AV503" s="639"/>
      <c r="AW503" s="639"/>
      <c r="AX503" s="639"/>
      <c r="AY503" s="639"/>
      <c r="AZ503" s="639"/>
      <c r="BA503" s="639"/>
      <c r="BB503" s="639"/>
      <c r="BC503" s="639"/>
      <c r="BD503" s="639"/>
      <c r="BE503" s="639"/>
      <c r="BF503" s="639"/>
      <c r="BG503" s="639"/>
      <c r="BH503" s="639"/>
      <c r="BI503" s="639"/>
      <c r="BJ503" s="639"/>
      <c r="BK503" s="639"/>
      <c r="BL503" s="639"/>
      <c r="BM503" s="639"/>
      <c r="BN503" s="639"/>
      <c r="BO503" s="639"/>
      <c r="BP503" s="639"/>
      <c r="BQ503" s="639"/>
      <c r="BR503" s="639"/>
      <c r="BS503" s="639"/>
      <c r="BT503" s="639"/>
      <c r="BU503" s="639"/>
      <c r="BV503" s="639"/>
      <c r="BW503" s="639"/>
      <c r="BX503" s="639"/>
    </row>
    <row r="504" spans="1:76" s="2983" customFormat="1" ht="57.75" customHeight="1">
      <c r="A504" s="2934"/>
      <c r="B504" s="1388"/>
      <c r="C504" s="3014">
        <v>1</v>
      </c>
      <c r="D504" s="3015" t="s">
        <v>66</v>
      </c>
      <c r="E504" s="3015" t="s">
        <v>161</v>
      </c>
      <c r="F504" s="3014">
        <v>27</v>
      </c>
      <c r="G504" s="3015" t="s">
        <v>65</v>
      </c>
      <c r="H504" s="2207"/>
      <c r="I504" s="3168" t="s">
        <v>3317</v>
      </c>
      <c r="J504" s="2516" t="s">
        <v>3345</v>
      </c>
      <c r="K504" s="3002">
        <v>20</v>
      </c>
      <c r="L504" s="1387">
        <v>665031000</v>
      </c>
      <c r="M504" s="1387">
        <v>4</v>
      </c>
      <c r="N504" s="1387">
        <v>106200600</v>
      </c>
      <c r="O504" s="3002">
        <v>4</v>
      </c>
      <c r="P504" s="1387">
        <v>51713000</v>
      </c>
      <c r="Q504" s="3008">
        <v>1</v>
      </c>
      <c r="R504" s="1387">
        <v>10368600</v>
      </c>
      <c r="S504" s="2936">
        <v>1</v>
      </c>
      <c r="T504" s="1388">
        <f>17643100-R504</f>
        <v>7274500</v>
      </c>
      <c r="U504" s="2936">
        <v>1</v>
      </c>
      <c r="V504" s="2307">
        <v>17076351</v>
      </c>
      <c r="W504" s="2936">
        <f>X504/P504*100</f>
        <v>0</v>
      </c>
      <c r="X504" s="1387">
        <f>0</f>
        <v>0</v>
      </c>
      <c r="Y504" s="3008">
        <f t="shared" si="150"/>
        <v>3</v>
      </c>
      <c r="Z504" s="1388">
        <f t="shared" si="137"/>
        <v>34719451</v>
      </c>
      <c r="AA504" s="1387">
        <f t="shared" si="145"/>
        <v>7</v>
      </c>
      <c r="AB504" s="1388">
        <f t="shared" si="146"/>
        <v>140920051</v>
      </c>
      <c r="AC504" s="2591">
        <f t="shared" si="147"/>
        <v>35</v>
      </c>
      <c r="AD504" s="3009">
        <f t="shared" si="148"/>
        <v>21.189997308396151</v>
      </c>
      <c r="AE504" s="2207"/>
      <c r="AF504" s="642"/>
      <c r="AG504" s="642"/>
      <c r="AH504" s="642"/>
      <c r="AI504" s="642"/>
      <c r="AJ504" s="642"/>
      <c r="AK504" s="642"/>
      <c r="AL504" s="642"/>
      <c r="AM504" s="642"/>
      <c r="AN504" s="642"/>
      <c r="AO504" s="642"/>
      <c r="AP504" s="642"/>
      <c r="AQ504" s="642"/>
      <c r="AR504" s="642"/>
      <c r="AS504" s="642"/>
      <c r="AT504" s="642"/>
      <c r="AU504" s="642"/>
      <c r="AV504" s="642"/>
      <c r="AW504" s="642"/>
      <c r="AX504" s="642"/>
      <c r="AY504" s="642"/>
      <c r="AZ504" s="642"/>
      <c r="BA504" s="642"/>
      <c r="BB504" s="642"/>
      <c r="BC504" s="642"/>
      <c r="BD504" s="642"/>
      <c r="BE504" s="642"/>
      <c r="BF504" s="642"/>
      <c r="BG504" s="642"/>
      <c r="BH504" s="642"/>
      <c r="BI504" s="642"/>
      <c r="BJ504" s="642"/>
      <c r="BK504" s="642"/>
      <c r="BL504" s="642"/>
      <c r="BM504" s="642"/>
      <c r="BN504" s="642"/>
      <c r="BO504" s="642"/>
      <c r="BP504" s="642"/>
      <c r="BQ504" s="642"/>
      <c r="BR504" s="642"/>
      <c r="BS504" s="642"/>
      <c r="BT504" s="642"/>
      <c r="BU504" s="642"/>
      <c r="BV504" s="642"/>
      <c r="BW504" s="642"/>
      <c r="BX504" s="642"/>
    </row>
    <row r="505" spans="1:76" s="2548" customFormat="1" ht="84.75" customHeight="1">
      <c r="A505" s="2549">
        <v>6</v>
      </c>
      <c r="B505" s="2335" t="s">
        <v>3303</v>
      </c>
      <c r="C505" s="3795">
        <v>1</v>
      </c>
      <c r="D505" s="2374" t="s">
        <v>66</v>
      </c>
      <c r="E505" s="2374" t="s">
        <v>161</v>
      </c>
      <c r="F505" s="3795">
        <v>28</v>
      </c>
      <c r="G505" s="3795"/>
      <c r="H505" s="2595"/>
      <c r="I505" s="2359" t="s">
        <v>3318</v>
      </c>
      <c r="J505" s="2335" t="s">
        <v>3343</v>
      </c>
      <c r="K505" s="2557">
        <v>90</v>
      </c>
      <c r="L505" s="2347">
        <v>1457053950</v>
      </c>
      <c r="M505" s="2340">
        <v>50</v>
      </c>
      <c r="N505" s="2347">
        <v>433872060</v>
      </c>
      <c r="O505" s="2557">
        <v>15</v>
      </c>
      <c r="P505" s="2347">
        <v>101870644</v>
      </c>
      <c r="Q505" s="3006">
        <v>2</v>
      </c>
      <c r="R505" s="2347">
        <v>6152250</v>
      </c>
      <c r="S505" s="3017">
        <v>5</v>
      </c>
      <c r="T505" s="2340">
        <v>22117200</v>
      </c>
      <c r="U505" s="2905">
        <f>U506</f>
        <v>3</v>
      </c>
      <c r="V505" s="2342">
        <f>V506</f>
        <v>44764850</v>
      </c>
      <c r="W505" s="2905">
        <f>W506</f>
        <v>0</v>
      </c>
      <c r="X505" s="2347">
        <f>X506</f>
        <v>0</v>
      </c>
      <c r="Y505" s="3007">
        <f t="shared" si="150"/>
        <v>10</v>
      </c>
      <c r="Z505" s="2347">
        <f t="shared" si="137"/>
        <v>73034300</v>
      </c>
      <c r="AA505" s="2340">
        <f t="shared" si="145"/>
        <v>60</v>
      </c>
      <c r="AB505" s="2347">
        <f t="shared" si="146"/>
        <v>506906360</v>
      </c>
      <c r="AC505" s="2563">
        <f t="shared" si="147"/>
        <v>66.666666666666657</v>
      </c>
      <c r="AD505" s="3013">
        <f t="shared" si="148"/>
        <v>34.789814062821769</v>
      </c>
      <c r="AE505" s="3138" t="s">
        <v>3305</v>
      </c>
      <c r="AF505" s="639"/>
      <c r="AG505" s="639"/>
      <c r="AH505" s="639"/>
      <c r="AI505" s="639"/>
      <c r="AJ505" s="639"/>
      <c r="AK505" s="639"/>
      <c r="AL505" s="639"/>
      <c r="AM505" s="639"/>
      <c r="AN505" s="639"/>
      <c r="AO505" s="639"/>
      <c r="AP505" s="639"/>
      <c r="AQ505" s="639"/>
      <c r="AR505" s="639"/>
      <c r="AS505" s="639"/>
      <c r="AT505" s="639"/>
      <c r="AU505" s="639"/>
      <c r="AV505" s="639"/>
      <c r="AW505" s="639"/>
      <c r="AX505" s="639"/>
      <c r="AY505" s="639"/>
      <c r="AZ505" s="639"/>
      <c r="BA505" s="639"/>
      <c r="BB505" s="639"/>
      <c r="BC505" s="639"/>
      <c r="BD505" s="639"/>
      <c r="BE505" s="639"/>
      <c r="BF505" s="639"/>
      <c r="BG505" s="639"/>
      <c r="BH505" s="639"/>
      <c r="BI505" s="639"/>
      <c r="BJ505" s="639"/>
      <c r="BK505" s="639"/>
      <c r="BL505" s="639"/>
      <c r="BM505" s="639"/>
      <c r="BN505" s="639"/>
      <c r="BO505" s="639"/>
      <c r="BP505" s="639"/>
      <c r="BQ505" s="639"/>
      <c r="BR505" s="639"/>
      <c r="BS505" s="639"/>
      <c r="BT505" s="639"/>
      <c r="BU505" s="639"/>
      <c r="BV505" s="639"/>
      <c r="BW505" s="639"/>
      <c r="BX505" s="639"/>
    </row>
    <row r="506" spans="1:76" s="2548" customFormat="1" ht="72" customHeight="1">
      <c r="A506" s="2516"/>
      <c r="B506" s="1388"/>
      <c r="C506" s="3014">
        <v>1</v>
      </c>
      <c r="D506" s="3015" t="s">
        <v>66</v>
      </c>
      <c r="E506" s="3015" t="s">
        <v>161</v>
      </c>
      <c r="F506" s="3014">
        <v>28</v>
      </c>
      <c r="G506" s="3015" t="s">
        <v>198</v>
      </c>
      <c r="H506" s="2207"/>
      <c r="I506" s="3168" t="s">
        <v>3319</v>
      </c>
      <c r="J506" s="2516" t="s">
        <v>3756</v>
      </c>
      <c r="K506" s="3002">
        <v>60</v>
      </c>
      <c r="L506" s="1387">
        <v>1457053950</v>
      </c>
      <c r="M506" s="1387">
        <v>12</v>
      </c>
      <c r="N506" s="1387">
        <v>433872060</v>
      </c>
      <c r="O506" s="3002">
        <v>12</v>
      </c>
      <c r="P506" s="1387">
        <v>101870644</v>
      </c>
      <c r="Q506" s="3008">
        <v>3</v>
      </c>
      <c r="R506" s="1387">
        <v>6152250</v>
      </c>
      <c r="S506" s="2936">
        <v>3</v>
      </c>
      <c r="T506" s="1387">
        <f>T505</f>
        <v>22117200</v>
      </c>
      <c r="U506" s="2936">
        <v>3</v>
      </c>
      <c r="V506" s="2307">
        <v>44764850</v>
      </c>
      <c r="W506" s="2936">
        <f>X506/P506*100</f>
        <v>0</v>
      </c>
      <c r="X506" s="1387">
        <f>0</f>
        <v>0</v>
      </c>
      <c r="Y506" s="2593">
        <f t="shared" si="150"/>
        <v>9</v>
      </c>
      <c r="Z506" s="1388">
        <f t="shared" si="137"/>
        <v>73034300</v>
      </c>
      <c r="AA506" s="1387">
        <f t="shared" si="145"/>
        <v>21</v>
      </c>
      <c r="AB506" s="1388">
        <f t="shared" si="146"/>
        <v>506906360</v>
      </c>
      <c r="AC506" s="2591">
        <f t="shared" si="147"/>
        <v>35</v>
      </c>
      <c r="AD506" s="3009">
        <f t="shared" si="148"/>
        <v>34.789814062821769</v>
      </c>
      <c r="AE506" s="2207"/>
      <c r="AF506" s="639"/>
      <c r="AG506" s="639"/>
      <c r="AH506" s="639"/>
      <c r="AI506" s="639"/>
      <c r="AJ506" s="639"/>
      <c r="AK506" s="639"/>
      <c r="AL506" s="639"/>
      <c r="AM506" s="639"/>
      <c r="AN506" s="639"/>
      <c r="AO506" s="639"/>
      <c r="AP506" s="639"/>
      <c r="AQ506" s="639"/>
      <c r="AR506" s="639"/>
      <c r="AS506" s="639"/>
      <c r="AT506" s="639"/>
      <c r="AU506" s="639"/>
      <c r="AV506" s="639"/>
      <c r="AW506" s="639"/>
      <c r="AX506" s="639"/>
      <c r="AY506" s="639"/>
      <c r="AZ506" s="639"/>
      <c r="BA506" s="639"/>
      <c r="BB506" s="639"/>
      <c r="BC506" s="639"/>
      <c r="BD506" s="639"/>
      <c r="BE506" s="639"/>
      <c r="BF506" s="639"/>
      <c r="BG506" s="639"/>
      <c r="BH506" s="639"/>
      <c r="BI506" s="639"/>
      <c r="BJ506" s="639"/>
      <c r="BK506" s="639"/>
      <c r="BL506" s="639"/>
      <c r="BM506" s="639"/>
      <c r="BN506" s="639"/>
      <c r="BO506" s="639"/>
      <c r="BP506" s="639"/>
      <c r="BQ506" s="639"/>
      <c r="BR506" s="639"/>
      <c r="BS506" s="639"/>
      <c r="BT506" s="639"/>
      <c r="BU506" s="639"/>
      <c r="BV506" s="639"/>
      <c r="BW506" s="639"/>
      <c r="BX506" s="639"/>
    </row>
    <row r="507" spans="1:76" ht="18.75" customHeight="1">
      <c r="A507" s="4244" t="s">
        <v>89</v>
      </c>
      <c r="B507" s="4244"/>
      <c r="C507" s="4245"/>
      <c r="D507" s="4245"/>
      <c r="E507" s="4245"/>
      <c r="F507" s="4245"/>
      <c r="G507" s="4245"/>
      <c r="H507" s="4245"/>
      <c r="I507" s="4245"/>
      <c r="J507" s="4245"/>
      <c r="K507" s="4245"/>
      <c r="L507" s="4245"/>
      <c r="M507" s="4245"/>
      <c r="N507" s="4245"/>
      <c r="O507" s="4245"/>
      <c r="P507" s="4245"/>
      <c r="Q507" s="4245"/>
      <c r="R507" s="4245"/>
      <c r="S507" s="4245"/>
      <c r="T507" s="4245"/>
      <c r="U507" s="4245"/>
      <c r="V507" s="4245"/>
      <c r="W507" s="4245"/>
      <c r="X507" s="4245"/>
      <c r="Y507" s="4245"/>
      <c r="Z507" s="4245"/>
      <c r="AA507" s="4245"/>
      <c r="AB507" s="4245"/>
      <c r="AC507" s="2030">
        <f>(AC493+AC495+AC497+AC499+AC502+AC505+AC479+AC491)/8</f>
        <v>53.791300767757832</v>
      </c>
      <c r="AD507" s="2030">
        <f>(AD493+AD495+AD497+AD499+AD502+AD505+AD479+AD491)/8</f>
        <v>38.022925904411935</v>
      </c>
      <c r="AE507" s="390"/>
    </row>
    <row r="508" spans="1:76" ht="17.25" customHeight="1">
      <c r="A508" s="4244" t="s">
        <v>90</v>
      </c>
      <c r="B508" s="4244"/>
      <c r="C508" s="4245"/>
      <c r="D508" s="4245"/>
      <c r="E508" s="4245"/>
      <c r="F508" s="4245"/>
      <c r="G508" s="4245"/>
      <c r="H508" s="4245"/>
      <c r="I508" s="4245"/>
      <c r="J508" s="4245"/>
      <c r="K508" s="4245"/>
      <c r="L508" s="4245"/>
      <c r="M508" s="4245"/>
      <c r="N508" s="4245"/>
      <c r="O508" s="4245"/>
      <c r="P508" s="4245"/>
      <c r="Q508" s="4245"/>
      <c r="R508" s="4245"/>
      <c r="S508" s="4245"/>
      <c r="T508" s="4245"/>
      <c r="U508" s="4245"/>
      <c r="V508" s="4245"/>
      <c r="W508" s="4245"/>
      <c r="X508" s="4245"/>
      <c r="Y508" s="4245"/>
      <c r="Z508" s="4245"/>
      <c r="AA508" s="4245"/>
      <c r="AB508" s="4245"/>
      <c r="AC508" s="3152" t="str">
        <f>IF(AC507&gt;=91,"ST",IF(AC507&gt;=76,"T",IF(AC507&gt;=66,"S",IF(AC507&gt;=51,"R","SR"))))</f>
        <v>R</v>
      </c>
      <c r="AD508" s="3152" t="str">
        <f>IF(AD507&gt;=91,"ST",IF(AD507&gt;=76,"T",IF(AD507&gt;=66,"S",IF(AD507&gt;=51,"R","SR"))))</f>
        <v>SR</v>
      </c>
      <c r="AE508" s="390"/>
    </row>
    <row r="509" spans="1:76" s="2370" customFormat="1" ht="15">
      <c r="A509" s="4286"/>
      <c r="B509" s="4286"/>
      <c r="C509" s="4286"/>
      <c r="D509" s="4286"/>
      <c r="E509" s="4286"/>
      <c r="F509" s="4286"/>
      <c r="G509" s="4286"/>
      <c r="H509" s="4286"/>
      <c r="I509" s="4286"/>
      <c r="J509" s="4286"/>
      <c r="K509" s="4286"/>
      <c r="L509" s="4286"/>
      <c r="M509" s="4286"/>
      <c r="N509" s="4286"/>
      <c r="O509" s="4286"/>
      <c r="P509" s="4286"/>
      <c r="Q509" s="4286"/>
      <c r="R509" s="4286"/>
      <c r="S509" s="4286"/>
      <c r="T509" s="4286"/>
      <c r="U509" s="4286"/>
      <c r="V509" s="4286"/>
      <c r="W509" s="4286"/>
      <c r="X509" s="4286"/>
      <c r="Y509" s="4286"/>
      <c r="Z509" s="4286"/>
      <c r="AA509" s="4286"/>
      <c r="AB509" s="4286"/>
      <c r="AC509" s="4286"/>
      <c r="AD509" s="4286"/>
      <c r="AE509" s="4286"/>
      <c r="AF509" s="1129"/>
      <c r="AG509" s="1129"/>
      <c r="AH509" s="1129"/>
      <c r="AI509" s="1129"/>
      <c r="AJ509" s="1129"/>
      <c r="AK509" s="1129"/>
      <c r="AL509" s="1129"/>
      <c r="AM509" s="1129"/>
      <c r="AN509" s="1129"/>
      <c r="AO509" s="1129"/>
      <c r="AP509" s="1129"/>
      <c r="AQ509" s="1129"/>
      <c r="AR509" s="1129"/>
      <c r="AS509" s="1129"/>
      <c r="AT509" s="1129"/>
      <c r="AU509" s="1129"/>
      <c r="AV509" s="1129"/>
      <c r="AW509" s="1129"/>
      <c r="AX509" s="1129"/>
      <c r="AY509" s="1129"/>
      <c r="AZ509" s="1129"/>
      <c r="BA509" s="1129"/>
      <c r="BB509" s="1129"/>
      <c r="BC509" s="1129"/>
      <c r="BD509" s="1129"/>
      <c r="BE509" s="1129"/>
      <c r="BF509" s="1129"/>
      <c r="BG509" s="1129"/>
      <c r="BH509" s="1129"/>
      <c r="BI509" s="1129"/>
      <c r="BJ509" s="1129"/>
      <c r="BK509" s="1129"/>
      <c r="BL509" s="1129"/>
      <c r="BM509" s="1129"/>
      <c r="BN509" s="1129"/>
      <c r="BO509" s="1129"/>
      <c r="BP509" s="1129"/>
      <c r="BQ509" s="1129"/>
      <c r="BR509" s="1129"/>
      <c r="BS509" s="1129"/>
      <c r="BT509" s="1129"/>
      <c r="BU509" s="1129"/>
      <c r="BV509" s="1129"/>
      <c r="BW509" s="1129"/>
      <c r="BX509" s="1129"/>
    </row>
    <row r="510" spans="1:76" s="2371" customFormat="1" ht="24" customHeight="1">
      <c r="A510" s="3199" t="s">
        <v>3236</v>
      </c>
      <c r="B510" s="3199"/>
      <c r="C510" s="3840"/>
      <c r="D510" s="3840"/>
      <c r="E510" s="3840"/>
      <c r="F510" s="3840"/>
      <c r="G510" s="3840"/>
      <c r="H510" s="3840"/>
      <c r="I510" s="3199"/>
      <c r="J510" s="3199"/>
      <c r="K510" s="3199"/>
      <c r="L510" s="3206">
        <f>L511+L524+L528+L530+L532+L537</f>
        <v>33661597592</v>
      </c>
      <c r="M510" s="3199"/>
      <c r="N510" s="3201">
        <f>N511+N524+N528+N530+N532+N537</f>
        <v>5890009690</v>
      </c>
      <c r="O510" s="3199"/>
      <c r="P510" s="3201">
        <f>P511+P524+P528+P530+P532+P537</f>
        <v>3813014741</v>
      </c>
      <c r="Q510" s="3199"/>
      <c r="R510" s="3201">
        <f>R511+R524+R528+R530+R532+R537</f>
        <v>149228620</v>
      </c>
      <c r="S510" s="3199"/>
      <c r="T510" s="3201">
        <f>T511+T524+T528+T530+T532+T537</f>
        <v>1392304911</v>
      </c>
      <c r="U510" s="3199"/>
      <c r="V510" s="3201">
        <f>V511+V524+V528+V530+V532+V537</f>
        <v>-517859180</v>
      </c>
      <c r="W510" s="3199"/>
      <c r="X510" s="3199"/>
      <c r="Y510" s="3199"/>
      <c r="Z510" s="3201">
        <f t="shared" ref="Z510:Z538" si="151">R510+T510+V510+X510</f>
        <v>1023674351</v>
      </c>
      <c r="AA510" s="3199"/>
      <c r="AB510" s="3201">
        <f>AB511+AB524+AB528+AB530+AB532+AB537</f>
        <v>6913684041</v>
      </c>
      <c r="AC510" s="3199"/>
      <c r="AD510" s="3199"/>
      <c r="AE510" s="3203"/>
      <c r="AF510" s="1134"/>
      <c r="AG510" s="1134"/>
      <c r="AH510" s="1134"/>
      <c r="AI510" s="1134"/>
      <c r="AJ510" s="1134"/>
      <c r="AK510" s="1134"/>
      <c r="AL510" s="1134"/>
      <c r="AM510" s="1134"/>
      <c r="AN510" s="1134"/>
      <c r="AO510" s="1134"/>
      <c r="AP510" s="1134"/>
      <c r="AQ510" s="1134"/>
      <c r="AR510" s="1134"/>
      <c r="AS510" s="1134"/>
      <c r="AT510" s="1134"/>
      <c r="AU510" s="1134"/>
      <c r="AV510" s="1134"/>
      <c r="AW510" s="1134"/>
      <c r="AX510" s="1134"/>
      <c r="AY510" s="1134"/>
      <c r="AZ510" s="1134"/>
      <c r="BA510" s="1134"/>
      <c r="BB510" s="1134"/>
      <c r="BC510" s="1134"/>
      <c r="BD510" s="1134"/>
      <c r="BE510" s="1134"/>
      <c r="BF510" s="1134"/>
      <c r="BG510" s="1134"/>
      <c r="BH510" s="1134"/>
      <c r="BI510" s="1134"/>
      <c r="BJ510" s="1134"/>
      <c r="BK510" s="1134"/>
      <c r="BL510" s="1134"/>
      <c r="BM510" s="1134"/>
      <c r="BN510" s="1134"/>
      <c r="BO510" s="1134"/>
      <c r="BP510" s="1134"/>
      <c r="BQ510" s="1134"/>
      <c r="BR510" s="1134"/>
      <c r="BS510" s="1134"/>
      <c r="BT510" s="1134"/>
      <c r="BU510" s="1134"/>
      <c r="BV510" s="1134"/>
      <c r="BW510" s="1134"/>
      <c r="BX510" s="1134"/>
    </row>
    <row r="511" spans="1:76" s="2371" customFormat="1" ht="51">
      <c r="A511" s="2549">
        <v>1</v>
      </c>
      <c r="B511" s="2335"/>
      <c r="C511" s="3795"/>
      <c r="D511" s="3795"/>
      <c r="E511" s="3795"/>
      <c r="F511" s="3795"/>
      <c r="G511" s="3795"/>
      <c r="H511" s="3795"/>
      <c r="I511" s="2335" t="s">
        <v>3254</v>
      </c>
      <c r="J511" s="2335" t="s">
        <v>3272</v>
      </c>
      <c r="K511" s="2557">
        <v>60</v>
      </c>
      <c r="L511" s="2340">
        <f>SUM(L512:L523)</f>
        <v>8699932520</v>
      </c>
      <c r="M511" s="2557">
        <v>12</v>
      </c>
      <c r="N511" s="2340">
        <f>SUM(N512:N523)</f>
        <v>2135115798</v>
      </c>
      <c r="O511" s="2557">
        <v>12</v>
      </c>
      <c r="P511" s="2340">
        <f>SUM(P512:P523)</f>
        <v>1320516329</v>
      </c>
      <c r="Q511" s="2557">
        <v>3</v>
      </c>
      <c r="R511" s="2340">
        <f>SUM(R512:R523)</f>
        <v>46337692</v>
      </c>
      <c r="S511" s="2905">
        <v>3</v>
      </c>
      <c r="T511" s="2340">
        <f>SUM(T512:T523)</f>
        <v>165368033</v>
      </c>
      <c r="U511" s="2335"/>
      <c r="V511" s="2342">
        <f>SUM(V512:V523)</f>
        <v>102992469</v>
      </c>
      <c r="W511" s="2335"/>
      <c r="X511" s="2340"/>
      <c r="Y511" s="2551">
        <f t="shared" ref="Y511:Y538" si="152">Q511+S511+U511+W511</f>
        <v>6</v>
      </c>
      <c r="Z511" s="2340">
        <f t="shared" si="151"/>
        <v>314698194</v>
      </c>
      <c r="AA511" s="2335">
        <f>Y511+M511</f>
        <v>18</v>
      </c>
      <c r="AB511" s="2340">
        <f>Z511+N511</f>
        <v>2449813992</v>
      </c>
      <c r="AC511" s="2552">
        <f>AA511/K511*100</f>
        <v>30</v>
      </c>
      <c r="AD511" s="2552">
        <f>AB511/L511*100</f>
        <v>28.158999927507484</v>
      </c>
      <c r="AE511" s="3138" t="s">
        <v>3271</v>
      </c>
      <c r="AF511" s="3212"/>
      <c r="AG511" s="1134"/>
      <c r="AH511" s="1134"/>
      <c r="AI511" s="1134"/>
      <c r="AJ511" s="1134"/>
      <c r="AK511" s="1134"/>
      <c r="AL511" s="1134"/>
      <c r="AM511" s="1134"/>
      <c r="AN511" s="1134"/>
      <c r="AO511" s="1134"/>
      <c r="AP511" s="1134"/>
      <c r="AQ511" s="1134"/>
      <c r="AR511" s="1134"/>
      <c r="AS511" s="1134"/>
      <c r="AT511" s="1134"/>
      <c r="AU511" s="1134"/>
      <c r="AV511" s="1134"/>
      <c r="AW511" s="1134"/>
      <c r="AX511" s="1134"/>
      <c r="AY511" s="1134"/>
      <c r="AZ511" s="1134"/>
      <c r="BA511" s="1134"/>
      <c r="BB511" s="1134"/>
      <c r="BC511" s="1134"/>
      <c r="BD511" s="1134"/>
      <c r="BE511" s="1134"/>
      <c r="BF511" s="1134"/>
      <c r="BG511" s="1134"/>
      <c r="BH511" s="1134"/>
      <c r="BI511" s="1134"/>
      <c r="BJ511" s="1134"/>
      <c r="BK511" s="1134"/>
      <c r="BL511" s="1134"/>
      <c r="BM511" s="1134"/>
      <c r="BN511" s="1134"/>
      <c r="BO511" s="1134"/>
      <c r="BP511" s="1134"/>
      <c r="BQ511" s="1134"/>
      <c r="BR511" s="1134"/>
      <c r="BS511" s="1134"/>
      <c r="BT511" s="1134"/>
      <c r="BU511" s="1134"/>
      <c r="BV511" s="1134"/>
      <c r="BW511" s="1134"/>
      <c r="BX511" s="1134"/>
    </row>
    <row r="512" spans="1:76" s="2371" customFormat="1" ht="36.75" customHeight="1">
      <c r="A512" s="2632"/>
      <c r="B512" s="2632"/>
      <c r="C512" s="2446"/>
      <c r="D512" s="2446"/>
      <c r="E512" s="2446"/>
      <c r="F512" s="2446"/>
      <c r="G512" s="2446"/>
      <c r="H512" s="2446"/>
      <c r="I512" s="2631" t="s">
        <v>195</v>
      </c>
      <c r="J512" s="2632" t="s">
        <v>3757</v>
      </c>
      <c r="K512" s="1737">
        <v>60</v>
      </c>
      <c r="L512" s="2554">
        <f>19060000+80400000+85000000+86000000+87000000+88000000</f>
        <v>445460000</v>
      </c>
      <c r="M512" s="1737">
        <v>12</v>
      </c>
      <c r="N512" s="1731">
        <f>27071234+71261900</f>
        <v>98333134</v>
      </c>
      <c r="O512" s="1737">
        <v>12</v>
      </c>
      <c r="P512" s="1731">
        <v>89400000</v>
      </c>
      <c r="Q512" s="1737">
        <v>3</v>
      </c>
      <c r="R512" s="2816">
        <v>8631482</v>
      </c>
      <c r="S512" s="2899">
        <v>3</v>
      </c>
      <c r="T512" s="1731">
        <v>26640531</v>
      </c>
      <c r="U512" s="2899">
        <v>3</v>
      </c>
      <c r="V512" s="2304">
        <v>38556671</v>
      </c>
      <c r="W512" s="2632"/>
      <c r="X512" s="1731"/>
      <c r="Y512" s="2276">
        <f t="shared" si="152"/>
        <v>9</v>
      </c>
      <c r="Z512" s="2816">
        <f>R512+T512+V512+X512</f>
        <v>73828684</v>
      </c>
      <c r="AA512" s="2276">
        <f>Y512+M512</f>
        <v>21</v>
      </c>
      <c r="AB512" s="1731">
        <f>Z512+N512</f>
        <v>172161818</v>
      </c>
      <c r="AC512" s="2555">
        <f>AA512/K512*100</f>
        <v>35</v>
      </c>
      <c r="AD512" s="2555">
        <f>AB512/L512*100</f>
        <v>38.648098145736995</v>
      </c>
      <c r="AE512" s="3160"/>
      <c r="AF512" s="1134"/>
      <c r="AG512" s="1134"/>
      <c r="AH512" s="1134"/>
      <c r="AI512" s="1134"/>
      <c r="AJ512" s="1134"/>
      <c r="AK512" s="1134"/>
      <c r="AL512" s="1134"/>
      <c r="AM512" s="1134"/>
      <c r="AN512" s="1134"/>
      <c r="AO512" s="1134"/>
      <c r="AP512" s="1134"/>
      <c r="AQ512" s="1134"/>
      <c r="AR512" s="1134"/>
      <c r="AS512" s="1134"/>
      <c r="AT512" s="1134"/>
      <c r="AU512" s="1134"/>
      <c r="AV512" s="1134"/>
      <c r="AW512" s="1134"/>
      <c r="AX512" s="1134"/>
      <c r="AY512" s="1134"/>
      <c r="AZ512" s="1134"/>
      <c r="BA512" s="1134"/>
      <c r="BB512" s="1134"/>
      <c r="BC512" s="1134"/>
      <c r="BD512" s="1134"/>
      <c r="BE512" s="1134"/>
      <c r="BF512" s="1134"/>
      <c r="BG512" s="1134"/>
      <c r="BH512" s="1134"/>
      <c r="BI512" s="1134"/>
      <c r="BJ512" s="1134"/>
      <c r="BK512" s="1134"/>
      <c r="BL512" s="1134"/>
      <c r="BM512" s="1134"/>
      <c r="BN512" s="1134"/>
      <c r="BO512" s="1134"/>
      <c r="BP512" s="1134"/>
      <c r="BQ512" s="1134"/>
      <c r="BR512" s="1134"/>
      <c r="BS512" s="1134"/>
      <c r="BT512" s="1134"/>
      <c r="BU512" s="1134"/>
      <c r="BV512" s="1134"/>
      <c r="BW512" s="1134"/>
      <c r="BX512" s="1134"/>
    </row>
    <row r="513" spans="1:76" s="2371" customFormat="1" ht="30.75" customHeight="1">
      <c r="A513" s="2632"/>
      <c r="B513" s="2632"/>
      <c r="C513" s="2446"/>
      <c r="D513" s="2446"/>
      <c r="E513" s="2446"/>
      <c r="F513" s="2446"/>
      <c r="G513" s="2446"/>
      <c r="H513" s="2446"/>
      <c r="I513" s="2631" t="s">
        <v>199</v>
      </c>
      <c r="J513" s="2632" t="s">
        <v>3758</v>
      </c>
      <c r="K513" s="1737">
        <v>60</v>
      </c>
      <c r="L513" s="1731">
        <f>25600000+45900000+47500000+50000000+50000000+50000000</f>
        <v>269000000</v>
      </c>
      <c r="M513" s="1737">
        <v>12</v>
      </c>
      <c r="N513" s="1731">
        <f>31200000+38650000</f>
        <v>69850000</v>
      </c>
      <c r="O513" s="1737">
        <v>12</v>
      </c>
      <c r="P513" s="1731">
        <v>53100000</v>
      </c>
      <c r="Q513" s="1737">
        <v>3</v>
      </c>
      <c r="R513" s="1731">
        <v>0</v>
      </c>
      <c r="S513" s="2899">
        <v>3</v>
      </c>
      <c r="T513" s="1731">
        <v>25500000</v>
      </c>
      <c r="U513" s="2899">
        <v>3</v>
      </c>
      <c r="V513" s="2304">
        <v>18750000</v>
      </c>
      <c r="W513" s="2632"/>
      <c r="X513" s="1731"/>
      <c r="Y513" s="2276">
        <f t="shared" si="152"/>
        <v>9</v>
      </c>
      <c r="Z513" s="1731">
        <f t="shared" si="151"/>
        <v>44250000</v>
      </c>
      <c r="AA513" s="2632">
        <f t="shared" ref="AA513:AA523" si="153">Y513+M513</f>
        <v>21</v>
      </c>
      <c r="AB513" s="1731">
        <f t="shared" ref="AB513:AB523" si="154">Z513+N513</f>
        <v>114100000</v>
      </c>
      <c r="AC513" s="2555">
        <f t="shared" ref="AC513:AC523" si="155">AA513/K513*100</f>
        <v>35</v>
      </c>
      <c r="AD513" s="2555">
        <f t="shared" ref="AD513:AD523" si="156">AB513/L513*100</f>
        <v>42.416356877323416</v>
      </c>
      <c r="AE513" s="3160"/>
      <c r="AF513" s="3604"/>
      <c r="AG513" s="1134"/>
      <c r="AH513" s="1134"/>
      <c r="AI513" s="1134"/>
      <c r="AJ513" s="1134"/>
      <c r="AK513" s="1134"/>
      <c r="AL513" s="1134"/>
      <c r="AM513" s="1134"/>
      <c r="AN513" s="1134"/>
      <c r="AO513" s="1134"/>
      <c r="AP513" s="1134"/>
      <c r="AQ513" s="1134"/>
      <c r="AR513" s="1134"/>
      <c r="AS513" s="1134"/>
      <c r="AT513" s="1134"/>
      <c r="AU513" s="1134"/>
      <c r="AV513" s="1134"/>
      <c r="AW513" s="1134"/>
      <c r="AX513" s="1134"/>
      <c r="AY513" s="1134"/>
      <c r="AZ513" s="1134"/>
      <c r="BA513" s="1134"/>
      <c r="BB513" s="1134"/>
      <c r="BC513" s="1134"/>
      <c r="BD513" s="1134"/>
      <c r="BE513" s="1134"/>
      <c r="BF513" s="1134"/>
      <c r="BG513" s="1134"/>
      <c r="BH513" s="1134"/>
      <c r="BI513" s="1134"/>
      <c r="BJ513" s="1134"/>
      <c r="BK513" s="1134"/>
      <c r="BL513" s="1134"/>
      <c r="BM513" s="1134"/>
      <c r="BN513" s="1134"/>
      <c r="BO513" s="1134"/>
      <c r="BP513" s="1134"/>
      <c r="BQ513" s="1134"/>
      <c r="BR513" s="1134"/>
      <c r="BS513" s="1134"/>
      <c r="BT513" s="1134"/>
      <c r="BU513" s="1134"/>
      <c r="BV513" s="1134"/>
      <c r="BW513" s="1134"/>
      <c r="BX513" s="1134"/>
    </row>
    <row r="514" spans="1:76" s="2371" customFormat="1" ht="36" customHeight="1">
      <c r="A514" s="2632"/>
      <c r="B514" s="2632"/>
      <c r="C514" s="2446"/>
      <c r="D514" s="2446"/>
      <c r="E514" s="2446"/>
      <c r="F514" s="2446"/>
      <c r="G514" s="2446"/>
      <c r="H514" s="2446"/>
      <c r="I514" s="2631" t="s">
        <v>200</v>
      </c>
      <c r="J514" s="2632" t="s">
        <v>3759</v>
      </c>
      <c r="K514" s="1737">
        <v>60</v>
      </c>
      <c r="L514" s="1731">
        <f>44000000+48540600+49000000+49500000+50000000+51000000</f>
        <v>292040600</v>
      </c>
      <c r="M514" s="1737">
        <v>12</v>
      </c>
      <c r="N514" s="1731">
        <f>15689400+38885000</f>
        <v>54574400</v>
      </c>
      <c r="O514" s="1737">
        <v>12</v>
      </c>
      <c r="P514" s="1731">
        <v>60282600</v>
      </c>
      <c r="Q514" s="1737">
        <v>3</v>
      </c>
      <c r="R514" s="3213">
        <v>8000000</v>
      </c>
      <c r="S514" s="2632">
        <v>3</v>
      </c>
      <c r="T514" s="1731">
        <f>R514</f>
        <v>8000000</v>
      </c>
      <c r="U514" s="2899">
        <v>3</v>
      </c>
      <c r="V514" s="2304">
        <v>42177000</v>
      </c>
      <c r="W514" s="2632"/>
      <c r="X514" s="1731"/>
      <c r="Y514" s="2276">
        <f t="shared" si="152"/>
        <v>9</v>
      </c>
      <c r="Z514" s="3213">
        <f t="shared" si="151"/>
        <v>58177000</v>
      </c>
      <c r="AA514" s="2632">
        <f t="shared" si="153"/>
        <v>21</v>
      </c>
      <c r="AB514" s="1731">
        <f t="shared" si="154"/>
        <v>112751400</v>
      </c>
      <c r="AC514" s="2555">
        <f t="shared" si="155"/>
        <v>35</v>
      </c>
      <c r="AD514" s="2555">
        <f t="shared" si="156"/>
        <v>38.60812503466984</v>
      </c>
      <c r="AE514" s="3160"/>
      <c r="AF514" s="1134"/>
      <c r="AG514" s="1134"/>
      <c r="AH514" s="1134"/>
      <c r="AI514" s="1134"/>
      <c r="AJ514" s="1134"/>
      <c r="AK514" s="1134"/>
      <c r="AL514" s="1134"/>
      <c r="AM514" s="1134"/>
      <c r="AN514" s="1134"/>
      <c r="AO514" s="1134"/>
      <c r="AP514" s="1134"/>
      <c r="AQ514" s="1134"/>
      <c r="AR514" s="1134"/>
      <c r="AS514" s="1134"/>
      <c r="AT514" s="1134"/>
      <c r="AU514" s="1134"/>
      <c r="AV514" s="1134"/>
      <c r="AW514" s="1134"/>
      <c r="AX514" s="1134"/>
      <c r="AY514" s="1134"/>
      <c r="AZ514" s="1134"/>
      <c r="BA514" s="1134"/>
      <c r="BB514" s="1134"/>
      <c r="BC514" s="1134"/>
      <c r="BD514" s="1134"/>
      <c r="BE514" s="1134"/>
      <c r="BF514" s="1134"/>
      <c r="BG514" s="1134"/>
      <c r="BH514" s="1134"/>
      <c r="BI514" s="1134"/>
      <c r="BJ514" s="1134"/>
      <c r="BK514" s="1134"/>
      <c r="BL514" s="1134"/>
      <c r="BM514" s="1134"/>
      <c r="BN514" s="1134"/>
      <c r="BO514" s="1134"/>
      <c r="BP514" s="1134"/>
      <c r="BQ514" s="1134"/>
      <c r="BR514" s="1134"/>
      <c r="BS514" s="1134"/>
      <c r="BT514" s="1134"/>
      <c r="BU514" s="1134"/>
      <c r="BV514" s="1134"/>
      <c r="BW514" s="1134"/>
      <c r="BX514" s="1134"/>
    </row>
    <row r="515" spans="1:76" s="2371" customFormat="1" ht="43.5" customHeight="1">
      <c r="A515" s="2632"/>
      <c r="B515" s="2632"/>
      <c r="C515" s="2446"/>
      <c r="D515" s="2446"/>
      <c r="E515" s="2446"/>
      <c r="F515" s="2446"/>
      <c r="G515" s="2446"/>
      <c r="H515" s="2446"/>
      <c r="I515" s="2631" t="s">
        <v>528</v>
      </c>
      <c r="J515" s="2632" t="s">
        <v>3760</v>
      </c>
      <c r="K515" s="1737">
        <v>60</v>
      </c>
      <c r="L515" s="1731">
        <f>10000000+10950000+11000000+12000000+10000000+10000000</f>
        <v>63950000</v>
      </c>
      <c r="M515" s="1737">
        <v>12</v>
      </c>
      <c r="N515" s="1731">
        <f>6450000+9100000</f>
        <v>15550000</v>
      </c>
      <c r="O515" s="1737">
        <v>12</v>
      </c>
      <c r="P515" s="1731">
        <v>5500000</v>
      </c>
      <c r="Q515" s="1737">
        <v>3</v>
      </c>
      <c r="R515" s="1731">
        <v>665000</v>
      </c>
      <c r="S515" s="2632">
        <v>3</v>
      </c>
      <c r="T515" s="1731">
        <v>665000</v>
      </c>
      <c r="U515" s="2899">
        <v>3</v>
      </c>
      <c r="V515" s="2304">
        <v>2856000</v>
      </c>
      <c r="W515" s="2632"/>
      <c r="X515" s="1731"/>
      <c r="Y515" s="2276">
        <f t="shared" si="152"/>
        <v>9</v>
      </c>
      <c r="Z515" s="1731">
        <f t="shared" si="151"/>
        <v>4186000</v>
      </c>
      <c r="AA515" s="2632">
        <f t="shared" si="153"/>
        <v>21</v>
      </c>
      <c r="AB515" s="1731">
        <f t="shared" si="154"/>
        <v>19736000</v>
      </c>
      <c r="AC515" s="2555">
        <f t="shared" si="155"/>
        <v>35</v>
      </c>
      <c r="AD515" s="2555">
        <f t="shared" si="156"/>
        <v>30.861610633307272</v>
      </c>
      <c r="AE515" s="3160"/>
      <c r="AF515" s="1134"/>
      <c r="AG515" s="1134"/>
      <c r="AH515" s="1134"/>
      <c r="AI515" s="1134"/>
      <c r="AJ515" s="1134"/>
      <c r="AK515" s="1134"/>
      <c r="AL515" s="1134"/>
      <c r="AM515" s="1134"/>
      <c r="AN515" s="1134"/>
      <c r="AO515" s="1134"/>
      <c r="AP515" s="1134"/>
      <c r="AQ515" s="1134"/>
      <c r="AR515" s="1134"/>
      <c r="AS515" s="1134"/>
      <c r="AT515" s="1134"/>
      <c r="AU515" s="1134"/>
      <c r="AV515" s="1134"/>
      <c r="AW515" s="1134"/>
      <c r="AX515" s="1134"/>
      <c r="AY515" s="1134"/>
      <c r="AZ515" s="1134"/>
      <c r="BA515" s="1134"/>
      <c r="BB515" s="1134"/>
      <c r="BC515" s="1134"/>
      <c r="BD515" s="1134"/>
      <c r="BE515" s="1134"/>
      <c r="BF515" s="1134"/>
      <c r="BG515" s="1134"/>
      <c r="BH515" s="1134"/>
      <c r="BI515" s="1134"/>
      <c r="BJ515" s="1134"/>
      <c r="BK515" s="1134"/>
      <c r="BL515" s="1134"/>
      <c r="BM515" s="1134"/>
      <c r="BN515" s="1134"/>
      <c r="BO515" s="1134"/>
      <c r="BP515" s="1134"/>
      <c r="BQ515" s="1134"/>
      <c r="BR515" s="1134"/>
      <c r="BS515" s="1134"/>
      <c r="BT515" s="1134"/>
      <c r="BU515" s="1134"/>
      <c r="BV515" s="1134"/>
      <c r="BW515" s="1134"/>
      <c r="BX515" s="1134"/>
    </row>
    <row r="516" spans="1:76" s="2371" customFormat="1" ht="38.25" customHeight="1">
      <c r="A516" s="2632"/>
      <c r="B516" s="2632"/>
      <c r="C516" s="2446"/>
      <c r="D516" s="2446"/>
      <c r="E516" s="2446"/>
      <c r="F516" s="2446"/>
      <c r="G516" s="2446"/>
      <c r="H516" s="2446"/>
      <c r="I516" s="2631" t="s">
        <v>203</v>
      </c>
      <c r="J516" s="2632" t="s">
        <v>3761</v>
      </c>
      <c r="K516" s="1737">
        <v>60</v>
      </c>
      <c r="L516" s="1731">
        <f>20870065+28796058+28800000+29000000+30000000+31000000</f>
        <v>168466123</v>
      </c>
      <c r="M516" s="1737">
        <v>12</v>
      </c>
      <c r="N516" s="1731">
        <f>19127585+26094040</f>
        <v>45221625</v>
      </c>
      <c r="O516" s="1737">
        <v>12</v>
      </c>
      <c r="P516" s="1731">
        <v>27281498</v>
      </c>
      <c r="Q516" s="1737">
        <v>3</v>
      </c>
      <c r="R516" s="1731">
        <v>2524000</v>
      </c>
      <c r="S516" s="2632">
        <v>3</v>
      </c>
      <c r="T516" s="1731">
        <v>5191500</v>
      </c>
      <c r="U516" s="2899">
        <v>3</v>
      </c>
      <c r="V516" s="2304">
        <v>13329300</v>
      </c>
      <c r="W516" s="2632"/>
      <c r="X516" s="1731"/>
      <c r="Y516" s="2276">
        <f t="shared" si="152"/>
        <v>9</v>
      </c>
      <c r="Z516" s="1731">
        <f t="shared" si="151"/>
        <v>21044800</v>
      </c>
      <c r="AA516" s="2632">
        <f t="shared" si="153"/>
        <v>21</v>
      </c>
      <c r="AB516" s="1731">
        <f t="shared" si="154"/>
        <v>66266425</v>
      </c>
      <c r="AC516" s="2555">
        <f t="shared" si="155"/>
        <v>35</v>
      </c>
      <c r="AD516" s="2555">
        <f t="shared" si="156"/>
        <v>39.335163545017302</v>
      </c>
      <c r="AE516" s="3160"/>
      <c r="AF516" s="1134"/>
      <c r="AG516" s="1134"/>
      <c r="AH516" s="1134"/>
      <c r="AI516" s="1134"/>
      <c r="AJ516" s="1134"/>
      <c r="AK516" s="1134"/>
      <c r="AL516" s="1134"/>
      <c r="AM516" s="1134"/>
      <c r="AN516" s="1134"/>
      <c r="AO516" s="1134"/>
      <c r="AP516" s="1134"/>
      <c r="AQ516" s="1134"/>
      <c r="AR516" s="1134"/>
      <c r="AS516" s="1134"/>
      <c r="AT516" s="1134"/>
      <c r="AU516" s="1134"/>
      <c r="AV516" s="1134"/>
      <c r="AW516" s="1134"/>
      <c r="AX516" s="1134"/>
      <c r="AY516" s="1134"/>
      <c r="AZ516" s="1134"/>
      <c r="BA516" s="1134"/>
      <c r="BB516" s="1134"/>
      <c r="BC516" s="1134"/>
      <c r="BD516" s="1134"/>
      <c r="BE516" s="1134"/>
      <c r="BF516" s="1134"/>
      <c r="BG516" s="1134"/>
      <c r="BH516" s="1134"/>
      <c r="BI516" s="1134"/>
      <c r="BJ516" s="1134"/>
      <c r="BK516" s="1134"/>
      <c r="BL516" s="1134"/>
      <c r="BM516" s="1134"/>
      <c r="BN516" s="1134"/>
      <c r="BO516" s="1134"/>
      <c r="BP516" s="1134"/>
      <c r="BQ516" s="1134"/>
      <c r="BR516" s="1134"/>
      <c r="BS516" s="1134"/>
      <c r="BT516" s="1134"/>
      <c r="BU516" s="1134"/>
      <c r="BV516" s="1134"/>
      <c r="BW516" s="1134"/>
      <c r="BX516" s="1134"/>
    </row>
    <row r="517" spans="1:76" s="2371" customFormat="1" ht="43.5" customHeight="1">
      <c r="A517" s="2632"/>
      <c r="B517" s="2632"/>
      <c r="C517" s="2446"/>
      <c r="D517" s="2446"/>
      <c r="E517" s="2446"/>
      <c r="F517" s="2446"/>
      <c r="G517" s="2446"/>
      <c r="H517" s="2446"/>
      <c r="I517" s="2631" t="s">
        <v>204</v>
      </c>
      <c r="J517" s="2632" t="s">
        <v>3762</v>
      </c>
      <c r="K517" s="1737">
        <v>60</v>
      </c>
      <c r="L517" s="1731">
        <f>34947540+40285822+40325855+40550000+41000000+42000000</f>
        <v>239109217</v>
      </c>
      <c r="M517" s="1737">
        <v>12</v>
      </c>
      <c r="N517" s="1731">
        <f>31160040+36089200</f>
        <v>67249240</v>
      </c>
      <c r="O517" s="1737">
        <v>12</v>
      </c>
      <c r="P517" s="1731">
        <v>21600112</v>
      </c>
      <c r="Q517" s="1737">
        <v>3</v>
      </c>
      <c r="R517" s="1731">
        <v>3765000</v>
      </c>
      <c r="S517" s="2632">
        <v>3</v>
      </c>
      <c r="T517" s="1731">
        <f>R517</f>
        <v>3765000</v>
      </c>
      <c r="U517" s="2899">
        <v>6</v>
      </c>
      <c r="V517" s="2304">
        <v>13711500</v>
      </c>
      <c r="W517" s="2632"/>
      <c r="X517" s="1731"/>
      <c r="Y517" s="2276">
        <f t="shared" si="152"/>
        <v>12</v>
      </c>
      <c r="Z517" s="1731">
        <f t="shared" si="151"/>
        <v>21241500</v>
      </c>
      <c r="AA517" s="2632">
        <f t="shared" si="153"/>
        <v>24</v>
      </c>
      <c r="AB517" s="1731">
        <f t="shared" si="154"/>
        <v>88490740</v>
      </c>
      <c r="AC517" s="2555">
        <f t="shared" si="155"/>
        <v>40</v>
      </c>
      <c r="AD517" s="2555">
        <f t="shared" si="156"/>
        <v>37.008502269488005</v>
      </c>
      <c r="AE517" s="3160"/>
      <c r="AF517" s="1134"/>
      <c r="AG517" s="1134"/>
      <c r="AH517" s="1134"/>
      <c r="AI517" s="1134"/>
      <c r="AJ517" s="1134"/>
      <c r="AK517" s="1134"/>
      <c r="AL517" s="1134"/>
      <c r="AM517" s="1134"/>
      <c r="AN517" s="1134"/>
      <c r="AO517" s="1134"/>
      <c r="AP517" s="1134"/>
      <c r="AQ517" s="1134"/>
      <c r="AR517" s="1134"/>
      <c r="AS517" s="1134"/>
      <c r="AT517" s="1134"/>
      <c r="AU517" s="1134"/>
      <c r="AV517" s="1134"/>
      <c r="AW517" s="1134"/>
      <c r="AX517" s="1134"/>
      <c r="AY517" s="1134"/>
      <c r="AZ517" s="1134"/>
      <c r="BA517" s="1134"/>
      <c r="BB517" s="1134"/>
      <c r="BC517" s="1134"/>
      <c r="BD517" s="1134"/>
      <c r="BE517" s="1134"/>
      <c r="BF517" s="1134"/>
      <c r="BG517" s="1134"/>
      <c r="BH517" s="1134"/>
      <c r="BI517" s="1134"/>
      <c r="BJ517" s="1134"/>
      <c r="BK517" s="1134"/>
      <c r="BL517" s="1134"/>
      <c r="BM517" s="1134"/>
      <c r="BN517" s="1134"/>
      <c r="BO517" s="1134"/>
      <c r="BP517" s="1134"/>
      <c r="BQ517" s="1134"/>
      <c r="BR517" s="1134"/>
      <c r="BS517" s="1134"/>
      <c r="BT517" s="1134"/>
      <c r="BU517" s="1134"/>
      <c r="BV517" s="1134"/>
      <c r="BW517" s="1134"/>
      <c r="BX517" s="1134"/>
    </row>
    <row r="518" spans="1:76" s="2371" customFormat="1" ht="43.5" customHeight="1">
      <c r="A518" s="2632"/>
      <c r="B518" s="2632"/>
      <c r="C518" s="2446"/>
      <c r="D518" s="2446"/>
      <c r="E518" s="2446"/>
      <c r="F518" s="2446"/>
      <c r="G518" s="2446"/>
      <c r="H518" s="2446"/>
      <c r="I518" s="2631" t="s">
        <v>205</v>
      </c>
      <c r="J518" s="2632" t="s">
        <v>3763</v>
      </c>
      <c r="K518" s="1737">
        <v>60</v>
      </c>
      <c r="L518" s="1731">
        <f>8852500+16245750+17000750+17600000+18200000+19100000</f>
        <v>96999000</v>
      </c>
      <c r="M518" s="1737">
        <v>12</v>
      </c>
      <c r="N518" s="1731">
        <f>7278750+9157450</f>
        <v>16436200</v>
      </c>
      <c r="O518" s="1737">
        <v>12</v>
      </c>
      <c r="P518" s="1731">
        <v>15957000</v>
      </c>
      <c r="Q518" s="1737">
        <v>3</v>
      </c>
      <c r="R518" s="1731">
        <v>0</v>
      </c>
      <c r="S518" s="2632">
        <v>3</v>
      </c>
      <c r="T518" s="1731">
        <v>3556000</v>
      </c>
      <c r="U518" s="2899">
        <v>3</v>
      </c>
      <c r="V518" s="2304">
        <v>9340000</v>
      </c>
      <c r="W518" s="2632"/>
      <c r="X518" s="1731"/>
      <c r="Y518" s="2276">
        <f t="shared" si="152"/>
        <v>9</v>
      </c>
      <c r="Z518" s="1731">
        <f t="shared" si="151"/>
        <v>12896000</v>
      </c>
      <c r="AA518" s="2632">
        <f t="shared" si="153"/>
        <v>21</v>
      </c>
      <c r="AB518" s="1731">
        <f t="shared" si="154"/>
        <v>29332200</v>
      </c>
      <c r="AC518" s="2555">
        <f t="shared" si="155"/>
        <v>35</v>
      </c>
      <c r="AD518" s="2555">
        <f t="shared" si="156"/>
        <v>30.239693192713329</v>
      </c>
      <c r="AE518" s="3160"/>
      <c r="AF518" s="1134"/>
      <c r="AG518" s="1134"/>
      <c r="AH518" s="1134"/>
      <c r="AI518" s="1134"/>
      <c r="AJ518" s="1134"/>
      <c r="AK518" s="1134"/>
      <c r="AL518" s="1134"/>
      <c r="AM518" s="1134"/>
      <c r="AN518" s="1134"/>
      <c r="AO518" s="1134"/>
      <c r="AP518" s="1134"/>
      <c r="AQ518" s="1134"/>
      <c r="AR518" s="1134"/>
      <c r="AS518" s="1134"/>
      <c r="AT518" s="1134"/>
      <c r="AU518" s="1134"/>
      <c r="AV518" s="1134"/>
      <c r="AW518" s="1134"/>
      <c r="AX518" s="1134"/>
      <c r="AY518" s="1134"/>
      <c r="AZ518" s="1134"/>
      <c r="BA518" s="1134"/>
      <c r="BB518" s="1134"/>
      <c r="BC518" s="1134"/>
      <c r="BD518" s="1134"/>
      <c r="BE518" s="1134"/>
      <c r="BF518" s="1134"/>
      <c r="BG518" s="1134"/>
      <c r="BH518" s="1134"/>
      <c r="BI518" s="1134"/>
      <c r="BJ518" s="1134"/>
      <c r="BK518" s="1134"/>
      <c r="BL518" s="1134"/>
      <c r="BM518" s="1134"/>
      <c r="BN518" s="1134"/>
      <c r="BO518" s="1134"/>
      <c r="BP518" s="1134"/>
      <c r="BQ518" s="1134"/>
      <c r="BR518" s="1134"/>
      <c r="BS518" s="1134"/>
      <c r="BT518" s="1134"/>
      <c r="BU518" s="1134"/>
      <c r="BV518" s="1134"/>
      <c r="BW518" s="1134"/>
      <c r="BX518" s="1134"/>
    </row>
    <row r="519" spans="1:76" s="2371" customFormat="1" ht="38.25" customHeight="1">
      <c r="A519" s="2632"/>
      <c r="B519" s="2632"/>
      <c r="C519" s="2446"/>
      <c r="D519" s="2446"/>
      <c r="E519" s="2446"/>
      <c r="F519" s="2446"/>
      <c r="G519" s="2446"/>
      <c r="H519" s="2446"/>
      <c r="I519" s="2631" t="s">
        <v>533</v>
      </c>
      <c r="J519" s="2632" t="s">
        <v>3764</v>
      </c>
      <c r="K519" s="1737">
        <v>60</v>
      </c>
      <c r="L519" s="1731">
        <f>12100000+14500000+15200000+1600500+16700000+17100000</f>
        <v>77200500</v>
      </c>
      <c r="M519" s="1737">
        <v>12</v>
      </c>
      <c r="N519" s="1731">
        <f>10520000+10520000</f>
        <v>21040000</v>
      </c>
      <c r="O519" s="1737">
        <v>12</v>
      </c>
      <c r="P519" s="1731">
        <v>14680000</v>
      </c>
      <c r="Q519" s="1737">
        <v>3</v>
      </c>
      <c r="R519" s="1731">
        <v>1675000</v>
      </c>
      <c r="S519" s="2632">
        <v>3</v>
      </c>
      <c r="T519" s="1731">
        <v>2440000</v>
      </c>
      <c r="U519" s="2899">
        <v>3</v>
      </c>
      <c r="V519" s="2304">
        <v>5670000</v>
      </c>
      <c r="W519" s="2632"/>
      <c r="X519" s="1731"/>
      <c r="Y519" s="2276">
        <f t="shared" si="152"/>
        <v>9</v>
      </c>
      <c r="Z519" s="1731">
        <f t="shared" si="151"/>
        <v>9785000</v>
      </c>
      <c r="AA519" s="2632">
        <f t="shared" si="153"/>
        <v>21</v>
      </c>
      <c r="AB519" s="1731">
        <f t="shared" si="154"/>
        <v>30825000</v>
      </c>
      <c r="AC519" s="2555">
        <f t="shared" si="155"/>
        <v>35</v>
      </c>
      <c r="AD519" s="2555">
        <f t="shared" si="156"/>
        <v>39.928497872423108</v>
      </c>
      <c r="AE519" s="3160"/>
      <c r="AF519" s="1134"/>
      <c r="AG519" s="1134"/>
      <c r="AH519" s="1134"/>
      <c r="AI519" s="1134"/>
      <c r="AJ519" s="1134"/>
      <c r="AK519" s="1134"/>
      <c r="AL519" s="1134"/>
      <c r="AM519" s="1134"/>
      <c r="AN519" s="1134"/>
      <c r="AO519" s="1134"/>
      <c r="AP519" s="1134"/>
      <c r="AQ519" s="1134"/>
      <c r="AR519" s="1134"/>
      <c r="AS519" s="1134"/>
      <c r="AT519" s="1134"/>
      <c r="AU519" s="1134"/>
      <c r="AV519" s="1134"/>
      <c r="AW519" s="1134"/>
      <c r="AX519" s="1134"/>
      <c r="AY519" s="1134"/>
      <c r="AZ519" s="1134"/>
      <c r="BA519" s="1134"/>
      <c r="BB519" s="1134"/>
      <c r="BC519" s="1134"/>
      <c r="BD519" s="1134"/>
      <c r="BE519" s="1134"/>
      <c r="BF519" s="1134"/>
      <c r="BG519" s="1134"/>
      <c r="BH519" s="1134"/>
      <c r="BI519" s="1134"/>
      <c r="BJ519" s="1134"/>
      <c r="BK519" s="1134"/>
      <c r="BL519" s="1134"/>
      <c r="BM519" s="1134"/>
      <c r="BN519" s="1134"/>
      <c r="BO519" s="1134"/>
      <c r="BP519" s="1134"/>
      <c r="BQ519" s="1134"/>
      <c r="BR519" s="1134"/>
      <c r="BS519" s="1134"/>
      <c r="BT519" s="1134"/>
      <c r="BU519" s="1134"/>
      <c r="BV519" s="1134"/>
      <c r="BW519" s="1134"/>
      <c r="BX519" s="1134"/>
    </row>
    <row r="520" spans="1:76" s="2370" customFormat="1" ht="49.5" customHeight="1">
      <c r="A520" s="2632"/>
      <c r="B520" s="2632"/>
      <c r="C520" s="2446"/>
      <c r="D520" s="2446"/>
      <c r="E520" s="2446"/>
      <c r="F520" s="2446"/>
      <c r="G520" s="2446"/>
      <c r="H520" s="2446"/>
      <c r="I520" s="2631" t="s">
        <v>206</v>
      </c>
      <c r="J520" s="2632" t="s">
        <v>3765</v>
      </c>
      <c r="K520" s="1737">
        <v>60</v>
      </c>
      <c r="L520" s="1731">
        <f>50000000+27250000+28500000+29300000+30000000+31000000</f>
        <v>196050000</v>
      </c>
      <c r="M520" s="1737">
        <v>12</v>
      </c>
      <c r="N520" s="1731">
        <f>35460000+17222500</f>
        <v>52682500</v>
      </c>
      <c r="O520" s="1737">
        <v>12</v>
      </c>
      <c r="P520" s="1731">
        <v>75300000</v>
      </c>
      <c r="Q520" s="1737">
        <v>3</v>
      </c>
      <c r="R520" s="1731">
        <v>825000</v>
      </c>
      <c r="S520" s="2632">
        <v>3</v>
      </c>
      <c r="T520" s="1731">
        <v>4032500</v>
      </c>
      <c r="U520" s="2899">
        <v>3</v>
      </c>
      <c r="V520" s="2304">
        <v>6404500</v>
      </c>
      <c r="W520" s="2632"/>
      <c r="X520" s="1731"/>
      <c r="Y520" s="2276">
        <f t="shared" si="152"/>
        <v>9</v>
      </c>
      <c r="Z520" s="1731">
        <f t="shared" si="151"/>
        <v>11262000</v>
      </c>
      <c r="AA520" s="2632">
        <f t="shared" si="153"/>
        <v>21</v>
      </c>
      <c r="AB520" s="1731">
        <f t="shared" si="154"/>
        <v>63944500</v>
      </c>
      <c r="AC520" s="2555">
        <f t="shared" si="155"/>
        <v>35</v>
      </c>
      <c r="AD520" s="2555">
        <f t="shared" si="156"/>
        <v>32.616424381535325</v>
      </c>
      <c r="AE520" s="3160"/>
      <c r="AF520" s="1129"/>
      <c r="AG520" s="1129"/>
      <c r="AH520" s="1129"/>
      <c r="AI520" s="1129"/>
      <c r="AJ520" s="1129"/>
      <c r="AK520" s="1129"/>
      <c r="AL520" s="1129"/>
      <c r="AM520" s="1129"/>
      <c r="AN520" s="1129"/>
      <c r="AO520" s="1129"/>
      <c r="AP520" s="1129"/>
      <c r="AQ520" s="1129"/>
      <c r="AR520" s="1129"/>
      <c r="AS520" s="1129"/>
      <c r="AT520" s="1129"/>
      <c r="AU520" s="1129"/>
      <c r="AV520" s="1129"/>
      <c r="AW520" s="1129"/>
      <c r="AX520" s="1129"/>
      <c r="AY520" s="1129"/>
      <c r="AZ520" s="1129"/>
      <c r="BA520" s="1129"/>
      <c r="BB520" s="1129"/>
      <c r="BC520" s="1129"/>
      <c r="BD520" s="1129"/>
      <c r="BE520" s="1129"/>
      <c r="BF520" s="1129"/>
      <c r="BG520" s="1129"/>
      <c r="BH520" s="1129"/>
      <c r="BI520" s="1129"/>
      <c r="BJ520" s="1129"/>
      <c r="BK520" s="1129"/>
      <c r="BL520" s="1129"/>
      <c r="BM520" s="1129"/>
      <c r="BN520" s="1129"/>
      <c r="BO520" s="1129"/>
      <c r="BP520" s="1129"/>
      <c r="BQ520" s="1129"/>
      <c r="BR520" s="1129"/>
      <c r="BS520" s="1129"/>
      <c r="BT520" s="1129"/>
      <c r="BU520" s="1129"/>
      <c r="BV520" s="1129"/>
      <c r="BW520" s="1129"/>
      <c r="BX520" s="1129"/>
    </row>
    <row r="521" spans="1:76" s="2371" customFormat="1" ht="37.5" customHeight="1">
      <c r="A521" s="2632"/>
      <c r="B521" s="2632"/>
      <c r="C521" s="2446"/>
      <c r="D521" s="2446"/>
      <c r="E521" s="2446"/>
      <c r="F521" s="2446"/>
      <c r="G521" s="2446"/>
      <c r="H521" s="2446"/>
      <c r="I521" s="2631" t="s">
        <v>207</v>
      </c>
      <c r="J521" s="2632" t="s">
        <v>3278</v>
      </c>
      <c r="K521" s="1737">
        <v>60</v>
      </c>
      <c r="L521" s="1731">
        <f>105207000+174400000+176000000+178000000+180000000+183000000</f>
        <v>996607000</v>
      </c>
      <c r="M521" s="1737">
        <v>12</v>
      </c>
      <c r="N521" s="1731">
        <f>75115899+156332400</f>
        <v>231448299</v>
      </c>
      <c r="O521" s="1737">
        <v>12</v>
      </c>
      <c r="P521" s="1731">
        <v>89375000</v>
      </c>
      <c r="Q521" s="1737">
        <v>3</v>
      </c>
      <c r="R521" s="1731">
        <v>7550000</v>
      </c>
      <c r="S521" s="2632">
        <v>3</v>
      </c>
      <c r="T521" s="1731">
        <v>70279712</v>
      </c>
      <c r="U521" s="2899">
        <v>3</v>
      </c>
      <c r="V521" s="2304">
        <f>AF521-T521-R521</f>
        <v>-77829712</v>
      </c>
      <c r="W521" s="2632"/>
      <c r="X521" s="1731"/>
      <c r="Y521" s="2276">
        <f t="shared" si="152"/>
        <v>9</v>
      </c>
      <c r="Z521" s="1731">
        <f t="shared" si="151"/>
        <v>0</v>
      </c>
      <c r="AA521" s="2632">
        <f t="shared" si="153"/>
        <v>21</v>
      </c>
      <c r="AB521" s="1731">
        <f t="shared" si="154"/>
        <v>231448299</v>
      </c>
      <c r="AC521" s="2555">
        <f t="shared" si="155"/>
        <v>35</v>
      </c>
      <c r="AD521" s="2555">
        <f t="shared" si="156"/>
        <v>23.223627668679832</v>
      </c>
      <c r="AE521" s="3160"/>
      <c r="AF521" s="1134"/>
      <c r="AG521" s="1134"/>
      <c r="AH521" s="1134"/>
      <c r="AI521" s="1134"/>
      <c r="AJ521" s="1134"/>
      <c r="AK521" s="1134"/>
      <c r="AL521" s="1134"/>
      <c r="AM521" s="1134"/>
      <c r="AN521" s="1134"/>
      <c r="AO521" s="1134"/>
      <c r="AP521" s="1134"/>
      <c r="AQ521" s="1134"/>
      <c r="AR521" s="1134"/>
      <c r="AS521" s="1134"/>
      <c r="AT521" s="1134"/>
      <c r="AU521" s="1134"/>
      <c r="AV521" s="1134"/>
      <c r="AW521" s="1134"/>
      <c r="AX521" s="1134"/>
      <c r="AY521" s="1134"/>
      <c r="AZ521" s="1134"/>
      <c r="BA521" s="1134"/>
      <c r="BB521" s="1134"/>
      <c r="BC521" s="1134"/>
      <c r="BD521" s="1134"/>
      <c r="BE521" s="1134"/>
      <c r="BF521" s="1134"/>
      <c r="BG521" s="1134"/>
      <c r="BH521" s="1134"/>
      <c r="BI521" s="1134"/>
      <c r="BJ521" s="1134"/>
      <c r="BK521" s="1134"/>
      <c r="BL521" s="1134"/>
      <c r="BM521" s="1134"/>
      <c r="BN521" s="1134"/>
      <c r="BO521" s="1134"/>
      <c r="BP521" s="1134"/>
      <c r="BQ521" s="1134"/>
      <c r="BR521" s="1134"/>
      <c r="BS521" s="1134"/>
      <c r="BT521" s="1134"/>
      <c r="BU521" s="1134"/>
      <c r="BV521" s="1134"/>
      <c r="BW521" s="1134"/>
      <c r="BX521" s="1134"/>
    </row>
    <row r="522" spans="1:76" s="2371" customFormat="1" ht="33.75" customHeight="1">
      <c r="A522" s="2632"/>
      <c r="B522" s="2632"/>
      <c r="C522" s="2446"/>
      <c r="D522" s="2446"/>
      <c r="E522" s="2446"/>
      <c r="F522" s="2446"/>
      <c r="G522" s="2446"/>
      <c r="H522" s="2446"/>
      <c r="I522" s="2631" t="s">
        <v>3255</v>
      </c>
      <c r="J522" s="2632" t="s">
        <v>3766</v>
      </c>
      <c r="K522" s="1737">
        <v>60</v>
      </c>
      <c r="L522" s="1731">
        <f>406350000+832400000+835000000+845000000+860000000+900000000</f>
        <v>4678750000</v>
      </c>
      <c r="M522" s="1737">
        <v>12</v>
      </c>
      <c r="N522" s="1731">
        <f>573143400+630147000</f>
        <v>1203290400</v>
      </c>
      <c r="O522" s="1737">
        <v>12</v>
      </c>
      <c r="P522" s="1731">
        <v>816390119</v>
      </c>
      <c r="Q522" s="1737">
        <v>3</v>
      </c>
      <c r="R522" s="1731">
        <v>6377210</v>
      </c>
      <c r="S522" s="2632">
        <v>3</v>
      </c>
      <c r="T522" s="1731">
        <f>AF520-R522</f>
        <v>-6377210</v>
      </c>
      <c r="U522" s="2899">
        <v>3</v>
      </c>
      <c r="V522" s="2304">
        <f>AF519-T522</f>
        <v>6377210</v>
      </c>
      <c r="W522" s="2632"/>
      <c r="X522" s="1731"/>
      <c r="Y522" s="2276">
        <f t="shared" si="152"/>
        <v>9</v>
      </c>
      <c r="Z522" s="1731">
        <f t="shared" si="151"/>
        <v>6377210</v>
      </c>
      <c r="AA522" s="2632">
        <f t="shared" si="153"/>
        <v>21</v>
      </c>
      <c r="AB522" s="1731">
        <f t="shared" si="154"/>
        <v>1209667610</v>
      </c>
      <c r="AC522" s="2555">
        <f t="shared" si="155"/>
        <v>35</v>
      </c>
      <c r="AD522" s="2555">
        <f t="shared" si="156"/>
        <v>25.854504087630243</v>
      </c>
      <c r="AE522" s="3160"/>
      <c r="AF522" s="1134"/>
      <c r="AG522" s="1134"/>
      <c r="AH522" s="1134"/>
      <c r="AI522" s="1134"/>
      <c r="AJ522" s="1134"/>
      <c r="AK522" s="1134"/>
      <c r="AL522" s="1134"/>
      <c r="AM522" s="1134"/>
      <c r="AN522" s="1134"/>
      <c r="AO522" s="1134"/>
      <c r="AP522" s="1134"/>
      <c r="AQ522" s="1134"/>
      <c r="AR522" s="1134"/>
      <c r="AS522" s="1134"/>
      <c r="AT522" s="1134"/>
      <c r="AU522" s="1134"/>
      <c r="AV522" s="1134"/>
      <c r="AW522" s="1134"/>
      <c r="AX522" s="1134"/>
      <c r="AY522" s="1134"/>
      <c r="AZ522" s="1134"/>
      <c r="BA522" s="1134"/>
      <c r="BB522" s="1134"/>
      <c r="BC522" s="1134"/>
      <c r="BD522" s="1134"/>
      <c r="BE522" s="1134"/>
      <c r="BF522" s="1134"/>
      <c r="BG522" s="1134"/>
      <c r="BH522" s="1134"/>
      <c r="BI522" s="1134"/>
      <c r="BJ522" s="1134"/>
      <c r="BK522" s="1134"/>
      <c r="BL522" s="1134"/>
      <c r="BM522" s="1134"/>
      <c r="BN522" s="1134"/>
      <c r="BO522" s="1134"/>
      <c r="BP522" s="1134"/>
      <c r="BQ522" s="1134"/>
      <c r="BR522" s="1134"/>
      <c r="BS522" s="1134"/>
      <c r="BT522" s="1134"/>
      <c r="BU522" s="1134"/>
      <c r="BV522" s="1134"/>
      <c r="BW522" s="1134"/>
      <c r="BX522" s="1134"/>
    </row>
    <row r="523" spans="1:76" s="2371" customFormat="1" ht="33.75" customHeight="1">
      <c r="A523" s="2632"/>
      <c r="B523" s="2632"/>
      <c r="C523" s="2446"/>
      <c r="D523" s="2446"/>
      <c r="E523" s="2446"/>
      <c r="F523" s="2446"/>
      <c r="G523" s="2446"/>
      <c r="H523" s="2446"/>
      <c r="I523" s="2631" t="s">
        <v>208</v>
      </c>
      <c r="J523" s="2632" t="s">
        <v>3767</v>
      </c>
      <c r="K523" s="1737">
        <v>60</v>
      </c>
      <c r="L523" s="1731">
        <f>330000000+157800080+158500000+160000000+170000000+200000000</f>
        <v>1176300080</v>
      </c>
      <c r="M523" s="1737">
        <v>12</v>
      </c>
      <c r="N523" s="1731">
        <f>124475000+134965000</f>
        <v>259440000</v>
      </c>
      <c r="O523" s="1737">
        <v>12</v>
      </c>
      <c r="P523" s="1731">
        <v>51650000</v>
      </c>
      <c r="Q523" s="1737">
        <v>3</v>
      </c>
      <c r="R523" s="1731">
        <v>6325000</v>
      </c>
      <c r="S523" s="2632">
        <v>3</v>
      </c>
      <c r="T523" s="2839">
        <v>21675000</v>
      </c>
      <c r="U523" s="2899">
        <v>6</v>
      </c>
      <c r="V523" s="2304">
        <v>23650000</v>
      </c>
      <c r="W523" s="2632"/>
      <c r="X523" s="1731"/>
      <c r="Y523" s="2276">
        <f t="shared" si="152"/>
        <v>12</v>
      </c>
      <c r="Z523" s="1731">
        <f>R523+T523+V523</f>
        <v>51650000</v>
      </c>
      <c r="AA523" s="2632">
        <f t="shared" si="153"/>
        <v>24</v>
      </c>
      <c r="AB523" s="1731">
        <f t="shared" si="154"/>
        <v>311090000</v>
      </c>
      <c r="AC523" s="2555">
        <f t="shared" si="155"/>
        <v>40</v>
      </c>
      <c r="AD523" s="2555">
        <f t="shared" si="156"/>
        <v>26.4464829416657</v>
      </c>
      <c r="AE523" s="3160"/>
      <c r="AF523" s="3604"/>
      <c r="AG523" s="1134"/>
      <c r="AH523" s="1134"/>
      <c r="AI523" s="1134"/>
      <c r="AJ523" s="1134"/>
      <c r="AK523" s="1134"/>
      <c r="AL523" s="1134"/>
      <c r="AM523" s="1134"/>
      <c r="AN523" s="1134"/>
      <c r="AO523" s="1134"/>
      <c r="AP523" s="1134"/>
      <c r="AQ523" s="1134"/>
      <c r="AR523" s="1134"/>
      <c r="AS523" s="1134"/>
      <c r="AT523" s="1134"/>
      <c r="AU523" s="1134"/>
      <c r="AV523" s="1134"/>
      <c r="AW523" s="1134"/>
      <c r="AX523" s="1134"/>
      <c r="AY523" s="1134"/>
      <c r="AZ523" s="1134"/>
      <c r="BA523" s="1134"/>
      <c r="BB523" s="1134"/>
      <c r="BC523" s="1134"/>
      <c r="BD523" s="1134"/>
      <c r="BE523" s="1134"/>
      <c r="BF523" s="1134"/>
      <c r="BG523" s="1134"/>
      <c r="BH523" s="1134"/>
      <c r="BI523" s="1134"/>
      <c r="BJ523" s="1134"/>
      <c r="BK523" s="1134"/>
      <c r="BL523" s="1134"/>
      <c r="BM523" s="1134"/>
      <c r="BN523" s="1134"/>
      <c r="BO523" s="1134"/>
      <c r="BP523" s="1134"/>
      <c r="BQ523" s="1134"/>
      <c r="BR523" s="1134"/>
      <c r="BS523" s="1134"/>
      <c r="BT523" s="1134"/>
      <c r="BU523" s="1134"/>
      <c r="BV523" s="1134"/>
      <c r="BW523" s="1134"/>
      <c r="BX523" s="1134"/>
    </row>
    <row r="524" spans="1:76" s="2371" customFormat="1" ht="51" customHeight="1">
      <c r="A524" s="2335">
        <v>2</v>
      </c>
      <c r="B524" s="2335"/>
      <c r="C524" s="3795"/>
      <c r="D524" s="3795"/>
      <c r="E524" s="3795"/>
      <c r="F524" s="3795"/>
      <c r="G524" s="3795"/>
      <c r="H524" s="3795"/>
      <c r="I524" s="2335" t="s">
        <v>1681</v>
      </c>
      <c r="J524" s="2335" t="s">
        <v>3768</v>
      </c>
      <c r="K524" s="2557">
        <v>60</v>
      </c>
      <c r="L524" s="2340">
        <f>SUM(L525:L527)</f>
        <v>2528592810</v>
      </c>
      <c r="M524" s="2559">
        <v>12</v>
      </c>
      <c r="N524" s="2340">
        <f>SUM(N525:N527)</f>
        <v>645883307</v>
      </c>
      <c r="O524" s="2557">
        <v>12</v>
      </c>
      <c r="P524" s="2340">
        <f>SUM(P525:P527)</f>
        <v>324200000</v>
      </c>
      <c r="Q524" s="2557">
        <v>3</v>
      </c>
      <c r="R524" s="2340">
        <f>SUM(R525:R527)</f>
        <v>15160175</v>
      </c>
      <c r="S524" s="2335">
        <v>3</v>
      </c>
      <c r="T524" s="2340">
        <f>SUM(T525:T527)</f>
        <v>123231125</v>
      </c>
      <c r="U524" s="2335"/>
      <c r="V524" s="2342">
        <f>SUM(V525:V527)</f>
        <v>135426625</v>
      </c>
      <c r="W524" s="2335"/>
      <c r="X524" s="2340"/>
      <c r="Y524" s="2339">
        <f t="shared" si="152"/>
        <v>6</v>
      </c>
      <c r="Z524" s="2340">
        <f t="shared" si="151"/>
        <v>273817925</v>
      </c>
      <c r="AA524" s="2335">
        <f t="shared" ref="AA524:AA538" si="157">Y524+M524</f>
        <v>18</v>
      </c>
      <c r="AB524" s="2340">
        <f t="shared" ref="AB524:AB538" si="158">Z524+N524</f>
        <v>919701232</v>
      </c>
      <c r="AC524" s="2552">
        <f t="shared" ref="AC524:AC538" si="159">AA524/K524*100</f>
        <v>30</v>
      </c>
      <c r="AD524" s="2552">
        <f t="shared" ref="AD524:AD538" si="160">AB524/L524*100</f>
        <v>36.372057547691909</v>
      </c>
      <c r="AE524" s="3138" t="s">
        <v>3271</v>
      </c>
      <c r="AF524" s="3212"/>
      <c r="AG524" s="1134"/>
      <c r="AH524" s="1134"/>
      <c r="AI524" s="1134"/>
      <c r="AJ524" s="1134"/>
      <c r="AK524" s="1134"/>
      <c r="AL524" s="1134"/>
      <c r="AM524" s="1134"/>
      <c r="AN524" s="1134"/>
      <c r="AO524" s="1134"/>
      <c r="AP524" s="1134"/>
      <c r="AQ524" s="1134"/>
      <c r="AR524" s="1134"/>
      <c r="AS524" s="1134"/>
      <c r="AT524" s="1134"/>
      <c r="AU524" s="1134"/>
      <c r="AV524" s="1134"/>
      <c r="AW524" s="1134"/>
      <c r="AX524" s="1134"/>
      <c r="AY524" s="1134"/>
      <c r="AZ524" s="1134"/>
      <c r="BA524" s="1134"/>
      <c r="BB524" s="1134"/>
      <c r="BC524" s="1134"/>
      <c r="BD524" s="1134"/>
      <c r="BE524" s="1134"/>
      <c r="BF524" s="1134"/>
      <c r="BG524" s="1134"/>
      <c r="BH524" s="1134"/>
      <c r="BI524" s="1134"/>
      <c r="BJ524" s="1134"/>
      <c r="BK524" s="1134"/>
      <c r="BL524" s="1134"/>
      <c r="BM524" s="1134"/>
      <c r="BN524" s="1134"/>
      <c r="BO524" s="1134"/>
      <c r="BP524" s="1134"/>
      <c r="BQ524" s="1134"/>
      <c r="BR524" s="1134"/>
      <c r="BS524" s="1134"/>
      <c r="BT524" s="1134"/>
      <c r="BU524" s="1134"/>
      <c r="BV524" s="1134"/>
      <c r="BW524" s="1134"/>
      <c r="BX524" s="1134"/>
    </row>
    <row r="525" spans="1:76" s="2371" customFormat="1" ht="38.25">
      <c r="A525" s="2632"/>
      <c r="B525" s="2632"/>
      <c r="C525" s="2446"/>
      <c r="D525" s="2446"/>
      <c r="E525" s="2446"/>
      <c r="F525" s="2446"/>
      <c r="G525" s="2446"/>
      <c r="H525" s="2446"/>
      <c r="I525" s="384" t="s">
        <v>454</v>
      </c>
      <c r="J525" s="2632" t="s">
        <v>3769</v>
      </c>
      <c r="K525" s="1737">
        <v>60</v>
      </c>
      <c r="L525" s="1731">
        <f>88240580+174557250+120000000+95000000+95000000+95000000</f>
        <v>667797830</v>
      </c>
      <c r="M525" s="2558">
        <v>12</v>
      </c>
      <c r="N525" s="1731">
        <f>20049000+145872000</f>
        <v>165921000</v>
      </c>
      <c r="O525" s="1737">
        <v>12</v>
      </c>
      <c r="P525" s="1731">
        <v>60600000</v>
      </c>
      <c r="Q525" s="1737">
        <v>3</v>
      </c>
      <c r="R525" s="1731">
        <v>0</v>
      </c>
      <c r="S525" s="2632">
        <v>3</v>
      </c>
      <c r="T525" s="1731">
        <v>12450000</v>
      </c>
      <c r="U525" s="2632"/>
      <c r="V525" s="2304">
        <v>12450000</v>
      </c>
      <c r="W525" s="2632"/>
      <c r="X525" s="1731"/>
      <c r="Y525" s="2276">
        <f t="shared" si="152"/>
        <v>6</v>
      </c>
      <c r="Z525" s="1731">
        <f t="shared" si="151"/>
        <v>24900000</v>
      </c>
      <c r="AA525" s="2632">
        <f t="shared" si="157"/>
        <v>18</v>
      </c>
      <c r="AB525" s="1731">
        <f t="shared" si="158"/>
        <v>190821000</v>
      </c>
      <c r="AC525" s="2555">
        <f t="shared" si="159"/>
        <v>30</v>
      </c>
      <c r="AD525" s="2555">
        <f t="shared" si="160"/>
        <v>28.574666078205134</v>
      </c>
      <c r="AE525" s="3160"/>
      <c r="AF525" s="1134"/>
      <c r="AG525" s="1134"/>
      <c r="AH525" s="1134"/>
      <c r="AI525" s="1134"/>
      <c r="AJ525" s="1134"/>
      <c r="AK525" s="1134"/>
      <c r="AL525" s="1134"/>
      <c r="AM525" s="1134"/>
      <c r="AN525" s="1134"/>
      <c r="AO525" s="1134"/>
      <c r="AP525" s="1134"/>
      <c r="AQ525" s="1134"/>
      <c r="AR525" s="1134"/>
      <c r="AS525" s="1134"/>
      <c r="AT525" s="1134"/>
      <c r="AU525" s="1134"/>
      <c r="AV525" s="1134"/>
      <c r="AW525" s="1134"/>
      <c r="AX525" s="1134"/>
      <c r="AY525" s="1134"/>
      <c r="AZ525" s="1134"/>
      <c r="BA525" s="1134"/>
      <c r="BB525" s="1134"/>
      <c r="BC525" s="1134"/>
      <c r="BD525" s="1134"/>
      <c r="BE525" s="1134"/>
      <c r="BF525" s="1134"/>
      <c r="BG525" s="1134"/>
      <c r="BH525" s="1134"/>
      <c r="BI525" s="1134"/>
      <c r="BJ525" s="1134"/>
      <c r="BK525" s="1134"/>
      <c r="BL525" s="1134"/>
      <c r="BM525" s="1134"/>
      <c r="BN525" s="1134"/>
      <c r="BO525" s="1134"/>
      <c r="BP525" s="1134"/>
      <c r="BQ525" s="1134"/>
      <c r="BR525" s="1134"/>
      <c r="BS525" s="1134"/>
      <c r="BT525" s="1134"/>
      <c r="BU525" s="1134"/>
      <c r="BV525" s="1134"/>
      <c r="BW525" s="1134"/>
      <c r="BX525" s="1134"/>
    </row>
    <row r="526" spans="1:76" s="2371" customFormat="1" ht="38.25" customHeight="1">
      <c r="A526" s="2632"/>
      <c r="B526" s="2632"/>
      <c r="C526" s="2446"/>
      <c r="D526" s="2446"/>
      <c r="E526" s="2446"/>
      <c r="F526" s="2446"/>
      <c r="G526" s="2446"/>
      <c r="H526" s="2446"/>
      <c r="I526" s="2631" t="s">
        <v>3256</v>
      </c>
      <c r="J526" s="2632" t="s">
        <v>3770</v>
      </c>
      <c r="K526" s="1737">
        <v>60</v>
      </c>
      <c r="L526" s="1731">
        <f>52693830+75020000+76000000+76500000+77000000+78000000</f>
        <v>435213830</v>
      </c>
      <c r="M526" s="2558">
        <v>12</v>
      </c>
      <c r="N526" s="1731">
        <f>40921000+74910000</f>
        <v>115831000</v>
      </c>
      <c r="O526" s="1737">
        <v>12</v>
      </c>
      <c r="P526" s="1731">
        <v>39200000</v>
      </c>
      <c r="Q526" s="1737">
        <v>3</v>
      </c>
      <c r="R526" s="1731">
        <v>0</v>
      </c>
      <c r="S526" s="2632">
        <v>3</v>
      </c>
      <c r="T526" s="1731">
        <v>35137000</v>
      </c>
      <c r="U526" s="2632"/>
      <c r="V526" s="2304"/>
      <c r="W526" s="2632"/>
      <c r="X526" s="1731"/>
      <c r="Y526" s="2276">
        <f t="shared" si="152"/>
        <v>6</v>
      </c>
      <c r="Z526" s="1731">
        <f t="shared" si="151"/>
        <v>35137000</v>
      </c>
      <c r="AA526" s="2632">
        <f t="shared" si="157"/>
        <v>18</v>
      </c>
      <c r="AB526" s="1731">
        <f t="shared" si="158"/>
        <v>150968000</v>
      </c>
      <c r="AC526" s="2555">
        <f t="shared" si="159"/>
        <v>30</v>
      </c>
      <c r="AD526" s="2555">
        <f t="shared" si="160"/>
        <v>34.688235895444777</v>
      </c>
      <c r="AE526" s="3160"/>
      <c r="AF526" s="1134"/>
      <c r="AG526" s="1134"/>
      <c r="AH526" s="1134"/>
      <c r="AI526" s="1134"/>
      <c r="AJ526" s="1134"/>
      <c r="AK526" s="1134"/>
      <c r="AL526" s="1134"/>
      <c r="AM526" s="1134"/>
      <c r="AN526" s="1134"/>
      <c r="AO526" s="1134"/>
      <c r="AP526" s="1134"/>
      <c r="AQ526" s="1134"/>
      <c r="AR526" s="1134"/>
      <c r="AS526" s="1134"/>
      <c r="AT526" s="1134"/>
      <c r="AU526" s="1134"/>
      <c r="AV526" s="1134"/>
      <c r="AW526" s="1134"/>
      <c r="AX526" s="1134"/>
      <c r="AY526" s="1134"/>
      <c r="AZ526" s="1134"/>
      <c r="BA526" s="1134"/>
      <c r="BB526" s="1134"/>
      <c r="BC526" s="1134"/>
      <c r="BD526" s="1134"/>
      <c r="BE526" s="1134"/>
      <c r="BF526" s="1134"/>
      <c r="BG526" s="1134"/>
      <c r="BH526" s="1134"/>
      <c r="BI526" s="1134"/>
      <c r="BJ526" s="1134"/>
      <c r="BK526" s="1134"/>
      <c r="BL526" s="1134"/>
      <c r="BM526" s="1134"/>
      <c r="BN526" s="1134"/>
      <c r="BO526" s="1134"/>
      <c r="BP526" s="1134"/>
      <c r="BQ526" s="1134"/>
      <c r="BR526" s="1134"/>
      <c r="BS526" s="1134"/>
      <c r="BT526" s="1134"/>
      <c r="BU526" s="1134"/>
      <c r="BV526" s="1134"/>
      <c r="BW526" s="1134"/>
      <c r="BX526" s="1134"/>
    </row>
    <row r="527" spans="1:76" s="2370" customFormat="1" ht="50.25" customHeight="1">
      <c r="A527" s="2632"/>
      <c r="B527" s="2632"/>
      <c r="C527" s="2446"/>
      <c r="D527" s="2446"/>
      <c r="E527" s="2446"/>
      <c r="F527" s="2446"/>
      <c r="G527" s="2446"/>
      <c r="H527" s="2446"/>
      <c r="I527" s="2631" t="s">
        <v>3257</v>
      </c>
      <c r="J527" s="2632" t="s">
        <v>3771</v>
      </c>
      <c r="K527" s="1737">
        <v>60</v>
      </c>
      <c r="L527" s="1731">
        <f>274774400+228806750+229000000+230000000+231000000+232000000</f>
        <v>1425581150</v>
      </c>
      <c r="M527" s="2558">
        <v>12</v>
      </c>
      <c r="N527" s="1731">
        <f>161128148+203003159</f>
        <v>364131307</v>
      </c>
      <c r="O527" s="1737">
        <v>12</v>
      </c>
      <c r="P527" s="1731">
        <v>224400000</v>
      </c>
      <c r="Q527" s="1737">
        <v>3</v>
      </c>
      <c r="R527" s="1731">
        <v>15160175</v>
      </c>
      <c r="S527" s="2632">
        <v>3</v>
      </c>
      <c r="T527" s="1731">
        <v>75644125</v>
      </c>
      <c r="U527" s="2632">
        <v>3</v>
      </c>
      <c r="V527" s="2304">
        <v>122976625</v>
      </c>
      <c r="W527" s="2632"/>
      <c r="X527" s="1731"/>
      <c r="Y527" s="2276">
        <f t="shared" si="152"/>
        <v>9</v>
      </c>
      <c r="Z527" s="1731">
        <f t="shared" si="151"/>
        <v>213780925</v>
      </c>
      <c r="AA527" s="2632">
        <f t="shared" si="157"/>
        <v>21</v>
      </c>
      <c r="AB527" s="1731">
        <f t="shared" si="158"/>
        <v>577912232</v>
      </c>
      <c r="AC527" s="2555">
        <f t="shared" si="159"/>
        <v>35</v>
      </c>
      <c r="AD527" s="2555">
        <f t="shared" si="160"/>
        <v>40.538711668571089</v>
      </c>
      <c r="AE527" s="3160"/>
      <c r="AF527" s="1128"/>
      <c r="AG527" s="1129"/>
      <c r="AH527" s="1129"/>
      <c r="AI527" s="1129"/>
      <c r="AJ527" s="1129"/>
      <c r="AK527" s="1129"/>
      <c r="AL527" s="1129"/>
      <c r="AM527" s="1129"/>
      <c r="AN527" s="1129"/>
      <c r="AO527" s="1129"/>
      <c r="AP527" s="1129"/>
      <c r="AQ527" s="1129"/>
      <c r="AR527" s="1129"/>
      <c r="AS527" s="1129"/>
      <c r="AT527" s="1129"/>
      <c r="AU527" s="1129"/>
      <c r="AV527" s="1129"/>
      <c r="AW527" s="1129"/>
      <c r="AX527" s="1129"/>
      <c r="AY527" s="1129"/>
      <c r="AZ527" s="1129"/>
      <c r="BA527" s="1129"/>
      <c r="BB527" s="1129"/>
      <c r="BC527" s="1129"/>
      <c r="BD527" s="1129"/>
      <c r="BE527" s="1129"/>
      <c r="BF527" s="1129"/>
      <c r="BG527" s="1129"/>
      <c r="BH527" s="1129"/>
      <c r="BI527" s="1129"/>
      <c r="BJ527" s="1129"/>
      <c r="BK527" s="1129"/>
      <c r="BL527" s="1129"/>
      <c r="BM527" s="1129"/>
      <c r="BN527" s="1129"/>
      <c r="BO527" s="1129"/>
      <c r="BP527" s="1129"/>
      <c r="BQ527" s="1129"/>
      <c r="BR527" s="1129"/>
      <c r="BS527" s="1129"/>
      <c r="BT527" s="1129"/>
      <c r="BU527" s="1129"/>
      <c r="BV527" s="1129"/>
      <c r="BW527" s="1129"/>
      <c r="BX527" s="1129"/>
    </row>
    <row r="528" spans="1:76" s="2371" customFormat="1" ht="50.25" customHeight="1">
      <c r="A528" s="2549">
        <v>3</v>
      </c>
      <c r="B528" s="2359"/>
      <c r="C528" s="3795"/>
      <c r="D528" s="3795"/>
      <c r="E528" s="3795"/>
      <c r="F528" s="3795"/>
      <c r="G528" s="3795"/>
      <c r="H528" s="3795"/>
      <c r="I528" s="2335" t="s">
        <v>3258</v>
      </c>
      <c r="J528" s="2335" t="s">
        <v>3274</v>
      </c>
      <c r="K528" s="2550">
        <v>1</v>
      </c>
      <c r="L528" s="2340">
        <f>L529</f>
        <v>1893619600</v>
      </c>
      <c r="M528" s="2550">
        <v>0.2</v>
      </c>
      <c r="N528" s="2340">
        <v>87069600</v>
      </c>
      <c r="O528" s="2550">
        <v>0.2</v>
      </c>
      <c r="P528" s="2340">
        <f>P529</f>
        <v>350045053</v>
      </c>
      <c r="Q528" s="2560">
        <v>0</v>
      </c>
      <c r="R528" s="2340">
        <f>R529</f>
        <v>0</v>
      </c>
      <c r="S528" s="2335"/>
      <c r="T528" s="2340"/>
      <c r="U528" s="2335"/>
      <c r="V528" s="2342">
        <f>SUM(V529)</f>
        <v>53137000</v>
      </c>
      <c r="W528" s="2335"/>
      <c r="X528" s="2340"/>
      <c r="Y528" s="2551">
        <f t="shared" si="152"/>
        <v>0</v>
      </c>
      <c r="Z528" s="2340">
        <f t="shared" si="151"/>
        <v>53137000</v>
      </c>
      <c r="AA528" s="2560">
        <f t="shared" si="157"/>
        <v>0.2</v>
      </c>
      <c r="AB528" s="2340">
        <f t="shared" si="158"/>
        <v>140206600</v>
      </c>
      <c r="AC528" s="2552">
        <f t="shared" si="159"/>
        <v>20</v>
      </c>
      <c r="AD528" s="2552">
        <f t="shared" si="160"/>
        <v>7.4041586810782904</v>
      </c>
      <c r="AE528" s="3138" t="s">
        <v>3271</v>
      </c>
      <c r="AF528" s="1133"/>
      <c r="AG528" s="1134"/>
      <c r="AH528" s="1134"/>
      <c r="AI528" s="1134"/>
      <c r="AJ528" s="1134"/>
      <c r="AK528" s="1134"/>
      <c r="AL528" s="1134"/>
      <c r="AM528" s="1134"/>
      <c r="AN528" s="1134"/>
      <c r="AO528" s="1134"/>
      <c r="AP528" s="1134"/>
      <c r="AQ528" s="1134"/>
      <c r="AR528" s="1134"/>
      <c r="AS528" s="1134"/>
      <c r="AT528" s="1134"/>
      <c r="AU528" s="1134"/>
      <c r="AV528" s="1134"/>
      <c r="AW528" s="1134"/>
      <c r="AX528" s="1134"/>
      <c r="AY528" s="1134"/>
      <c r="AZ528" s="1134"/>
      <c r="BA528" s="1134"/>
      <c r="BB528" s="1134"/>
      <c r="BC528" s="1134"/>
      <c r="BD528" s="1134"/>
      <c r="BE528" s="1134"/>
      <c r="BF528" s="1134"/>
      <c r="BG528" s="1134"/>
      <c r="BH528" s="1134"/>
      <c r="BI528" s="1134"/>
      <c r="BJ528" s="1134"/>
      <c r="BK528" s="1134"/>
      <c r="BL528" s="1134"/>
      <c r="BM528" s="1134"/>
      <c r="BN528" s="1134"/>
      <c r="BO528" s="1134"/>
      <c r="BP528" s="1134"/>
      <c r="BQ528" s="1134"/>
      <c r="BR528" s="1134"/>
      <c r="BS528" s="1134"/>
      <c r="BT528" s="1134"/>
      <c r="BU528" s="1134"/>
      <c r="BV528" s="1134"/>
      <c r="BW528" s="1134"/>
      <c r="BX528" s="1134"/>
    </row>
    <row r="529" spans="1:76" s="2370" customFormat="1" ht="54" customHeight="1">
      <c r="A529" s="1785"/>
      <c r="B529" s="2631"/>
      <c r="C529" s="2446"/>
      <c r="D529" s="2446"/>
      <c r="E529" s="2446"/>
      <c r="F529" s="2446"/>
      <c r="G529" s="2446"/>
      <c r="H529" s="2446"/>
      <c r="I529" s="2634" t="s">
        <v>3259</v>
      </c>
      <c r="J529" s="2632" t="s">
        <v>3273</v>
      </c>
      <c r="K529" s="1737">
        <v>60</v>
      </c>
      <c r="L529" s="1731">
        <f>150000000+203619600+350000000+370000000+400000000+420000000</f>
        <v>1893619600</v>
      </c>
      <c r="M529" s="1737">
        <v>12</v>
      </c>
      <c r="N529" s="1731">
        <f>115929150+181100000</f>
        <v>297029150</v>
      </c>
      <c r="O529" s="1737">
        <v>12</v>
      </c>
      <c r="P529" s="1731">
        <v>350045053</v>
      </c>
      <c r="Q529" s="1737"/>
      <c r="R529" s="1731">
        <v>0</v>
      </c>
      <c r="S529" s="2314" t="s">
        <v>2034</v>
      </c>
      <c r="T529" s="2846" t="s">
        <v>2034</v>
      </c>
      <c r="U529" s="2632">
        <v>6</v>
      </c>
      <c r="V529" s="2304">
        <v>53137000</v>
      </c>
      <c r="W529" s="2632"/>
      <c r="X529" s="1731"/>
      <c r="Y529" s="2304">
        <f t="shared" si="152"/>
        <v>6</v>
      </c>
      <c r="Z529" s="1731">
        <f t="shared" si="151"/>
        <v>53137000</v>
      </c>
      <c r="AA529" s="2632">
        <f t="shared" si="157"/>
        <v>18</v>
      </c>
      <c r="AB529" s="1731">
        <f t="shared" si="158"/>
        <v>350166150</v>
      </c>
      <c r="AC529" s="2555">
        <f t="shared" si="159"/>
        <v>30</v>
      </c>
      <c r="AD529" s="2555">
        <f t="shared" si="160"/>
        <v>18.491895098677684</v>
      </c>
      <c r="AE529" s="3160"/>
      <c r="AF529" s="1129"/>
      <c r="AG529" s="1129"/>
      <c r="AH529" s="1129"/>
      <c r="AI529" s="1129"/>
      <c r="AJ529" s="1129"/>
      <c r="AK529" s="1129"/>
      <c r="AL529" s="1129"/>
      <c r="AM529" s="1129"/>
      <c r="AN529" s="1129"/>
      <c r="AO529" s="1129"/>
      <c r="AP529" s="1129"/>
      <c r="AQ529" s="1129"/>
      <c r="AR529" s="1129"/>
      <c r="AS529" s="1129"/>
      <c r="AT529" s="1129"/>
      <c r="AU529" s="1129"/>
      <c r="AV529" s="1129"/>
      <c r="AW529" s="1129"/>
      <c r="AX529" s="1129"/>
      <c r="AY529" s="1129"/>
      <c r="AZ529" s="1129"/>
      <c r="BA529" s="1129"/>
      <c r="BB529" s="1129"/>
      <c r="BC529" s="1129"/>
      <c r="BD529" s="1129"/>
      <c r="BE529" s="1129"/>
      <c r="BF529" s="1129"/>
      <c r="BG529" s="1129"/>
      <c r="BH529" s="1129"/>
      <c r="BI529" s="1129"/>
      <c r="BJ529" s="1129"/>
      <c r="BK529" s="1129"/>
      <c r="BL529" s="1129"/>
      <c r="BM529" s="1129"/>
      <c r="BN529" s="1129"/>
      <c r="BO529" s="1129"/>
      <c r="BP529" s="1129"/>
      <c r="BQ529" s="1129"/>
      <c r="BR529" s="1129"/>
      <c r="BS529" s="1129"/>
      <c r="BT529" s="1129"/>
      <c r="BU529" s="1129"/>
      <c r="BV529" s="1129"/>
      <c r="BW529" s="1129"/>
      <c r="BX529" s="1129"/>
    </row>
    <row r="530" spans="1:76" s="2371" customFormat="1" ht="54.75" customHeight="1">
      <c r="A530" s="2549">
        <v>4</v>
      </c>
      <c r="B530" s="2359" t="s">
        <v>3260</v>
      </c>
      <c r="C530" s="2595"/>
      <c r="D530" s="2595"/>
      <c r="E530" s="2595"/>
      <c r="F530" s="2595"/>
      <c r="G530" s="2595"/>
      <c r="H530" s="2595"/>
      <c r="I530" s="2359" t="s">
        <v>3261</v>
      </c>
      <c r="J530" s="2335" t="s">
        <v>3772</v>
      </c>
      <c r="K530" s="2336">
        <v>1</v>
      </c>
      <c r="L530" s="2357">
        <f>SUM(L531:L531)</f>
        <v>2130037170</v>
      </c>
      <c r="M530" s="2338">
        <v>0.2</v>
      </c>
      <c r="N530" s="2357">
        <f>SUM(N531:N531)</f>
        <v>656000000</v>
      </c>
      <c r="O530" s="2336">
        <v>0.2</v>
      </c>
      <c r="P530" s="2357">
        <f>SUM(P531:P531)</f>
        <v>170310424</v>
      </c>
      <c r="Q530" s="2560">
        <v>0.05</v>
      </c>
      <c r="R530" s="2357">
        <f>SUM(R531:R531)</f>
        <v>39817129</v>
      </c>
      <c r="S530" s="2560">
        <v>0.16</v>
      </c>
      <c r="T530" s="2357">
        <v>107999929</v>
      </c>
      <c r="U530" s="2335"/>
      <c r="V530" s="2342">
        <f>SUM(V531)</f>
        <v>0</v>
      </c>
      <c r="W530" s="2335"/>
      <c r="X530" s="2340"/>
      <c r="Y530" s="2560">
        <f t="shared" si="152"/>
        <v>0.21000000000000002</v>
      </c>
      <c r="Z530" s="2357">
        <f t="shared" si="151"/>
        <v>147817058</v>
      </c>
      <c r="AA530" s="2560">
        <f t="shared" si="157"/>
        <v>0.41000000000000003</v>
      </c>
      <c r="AB530" s="2340">
        <f t="shared" si="158"/>
        <v>803817058</v>
      </c>
      <c r="AC530" s="2552">
        <f t="shared" si="159"/>
        <v>41</v>
      </c>
      <c r="AD530" s="2562">
        <f t="shared" si="160"/>
        <v>37.73723150568307</v>
      </c>
      <c r="AE530" s="3138" t="s">
        <v>3271</v>
      </c>
      <c r="AF530" s="1134"/>
      <c r="AG530" s="1134"/>
      <c r="AH530" s="1134"/>
      <c r="AI530" s="1134"/>
      <c r="AJ530" s="1134"/>
      <c r="AK530" s="1134"/>
      <c r="AL530" s="1134"/>
      <c r="AM530" s="1134"/>
      <c r="AN530" s="1134"/>
      <c r="AO530" s="1134"/>
      <c r="AP530" s="1134"/>
      <c r="AQ530" s="1134"/>
      <c r="AR530" s="1134"/>
      <c r="AS530" s="1134"/>
      <c r="AT530" s="1134"/>
      <c r="AU530" s="1134"/>
      <c r="AV530" s="1134"/>
      <c r="AW530" s="1134"/>
      <c r="AX530" s="1134"/>
      <c r="AY530" s="1134"/>
      <c r="AZ530" s="1134"/>
      <c r="BA530" s="1134"/>
      <c r="BB530" s="1134"/>
      <c r="BC530" s="1134"/>
      <c r="BD530" s="1134"/>
      <c r="BE530" s="1134"/>
      <c r="BF530" s="1134"/>
      <c r="BG530" s="1134"/>
      <c r="BH530" s="1134"/>
      <c r="BI530" s="1134"/>
      <c r="BJ530" s="1134"/>
      <c r="BK530" s="1134"/>
      <c r="BL530" s="1134"/>
      <c r="BM530" s="1134"/>
      <c r="BN530" s="1134"/>
      <c r="BO530" s="1134"/>
      <c r="BP530" s="1134"/>
      <c r="BQ530" s="1134"/>
      <c r="BR530" s="1134"/>
      <c r="BS530" s="1134"/>
      <c r="BT530" s="1134"/>
      <c r="BU530" s="1134"/>
      <c r="BV530" s="1134"/>
      <c r="BW530" s="1134"/>
      <c r="BX530" s="1134"/>
    </row>
    <row r="531" spans="1:76" s="2371" customFormat="1" ht="51.75" customHeight="1">
      <c r="A531" s="1785"/>
      <c r="B531" s="2631"/>
      <c r="C531" s="3841"/>
      <c r="D531" s="3841"/>
      <c r="E531" s="3841"/>
      <c r="F531" s="3841"/>
      <c r="G531" s="3841"/>
      <c r="H531" s="3841"/>
      <c r="I531" s="2634" t="s">
        <v>3262</v>
      </c>
      <c r="J531" s="384" t="s">
        <v>3773</v>
      </c>
      <c r="K531" s="2553">
        <v>1</v>
      </c>
      <c r="L531" s="1731">
        <f>360000000+320037170+330000000+350000000+370000000+400000000</f>
        <v>2130037170</v>
      </c>
      <c r="M531" s="2553">
        <v>0.2</v>
      </c>
      <c r="N531" s="1731">
        <v>656000000</v>
      </c>
      <c r="O531" s="2553">
        <v>0.2</v>
      </c>
      <c r="P531" s="1731">
        <v>170310424</v>
      </c>
      <c r="Q531" s="2561">
        <v>0.02</v>
      </c>
      <c r="R531" s="1731">
        <v>39817129</v>
      </c>
      <c r="S531" s="2561">
        <v>0.1</v>
      </c>
      <c r="T531" s="1731">
        <f>AF532-R531</f>
        <v>-39817129</v>
      </c>
      <c r="U531" s="2553">
        <v>0.05</v>
      </c>
      <c r="V531" s="2304">
        <f>AF531-T531-R531</f>
        <v>0</v>
      </c>
      <c r="W531" s="2632"/>
      <c r="X531" s="1731"/>
      <c r="Y531" s="2561">
        <f t="shared" si="152"/>
        <v>0.17</v>
      </c>
      <c r="Z531" s="1731">
        <f t="shared" si="151"/>
        <v>0</v>
      </c>
      <c r="AA531" s="2561">
        <f t="shared" si="157"/>
        <v>0.37</v>
      </c>
      <c r="AB531" s="1731">
        <f t="shared" si="158"/>
        <v>656000000</v>
      </c>
      <c r="AC531" s="2555">
        <f t="shared" si="159"/>
        <v>37</v>
      </c>
      <c r="AD531" s="2555">
        <f t="shared" si="160"/>
        <v>30.797584626187536</v>
      </c>
      <c r="AE531" s="390"/>
      <c r="AF531" s="1134"/>
      <c r="AG531" s="1134"/>
      <c r="AH531" s="1134"/>
      <c r="AI531" s="1134"/>
      <c r="AJ531" s="1134"/>
      <c r="AK531" s="1134"/>
      <c r="AL531" s="1134"/>
      <c r="AM531" s="1134"/>
      <c r="AN531" s="1134"/>
      <c r="AO531" s="1134"/>
      <c r="AP531" s="1134"/>
      <c r="AQ531" s="1134"/>
      <c r="AR531" s="1134"/>
      <c r="AS531" s="1134"/>
      <c r="AT531" s="1134"/>
      <c r="AU531" s="1134"/>
      <c r="AV531" s="1134"/>
      <c r="AW531" s="1134"/>
      <c r="AX531" s="1134"/>
      <c r="AY531" s="1134"/>
      <c r="AZ531" s="1134"/>
      <c r="BA531" s="1134"/>
      <c r="BB531" s="1134"/>
      <c r="BC531" s="1134"/>
      <c r="BD531" s="1134"/>
      <c r="BE531" s="1134"/>
      <c r="BF531" s="1134"/>
      <c r="BG531" s="1134"/>
      <c r="BH531" s="1134"/>
      <c r="BI531" s="1134"/>
      <c r="BJ531" s="1134"/>
      <c r="BK531" s="1134"/>
      <c r="BL531" s="1134"/>
      <c r="BM531" s="1134"/>
      <c r="BN531" s="1134"/>
      <c r="BO531" s="1134"/>
      <c r="BP531" s="1134"/>
      <c r="BQ531" s="1134"/>
      <c r="BR531" s="1134"/>
      <c r="BS531" s="1134"/>
      <c r="BT531" s="1134"/>
      <c r="BU531" s="1134"/>
      <c r="BV531" s="1134"/>
      <c r="BW531" s="1134"/>
      <c r="BX531" s="1134"/>
    </row>
    <row r="532" spans="1:76" s="2371" customFormat="1" ht="56.25" customHeight="1">
      <c r="A532" s="2549">
        <v>5</v>
      </c>
      <c r="B532" s="2359" t="s">
        <v>3263</v>
      </c>
      <c r="C532" s="2595"/>
      <c r="D532" s="2595"/>
      <c r="E532" s="2595"/>
      <c r="F532" s="2595"/>
      <c r="G532" s="2595"/>
      <c r="H532" s="2595"/>
      <c r="I532" s="2359" t="s">
        <v>3264</v>
      </c>
      <c r="J532" s="2335" t="s">
        <v>3774</v>
      </c>
      <c r="K532" s="2336">
        <v>1</v>
      </c>
      <c r="L532" s="2357">
        <f>SUM(L533:L536)</f>
        <v>4209528436</v>
      </c>
      <c r="M532" s="2338">
        <v>0.2</v>
      </c>
      <c r="N532" s="2357">
        <f>SUM(N533:N536)</f>
        <v>291525835</v>
      </c>
      <c r="O532" s="2336">
        <v>0.2</v>
      </c>
      <c r="P532" s="2357">
        <f>SUM(P533:P536)</f>
        <v>214977585</v>
      </c>
      <c r="Q532" s="2560">
        <v>0.03</v>
      </c>
      <c r="R532" s="2357">
        <f>SUM(R533:R536)</f>
        <v>1981000</v>
      </c>
      <c r="S532" s="2560">
        <v>0.1</v>
      </c>
      <c r="T532" s="2357">
        <f>SUM(T533:T535)</f>
        <v>87970700</v>
      </c>
      <c r="U532" s="2335"/>
      <c r="V532" s="2357">
        <f>SUM(V533:V536)</f>
        <v>98319850</v>
      </c>
      <c r="W532" s="2335"/>
      <c r="X532" s="2340"/>
      <c r="Y532" s="2551">
        <f t="shared" si="152"/>
        <v>0.13</v>
      </c>
      <c r="Z532" s="2357">
        <f t="shared" si="151"/>
        <v>188271550</v>
      </c>
      <c r="AA532" s="2335">
        <f t="shared" si="157"/>
        <v>0.33</v>
      </c>
      <c r="AB532" s="2340">
        <f t="shared" si="158"/>
        <v>479797385</v>
      </c>
      <c r="AC532" s="2552">
        <f t="shared" si="159"/>
        <v>33</v>
      </c>
      <c r="AD532" s="2562">
        <f t="shared" si="160"/>
        <v>11.397889153016759</v>
      </c>
      <c r="AE532" s="3138" t="s">
        <v>3271</v>
      </c>
      <c r="AF532" s="1134"/>
      <c r="AG532" s="1134"/>
      <c r="AH532" s="1134"/>
      <c r="AI532" s="1134"/>
      <c r="AJ532" s="1134"/>
      <c r="AK532" s="1134"/>
      <c r="AL532" s="1134"/>
      <c r="AM532" s="1134"/>
      <c r="AN532" s="1134"/>
      <c r="AO532" s="1134"/>
      <c r="AP532" s="1134"/>
      <c r="AQ532" s="1134"/>
      <c r="AR532" s="1134"/>
      <c r="AS532" s="1134"/>
      <c r="AT532" s="1134"/>
      <c r="AU532" s="1134"/>
      <c r="AV532" s="1134"/>
      <c r="AW532" s="1134"/>
      <c r="AX532" s="1134"/>
      <c r="AY532" s="1134"/>
      <c r="AZ532" s="1134"/>
      <c r="BA532" s="1134"/>
      <c r="BB532" s="1134"/>
      <c r="BC532" s="1134"/>
      <c r="BD532" s="1134"/>
      <c r="BE532" s="1134"/>
      <c r="BF532" s="1134"/>
      <c r="BG532" s="1134"/>
      <c r="BH532" s="1134"/>
      <c r="BI532" s="1134"/>
      <c r="BJ532" s="1134"/>
      <c r="BK532" s="1134"/>
      <c r="BL532" s="1134"/>
      <c r="BM532" s="1134"/>
      <c r="BN532" s="1134"/>
      <c r="BO532" s="1134"/>
      <c r="BP532" s="1134"/>
      <c r="BQ532" s="1134"/>
      <c r="BR532" s="1134"/>
      <c r="BS532" s="1134"/>
      <c r="BT532" s="1134"/>
      <c r="BU532" s="1134"/>
      <c r="BV532" s="1134"/>
      <c r="BW532" s="1134"/>
      <c r="BX532" s="1134"/>
    </row>
    <row r="533" spans="1:76" s="2371" customFormat="1" ht="51.75" customHeight="1">
      <c r="A533" s="1785"/>
      <c r="B533" s="2631"/>
      <c r="C533" s="3841"/>
      <c r="D533" s="3841"/>
      <c r="E533" s="3841"/>
      <c r="F533" s="3841"/>
      <c r="G533" s="3841"/>
      <c r="H533" s="3841"/>
      <c r="I533" s="2634" t="s">
        <v>3265</v>
      </c>
      <c r="J533" s="384" t="s">
        <v>3775</v>
      </c>
      <c r="K533" s="1737">
        <v>60</v>
      </c>
      <c r="L533" s="1731">
        <f>180000000+81722626+180000000+200000000+250000000+300000000</f>
        <v>1191722626</v>
      </c>
      <c r="M533" s="1737">
        <v>12</v>
      </c>
      <c r="N533" s="1731">
        <v>77190175</v>
      </c>
      <c r="O533" s="1737">
        <v>12</v>
      </c>
      <c r="P533" s="1731">
        <v>85463781</v>
      </c>
      <c r="Q533" s="1737">
        <v>3</v>
      </c>
      <c r="R533" s="1731">
        <v>1981000</v>
      </c>
      <c r="S533" s="2899">
        <v>3</v>
      </c>
      <c r="T533" s="1731">
        <v>28149000</v>
      </c>
      <c r="U533" s="2632">
        <v>3</v>
      </c>
      <c r="V533" s="2304">
        <v>43258250</v>
      </c>
      <c r="W533" s="2632"/>
      <c r="X533" s="1731"/>
      <c r="Y533" s="2276">
        <f t="shared" si="152"/>
        <v>9</v>
      </c>
      <c r="Z533" s="1731">
        <f t="shared" si="151"/>
        <v>73388250</v>
      </c>
      <c r="AA533" s="2553">
        <f t="shared" si="157"/>
        <v>21</v>
      </c>
      <c r="AB533" s="1731">
        <f t="shared" si="158"/>
        <v>150578425</v>
      </c>
      <c r="AC533" s="2555">
        <f t="shared" si="159"/>
        <v>35</v>
      </c>
      <c r="AD533" s="2555">
        <f t="shared" si="160"/>
        <v>12.635358405958469</v>
      </c>
      <c r="AE533" s="390"/>
      <c r="AF533" s="1134"/>
      <c r="AG533" s="1134"/>
      <c r="AH533" s="1134"/>
      <c r="AI533" s="1134"/>
      <c r="AJ533" s="1134"/>
      <c r="AK533" s="1134"/>
      <c r="AL533" s="1134"/>
      <c r="AM533" s="1134"/>
      <c r="AN533" s="1134"/>
      <c r="AO533" s="1134"/>
      <c r="AP533" s="1134"/>
      <c r="AQ533" s="1134"/>
      <c r="AR533" s="1134"/>
      <c r="AS533" s="1134"/>
      <c r="AT533" s="1134"/>
      <c r="AU533" s="1134"/>
      <c r="AV533" s="1134"/>
      <c r="AW533" s="1134"/>
      <c r="AX533" s="1134"/>
      <c r="AY533" s="1134"/>
      <c r="AZ533" s="1134"/>
      <c r="BA533" s="1134"/>
      <c r="BB533" s="1134"/>
      <c r="BC533" s="1134"/>
      <c r="BD533" s="1134"/>
      <c r="BE533" s="1134"/>
      <c r="BF533" s="1134"/>
      <c r="BG533" s="1134"/>
      <c r="BH533" s="1134"/>
      <c r="BI533" s="1134"/>
      <c r="BJ533" s="1134"/>
      <c r="BK533" s="1134"/>
      <c r="BL533" s="1134"/>
      <c r="BM533" s="1134"/>
      <c r="BN533" s="1134"/>
      <c r="BO533" s="1134"/>
      <c r="BP533" s="1134"/>
      <c r="BQ533" s="1134"/>
      <c r="BR533" s="1134"/>
      <c r="BS533" s="1134"/>
      <c r="BT533" s="1134"/>
      <c r="BU533" s="1134"/>
      <c r="BV533" s="1134"/>
      <c r="BW533" s="1134"/>
      <c r="BX533" s="1134"/>
    </row>
    <row r="534" spans="1:76" s="2371" customFormat="1" ht="53.25" customHeight="1">
      <c r="A534" s="1785"/>
      <c r="B534" s="2631"/>
      <c r="C534" s="3841"/>
      <c r="D534" s="3841"/>
      <c r="E534" s="3841"/>
      <c r="F534" s="3841"/>
      <c r="G534" s="3841"/>
      <c r="H534" s="3841"/>
      <c r="I534" s="2634" t="s">
        <v>3266</v>
      </c>
      <c r="J534" s="384" t="s">
        <v>3776</v>
      </c>
      <c r="K534" s="1737">
        <v>5</v>
      </c>
      <c r="L534" s="1731">
        <f>35000000+26362250+35000000+40000000+70000000+100000000</f>
        <v>306362250</v>
      </c>
      <c r="M534" s="1737">
        <v>1</v>
      </c>
      <c r="N534" s="1731">
        <f>25462800+26361500</f>
        <v>51824300</v>
      </c>
      <c r="O534" s="1737">
        <v>1</v>
      </c>
      <c r="P534" s="1731">
        <v>22571709</v>
      </c>
      <c r="Q534" s="1737">
        <f>R534/P534*100</f>
        <v>0</v>
      </c>
      <c r="R534" s="1731">
        <v>0</v>
      </c>
      <c r="S534" s="2899">
        <v>1</v>
      </c>
      <c r="T534" s="1731">
        <v>22500000</v>
      </c>
      <c r="U534" s="2632"/>
      <c r="V534" s="2304"/>
      <c r="W534" s="2632"/>
      <c r="X534" s="1731"/>
      <c r="Y534" s="2276">
        <f t="shared" si="152"/>
        <v>1</v>
      </c>
      <c r="Z534" s="1731">
        <f t="shared" si="151"/>
        <v>22500000</v>
      </c>
      <c r="AA534" s="2553">
        <f t="shared" si="157"/>
        <v>2</v>
      </c>
      <c r="AB534" s="1731">
        <f t="shared" si="158"/>
        <v>74324300</v>
      </c>
      <c r="AC534" s="2555">
        <f t="shared" si="159"/>
        <v>40</v>
      </c>
      <c r="AD534" s="2555">
        <f t="shared" si="160"/>
        <v>24.260267053137259</v>
      </c>
      <c r="AE534" s="390"/>
      <c r="AF534" s="1134"/>
      <c r="AG534" s="1134"/>
      <c r="AH534" s="1134"/>
      <c r="AI534" s="1134"/>
      <c r="AJ534" s="1134"/>
      <c r="AK534" s="1134"/>
      <c r="AL534" s="1134"/>
      <c r="AM534" s="1134"/>
      <c r="AN534" s="1134"/>
      <c r="AO534" s="1134"/>
      <c r="AP534" s="1134"/>
      <c r="AQ534" s="1134"/>
      <c r="AR534" s="1134"/>
      <c r="AS534" s="1134"/>
      <c r="AT534" s="1134"/>
      <c r="AU534" s="1134"/>
      <c r="AV534" s="1134"/>
      <c r="AW534" s="1134"/>
      <c r="AX534" s="1134"/>
      <c r="AY534" s="1134"/>
      <c r="AZ534" s="1134"/>
      <c r="BA534" s="1134"/>
      <c r="BB534" s="1134"/>
      <c r="BC534" s="1134"/>
      <c r="BD534" s="1134"/>
      <c r="BE534" s="1134"/>
      <c r="BF534" s="1134"/>
      <c r="BG534" s="1134"/>
      <c r="BH534" s="1134"/>
      <c r="BI534" s="1134"/>
      <c r="BJ534" s="1134"/>
      <c r="BK534" s="1134"/>
      <c r="BL534" s="1134"/>
      <c r="BM534" s="1134"/>
      <c r="BN534" s="1134"/>
      <c r="BO534" s="1134"/>
      <c r="BP534" s="1134"/>
      <c r="BQ534" s="1134"/>
      <c r="BR534" s="1134"/>
      <c r="BS534" s="1134"/>
      <c r="BT534" s="1134"/>
      <c r="BU534" s="1134"/>
      <c r="BV534" s="1134"/>
      <c r="BW534" s="1134"/>
      <c r="BX534" s="1134"/>
    </row>
    <row r="535" spans="1:76" s="2370" customFormat="1" ht="47.25" customHeight="1">
      <c r="A535" s="1785"/>
      <c r="B535" s="2631"/>
      <c r="C535" s="3841"/>
      <c r="D535" s="3841"/>
      <c r="E535" s="3841"/>
      <c r="F535" s="3841"/>
      <c r="G535" s="3841"/>
      <c r="H535" s="3841"/>
      <c r="I535" s="2634" t="s">
        <v>3275</v>
      </c>
      <c r="J535" s="384" t="s">
        <v>3777</v>
      </c>
      <c r="K535" s="1737">
        <v>5</v>
      </c>
      <c r="L535" s="1731">
        <f>50000000+282226000+285000000+290000000+296000000+300000000</f>
        <v>1503226000</v>
      </c>
      <c r="M535" s="1737">
        <v>1</v>
      </c>
      <c r="N535" s="1731">
        <f>26013820+28222600</f>
        <v>54236420</v>
      </c>
      <c r="O535" s="1737">
        <v>1</v>
      </c>
      <c r="P535" s="1731">
        <v>41287149</v>
      </c>
      <c r="Q535" s="1737">
        <v>0</v>
      </c>
      <c r="R535" s="1731">
        <v>0</v>
      </c>
      <c r="S535" s="2899">
        <v>1</v>
      </c>
      <c r="T535" s="590">
        <v>37321700</v>
      </c>
      <c r="U535" s="384">
        <v>0</v>
      </c>
      <c r="V535" s="1202"/>
      <c r="W535" s="2632"/>
      <c r="X535" s="1731"/>
      <c r="Y535" s="1731">
        <f>SUM(S535+U535)</f>
        <v>1</v>
      </c>
      <c r="Z535" s="1731">
        <f t="shared" si="151"/>
        <v>37321700</v>
      </c>
      <c r="AA535" s="2632">
        <f t="shared" si="157"/>
        <v>2</v>
      </c>
      <c r="AB535" s="1731">
        <f t="shared" si="158"/>
        <v>91558120</v>
      </c>
      <c r="AC535" s="2555">
        <f t="shared" si="159"/>
        <v>40</v>
      </c>
      <c r="AD535" s="2555">
        <f t="shared" si="160"/>
        <v>6.0907754389559514</v>
      </c>
      <c r="AE535" s="390"/>
      <c r="AF535" s="1129"/>
      <c r="AG535" s="1129"/>
      <c r="AH535" s="1129"/>
      <c r="AI535" s="1129"/>
      <c r="AJ535" s="1129"/>
      <c r="AK535" s="1129"/>
      <c r="AL535" s="1129"/>
      <c r="AM535" s="1129"/>
      <c r="AN535" s="1129"/>
      <c r="AO535" s="1129"/>
      <c r="AP535" s="1129"/>
      <c r="AQ535" s="1129"/>
      <c r="AR535" s="1129"/>
      <c r="AS535" s="1129"/>
      <c r="AT535" s="1129"/>
      <c r="AU535" s="1129"/>
      <c r="AV535" s="1129"/>
      <c r="AW535" s="1129"/>
      <c r="AX535" s="1129"/>
      <c r="AY535" s="1129"/>
      <c r="AZ535" s="1129"/>
      <c r="BA535" s="1129"/>
      <c r="BB535" s="1129"/>
      <c r="BC535" s="1129"/>
      <c r="BD535" s="1129"/>
      <c r="BE535" s="1129"/>
      <c r="BF535" s="1129"/>
      <c r="BG535" s="1129"/>
      <c r="BH535" s="1129"/>
      <c r="BI535" s="1129"/>
      <c r="BJ535" s="1129"/>
      <c r="BK535" s="1129"/>
      <c r="BL535" s="1129"/>
      <c r="BM535" s="1129"/>
      <c r="BN535" s="1129"/>
      <c r="BO535" s="1129"/>
      <c r="BP535" s="1129"/>
      <c r="BQ535" s="1129"/>
      <c r="BR535" s="1129"/>
      <c r="BS535" s="1129"/>
      <c r="BT535" s="1129"/>
      <c r="BU535" s="1129"/>
      <c r="BV535" s="1129"/>
      <c r="BW535" s="1129"/>
      <c r="BX535" s="1129"/>
    </row>
    <row r="536" spans="1:76" s="2371" customFormat="1" ht="74.25" customHeight="1">
      <c r="A536" s="1785"/>
      <c r="B536" s="2631"/>
      <c r="C536" s="3841"/>
      <c r="D536" s="3841"/>
      <c r="E536" s="3841"/>
      <c r="F536" s="3841"/>
      <c r="G536" s="3841"/>
      <c r="H536" s="3841"/>
      <c r="I536" s="2634" t="s">
        <v>3267</v>
      </c>
      <c r="J536" s="384" t="s">
        <v>3778</v>
      </c>
      <c r="K536" s="1737">
        <v>5</v>
      </c>
      <c r="L536" s="1731">
        <f>75000000+53217560+75000000+75000000+80000000+850000000</f>
        <v>1208217560</v>
      </c>
      <c r="M536" s="1737">
        <v>1</v>
      </c>
      <c r="N536" s="1731">
        <f>55757380+52517560</f>
        <v>108274940</v>
      </c>
      <c r="O536" s="1737">
        <v>1</v>
      </c>
      <c r="P536" s="1731">
        <v>65654946</v>
      </c>
      <c r="Q536" s="1737">
        <f>R536/P536*100</f>
        <v>0</v>
      </c>
      <c r="R536" s="1731">
        <v>0</v>
      </c>
      <c r="S536" s="2314" t="s">
        <v>2034</v>
      </c>
      <c r="T536" s="2846" t="s">
        <v>2034</v>
      </c>
      <c r="U536" s="2632"/>
      <c r="V536" s="2304">
        <v>55061600</v>
      </c>
      <c r="W536" s="2632"/>
      <c r="X536" s="1731"/>
      <c r="Y536" s="1733">
        <f t="shared" si="152"/>
        <v>0</v>
      </c>
      <c r="Z536" s="1731">
        <f t="shared" si="151"/>
        <v>55061600</v>
      </c>
      <c r="AA536" s="2632">
        <f t="shared" si="157"/>
        <v>1</v>
      </c>
      <c r="AB536" s="1731">
        <f t="shared" si="158"/>
        <v>163336540</v>
      </c>
      <c r="AC536" s="2555">
        <f t="shared" si="159"/>
        <v>20</v>
      </c>
      <c r="AD536" s="2555">
        <f t="shared" si="160"/>
        <v>13.518802027674553</v>
      </c>
      <c r="AE536" s="390"/>
      <c r="AF536" s="1134"/>
      <c r="AG536" s="1134"/>
      <c r="AH536" s="1134"/>
      <c r="AI536" s="1134"/>
      <c r="AJ536" s="1134"/>
      <c r="AK536" s="1134"/>
      <c r="AL536" s="1134"/>
      <c r="AM536" s="1134"/>
      <c r="AN536" s="1134"/>
      <c r="AO536" s="1134"/>
      <c r="AP536" s="1134"/>
      <c r="AQ536" s="1134"/>
      <c r="AR536" s="1134"/>
      <c r="AS536" s="1134"/>
      <c r="AT536" s="1134"/>
      <c r="AU536" s="1134"/>
      <c r="AV536" s="1134"/>
      <c r="AW536" s="1134"/>
      <c r="AX536" s="1134"/>
      <c r="AY536" s="1134"/>
      <c r="AZ536" s="1134"/>
      <c r="BA536" s="1134"/>
      <c r="BB536" s="1134"/>
      <c r="BC536" s="1134"/>
      <c r="BD536" s="1134"/>
      <c r="BE536" s="1134"/>
      <c r="BF536" s="1134"/>
      <c r="BG536" s="1134"/>
      <c r="BH536" s="1134"/>
      <c r="BI536" s="1134"/>
      <c r="BJ536" s="1134"/>
      <c r="BK536" s="1134"/>
      <c r="BL536" s="1134"/>
      <c r="BM536" s="1134"/>
      <c r="BN536" s="1134"/>
      <c r="BO536" s="1134"/>
      <c r="BP536" s="1134"/>
      <c r="BQ536" s="1134"/>
      <c r="BR536" s="1134"/>
      <c r="BS536" s="1134"/>
      <c r="BT536" s="1134"/>
      <c r="BU536" s="1134"/>
      <c r="BV536" s="1134"/>
      <c r="BW536" s="1134"/>
      <c r="BX536" s="1134"/>
    </row>
    <row r="537" spans="1:76" s="2370" customFormat="1" ht="73.5" customHeight="1">
      <c r="A537" s="2549">
        <v>6</v>
      </c>
      <c r="B537" s="2359" t="s">
        <v>3268</v>
      </c>
      <c r="C537" s="2595"/>
      <c r="D537" s="2595"/>
      <c r="E537" s="2595"/>
      <c r="F537" s="2595"/>
      <c r="G537" s="2595"/>
      <c r="H537" s="2595"/>
      <c r="I537" s="2359" t="s">
        <v>3269</v>
      </c>
      <c r="J537" s="2335" t="s">
        <v>3277</v>
      </c>
      <c r="K537" s="2557">
        <v>60</v>
      </c>
      <c r="L537" s="2340">
        <f>L538</f>
        <v>14199887056</v>
      </c>
      <c r="M537" s="2557">
        <v>12</v>
      </c>
      <c r="N537" s="2340">
        <f>N538</f>
        <v>2074415150</v>
      </c>
      <c r="O537" s="2557">
        <v>12</v>
      </c>
      <c r="P537" s="2340">
        <f>P538</f>
        <v>1432965350</v>
      </c>
      <c r="Q537" s="2557">
        <v>3</v>
      </c>
      <c r="R537" s="2340">
        <f>R538</f>
        <v>45932624</v>
      </c>
      <c r="S537" s="2929">
        <v>3</v>
      </c>
      <c r="T537" s="2340">
        <v>907735124</v>
      </c>
      <c r="U537" s="2335">
        <v>3</v>
      </c>
      <c r="V537" s="2342">
        <f>SUM(V538)</f>
        <v>-907735124</v>
      </c>
      <c r="W537" s="2335"/>
      <c r="X537" s="2340"/>
      <c r="Y537" s="2551">
        <f t="shared" si="152"/>
        <v>9</v>
      </c>
      <c r="Z537" s="2340">
        <f t="shared" si="151"/>
        <v>45932624</v>
      </c>
      <c r="AA537" s="2335">
        <f t="shared" si="157"/>
        <v>21</v>
      </c>
      <c r="AB537" s="2340">
        <f t="shared" si="158"/>
        <v>2120347774</v>
      </c>
      <c r="AC537" s="2552">
        <f t="shared" si="159"/>
        <v>35</v>
      </c>
      <c r="AD537" s="2552">
        <f t="shared" si="160"/>
        <v>14.932145344804496</v>
      </c>
      <c r="AE537" s="3138"/>
      <c r="AF537" s="1129"/>
      <c r="AG537" s="1129"/>
      <c r="AH537" s="1129"/>
      <c r="AI537" s="1129"/>
      <c r="AJ537" s="1129"/>
      <c r="AK537" s="1129"/>
      <c r="AL537" s="1129"/>
      <c r="AM537" s="1129"/>
      <c r="AN537" s="1129"/>
      <c r="AO537" s="1129"/>
      <c r="AP537" s="1129"/>
      <c r="AQ537" s="1129"/>
      <c r="AR537" s="1129"/>
      <c r="AS537" s="1129"/>
      <c r="AT537" s="1129"/>
      <c r="AU537" s="1129"/>
      <c r="AV537" s="1129"/>
      <c r="AW537" s="1129"/>
      <c r="AX537" s="1129"/>
      <c r="AY537" s="1129"/>
      <c r="AZ537" s="1129"/>
      <c r="BA537" s="1129"/>
      <c r="BB537" s="1129"/>
      <c r="BC537" s="1129"/>
      <c r="BD537" s="1129"/>
      <c r="BE537" s="1129"/>
      <c r="BF537" s="1129"/>
      <c r="BG537" s="1129"/>
      <c r="BH537" s="1129"/>
      <c r="BI537" s="1129"/>
      <c r="BJ537" s="1129"/>
      <c r="BK537" s="1129"/>
      <c r="BL537" s="1129"/>
      <c r="BM537" s="1129"/>
      <c r="BN537" s="1129"/>
      <c r="BO537" s="1129"/>
      <c r="BP537" s="1129"/>
      <c r="BQ537" s="1129"/>
      <c r="BR537" s="1129"/>
      <c r="BS537" s="1129"/>
      <c r="BT537" s="1129"/>
      <c r="BU537" s="1129"/>
      <c r="BV537" s="1129"/>
      <c r="BW537" s="1129"/>
      <c r="BX537" s="1129"/>
    </row>
    <row r="538" spans="1:76" s="2371" customFormat="1" ht="59.25" customHeight="1">
      <c r="A538" s="1785"/>
      <c r="B538" s="2631"/>
      <c r="C538" s="2446"/>
      <c r="D538" s="2446"/>
      <c r="E538" s="2446"/>
      <c r="F538" s="2446"/>
      <c r="G538" s="2446"/>
      <c r="H538" s="2446"/>
      <c r="I538" s="2634" t="s">
        <v>3270</v>
      </c>
      <c r="J538" s="2632" t="s">
        <v>3276</v>
      </c>
      <c r="K538" s="1737">
        <v>60</v>
      </c>
      <c r="L538" s="1731">
        <f>2099887056+2200000000+2200000000+3300000000+4400000000</f>
        <v>14199887056</v>
      </c>
      <c r="M538" s="1737">
        <v>12</v>
      </c>
      <c r="N538" s="1731">
        <v>2074415150</v>
      </c>
      <c r="O538" s="1737">
        <v>12</v>
      </c>
      <c r="P538" s="1731">
        <v>1432965350</v>
      </c>
      <c r="Q538" s="1737">
        <v>3</v>
      </c>
      <c r="R538" s="1731">
        <v>45932624</v>
      </c>
      <c r="S538" s="2632">
        <v>3</v>
      </c>
      <c r="T538" s="1731">
        <v>907735124</v>
      </c>
      <c r="U538" s="2632">
        <v>3</v>
      </c>
      <c r="V538" s="2304">
        <f>AF538-T538</f>
        <v>-907735124</v>
      </c>
      <c r="W538" s="2632"/>
      <c r="X538" s="1731"/>
      <c r="Y538" s="1733">
        <f t="shared" si="152"/>
        <v>9</v>
      </c>
      <c r="Z538" s="1731">
        <f t="shared" si="151"/>
        <v>45932624</v>
      </c>
      <c r="AA538" s="2632">
        <f t="shared" si="157"/>
        <v>21</v>
      </c>
      <c r="AB538" s="1731">
        <f t="shared" si="158"/>
        <v>2120347774</v>
      </c>
      <c r="AC538" s="2555">
        <f t="shared" si="159"/>
        <v>35</v>
      </c>
      <c r="AD538" s="2555">
        <f t="shared" si="160"/>
        <v>14.932145344804496</v>
      </c>
      <c r="AE538" s="3160"/>
      <c r="AF538" s="1134"/>
      <c r="AG538" s="1134"/>
      <c r="AH538" s="1134"/>
      <c r="AI538" s="1134"/>
      <c r="AJ538" s="1134"/>
      <c r="AK538" s="1134"/>
      <c r="AL538" s="1134"/>
      <c r="AM538" s="1134"/>
      <c r="AN538" s="1134"/>
      <c r="AO538" s="1134"/>
      <c r="AP538" s="1134"/>
      <c r="AQ538" s="1134"/>
      <c r="AR538" s="1134"/>
      <c r="AS538" s="1134"/>
      <c r="AT538" s="1134"/>
      <c r="AU538" s="1134"/>
      <c r="AV538" s="1134"/>
      <c r="AW538" s="1134"/>
      <c r="AX538" s="1134"/>
      <c r="AY538" s="1134"/>
      <c r="AZ538" s="1134"/>
      <c r="BA538" s="1134"/>
      <c r="BB538" s="1134"/>
      <c r="BC538" s="1134"/>
      <c r="BD538" s="1134"/>
      <c r="BE538" s="1134"/>
      <c r="BF538" s="1134"/>
      <c r="BG538" s="1134"/>
      <c r="BH538" s="1134"/>
      <c r="BI538" s="1134"/>
      <c r="BJ538" s="1134"/>
      <c r="BK538" s="1134"/>
      <c r="BL538" s="1134"/>
      <c r="BM538" s="1134"/>
      <c r="BN538" s="1134"/>
      <c r="BO538" s="1134"/>
      <c r="BP538" s="1134"/>
      <c r="BQ538" s="1134"/>
      <c r="BR538" s="1134"/>
      <c r="BS538" s="1134"/>
      <c r="BT538" s="1134"/>
      <c r="BU538" s="1134"/>
      <c r="BV538" s="1134"/>
      <c r="BW538" s="1134"/>
      <c r="BX538" s="1134"/>
    </row>
    <row r="539" spans="1:76" s="2370" customFormat="1" ht="15">
      <c r="A539" s="4244" t="s">
        <v>89</v>
      </c>
      <c r="B539" s="4244"/>
      <c r="C539" s="4245"/>
      <c r="D539" s="4245"/>
      <c r="E539" s="4245"/>
      <c r="F539" s="4245"/>
      <c r="G539" s="4245"/>
      <c r="H539" s="4245"/>
      <c r="I539" s="4245"/>
      <c r="J539" s="4245"/>
      <c r="K539" s="4245"/>
      <c r="L539" s="4245"/>
      <c r="M539" s="4245"/>
      <c r="N539" s="4245"/>
      <c r="O539" s="4245"/>
      <c r="P539" s="4245"/>
      <c r="Q539" s="4245"/>
      <c r="R539" s="4245"/>
      <c r="S539" s="4245"/>
      <c r="T539" s="4245"/>
      <c r="U539" s="4245"/>
      <c r="V539" s="4245"/>
      <c r="W539" s="4245"/>
      <c r="X539" s="4245"/>
      <c r="Y539" s="4245"/>
      <c r="Z539" s="4245"/>
      <c r="AA539" s="4245"/>
      <c r="AB539" s="4245"/>
      <c r="AC539" s="2030">
        <f>(AC511+AC524+AC528+AC530+AC532+AC537)/6</f>
        <v>31.5</v>
      </c>
      <c r="AD539" s="2030">
        <f>(AD511+AD524+AD528+AD530+AD532+AD537)/6</f>
        <v>22.667080359963666</v>
      </c>
      <c r="AE539" s="390"/>
      <c r="AF539" s="1129"/>
      <c r="AG539" s="1129"/>
      <c r="AH539" s="1129"/>
      <c r="AI539" s="1129"/>
      <c r="AJ539" s="1129"/>
      <c r="AK539" s="1129"/>
      <c r="AL539" s="1129"/>
      <c r="AM539" s="1129"/>
      <c r="AN539" s="1129"/>
      <c r="AO539" s="1129"/>
      <c r="AP539" s="1129"/>
      <c r="AQ539" s="1129"/>
      <c r="AR539" s="1129"/>
      <c r="AS539" s="1129"/>
      <c r="AT539" s="1129"/>
      <c r="AU539" s="1129"/>
      <c r="AV539" s="1129"/>
      <c r="AW539" s="1129"/>
      <c r="AX539" s="1129"/>
      <c r="AY539" s="1129"/>
      <c r="AZ539" s="1129"/>
      <c r="BA539" s="1129"/>
      <c r="BB539" s="1129"/>
      <c r="BC539" s="1129"/>
      <c r="BD539" s="1129"/>
      <c r="BE539" s="1129"/>
      <c r="BF539" s="1129"/>
      <c r="BG539" s="1129"/>
      <c r="BH539" s="1129"/>
      <c r="BI539" s="1129"/>
      <c r="BJ539" s="1129"/>
      <c r="BK539" s="1129"/>
      <c r="BL539" s="1129"/>
      <c r="BM539" s="1129"/>
      <c r="BN539" s="1129"/>
      <c r="BO539" s="1129"/>
      <c r="BP539" s="1129"/>
      <c r="BQ539" s="1129"/>
      <c r="BR539" s="1129"/>
      <c r="BS539" s="1129"/>
      <c r="BT539" s="1129"/>
      <c r="BU539" s="1129"/>
      <c r="BV539" s="1129"/>
      <c r="BW539" s="1129"/>
      <c r="BX539" s="1129"/>
    </row>
    <row r="540" spans="1:76" s="2371" customFormat="1" ht="14.25">
      <c r="A540" s="4244" t="s">
        <v>90</v>
      </c>
      <c r="B540" s="4244"/>
      <c r="C540" s="4245"/>
      <c r="D540" s="4245"/>
      <c r="E540" s="4245"/>
      <c r="F540" s="4245"/>
      <c r="G540" s="4245"/>
      <c r="H540" s="4245"/>
      <c r="I540" s="4245"/>
      <c r="J540" s="4245"/>
      <c r="K540" s="4245"/>
      <c r="L540" s="4245"/>
      <c r="M540" s="4245"/>
      <c r="N540" s="4245"/>
      <c r="O540" s="4245"/>
      <c r="P540" s="4245"/>
      <c r="Q540" s="4245"/>
      <c r="R540" s="4245"/>
      <c r="S540" s="4245"/>
      <c r="T540" s="4245"/>
      <c r="U540" s="4245"/>
      <c r="V540" s="4245"/>
      <c r="W540" s="4245"/>
      <c r="X540" s="4245"/>
      <c r="Y540" s="4245"/>
      <c r="Z540" s="4245"/>
      <c r="AA540" s="4245"/>
      <c r="AB540" s="4245"/>
      <c r="AC540" s="3152" t="str">
        <f>IF(AC539&gt;=91,"ST",IF(AC539&gt;=76,"T",IF(AC539&gt;=66,"S",IF(AC539&gt;=51,"R","SR"))))</f>
        <v>SR</v>
      </c>
      <c r="AD540" s="3152" t="str">
        <f>IF(AD539&gt;=91,"ST",IF(AD539&gt;=76,"T",IF(AD539&gt;=66,"S",IF(AD539&gt;=51,"R","SR"))))</f>
        <v>SR</v>
      </c>
      <c r="AE540" s="390"/>
      <c r="AF540" s="1134"/>
      <c r="AG540" s="1134"/>
      <c r="AH540" s="1134"/>
      <c r="AI540" s="1134"/>
      <c r="AJ540" s="1134"/>
      <c r="AK540" s="1134"/>
      <c r="AL540" s="1134"/>
      <c r="AM540" s="1134"/>
      <c r="AN540" s="1134"/>
      <c r="AO540" s="1134"/>
      <c r="AP540" s="1134"/>
      <c r="AQ540" s="1134"/>
      <c r="AR540" s="1134"/>
      <c r="AS540" s="1134"/>
      <c r="AT540" s="1134"/>
      <c r="AU540" s="1134"/>
      <c r="AV540" s="1134"/>
      <c r="AW540" s="1134"/>
      <c r="AX540" s="1134"/>
      <c r="AY540" s="1134"/>
      <c r="AZ540" s="1134"/>
      <c r="BA540" s="1134"/>
      <c r="BB540" s="1134"/>
      <c r="BC540" s="1134"/>
      <c r="BD540" s="1134"/>
      <c r="BE540" s="1134"/>
      <c r="BF540" s="1134"/>
      <c r="BG540" s="1134"/>
      <c r="BH540" s="1134"/>
      <c r="BI540" s="1134"/>
      <c r="BJ540" s="1134"/>
      <c r="BK540" s="1134"/>
      <c r="BL540" s="1134"/>
      <c r="BM540" s="1134"/>
      <c r="BN540" s="1134"/>
      <c r="BO540" s="1134"/>
      <c r="BP540" s="1134"/>
      <c r="BQ540" s="1134"/>
      <c r="BR540" s="1134"/>
      <c r="BS540" s="1134"/>
      <c r="BT540" s="1134"/>
      <c r="BU540" s="1134"/>
      <c r="BV540" s="1134"/>
      <c r="BW540" s="1134"/>
      <c r="BX540" s="1134"/>
    </row>
    <row r="541" spans="1:76" s="2371" customFormat="1" ht="26.25" customHeight="1">
      <c r="A541" s="2547" t="s">
        <v>3253</v>
      </c>
      <c r="B541" s="3214"/>
      <c r="C541" s="3215"/>
      <c r="D541" s="3215"/>
      <c r="E541" s="3215"/>
      <c r="F541" s="3215"/>
      <c r="G541" s="3215"/>
      <c r="H541" s="3215"/>
      <c r="I541" s="2472" t="s">
        <v>131</v>
      </c>
      <c r="J541" s="3214"/>
      <c r="K541" s="3214"/>
      <c r="L541" s="3216">
        <f>L542+L553+L560+L563+L569+L571+L573+L575</f>
        <v>4217200000</v>
      </c>
      <c r="M541" s="3214"/>
      <c r="N541" s="2932">
        <f>N542+N553+N560+N563+N569+N571+N573+N575</f>
        <v>2477194346</v>
      </c>
      <c r="O541" s="3214"/>
      <c r="P541" s="2932">
        <f>SUM(P542+P553+P560+P563+P569+P571+P573+P575+P578)</f>
        <v>2186942571</v>
      </c>
      <c r="Q541" s="3214"/>
      <c r="R541" s="2932">
        <f>R542+R553+R560+R563+R569+R571+R573+R575</f>
        <v>221044672</v>
      </c>
      <c r="S541" s="3214"/>
      <c r="T541" s="2932">
        <f>T542+T553+T560+T563+T569+T571+T573+T575</f>
        <v>660436142</v>
      </c>
      <c r="U541" s="3214"/>
      <c r="V541" s="2932">
        <f>V542+V553+V560+V563+V569+V571+V573+V575</f>
        <v>725487961</v>
      </c>
      <c r="W541" s="3214"/>
      <c r="X541" s="3214"/>
      <c r="Y541" s="3214"/>
      <c r="Z541" s="2932">
        <f t="shared" ref="Z541:Z578" si="161">R541+T541+V541+X541</f>
        <v>1606968775</v>
      </c>
      <c r="AA541" s="3214"/>
      <c r="AB541" s="2932">
        <f>AB542+AB553+AB560+AB563+AB569+AB571+AB573+AB575</f>
        <v>1606968775</v>
      </c>
      <c r="AC541" s="3214"/>
      <c r="AD541" s="3214"/>
      <c r="AE541" s="3217"/>
      <c r="AF541" s="1134"/>
      <c r="AG541" s="1134"/>
      <c r="AH541" s="1134"/>
      <c r="AI541" s="1134"/>
      <c r="AJ541" s="1134"/>
      <c r="AK541" s="1134"/>
      <c r="AL541" s="1134"/>
      <c r="AM541" s="1134"/>
      <c r="AN541" s="1134"/>
      <c r="AO541" s="1134"/>
      <c r="AP541" s="1134"/>
      <c r="AQ541" s="1134"/>
      <c r="AR541" s="1134"/>
      <c r="AS541" s="1134"/>
      <c r="AT541" s="1134"/>
      <c r="AU541" s="1134"/>
      <c r="AV541" s="1134"/>
      <c r="AW541" s="1134"/>
      <c r="AX541" s="1134"/>
      <c r="AY541" s="1134"/>
      <c r="AZ541" s="1134"/>
      <c r="BA541" s="1134"/>
      <c r="BB541" s="1134"/>
      <c r="BC541" s="1134"/>
      <c r="BD541" s="1134"/>
      <c r="BE541" s="1134"/>
      <c r="BF541" s="1134"/>
      <c r="BG541" s="1134"/>
      <c r="BH541" s="1134"/>
      <c r="BI541" s="1134"/>
      <c r="BJ541" s="1134"/>
      <c r="BK541" s="1134"/>
      <c r="BL541" s="1134"/>
      <c r="BM541" s="1134"/>
      <c r="BN541" s="1134"/>
      <c r="BO541" s="1134"/>
      <c r="BP541" s="1134"/>
      <c r="BQ541" s="1134"/>
      <c r="BR541" s="1134"/>
      <c r="BS541" s="1134"/>
      <c r="BT541" s="1134"/>
      <c r="BU541" s="1134"/>
      <c r="BV541" s="1134"/>
      <c r="BW541" s="1134"/>
      <c r="BX541" s="1134"/>
    </row>
    <row r="542" spans="1:76" s="2371" customFormat="1" ht="53.25" customHeight="1">
      <c r="A542" s="2335">
        <v>1</v>
      </c>
      <c r="B542" s="2335"/>
      <c r="C542" s="2874"/>
      <c r="D542" s="2874"/>
      <c r="E542" s="2874"/>
      <c r="F542" s="2874"/>
      <c r="G542" s="2874"/>
      <c r="H542" s="2874"/>
      <c r="I542" s="2359" t="s">
        <v>520</v>
      </c>
      <c r="J542" s="2335" t="s">
        <v>3177</v>
      </c>
      <c r="K542" s="2412">
        <v>72</v>
      </c>
      <c r="L542" s="3612">
        <f>SUM(L543:L552)</f>
        <v>662560000</v>
      </c>
      <c r="M542" s="2412">
        <v>24</v>
      </c>
      <c r="N542" s="2467">
        <v>511402856</v>
      </c>
      <c r="O542" s="2412">
        <v>12</v>
      </c>
      <c r="P542" s="2361">
        <f>SUM(P543:P552)</f>
        <v>506187938</v>
      </c>
      <c r="Q542" s="2412">
        <v>3</v>
      </c>
      <c r="R542" s="2477">
        <v>97412982</v>
      </c>
      <c r="S542" s="2905">
        <v>3</v>
      </c>
      <c r="T542" s="2935">
        <f>SUM(T543:T552)</f>
        <v>134397142</v>
      </c>
      <c r="U542" s="3613"/>
      <c r="V542" s="2935">
        <f>SUM(V543:V552)</f>
        <v>88630019</v>
      </c>
      <c r="W542" s="3613"/>
      <c r="X542" s="3613"/>
      <c r="Y542" s="2508">
        <f t="shared" ref="Y542:Y577" si="162">Q542+S542+U542+W542</f>
        <v>6</v>
      </c>
      <c r="Z542" s="2361">
        <f t="shared" si="161"/>
        <v>320440143</v>
      </c>
      <c r="AA542" s="2412">
        <f>Y542</f>
        <v>6</v>
      </c>
      <c r="AB542" s="2361">
        <f>Z542</f>
        <v>320440143</v>
      </c>
      <c r="AC542" s="2478">
        <f>AA542/K542*100</f>
        <v>8.3333333333333321</v>
      </c>
      <c r="AD542" s="2478">
        <f t="shared" ref="AD542:AD578" si="163">(AB542/L542)*100</f>
        <v>48.363943340980441</v>
      </c>
      <c r="AE542" s="3119" t="s">
        <v>3909</v>
      </c>
      <c r="AF542" s="3212"/>
      <c r="AG542" s="1134"/>
      <c r="AH542" s="1134"/>
      <c r="AI542" s="1134"/>
      <c r="AJ542" s="1134"/>
      <c r="AK542" s="1134"/>
      <c r="AL542" s="1134"/>
      <c r="AM542" s="1134"/>
      <c r="AN542" s="1134"/>
      <c r="AO542" s="1134"/>
      <c r="AP542" s="1134"/>
      <c r="AQ542" s="1134"/>
      <c r="AR542" s="1134"/>
      <c r="AS542" s="1134"/>
      <c r="AT542" s="1134"/>
      <c r="AU542" s="1134"/>
      <c r="AV542" s="1134"/>
      <c r="AW542" s="1134"/>
      <c r="AX542" s="1134"/>
      <c r="AY542" s="1134"/>
      <c r="AZ542" s="1134"/>
      <c r="BA542" s="1134"/>
      <c r="BB542" s="1134"/>
      <c r="BC542" s="1134"/>
      <c r="BD542" s="1134"/>
      <c r="BE542" s="1134"/>
      <c r="BF542" s="1134"/>
      <c r="BG542" s="1134"/>
      <c r="BH542" s="1134"/>
      <c r="BI542" s="1134"/>
      <c r="BJ542" s="1134"/>
      <c r="BK542" s="1134"/>
      <c r="BL542" s="1134"/>
      <c r="BM542" s="1134"/>
      <c r="BN542" s="1134"/>
      <c r="BO542" s="1134"/>
      <c r="BP542" s="1134"/>
      <c r="BQ542" s="1134"/>
      <c r="BR542" s="1134"/>
      <c r="BS542" s="1134"/>
      <c r="BT542" s="1134"/>
      <c r="BU542" s="1134"/>
      <c r="BV542" s="1134"/>
      <c r="BW542" s="1134"/>
      <c r="BX542" s="1134"/>
    </row>
    <row r="543" spans="1:76" s="2318" customFormat="1" ht="51" customHeight="1">
      <c r="A543" s="2516"/>
      <c r="B543" s="2516"/>
      <c r="C543" s="2207"/>
      <c r="D543" s="2207"/>
      <c r="E543" s="2207"/>
      <c r="F543" s="2207"/>
      <c r="G543" s="2207"/>
      <c r="H543" s="2207"/>
      <c r="I543" s="3615" t="s">
        <v>195</v>
      </c>
      <c r="J543" s="2516" t="s">
        <v>3779</v>
      </c>
      <c r="K543" s="2285">
        <v>72</v>
      </c>
      <c r="L543" s="2292">
        <v>51240000</v>
      </c>
      <c r="M543" s="2285">
        <v>24</v>
      </c>
      <c r="N543" s="2479">
        <v>3589406</v>
      </c>
      <c r="O543" s="2285">
        <v>12</v>
      </c>
      <c r="P543" s="2287">
        <v>29400000</v>
      </c>
      <c r="Q543" s="2285">
        <v>3</v>
      </c>
      <c r="R543" s="2287">
        <v>2412024</v>
      </c>
      <c r="S543" s="2936">
        <v>3</v>
      </c>
      <c r="T543" s="2933">
        <v>4795002</v>
      </c>
      <c r="U543" s="2287">
        <v>3</v>
      </c>
      <c r="V543" s="2287">
        <v>6628993</v>
      </c>
      <c r="W543" s="2287"/>
      <c r="X543" s="2287"/>
      <c r="Y543" s="2487">
        <f>Q543+S543+U543+W543</f>
        <v>9</v>
      </c>
      <c r="Z543" s="2292">
        <f t="shared" si="161"/>
        <v>13836019</v>
      </c>
      <c r="AA543" s="2482">
        <f t="shared" ref="AA543:AB579" si="164">Y543</f>
        <v>9</v>
      </c>
      <c r="AB543" s="2292">
        <f t="shared" si="164"/>
        <v>13836019</v>
      </c>
      <c r="AC543" s="2482">
        <f t="shared" ref="AC543:AC579" si="165">AA543/K543*100</f>
        <v>12.5</v>
      </c>
      <c r="AD543" s="2482">
        <f t="shared" si="163"/>
        <v>27.002379000780643</v>
      </c>
      <c r="AE543" s="2203"/>
    </row>
    <row r="544" spans="1:76" s="2318" customFormat="1" ht="54.75" customHeight="1">
      <c r="A544" s="2516"/>
      <c r="B544" s="2516"/>
      <c r="C544" s="2207"/>
      <c r="D544" s="2207"/>
      <c r="E544" s="2207"/>
      <c r="F544" s="2207"/>
      <c r="G544" s="2207"/>
      <c r="H544" s="2207"/>
      <c r="I544" s="3615" t="s">
        <v>199</v>
      </c>
      <c r="J544" s="2516" t="s">
        <v>3780</v>
      </c>
      <c r="K544" s="2285">
        <v>72</v>
      </c>
      <c r="L544" s="2292">
        <v>65000000</v>
      </c>
      <c r="M544" s="2285">
        <v>24</v>
      </c>
      <c r="N544" s="2479">
        <v>75041200</v>
      </c>
      <c r="O544" s="2285">
        <v>12</v>
      </c>
      <c r="P544" s="2292">
        <v>78019001</v>
      </c>
      <c r="Q544" s="2285">
        <v>3</v>
      </c>
      <c r="R544" s="2287">
        <v>10555000</v>
      </c>
      <c r="S544" s="2936">
        <v>3</v>
      </c>
      <c r="T544" s="1387">
        <v>9040000</v>
      </c>
      <c r="U544" s="1396">
        <v>3</v>
      </c>
      <c r="V544" s="2292">
        <v>12165000</v>
      </c>
      <c r="W544" s="1396"/>
      <c r="X544" s="1396"/>
      <c r="Y544" s="2487">
        <f t="shared" si="162"/>
        <v>9</v>
      </c>
      <c r="Z544" s="2292">
        <f t="shared" si="161"/>
        <v>31760000</v>
      </c>
      <c r="AA544" s="2482">
        <f t="shared" si="164"/>
        <v>9</v>
      </c>
      <c r="AB544" s="2292">
        <f t="shared" si="164"/>
        <v>31760000</v>
      </c>
      <c r="AC544" s="2482">
        <f t="shared" si="165"/>
        <v>12.5</v>
      </c>
      <c r="AD544" s="2482">
        <f t="shared" si="163"/>
        <v>48.861538461538458</v>
      </c>
      <c r="AE544" s="2203"/>
    </row>
    <row r="545" spans="1:32" s="2318" customFormat="1" ht="84" customHeight="1">
      <c r="A545" s="384"/>
      <c r="B545" s="384"/>
      <c r="C545" s="3790"/>
      <c r="D545" s="3790"/>
      <c r="E545" s="3790"/>
      <c r="F545" s="3790"/>
      <c r="G545" s="3790"/>
      <c r="H545" s="3790"/>
      <c r="I545" s="1200" t="s">
        <v>200</v>
      </c>
      <c r="J545" s="384" t="s">
        <v>3781</v>
      </c>
      <c r="K545" s="1992">
        <v>72</v>
      </c>
      <c r="L545" s="2348">
        <v>129000000</v>
      </c>
      <c r="M545" s="1992">
        <v>24</v>
      </c>
      <c r="N545" s="2801">
        <v>101436700</v>
      </c>
      <c r="O545" s="1992">
        <v>12</v>
      </c>
      <c r="P545" s="2348">
        <v>109290941</v>
      </c>
      <c r="Q545" s="1992">
        <v>3</v>
      </c>
      <c r="R545" s="2802">
        <v>34230210</v>
      </c>
      <c r="S545" s="2936">
        <v>3</v>
      </c>
      <c r="T545" s="1387">
        <v>34449000</v>
      </c>
      <c r="U545" s="1259">
        <v>3</v>
      </c>
      <c r="V545" s="2348">
        <v>33750000</v>
      </c>
      <c r="W545" s="1259"/>
      <c r="X545" s="1259"/>
      <c r="Y545" s="1217">
        <f t="shared" si="162"/>
        <v>9</v>
      </c>
      <c r="Z545" s="2348">
        <f t="shared" si="161"/>
        <v>102429210</v>
      </c>
      <c r="AA545" s="2525">
        <f t="shared" si="164"/>
        <v>9</v>
      </c>
      <c r="AB545" s="2348">
        <f t="shared" si="164"/>
        <v>102429210</v>
      </c>
      <c r="AC545" s="2525">
        <f t="shared" si="165"/>
        <v>12.5</v>
      </c>
      <c r="AD545" s="2525">
        <f t="shared" si="163"/>
        <v>79.402488372093032</v>
      </c>
      <c r="AE545" s="753"/>
    </row>
    <row r="546" spans="1:32" s="2318" customFormat="1" ht="51" customHeight="1">
      <c r="A546" s="2516"/>
      <c r="B546" s="2516"/>
      <c r="C546" s="2207"/>
      <c r="D546" s="2207"/>
      <c r="E546" s="2207"/>
      <c r="F546" s="2207"/>
      <c r="G546" s="2207"/>
      <c r="H546" s="2207"/>
      <c r="I546" s="3615" t="s">
        <v>203</v>
      </c>
      <c r="J546" s="2516" t="s">
        <v>3782</v>
      </c>
      <c r="K546" s="2285">
        <v>72</v>
      </c>
      <c r="L546" s="2292">
        <v>46000000</v>
      </c>
      <c r="M546" s="2285">
        <v>24</v>
      </c>
      <c r="N546" s="2479">
        <v>33788288</v>
      </c>
      <c r="O546" s="2285">
        <v>12</v>
      </c>
      <c r="P546" s="2292">
        <v>28030683</v>
      </c>
      <c r="Q546" s="2285">
        <v>3</v>
      </c>
      <c r="R546" s="2287">
        <v>3816000</v>
      </c>
      <c r="S546" s="2936">
        <v>3</v>
      </c>
      <c r="T546" s="1387">
        <v>1499500</v>
      </c>
      <c r="U546" s="1396">
        <v>3</v>
      </c>
      <c r="V546" s="2292">
        <v>3120000</v>
      </c>
      <c r="W546" s="1396"/>
      <c r="X546" s="1396"/>
      <c r="Y546" s="2487">
        <f t="shared" si="162"/>
        <v>9</v>
      </c>
      <c r="Z546" s="2292">
        <f t="shared" si="161"/>
        <v>8435500</v>
      </c>
      <c r="AA546" s="2482">
        <f t="shared" si="164"/>
        <v>9</v>
      </c>
      <c r="AB546" s="2292">
        <f t="shared" si="164"/>
        <v>8435500</v>
      </c>
      <c r="AC546" s="2482">
        <f t="shared" si="165"/>
        <v>12.5</v>
      </c>
      <c r="AD546" s="2482">
        <f t="shared" si="163"/>
        <v>18.338043478260872</v>
      </c>
      <c r="AE546" s="2203"/>
    </row>
    <row r="547" spans="1:32" s="2318" customFormat="1" ht="66.75" customHeight="1">
      <c r="A547" s="2516"/>
      <c r="B547" s="2516"/>
      <c r="C547" s="2207"/>
      <c r="D547" s="2207"/>
      <c r="E547" s="2207"/>
      <c r="F547" s="2207"/>
      <c r="G547" s="2207"/>
      <c r="H547" s="2207"/>
      <c r="I547" s="3615" t="s">
        <v>204</v>
      </c>
      <c r="J547" s="2516" t="s">
        <v>3783</v>
      </c>
      <c r="K547" s="2285">
        <v>72</v>
      </c>
      <c r="L547" s="2292">
        <v>42000000</v>
      </c>
      <c r="M547" s="2285">
        <v>24</v>
      </c>
      <c r="N547" s="2287">
        <v>25899250</v>
      </c>
      <c r="O547" s="2285">
        <v>12</v>
      </c>
      <c r="P547" s="2292">
        <v>30549813</v>
      </c>
      <c r="Q547" s="2285">
        <v>3</v>
      </c>
      <c r="R547" s="2287">
        <v>3532400</v>
      </c>
      <c r="S547" s="2936">
        <v>3</v>
      </c>
      <c r="T547" s="1387">
        <v>7126200</v>
      </c>
      <c r="U547" s="1396">
        <v>3</v>
      </c>
      <c r="V547" s="2292">
        <v>4089526</v>
      </c>
      <c r="W547" s="1396"/>
      <c r="X547" s="1396"/>
      <c r="Y547" s="2487">
        <f t="shared" si="162"/>
        <v>9</v>
      </c>
      <c r="Z547" s="2292">
        <f t="shared" si="161"/>
        <v>14748126</v>
      </c>
      <c r="AA547" s="2482">
        <f t="shared" si="164"/>
        <v>9</v>
      </c>
      <c r="AB547" s="2292">
        <f t="shared" si="164"/>
        <v>14748126</v>
      </c>
      <c r="AC547" s="2482">
        <f t="shared" si="165"/>
        <v>12.5</v>
      </c>
      <c r="AD547" s="2482">
        <f t="shared" si="163"/>
        <v>35.11458571428571</v>
      </c>
      <c r="AE547" s="2203"/>
    </row>
    <row r="548" spans="1:32" s="145" customFormat="1" ht="62.25" customHeight="1">
      <c r="A548" s="2516"/>
      <c r="B548" s="2516"/>
      <c r="C548" s="2207"/>
      <c r="D548" s="2207"/>
      <c r="E548" s="2207"/>
      <c r="F548" s="2207"/>
      <c r="G548" s="2207"/>
      <c r="H548" s="2207"/>
      <c r="I548" s="3615" t="s">
        <v>205</v>
      </c>
      <c r="J548" s="2516" t="s">
        <v>3784</v>
      </c>
      <c r="K548" s="2285">
        <v>72</v>
      </c>
      <c r="L548" s="2292">
        <v>22000000</v>
      </c>
      <c r="M548" s="2285">
        <v>24</v>
      </c>
      <c r="N548" s="2479">
        <v>7682500</v>
      </c>
      <c r="O548" s="2285">
        <v>12</v>
      </c>
      <c r="P548" s="2292">
        <v>4305000</v>
      </c>
      <c r="Q548" s="2285">
        <v>3</v>
      </c>
      <c r="R548" s="2287">
        <v>315000</v>
      </c>
      <c r="S548" s="2936">
        <v>3</v>
      </c>
      <c r="T548" s="1387">
        <v>235000</v>
      </c>
      <c r="U548" s="1396">
        <v>3</v>
      </c>
      <c r="V548" s="2292">
        <v>1547000</v>
      </c>
      <c r="W548" s="1396"/>
      <c r="X548" s="1396"/>
      <c r="Y548" s="2487">
        <f t="shared" si="162"/>
        <v>9</v>
      </c>
      <c r="Z548" s="2292">
        <f t="shared" si="161"/>
        <v>2097000</v>
      </c>
      <c r="AA548" s="2482">
        <f t="shared" si="164"/>
        <v>9</v>
      </c>
      <c r="AB548" s="2292">
        <f t="shared" si="164"/>
        <v>2097000</v>
      </c>
      <c r="AC548" s="2482">
        <f t="shared" si="165"/>
        <v>12.5</v>
      </c>
      <c r="AD548" s="2482">
        <f t="shared" si="163"/>
        <v>9.5318181818181813</v>
      </c>
      <c r="AE548" s="2203"/>
      <c r="AF548" s="642"/>
    </row>
    <row r="549" spans="1:32" s="63" customFormat="1" ht="48" customHeight="1">
      <c r="A549" s="2516"/>
      <c r="B549" s="2516"/>
      <c r="C549" s="2207"/>
      <c r="D549" s="2207"/>
      <c r="E549" s="2207"/>
      <c r="F549" s="2207"/>
      <c r="G549" s="2207"/>
      <c r="H549" s="2207"/>
      <c r="I549" s="3615" t="s">
        <v>533</v>
      </c>
      <c r="J549" s="2516" t="s">
        <v>3785</v>
      </c>
      <c r="K549" s="2285">
        <v>72</v>
      </c>
      <c r="L549" s="2292">
        <v>13000000</v>
      </c>
      <c r="M549" s="2285">
        <v>24</v>
      </c>
      <c r="N549" s="2479">
        <v>10320000</v>
      </c>
      <c r="O549" s="2285">
        <v>12</v>
      </c>
      <c r="P549" s="2292">
        <v>11320000</v>
      </c>
      <c r="Q549" s="2285">
        <v>3</v>
      </c>
      <c r="R549" s="2287">
        <v>960000</v>
      </c>
      <c r="S549" s="2936">
        <v>3</v>
      </c>
      <c r="T549" s="1387">
        <v>840000</v>
      </c>
      <c r="U549" s="1396">
        <v>3</v>
      </c>
      <c r="V549" s="2292">
        <v>840000</v>
      </c>
      <c r="W549" s="1396"/>
      <c r="X549" s="1396"/>
      <c r="Y549" s="2487">
        <f t="shared" si="162"/>
        <v>9</v>
      </c>
      <c r="Z549" s="2292">
        <f t="shared" si="161"/>
        <v>2640000</v>
      </c>
      <c r="AA549" s="2482">
        <f t="shared" si="164"/>
        <v>9</v>
      </c>
      <c r="AB549" s="2292">
        <f t="shared" si="164"/>
        <v>2640000</v>
      </c>
      <c r="AC549" s="2482">
        <f t="shared" si="165"/>
        <v>12.5</v>
      </c>
      <c r="AD549" s="2482">
        <f t="shared" si="163"/>
        <v>20.307692307692307</v>
      </c>
      <c r="AE549" s="2203"/>
      <c r="AF549" s="639"/>
    </row>
    <row r="550" spans="1:32" s="63" customFormat="1" ht="51">
      <c r="A550" s="2516"/>
      <c r="B550" s="2516"/>
      <c r="C550" s="2207"/>
      <c r="D550" s="2207"/>
      <c r="E550" s="2207"/>
      <c r="F550" s="2207"/>
      <c r="G550" s="2207"/>
      <c r="H550" s="2207"/>
      <c r="I550" s="3615" t="s">
        <v>206</v>
      </c>
      <c r="J550" s="2516" t="s">
        <v>3786</v>
      </c>
      <c r="K550" s="2285">
        <v>72</v>
      </c>
      <c r="L550" s="2292">
        <v>22000000</v>
      </c>
      <c r="M550" s="2285">
        <v>24</v>
      </c>
      <c r="N550" s="2479">
        <v>17050000</v>
      </c>
      <c r="O550" s="2285">
        <v>12</v>
      </c>
      <c r="P550" s="2292">
        <v>36122500</v>
      </c>
      <c r="Q550" s="2285">
        <v>3</v>
      </c>
      <c r="R550" s="2287">
        <v>1500000</v>
      </c>
      <c r="S550" s="2936">
        <v>3</v>
      </c>
      <c r="T550" s="1387">
        <v>4234500</v>
      </c>
      <c r="U550" s="1396">
        <v>3</v>
      </c>
      <c r="V550" s="2292">
        <v>3489500</v>
      </c>
      <c r="W550" s="1396"/>
      <c r="X550" s="1396"/>
      <c r="Y550" s="2487">
        <f t="shared" si="162"/>
        <v>9</v>
      </c>
      <c r="Z550" s="2292">
        <f t="shared" si="161"/>
        <v>9224000</v>
      </c>
      <c r="AA550" s="2482">
        <f t="shared" si="164"/>
        <v>9</v>
      </c>
      <c r="AB550" s="2292">
        <f t="shared" si="164"/>
        <v>9224000</v>
      </c>
      <c r="AC550" s="2482">
        <f t="shared" si="165"/>
        <v>12.5</v>
      </c>
      <c r="AD550" s="2482">
        <f t="shared" si="163"/>
        <v>41.927272727272729</v>
      </c>
      <c r="AE550" s="2203"/>
      <c r="AF550" s="639"/>
    </row>
    <row r="551" spans="1:32" s="63" customFormat="1" ht="60.75" customHeight="1">
      <c r="A551" s="2516"/>
      <c r="B551" s="2516"/>
      <c r="C551" s="2207"/>
      <c r="D551" s="2207"/>
      <c r="E551" s="2207"/>
      <c r="F551" s="2207"/>
      <c r="G551" s="2207"/>
      <c r="H551" s="2207"/>
      <c r="I551" s="3615" t="s">
        <v>207</v>
      </c>
      <c r="J551" s="2516" t="s">
        <v>3787</v>
      </c>
      <c r="K551" s="2285">
        <v>72</v>
      </c>
      <c r="L551" s="2292">
        <v>138660000</v>
      </c>
      <c r="M551" s="2285">
        <v>24</v>
      </c>
      <c r="N551" s="2479">
        <v>171545512</v>
      </c>
      <c r="O551" s="2285">
        <v>12</v>
      </c>
      <c r="P551" s="2292">
        <v>115250000</v>
      </c>
      <c r="Q551" s="2285">
        <v>3</v>
      </c>
      <c r="R551" s="2287">
        <v>28792348</v>
      </c>
      <c r="S551" s="2936">
        <v>3</v>
      </c>
      <c r="T551" s="1387">
        <v>55752940</v>
      </c>
      <c r="U551" s="1396">
        <v>3</v>
      </c>
      <c r="V551" s="2292">
        <v>12200000</v>
      </c>
      <c r="W551" s="1396"/>
      <c r="X551" s="1396"/>
      <c r="Y551" s="2487">
        <f t="shared" si="162"/>
        <v>9</v>
      </c>
      <c r="Z551" s="2292">
        <f t="shared" si="161"/>
        <v>96745288</v>
      </c>
      <c r="AA551" s="2482">
        <f t="shared" si="164"/>
        <v>9</v>
      </c>
      <c r="AB551" s="2292">
        <f t="shared" si="164"/>
        <v>96745288</v>
      </c>
      <c r="AC551" s="2482">
        <f t="shared" si="165"/>
        <v>12.5</v>
      </c>
      <c r="AD551" s="2482">
        <f t="shared" si="163"/>
        <v>69.771590941872205</v>
      </c>
      <c r="AE551" s="2203"/>
      <c r="AF551" s="639"/>
    </row>
    <row r="552" spans="1:32" s="63" customFormat="1" ht="43.5" customHeight="1">
      <c r="A552" s="2516"/>
      <c r="B552" s="2516"/>
      <c r="C552" s="2207"/>
      <c r="D552" s="2207"/>
      <c r="E552" s="2207"/>
      <c r="F552" s="2207"/>
      <c r="G552" s="2207"/>
      <c r="H552" s="2207"/>
      <c r="I552" s="3615" t="s">
        <v>3179</v>
      </c>
      <c r="J552" s="2516" t="s">
        <v>3788</v>
      </c>
      <c r="K552" s="2285">
        <v>72</v>
      </c>
      <c r="L552" s="2292">
        <v>133660000</v>
      </c>
      <c r="M552" s="2285">
        <v>24</v>
      </c>
      <c r="N552" s="2479">
        <v>65050000</v>
      </c>
      <c r="O552" s="2285">
        <v>12</v>
      </c>
      <c r="P552" s="2292">
        <v>63900000</v>
      </c>
      <c r="Q552" s="2285">
        <v>3</v>
      </c>
      <c r="R552" s="2287">
        <v>11300000</v>
      </c>
      <c r="S552" s="2936">
        <v>3</v>
      </c>
      <c r="T552" s="1387">
        <v>16425000</v>
      </c>
      <c r="U552" s="1396">
        <v>6</v>
      </c>
      <c r="V552" s="2292">
        <v>10800000</v>
      </c>
      <c r="W552" s="1396"/>
      <c r="X552" s="1396"/>
      <c r="Y552" s="2487">
        <f t="shared" si="162"/>
        <v>12</v>
      </c>
      <c r="Z552" s="2292">
        <f t="shared" si="161"/>
        <v>38525000</v>
      </c>
      <c r="AA552" s="2482">
        <f t="shared" si="164"/>
        <v>12</v>
      </c>
      <c r="AB552" s="2292">
        <f t="shared" si="164"/>
        <v>38525000</v>
      </c>
      <c r="AC552" s="2482">
        <f t="shared" si="165"/>
        <v>16.666666666666664</v>
      </c>
      <c r="AD552" s="2482">
        <f t="shared" si="163"/>
        <v>28.823133323357773</v>
      </c>
      <c r="AE552" s="2203"/>
      <c r="AF552" s="639"/>
    </row>
    <row r="553" spans="1:32" s="63" customFormat="1" ht="58.5" customHeight="1">
      <c r="A553" s="2335">
        <v>2</v>
      </c>
      <c r="B553" s="2335"/>
      <c r="C553" s="2874"/>
      <c r="D553" s="2874"/>
      <c r="E553" s="2874"/>
      <c r="F553" s="2874"/>
      <c r="G553" s="2874"/>
      <c r="H553" s="2874"/>
      <c r="I553" s="2363" t="s">
        <v>162</v>
      </c>
      <c r="J553" s="2335" t="s">
        <v>3789</v>
      </c>
      <c r="K553" s="2412">
        <v>72</v>
      </c>
      <c r="L553" s="3612">
        <f>SUM(L554:L559)</f>
        <v>625640000</v>
      </c>
      <c r="M553" s="2412">
        <v>24</v>
      </c>
      <c r="N553" s="2507">
        <v>598739138</v>
      </c>
      <c r="O553" s="2412">
        <v>12</v>
      </c>
      <c r="P553" s="2361">
        <f>SUM(P554:P558)</f>
        <v>324466183</v>
      </c>
      <c r="Q553" s="2412">
        <v>3</v>
      </c>
      <c r="R553" s="2477">
        <v>52468040</v>
      </c>
      <c r="S553" s="2907">
        <v>3</v>
      </c>
      <c r="T553" s="2347">
        <f>SUM(T554:T563)</f>
        <v>217705800</v>
      </c>
      <c r="U553" s="3613">
        <v>3</v>
      </c>
      <c r="V553" s="2347">
        <f>SUM(V554:V563)</f>
        <v>239618994</v>
      </c>
      <c r="W553" s="3613"/>
      <c r="X553" s="3613"/>
      <c r="Y553" s="2508">
        <f t="shared" si="162"/>
        <v>9</v>
      </c>
      <c r="Z553" s="2495">
        <f t="shared" si="161"/>
        <v>509792834</v>
      </c>
      <c r="AA553" s="2490">
        <f t="shared" si="164"/>
        <v>9</v>
      </c>
      <c r="AB553" s="2495">
        <f t="shared" si="164"/>
        <v>509792834</v>
      </c>
      <c r="AC553" s="2490">
        <f t="shared" si="165"/>
        <v>12.5</v>
      </c>
      <c r="AD553" s="2489">
        <f t="shared" si="163"/>
        <v>81.483414423630208</v>
      </c>
      <c r="AE553" s="3610" t="s">
        <v>3178</v>
      </c>
      <c r="AF553" s="639"/>
    </row>
    <row r="554" spans="1:32" s="63" customFormat="1" ht="54.75" customHeight="1">
      <c r="A554" s="2516"/>
      <c r="B554" s="2516"/>
      <c r="C554" s="2207"/>
      <c r="D554" s="2207"/>
      <c r="E554" s="2207"/>
      <c r="F554" s="2207"/>
      <c r="G554" s="2207"/>
      <c r="H554" s="2207"/>
      <c r="I554" s="3615" t="s">
        <v>454</v>
      </c>
      <c r="J554" s="2516" t="s">
        <v>3790</v>
      </c>
      <c r="K554" s="2285">
        <v>72</v>
      </c>
      <c r="L554" s="2292">
        <v>121000000</v>
      </c>
      <c r="M554" s="2285">
        <v>24</v>
      </c>
      <c r="N554" s="2287">
        <v>241931500</v>
      </c>
      <c r="O554" s="2285">
        <v>12</v>
      </c>
      <c r="P554" s="2292">
        <v>59115581</v>
      </c>
      <c r="Q554" s="2285">
        <v>3</v>
      </c>
      <c r="R554" s="2287">
        <v>0</v>
      </c>
      <c r="S554" s="2936">
        <v>3</v>
      </c>
      <c r="T554" s="1387">
        <v>20000000</v>
      </c>
      <c r="U554" s="1396">
        <v>3</v>
      </c>
      <c r="V554" s="2292">
        <v>25115046</v>
      </c>
      <c r="W554" s="1396"/>
      <c r="X554" s="1396"/>
      <c r="Y554" s="2285">
        <f t="shared" si="162"/>
        <v>9</v>
      </c>
      <c r="Z554" s="2292">
        <f t="shared" si="161"/>
        <v>45115046</v>
      </c>
      <c r="AA554" s="2482">
        <f t="shared" si="164"/>
        <v>9</v>
      </c>
      <c r="AB554" s="2292">
        <f t="shared" si="164"/>
        <v>45115046</v>
      </c>
      <c r="AC554" s="2482">
        <f t="shared" si="165"/>
        <v>12.5</v>
      </c>
      <c r="AD554" s="2482">
        <f t="shared" si="163"/>
        <v>37.285161983471077</v>
      </c>
      <c r="AE554" s="2203"/>
      <c r="AF554" s="639"/>
    </row>
    <row r="555" spans="1:32" s="63" customFormat="1" ht="48.75" customHeight="1">
      <c r="A555" s="2516"/>
      <c r="B555" s="2516"/>
      <c r="C555" s="2207"/>
      <c r="D555" s="2207"/>
      <c r="E555" s="2207"/>
      <c r="F555" s="2207"/>
      <c r="G555" s="2207"/>
      <c r="H555" s="2207"/>
      <c r="I555" s="3615" t="s">
        <v>938</v>
      </c>
      <c r="J555" s="2516" t="s">
        <v>3791</v>
      </c>
      <c r="K555" s="2285">
        <v>72</v>
      </c>
      <c r="L555" s="2292">
        <v>81000000</v>
      </c>
      <c r="M555" s="2285">
        <v>24</v>
      </c>
      <c r="N555" s="2287">
        <v>74860000</v>
      </c>
      <c r="O555" s="2285">
        <v>12</v>
      </c>
      <c r="P555" s="2292">
        <v>11294090</v>
      </c>
      <c r="Q555" s="2285">
        <v>3</v>
      </c>
      <c r="R555" s="2287">
        <v>10375000</v>
      </c>
      <c r="S555" s="2936">
        <v>3</v>
      </c>
      <c r="T555" s="1387">
        <v>0</v>
      </c>
      <c r="U555" s="1396">
        <v>3</v>
      </c>
      <c r="V555" s="1396">
        <v>0</v>
      </c>
      <c r="W555" s="1396"/>
      <c r="X555" s="1396"/>
      <c r="Y555" s="2285">
        <f t="shared" si="162"/>
        <v>9</v>
      </c>
      <c r="Z555" s="2292">
        <f t="shared" si="161"/>
        <v>10375000</v>
      </c>
      <c r="AA555" s="2482">
        <f t="shared" si="164"/>
        <v>9</v>
      </c>
      <c r="AB555" s="2292">
        <f t="shared" si="164"/>
        <v>10375000</v>
      </c>
      <c r="AC555" s="2482">
        <f t="shared" si="165"/>
        <v>12.5</v>
      </c>
      <c r="AD555" s="2482">
        <f t="shared" si="163"/>
        <v>12.808641975308642</v>
      </c>
      <c r="AE555" s="2203"/>
      <c r="AF555" s="3178"/>
    </row>
    <row r="556" spans="1:32" s="145" customFormat="1" ht="48" customHeight="1">
      <c r="A556" s="2516"/>
      <c r="B556" s="2516"/>
      <c r="C556" s="2207"/>
      <c r="D556" s="2207"/>
      <c r="E556" s="2207"/>
      <c r="F556" s="2207"/>
      <c r="G556" s="2207"/>
      <c r="H556" s="2207"/>
      <c r="I556" s="3615" t="s">
        <v>1979</v>
      </c>
      <c r="J556" s="2516" t="s">
        <v>3770</v>
      </c>
      <c r="K556" s="2285">
        <v>72</v>
      </c>
      <c r="L556" s="2292">
        <v>85140000</v>
      </c>
      <c r="M556" s="2285">
        <v>24</v>
      </c>
      <c r="N556" s="2287">
        <v>88151500</v>
      </c>
      <c r="O556" s="2285">
        <v>12</v>
      </c>
      <c r="P556" s="2292">
        <v>55464012</v>
      </c>
      <c r="Q556" s="2285">
        <v>3</v>
      </c>
      <c r="R556" s="2292">
        <v>1950000</v>
      </c>
      <c r="S556" s="2936">
        <v>3</v>
      </c>
      <c r="T556" s="2307">
        <v>41050000</v>
      </c>
      <c r="U556" s="2292">
        <v>3</v>
      </c>
      <c r="V556" s="2292">
        <v>7000000</v>
      </c>
      <c r="W556" s="2482"/>
      <c r="X556" s="2482"/>
      <c r="Y556" s="2296">
        <f t="shared" si="162"/>
        <v>9</v>
      </c>
      <c r="Z556" s="2292">
        <f t="shared" si="161"/>
        <v>50000000</v>
      </c>
      <c r="AA556" s="2482">
        <f t="shared" si="164"/>
        <v>9</v>
      </c>
      <c r="AB556" s="2292">
        <f t="shared" si="164"/>
        <v>50000000</v>
      </c>
      <c r="AC556" s="2482">
        <f t="shared" si="165"/>
        <v>12.5</v>
      </c>
      <c r="AD556" s="2482">
        <f t="shared" si="163"/>
        <v>58.726802912849429</v>
      </c>
      <c r="AE556" s="2203"/>
      <c r="AF556" s="642"/>
    </row>
    <row r="557" spans="1:32" s="63" customFormat="1" ht="48" customHeight="1">
      <c r="A557" s="2516"/>
      <c r="B557" s="2516"/>
      <c r="C557" s="2207"/>
      <c r="D557" s="2207"/>
      <c r="E557" s="2207"/>
      <c r="F557" s="2207"/>
      <c r="G557" s="2207"/>
      <c r="H557" s="2207"/>
      <c r="I557" s="3615" t="s">
        <v>1216</v>
      </c>
      <c r="J557" s="2516" t="s">
        <v>3792</v>
      </c>
      <c r="K557" s="2285">
        <v>72</v>
      </c>
      <c r="L557" s="2292">
        <v>285000000</v>
      </c>
      <c r="M557" s="2285">
        <v>24</v>
      </c>
      <c r="N557" s="2287">
        <v>185946138</v>
      </c>
      <c r="O557" s="2285">
        <v>12</v>
      </c>
      <c r="P557" s="2292">
        <v>191342500</v>
      </c>
      <c r="Q557" s="2285">
        <v>3</v>
      </c>
      <c r="R557" s="2287">
        <v>39743040</v>
      </c>
      <c r="S557" s="2936">
        <v>3</v>
      </c>
      <c r="T557" s="1387">
        <v>12122300</v>
      </c>
      <c r="U557" s="1396">
        <v>3</v>
      </c>
      <c r="V557" s="2292">
        <v>29898700</v>
      </c>
      <c r="W557" s="1396"/>
      <c r="X557" s="1396"/>
      <c r="Y557" s="2285">
        <f t="shared" si="162"/>
        <v>9</v>
      </c>
      <c r="Z557" s="2292">
        <f t="shared" si="161"/>
        <v>81764040</v>
      </c>
      <c r="AA557" s="2482">
        <f t="shared" si="164"/>
        <v>9</v>
      </c>
      <c r="AB557" s="2292">
        <f t="shared" si="164"/>
        <v>81764040</v>
      </c>
      <c r="AC557" s="2482">
        <f t="shared" si="165"/>
        <v>12.5</v>
      </c>
      <c r="AD557" s="2482">
        <f t="shared" si="163"/>
        <v>28.689136842105263</v>
      </c>
      <c r="AE557" s="2203"/>
      <c r="AF557" s="639"/>
    </row>
    <row r="558" spans="1:32" s="63" customFormat="1" ht="48" customHeight="1">
      <c r="A558" s="2516"/>
      <c r="B558" s="2516"/>
      <c r="C558" s="2207"/>
      <c r="D558" s="2207"/>
      <c r="E558" s="2207"/>
      <c r="F558" s="2207"/>
      <c r="G558" s="2207"/>
      <c r="H558" s="2207"/>
      <c r="I558" s="3615" t="s">
        <v>3180</v>
      </c>
      <c r="J558" s="2516" t="s">
        <v>3793</v>
      </c>
      <c r="K558" s="2285">
        <v>72</v>
      </c>
      <c r="L558" s="2292">
        <v>25500000</v>
      </c>
      <c r="M558" s="2285">
        <v>24</v>
      </c>
      <c r="N558" s="2287">
        <v>7850000</v>
      </c>
      <c r="O558" s="2285">
        <v>12</v>
      </c>
      <c r="P558" s="2292">
        <v>7250000</v>
      </c>
      <c r="Q558" s="2285">
        <v>3</v>
      </c>
      <c r="R558" s="2287">
        <v>400000</v>
      </c>
      <c r="S558" s="2936">
        <v>3</v>
      </c>
      <c r="T558" s="1387">
        <v>1000000</v>
      </c>
      <c r="U558" s="1396">
        <v>3</v>
      </c>
      <c r="V558" s="2292">
        <v>1050000</v>
      </c>
      <c r="W558" s="1396"/>
      <c r="X558" s="1396"/>
      <c r="Y558" s="2285">
        <f t="shared" si="162"/>
        <v>9</v>
      </c>
      <c r="Z558" s="2292">
        <f t="shared" si="161"/>
        <v>2450000</v>
      </c>
      <c r="AA558" s="2482">
        <f t="shared" si="164"/>
        <v>9</v>
      </c>
      <c r="AB558" s="2292">
        <f t="shared" si="164"/>
        <v>2450000</v>
      </c>
      <c r="AC558" s="2482">
        <f t="shared" si="165"/>
        <v>12.5</v>
      </c>
      <c r="AD558" s="2482">
        <f t="shared" si="163"/>
        <v>9.6078431372549034</v>
      </c>
      <c r="AE558" s="2203"/>
      <c r="AF558" s="639"/>
    </row>
    <row r="559" spans="1:32" s="63" customFormat="1" ht="43.5" hidden="1" customHeight="1">
      <c r="A559" s="2516"/>
      <c r="B559" s="2516"/>
      <c r="C559" s="2207"/>
      <c r="D559" s="2207"/>
      <c r="E559" s="2207"/>
      <c r="F559" s="2207"/>
      <c r="G559" s="2207"/>
      <c r="H559" s="2207"/>
      <c r="I559" s="3615" t="s">
        <v>3181</v>
      </c>
      <c r="J559" s="2516" t="s">
        <v>3794</v>
      </c>
      <c r="K559" s="2285">
        <v>6</v>
      </c>
      <c r="L559" s="2292">
        <v>28000000</v>
      </c>
      <c r="M559" s="2285">
        <v>24</v>
      </c>
      <c r="N559" s="2287">
        <v>14717800</v>
      </c>
      <c r="O559" s="2285">
        <v>12</v>
      </c>
      <c r="P559" s="2292">
        <v>28000000</v>
      </c>
      <c r="Q559" s="2285">
        <v>3</v>
      </c>
      <c r="R559" s="2287">
        <v>21956500</v>
      </c>
      <c r="S559" s="2936">
        <v>3</v>
      </c>
      <c r="T559" s="2516"/>
      <c r="U559" s="1396"/>
      <c r="V559" s="1396"/>
      <c r="W559" s="1396"/>
      <c r="X559" s="1396"/>
      <c r="Y559" s="2285">
        <f t="shared" si="162"/>
        <v>6</v>
      </c>
      <c r="Z559" s="2292">
        <f t="shared" si="161"/>
        <v>21956500</v>
      </c>
      <c r="AA559" s="2482">
        <f t="shared" si="164"/>
        <v>6</v>
      </c>
      <c r="AB559" s="2292">
        <f t="shared" si="164"/>
        <v>21956500</v>
      </c>
      <c r="AC559" s="2482">
        <f t="shared" si="165"/>
        <v>100</v>
      </c>
      <c r="AD559" s="2482">
        <f t="shared" si="163"/>
        <v>78.416071428571428</v>
      </c>
      <c r="AE559" s="2203"/>
      <c r="AF559" s="639"/>
    </row>
    <row r="560" spans="1:32" s="63" customFormat="1" ht="97.5" customHeight="1">
      <c r="A560" s="2335">
        <v>3</v>
      </c>
      <c r="B560" s="2335" t="s">
        <v>3182</v>
      </c>
      <c r="C560" s="2874"/>
      <c r="D560" s="2874"/>
      <c r="E560" s="2874"/>
      <c r="F560" s="2874"/>
      <c r="G560" s="2874"/>
      <c r="H560" s="2874"/>
      <c r="I560" s="2359" t="s">
        <v>3183</v>
      </c>
      <c r="J560" s="2501" t="s">
        <v>3184</v>
      </c>
      <c r="K560" s="2502">
        <v>51</v>
      </c>
      <c r="L560" s="2503">
        <f>L561+L562</f>
        <v>189000000</v>
      </c>
      <c r="M560" s="2502">
        <v>15</v>
      </c>
      <c r="N560" s="2504">
        <v>90358150</v>
      </c>
      <c r="O560" s="2412">
        <v>12</v>
      </c>
      <c r="P560" s="2477">
        <f>SUM(P561:P562)</f>
        <v>236212501</v>
      </c>
      <c r="Q560" s="2412">
        <v>0</v>
      </c>
      <c r="R560" s="2477">
        <v>17403100</v>
      </c>
      <c r="S560" s="2335">
        <v>2</v>
      </c>
      <c r="T560" s="2347">
        <f>SUM(T561:T562)</f>
        <v>32888250</v>
      </c>
      <c r="U560" s="3613">
        <v>4</v>
      </c>
      <c r="V560" s="2347">
        <f>SUM(V561:V562)</f>
        <v>54695250</v>
      </c>
      <c r="W560" s="3613"/>
      <c r="X560" s="3613"/>
      <c r="Y560" s="2505">
        <f t="shared" si="162"/>
        <v>6</v>
      </c>
      <c r="Z560" s="2361">
        <f t="shared" si="161"/>
        <v>104986600</v>
      </c>
      <c r="AA560" s="2490">
        <f t="shared" si="164"/>
        <v>6</v>
      </c>
      <c r="AB560" s="2361">
        <f t="shared" si="164"/>
        <v>104986600</v>
      </c>
      <c r="AC560" s="2490">
        <f t="shared" si="165"/>
        <v>11.76470588235294</v>
      </c>
      <c r="AD560" s="2490">
        <f t="shared" si="163"/>
        <v>55.548465608465612</v>
      </c>
      <c r="AE560" s="3610" t="s">
        <v>3178</v>
      </c>
      <c r="AF560" s="639"/>
    </row>
    <row r="561" spans="1:32" s="145" customFormat="1" ht="51" customHeight="1">
      <c r="A561" s="2516"/>
      <c r="B561" s="2516"/>
      <c r="C561" s="2207"/>
      <c r="D561" s="2207"/>
      <c r="E561" s="2207"/>
      <c r="F561" s="2207"/>
      <c r="G561" s="2207"/>
      <c r="H561" s="2207"/>
      <c r="I561" s="1762" t="s">
        <v>3185</v>
      </c>
      <c r="J561" s="233" t="s">
        <v>3795</v>
      </c>
      <c r="K561" s="252">
        <v>51</v>
      </c>
      <c r="L561" s="2403">
        <v>110000000</v>
      </c>
      <c r="M561" s="252">
        <v>15</v>
      </c>
      <c r="N561" s="2287">
        <v>77291400</v>
      </c>
      <c r="O561" s="252">
        <v>12</v>
      </c>
      <c r="P561" s="2292">
        <v>170157667</v>
      </c>
      <c r="Q561" s="2285">
        <v>3</v>
      </c>
      <c r="R561" s="2287">
        <v>10296100</v>
      </c>
      <c r="S561" s="2936">
        <v>3</v>
      </c>
      <c r="T561" s="1387">
        <v>16439000</v>
      </c>
      <c r="U561" s="1396">
        <v>3</v>
      </c>
      <c r="V561" s="2292">
        <v>43911500</v>
      </c>
      <c r="W561" s="1396"/>
      <c r="X561" s="1396"/>
      <c r="Y561" s="2480">
        <f t="shared" si="162"/>
        <v>9</v>
      </c>
      <c r="Z561" s="2292">
        <f t="shared" si="161"/>
        <v>70646600</v>
      </c>
      <c r="AA561" s="2482">
        <f t="shared" si="164"/>
        <v>9</v>
      </c>
      <c r="AB561" s="2292">
        <f t="shared" si="164"/>
        <v>70646600</v>
      </c>
      <c r="AC561" s="2488">
        <f t="shared" si="165"/>
        <v>17.647058823529413</v>
      </c>
      <c r="AD561" s="2482">
        <f t="shared" si="163"/>
        <v>64.224181818181819</v>
      </c>
      <c r="AE561" s="2203"/>
      <c r="AF561" s="642"/>
    </row>
    <row r="562" spans="1:32" s="63" customFormat="1" ht="51.75" customHeight="1">
      <c r="A562" s="2516"/>
      <c r="B562" s="2516"/>
      <c r="C562" s="2207"/>
      <c r="D562" s="2207"/>
      <c r="E562" s="2207"/>
      <c r="F562" s="2207"/>
      <c r="G562" s="2207"/>
      <c r="H562" s="2207"/>
      <c r="I562" s="1762" t="s">
        <v>3186</v>
      </c>
      <c r="J562" s="2516" t="s">
        <v>3796</v>
      </c>
      <c r="K562" s="1396">
        <v>16</v>
      </c>
      <c r="L562" s="2292">
        <v>79000000</v>
      </c>
      <c r="M562" s="1396"/>
      <c r="N562" s="2479"/>
      <c r="O562" s="1396">
        <v>12</v>
      </c>
      <c r="P562" s="2292">
        <v>66054834</v>
      </c>
      <c r="Q562" s="1396">
        <v>2</v>
      </c>
      <c r="R562" s="2287">
        <v>7107000</v>
      </c>
      <c r="S562" s="2936">
        <v>3</v>
      </c>
      <c r="T562" s="1387">
        <v>16449250</v>
      </c>
      <c r="U562" s="1396">
        <v>3</v>
      </c>
      <c r="V562" s="2292">
        <v>10783750</v>
      </c>
      <c r="W562" s="1396"/>
      <c r="X562" s="1396"/>
      <c r="Y562" s="2480">
        <f t="shared" si="162"/>
        <v>8</v>
      </c>
      <c r="Z562" s="2292">
        <f t="shared" si="161"/>
        <v>34340000</v>
      </c>
      <c r="AA562" s="2482">
        <f t="shared" si="164"/>
        <v>8</v>
      </c>
      <c r="AB562" s="2292">
        <f t="shared" si="164"/>
        <v>34340000</v>
      </c>
      <c r="AC562" s="2482">
        <f t="shared" si="165"/>
        <v>50</v>
      </c>
      <c r="AD562" s="2482">
        <f t="shared" si="163"/>
        <v>43.468354430379748</v>
      </c>
      <c r="AE562" s="2203"/>
      <c r="AF562" s="639"/>
    </row>
    <row r="563" spans="1:32" s="63" customFormat="1" ht="101.25" customHeight="1">
      <c r="A563" s="2335">
        <v>4</v>
      </c>
      <c r="B563" s="2335" t="s">
        <v>3182</v>
      </c>
      <c r="C563" s="2874"/>
      <c r="D563" s="2874"/>
      <c r="E563" s="2874"/>
      <c r="F563" s="2874"/>
      <c r="G563" s="2874"/>
      <c r="H563" s="2874"/>
      <c r="I563" s="2359" t="s">
        <v>3187</v>
      </c>
      <c r="J563" s="2363" t="s">
        <v>3797</v>
      </c>
      <c r="K563" s="2509">
        <v>75</v>
      </c>
      <c r="L563" s="2510">
        <f>SUM(L564:L568)</f>
        <v>1170000000</v>
      </c>
      <c r="M563" s="2412">
        <f>0.8*K563</f>
        <v>60</v>
      </c>
      <c r="N563" s="2507">
        <v>373969242</v>
      </c>
      <c r="O563" s="2509">
        <f>0.75*K563</f>
        <v>56.25</v>
      </c>
      <c r="P563" s="2361">
        <f>SUM(P564:P568)</f>
        <v>459513225</v>
      </c>
      <c r="Q563" s="2412">
        <v>5</v>
      </c>
      <c r="R563" s="2477">
        <v>26999550</v>
      </c>
      <c r="S563" s="2367">
        <v>17.09</v>
      </c>
      <c r="T563" s="2347">
        <f>T564+T565+T566+T567+T568</f>
        <v>77757000</v>
      </c>
      <c r="U563" s="3613"/>
      <c r="V563" s="2347">
        <f>V564+V565+V566+V567+V568</f>
        <v>67164748</v>
      </c>
      <c r="W563" s="3613"/>
      <c r="X563" s="3613"/>
      <c r="Y563" s="2505">
        <f t="shared" si="162"/>
        <v>22.09</v>
      </c>
      <c r="Z563" s="2361">
        <f t="shared" si="161"/>
        <v>171921298</v>
      </c>
      <c r="AA563" s="2490">
        <f t="shared" si="164"/>
        <v>22.09</v>
      </c>
      <c r="AB563" s="2361">
        <f t="shared" si="164"/>
        <v>171921298</v>
      </c>
      <c r="AC563" s="2490">
        <f t="shared" si="165"/>
        <v>29.453333333333333</v>
      </c>
      <c r="AD563" s="2490">
        <f t="shared" si="163"/>
        <v>14.694128034188033</v>
      </c>
      <c r="AE563" s="3610" t="s">
        <v>3178</v>
      </c>
      <c r="AF563" s="639"/>
    </row>
    <row r="564" spans="1:32" s="63" customFormat="1" ht="61.5" customHeight="1">
      <c r="A564" s="2516"/>
      <c r="B564" s="2516"/>
      <c r="C564" s="2207"/>
      <c r="D564" s="2207"/>
      <c r="E564" s="2207"/>
      <c r="F564" s="2207"/>
      <c r="G564" s="2207"/>
      <c r="H564" s="2207"/>
      <c r="I564" s="3615" t="s">
        <v>3188</v>
      </c>
      <c r="J564" s="2516" t="s">
        <v>3798</v>
      </c>
      <c r="K564" s="2506">
        <v>100</v>
      </c>
      <c r="L564" s="2483">
        <v>115000000</v>
      </c>
      <c r="M564" s="2285">
        <v>50</v>
      </c>
      <c r="N564" s="2287">
        <v>84817418</v>
      </c>
      <c r="O564" s="2285">
        <v>50</v>
      </c>
      <c r="P564" s="2292">
        <v>95201486</v>
      </c>
      <c r="Q564" s="2285">
        <v>5</v>
      </c>
      <c r="R564" s="2287">
        <v>2859900</v>
      </c>
      <c r="S564" s="2516">
        <v>5</v>
      </c>
      <c r="T564" s="1387">
        <v>13035500</v>
      </c>
      <c r="U564" s="1396">
        <v>5</v>
      </c>
      <c r="V564" s="2292">
        <v>29669098</v>
      </c>
      <c r="W564" s="1396"/>
      <c r="X564" s="1396"/>
      <c r="Y564" s="2487">
        <f t="shared" si="162"/>
        <v>15</v>
      </c>
      <c r="Z564" s="2292">
        <f t="shared" si="161"/>
        <v>45564498</v>
      </c>
      <c r="AA564" s="2480">
        <f t="shared" si="164"/>
        <v>15</v>
      </c>
      <c r="AB564" s="2292">
        <f t="shared" si="164"/>
        <v>45564498</v>
      </c>
      <c r="AC564" s="2480">
        <f t="shared" si="165"/>
        <v>15</v>
      </c>
      <c r="AD564" s="2480">
        <f t="shared" si="163"/>
        <v>39.62130260869565</v>
      </c>
      <c r="AE564" s="2203"/>
      <c r="AF564" s="639"/>
    </row>
    <row r="565" spans="1:32" s="145" customFormat="1" ht="54" customHeight="1">
      <c r="A565" s="2516"/>
      <c r="B565" s="2516"/>
      <c r="C565" s="2207"/>
      <c r="D565" s="2207"/>
      <c r="E565" s="2207"/>
      <c r="F565" s="2207"/>
      <c r="G565" s="2207"/>
      <c r="H565" s="2207"/>
      <c r="I565" s="3615" t="s">
        <v>3189</v>
      </c>
      <c r="J565" s="2516" t="s">
        <v>3799</v>
      </c>
      <c r="K565" s="1396">
        <v>30</v>
      </c>
      <c r="L565" s="2292">
        <v>85000000</v>
      </c>
      <c r="M565" s="2285">
        <v>9</v>
      </c>
      <c r="N565" s="2287">
        <v>68413830</v>
      </c>
      <c r="O565" s="2285">
        <v>9</v>
      </c>
      <c r="P565" s="2292">
        <v>52026104</v>
      </c>
      <c r="Q565" s="2285">
        <v>9</v>
      </c>
      <c r="R565" s="2484">
        <v>14845000</v>
      </c>
      <c r="S565" s="2936">
        <v>1</v>
      </c>
      <c r="T565" s="1387">
        <v>5197500</v>
      </c>
      <c r="U565" s="1396">
        <v>1</v>
      </c>
      <c r="V565" s="2292">
        <v>10137500</v>
      </c>
      <c r="W565" s="1396"/>
      <c r="X565" s="1396"/>
      <c r="Y565" s="2487">
        <f t="shared" si="162"/>
        <v>11</v>
      </c>
      <c r="Z565" s="2292">
        <f t="shared" si="161"/>
        <v>30180000</v>
      </c>
      <c r="AA565" s="2480">
        <f t="shared" si="164"/>
        <v>11</v>
      </c>
      <c r="AB565" s="2292">
        <f t="shared" si="164"/>
        <v>30180000</v>
      </c>
      <c r="AC565" s="2480">
        <f t="shared" si="165"/>
        <v>36.666666666666664</v>
      </c>
      <c r="AD565" s="2480">
        <f t="shared" si="163"/>
        <v>35.505882352941178</v>
      </c>
      <c r="AE565" s="2203"/>
      <c r="AF565" s="642"/>
    </row>
    <row r="566" spans="1:32" s="63" customFormat="1" ht="37.5" customHeight="1">
      <c r="A566" s="2516"/>
      <c r="B566" s="2516"/>
      <c r="C566" s="2207"/>
      <c r="D566" s="2207"/>
      <c r="E566" s="2207"/>
      <c r="F566" s="2207"/>
      <c r="G566" s="2207"/>
      <c r="H566" s="2207"/>
      <c r="I566" s="3615" t="s">
        <v>3190</v>
      </c>
      <c r="J566" s="2516" t="s">
        <v>3800</v>
      </c>
      <c r="K566" s="1396">
        <v>12</v>
      </c>
      <c r="L566" s="2292">
        <v>120000000</v>
      </c>
      <c r="M566" s="2285">
        <v>4</v>
      </c>
      <c r="N566" s="2287">
        <v>21188440</v>
      </c>
      <c r="O566" s="2285">
        <v>2</v>
      </c>
      <c r="P566" s="2292">
        <v>80312897</v>
      </c>
      <c r="Q566" s="2285">
        <v>0</v>
      </c>
      <c r="R566" s="2484">
        <v>4124900</v>
      </c>
      <c r="S566" s="2516">
        <v>2</v>
      </c>
      <c r="T566" s="1387">
        <v>6209000</v>
      </c>
      <c r="U566" s="1396">
        <v>0</v>
      </c>
      <c r="V566" s="2292">
        <v>25135650</v>
      </c>
      <c r="W566" s="1396"/>
      <c r="X566" s="1396"/>
      <c r="Y566" s="2487">
        <f t="shared" si="162"/>
        <v>2</v>
      </c>
      <c r="Z566" s="2292">
        <f t="shared" si="161"/>
        <v>35469550</v>
      </c>
      <c r="AA566" s="2480">
        <f t="shared" si="164"/>
        <v>2</v>
      </c>
      <c r="AB566" s="2292">
        <f t="shared" si="164"/>
        <v>35469550</v>
      </c>
      <c r="AC566" s="2480">
        <f t="shared" si="165"/>
        <v>16.666666666666664</v>
      </c>
      <c r="AD566" s="2480">
        <f t="shared" si="163"/>
        <v>29.557958333333335</v>
      </c>
      <c r="AE566" s="2203"/>
      <c r="AF566" s="639"/>
    </row>
    <row r="567" spans="1:32" s="63" customFormat="1" ht="42" customHeight="1">
      <c r="A567" s="2516"/>
      <c r="B567" s="2516"/>
      <c r="C567" s="2207"/>
      <c r="D567" s="2207"/>
      <c r="E567" s="2207"/>
      <c r="F567" s="2207"/>
      <c r="G567" s="2207"/>
      <c r="H567" s="2207"/>
      <c r="I567" s="3615" t="s">
        <v>3191</v>
      </c>
      <c r="J567" s="2516" t="s">
        <v>3659</v>
      </c>
      <c r="K567" s="2285">
        <v>6</v>
      </c>
      <c r="L567" s="2292">
        <v>100000000</v>
      </c>
      <c r="M567" s="2285">
        <v>2</v>
      </c>
      <c r="N567" s="2287">
        <v>38329900</v>
      </c>
      <c r="O567" s="2285">
        <v>1</v>
      </c>
      <c r="P567" s="2292">
        <v>30161192</v>
      </c>
      <c r="Q567" s="2285">
        <v>0</v>
      </c>
      <c r="R567" s="2484">
        <v>3707250</v>
      </c>
      <c r="S567" s="2936">
        <v>0</v>
      </c>
      <c r="T567" s="1387">
        <v>932500</v>
      </c>
      <c r="U567" s="1396">
        <v>0</v>
      </c>
      <c r="V567" s="2292">
        <v>350000</v>
      </c>
      <c r="W567" s="1396"/>
      <c r="X567" s="1396"/>
      <c r="Y567" s="2487">
        <f t="shared" si="162"/>
        <v>0</v>
      </c>
      <c r="Z567" s="2292">
        <f t="shared" si="161"/>
        <v>4989750</v>
      </c>
      <c r="AA567" s="2480">
        <f t="shared" si="164"/>
        <v>0</v>
      </c>
      <c r="AB567" s="2292">
        <f t="shared" si="164"/>
        <v>4989750</v>
      </c>
      <c r="AC567" s="2480">
        <f t="shared" si="165"/>
        <v>0</v>
      </c>
      <c r="AD567" s="2480">
        <f t="shared" si="163"/>
        <v>4.9897499999999999</v>
      </c>
      <c r="AE567" s="2203"/>
      <c r="AF567" s="639"/>
    </row>
    <row r="568" spans="1:32" s="145" customFormat="1" ht="64.5" customHeight="1">
      <c r="A568" s="2516"/>
      <c r="B568" s="2516"/>
      <c r="C568" s="2207"/>
      <c r="D568" s="2207"/>
      <c r="E568" s="2207"/>
      <c r="F568" s="2207"/>
      <c r="G568" s="2207"/>
      <c r="H568" s="2207"/>
      <c r="I568" s="3615" t="s">
        <v>3192</v>
      </c>
      <c r="J568" s="2516" t="s">
        <v>3801</v>
      </c>
      <c r="K568" s="1396">
        <v>100</v>
      </c>
      <c r="L568" s="2292">
        <v>750000000</v>
      </c>
      <c r="M568" s="1396">
        <v>10</v>
      </c>
      <c r="N568" s="2287">
        <v>59287550</v>
      </c>
      <c r="O568" s="1396">
        <v>10</v>
      </c>
      <c r="P568" s="2292">
        <v>201811546</v>
      </c>
      <c r="Q568" s="2285">
        <v>0</v>
      </c>
      <c r="R568" s="2484">
        <v>1462500</v>
      </c>
      <c r="S568" s="2516">
        <v>2</v>
      </c>
      <c r="T568" s="1387">
        <v>52382500</v>
      </c>
      <c r="U568" s="1396">
        <v>2</v>
      </c>
      <c r="V568" s="2292">
        <v>1872500</v>
      </c>
      <c r="W568" s="1396"/>
      <c r="X568" s="1396"/>
      <c r="Y568" s="2487">
        <f t="shared" si="162"/>
        <v>4</v>
      </c>
      <c r="Z568" s="2292">
        <f t="shared" si="161"/>
        <v>55717500</v>
      </c>
      <c r="AA568" s="2480">
        <f t="shared" si="164"/>
        <v>4</v>
      </c>
      <c r="AB568" s="2292">
        <f t="shared" si="164"/>
        <v>55717500</v>
      </c>
      <c r="AC568" s="2480">
        <f t="shared" si="165"/>
        <v>4</v>
      </c>
      <c r="AD568" s="2480">
        <f t="shared" si="163"/>
        <v>7.4289999999999994</v>
      </c>
      <c r="AE568" s="2203"/>
      <c r="AF568" s="642"/>
    </row>
    <row r="569" spans="1:32" s="63" customFormat="1" ht="89.25">
      <c r="A569" s="2335">
        <v>5</v>
      </c>
      <c r="B569" s="2335" t="s">
        <v>3182</v>
      </c>
      <c r="C569" s="2874"/>
      <c r="D569" s="2874"/>
      <c r="E569" s="2874"/>
      <c r="F569" s="2874"/>
      <c r="G569" s="2874"/>
      <c r="H569" s="2874"/>
      <c r="I569" s="2359" t="s">
        <v>3193</v>
      </c>
      <c r="J569" s="2817" t="s">
        <v>3194</v>
      </c>
      <c r="K569" s="2358">
        <v>90</v>
      </c>
      <c r="L569" s="2511">
        <f>L570</f>
        <v>150000000</v>
      </c>
      <c r="M569" s="2419">
        <v>68</v>
      </c>
      <c r="N569" s="2507">
        <v>77291400</v>
      </c>
      <c r="O569" s="2419">
        <v>18</v>
      </c>
      <c r="P569" s="2361">
        <v>61700261</v>
      </c>
      <c r="Q569" s="3613">
        <v>0</v>
      </c>
      <c r="R569" s="2477">
        <v>0</v>
      </c>
      <c r="S569" s="2335">
        <v>0</v>
      </c>
      <c r="T569" s="2347">
        <f>T570</f>
        <v>2802000</v>
      </c>
      <c r="U569" s="3613">
        <v>18</v>
      </c>
      <c r="V569" s="2347">
        <f>V570</f>
        <v>51082600</v>
      </c>
      <c r="W569" s="3613"/>
      <c r="X569" s="3613"/>
      <c r="Y569" s="2505">
        <f t="shared" si="162"/>
        <v>18</v>
      </c>
      <c r="Z569" s="2361">
        <f t="shared" si="161"/>
        <v>53884600</v>
      </c>
      <c r="AA569" s="2505">
        <f t="shared" si="164"/>
        <v>18</v>
      </c>
      <c r="AB569" s="2361">
        <f t="shared" si="164"/>
        <v>53884600</v>
      </c>
      <c r="AC569" s="2505">
        <f t="shared" si="165"/>
        <v>20</v>
      </c>
      <c r="AD569" s="2505">
        <f t="shared" si="163"/>
        <v>35.923066666666664</v>
      </c>
      <c r="AE569" s="3610" t="s">
        <v>3178</v>
      </c>
      <c r="AF569" s="639"/>
    </row>
    <row r="570" spans="1:32" s="63" customFormat="1" ht="48.75" customHeight="1">
      <c r="A570" s="2516"/>
      <c r="B570" s="2516"/>
      <c r="C570" s="2207"/>
      <c r="D570" s="2207"/>
      <c r="E570" s="2207"/>
      <c r="F570" s="2207"/>
      <c r="G570" s="2207"/>
      <c r="H570" s="2207"/>
      <c r="I570" s="3615" t="s">
        <v>3195</v>
      </c>
      <c r="J570" s="2516" t="s">
        <v>3802</v>
      </c>
      <c r="K570" s="1396">
        <v>90</v>
      </c>
      <c r="L570" s="2292">
        <v>150000000</v>
      </c>
      <c r="M570" s="2285">
        <v>68</v>
      </c>
      <c r="N570" s="2287">
        <v>77291400</v>
      </c>
      <c r="O570" s="2285">
        <v>18</v>
      </c>
      <c r="P570" s="2292">
        <v>61700261</v>
      </c>
      <c r="Q570" s="1396">
        <v>0</v>
      </c>
      <c r="R570" s="2287">
        <v>0</v>
      </c>
      <c r="S570" s="2516">
        <v>0</v>
      </c>
      <c r="T570" s="1387">
        <v>2802000</v>
      </c>
      <c r="U570" s="1396">
        <v>18</v>
      </c>
      <c r="V570" s="2292">
        <v>51082600</v>
      </c>
      <c r="W570" s="1396"/>
      <c r="X570" s="1396"/>
      <c r="Y570" s="2480">
        <f t="shared" si="162"/>
        <v>18</v>
      </c>
      <c r="Z570" s="2292">
        <f t="shared" si="161"/>
        <v>53884600</v>
      </c>
      <c r="AA570" s="2480">
        <f t="shared" si="164"/>
        <v>18</v>
      </c>
      <c r="AB570" s="2292">
        <f t="shared" si="164"/>
        <v>53884600</v>
      </c>
      <c r="AC570" s="2480">
        <f t="shared" si="165"/>
        <v>20</v>
      </c>
      <c r="AD570" s="2480">
        <f t="shared" si="163"/>
        <v>35.923066666666664</v>
      </c>
      <c r="AE570" s="2203"/>
      <c r="AF570" s="639"/>
    </row>
    <row r="571" spans="1:32" s="145" customFormat="1" ht="91.5" customHeight="1">
      <c r="A571" s="2335">
        <v>6</v>
      </c>
      <c r="B571" s="2335" t="s">
        <v>3182</v>
      </c>
      <c r="C571" s="2874"/>
      <c r="D571" s="2874"/>
      <c r="E571" s="2874"/>
      <c r="F571" s="2874"/>
      <c r="G571" s="2874"/>
      <c r="H571" s="2874"/>
      <c r="I571" s="2359" t="s">
        <v>3196</v>
      </c>
      <c r="J571" s="2817" t="s">
        <v>3803</v>
      </c>
      <c r="K571" s="2512">
        <v>100</v>
      </c>
      <c r="L571" s="2361">
        <f>L572</f>
        <v>800000000</v>
      </c>
      <c r="M571" s="2412">
        <v>180</v>
      </c>
      <c r="N571" s="2507">
        <f>N572</f>
        <v>402922680</v>
      </c>
      <c r="O571" s="2412">
        <v>80</v>
      </c>
      <c r="P571" s="2361">
        <f>SUM(P572)</f>
        <v>318548618</v>
      </c>
      <c r="Q571" s="2412">
        <f>O571</f>
        <v>80</v>
      </c>
      <c r="R571" s="2477">
        <f>R572</f>
        <v>7318500</v>
      </c>
      <c r="S571" s="2335">
        <v>0</v>
      </c>
      <c r="T571" s="2342">
        <f>T572</f>
        <v>139456850</v>
      </c>
      <c r="U571" s="3613"/>
      <c r="V571" s="2342">
        <f>V572</f>
        <v>135028850</v>
      </c>
      <c r="W571" s="3613"/>
      <c r="X571" s="3613"/>
      <c r="Y571" s="2505">
        <f t="shared" si="162"/>
        <v>80</v>
      </c>
      <c r="Z571" s="2361">
        <f t="shared" si="161"/>
        <v>281804200</v>
      </c>
      <c r="AA571" s="2505">
        <f t="shared" si="164"/>
        <v>80</v>
      </c>
      <c r="AB571" s="2361">
        <f t="shared" si="164"/>
        <v>281804200</v>
      </c>
      <c r="AC571" s="2505">
        <f t="shared" si="165"/>
        <v>80</v>
      </c>
      <c r="AD571" s="2505">
        <f t="shared" si="163"/>
        <v>35.225525000000005</v>
      </c>
      <c r="AE571" s="3610" t="s">
        <v>3178</v>
      </c>
      <c r="AF571" s="642"/>
    </row>
    <row r="572" spans="1:32" s="63" customFormat="1" ht="59.25" customHeight="1">
      <c r="A572" s="2516"/>
      <c r="B572" s="2516"/>
      <c r="C572" s="2207"/>
      <c r="D572" s="2207"/>
      <c r="E572" s="2207"/>
      <c r="F572" s="2207"/>
      <c r="G572" s="2207"/>
      <c r="H572" s="2207"/>
      <c r="I572" s="3615" t="s">
        <v>3197</v>
      </c>
      <c r="J572" s="2516" t="s">
        <v>3804</v>
      </c>
      <c r="K572" s="2284">
        <v>300</v>
      </c>
      <c r="L572" s="2292">
        <v>800000000</v>
      </c>
      <c r="M572" s="2285">
        <v>180</v>
      </c>
      <c r="N572" s="2479">
        <v>402922680</v>
      </c>
      <c r="O572" s="2285">
        <v>80</v>
      </c>
      <c r="P572" s="2292">
        <v>318548618</v>
      </c>
      <c r="Q572" s="2285">
        <v>0</v>
      </c>
      <c r="R572" s="2287">
        <v>7318500</v>
      </c>
      <c r="S572" s="2516">
        <v>80</v>
      </c>
      <c r="T572" s="1387">
        <v>139456850</v>
      </c>
      <c r="U572" s="1396">
        <v>0</v>
      </c>
      <c r="V572" s="2292">
        <v>135028850</v>
      </c>
      <c r="W572" s="1396"/>
      <c r="X572" s="1396"/>
      <c r="Y572" s="2480">
        <f>Q572+S572+U572+W572</f>
        <v>80</v>
      </c>
      <c r="Z572" s="2292">
        <f t="shared" si="161"/>
        <v>281804200</v>
      </c>
      <c r="AA572" s="2480">
        <f t="shared" si="164"/>
        <v>80</v>
      </c>
      <c r="AB572" s="2292">
        <f t="shared" si="164"/>
        <v>281804200</v>
      </c>
      <c r="AC572" s="2480">
        <f t="shared" si="165"/>
        <v>26.666666666666668</v>
      </c>
      <c r="AD572" s="2480">
        <f t="shared" si="163"/>
        <v>35.225525000000005</v>
      </c>
      <c r="AE572" s="2203"/>
      <c r="AF572" s="639"/>
    </row>
    <row r="573" spans="1:32" s="63" customFormat="1" ht="102.75" customHeight="1">
      <c r="A573" s="2335">
        <v>7</v>
      </c>
      <c r="B573" s="2335" t="s">
        <v>3198</v>
      </c>
      <c r="C573" s="2874"/>
      <c r="D573" s="2874"/>
      <c r="E573" s="2874"/>
      <c r="F573" s="2874"/>
      <c r="G573" s="2874"/>
      <c r="H573" s="2874"/>
      <c r="I573" s="2359" t="s">
        <v>3199</v>
      </c>
      <c r="J573" s="2363" t="s">
        <v>3805</v>
      </c>
      <c r="K573" s="2412">
        <v>100</v>
      </c>
      <c r="L573" s="2361">
        <v>350000000</v>
      </c>
      <c r="M573" s="2412">
        <v>94</v>
      </c>
      <c r="N573" s="2477">
        <v>226166680</v>
      </c>
      <c r="O573" s="2412">
        <v>75</v>
      </c>
      <c r="P573" s="2361">
        <v>133592367</v>
      </c>
      <c r="Q573" s="2412">
        <v>8.5299999999999994</v>
      </c>
      <c r="R573" s="2477">
        <v>15200000</v>
      </c>
      <c r="S573" s="2367">
        <v>34.47</v>
      </c>
      <c r="T573" s="2347">
        <f>T574</f>
        <v>46200100</v>
      </c>
      <c r="U573" s="3613"/>
      <c r="V573" s="2347">
        <f>V574</f>
        <v>33718500</v>
      </c>
      <c r="W573" s="3613"/>
      <c r="X573" s="3613"/>
      <c r="Y573" s="2505">
        <f t="shared" si="162"/>
        <v>43</v>
      </c>
      <c r="Z573" s="2361">
        <f t="shared" si="161"/>
        <v>95118600</v>
      </c>
      <c r="AA573" s="2505">
        <f t="shared" si="164"/>
        <v>43</v>
      </c>
      <c r="AB573" s="2361">
        <f t="shared" si="164"/>
        <v>95118600</v>
      </c>
      <c r="AC573" s="2505">
        <f t="shared" si="165"/>
        <v>43</v>
      </c>
      <c r="AD573" s="2505">
        <f t="shared" si="163"/>
        <v>27.176742857142855</v>
      </c>
      <c r="AE573" s="3610" t="s">
        <v>3178</v>
      </c>
      <c r="AF573" s="639"/>
    </row>
    <row r="574" spans="1:32" s="145" customFormat="1" ht="63.75" customHeight="1">
      <c r="A574" s="2516"/>
      <c r="B574" s="2516"/>
      <c r="C574" s="2207"/>
      <c r="D574" s="2207"/>
      <c r="E574" s="2207"/>
      <c r="F574" s="2207"/>
      <c r="G574" s="2207"/>
      <c r="H574" s="2207"/>
      <c r="I574" s="3615" t="s">
        <v>3200</v>
      </c>
      <c r="J574" s="2516" t="s">
        <v>3806</v>
      </c>
      <c r="K574" s="2285">
        <v>100</v>
      </c>
      <c r="L574" s="2292">
        <v>350000000</v>
      </c>
      <c r="M574" s="2285">
        <v>94</v>
      </c>
      <c r="N574" s="2287">
        <v>226166680</v>
      </c>
      <c r="O574" s="2285">
        <v>75</v>
      </c>
      <c r="P574" s="2292">
        <v>133592367</v>
      </c>
      <c r="Q574" s="2285">
        <v>8.5299999999999994</v>
      </c>
      <c r="R574" s="2287">
        <v>15200000</v>
      </c>
      <c r="S574" s="2312">
        <v>34.47</v>
      </c>
      <c r="T574" s="1387">
        <v>46200100</v>
      </c>
      <c r="U574" s="1396">
        <v>28</v>
      </c>
      <c r="V574" s="2292">
        <v>33718500</v>
      </c>
      <c r="W574" s="1396"/>
      <c r="X574" s="1396"/>
      <c r="Y574" s="2480">
        <f t="shared" si="162"/>
        <v>71</v>
      </c>
      <c r="Z574" s="2292">
        <f t="shared" si="161"/>
        <v>95118600</v>
      </c>
      <c r="AA574" s="2480">
        <f t="shared" si="164"/>
        <v>71</v>
      </c>
      <c r="AB574" s="2292">
        <f t="shared" si="164"/>
        <v>95118600</v>
      </c>
      <c r="AC574" s="2480">
        <f t="shared" si="165"/>
        <v>71</v>
      </c>
      <c r="AD574" s="2480">
        <f t="shared" si="163"/>
        <v>27.176742857142855</v>
      </c>
      <c r="AE574" s="2203"/>
      <c r="AF574" s="642"/>
    </row>
    <row r="575" spans="1:32" s="145" customFormat="1" ht="96.75" customHeight="1">
      <c r="A575" s="2335">
        <v>8</v>
      </c>
      <c r="B575" s="2335" t="s">
        <v>3201</v>
      </c>
      <c r="C575" s="2874"/>
      <c r="D575" s="2874"/>
      <c r="E575" s="2874"/>
      <c r="F575" s="2874"/>
      <c r="G575" s="2874"/>
      <c r="H575" s="2874"/>
      <c r="I575" s="2359" t="s">
        <v>3202</v>
      </c>
      <c r="J575" s="2363" t="s">
        <v>3237</v>
      </c>
      <c r="K575" s="2513">
        <v>600</v>
      </c>
      <c r="L575" s="2514">
        <f>L576+L577</f>
        <v>270000000</v>
      </c>
      <c r="M575" s="2412">
        <v>100</v>
      </c>
      <c r="N575" s="2507">
        <v>196344200</v>
      </c>
      <c r="O575" s="3613">
        <v>100</v>
      </c>
      <c r="P575" s="2361">
        <f>SUM(P576:P577)</f>
        <v>118721478</v>
      </c>
      <c r="Q575" s="2412">
        <v>0</v>
      </c>
      <c r="R575" s="2477">
        <v>4242500</v>
      </c>
      <c r="S575" s="2335"/>
      <c r="T575" s="2347">
        <f>T576+T577</f>
        <v>9229000</v>
      </c>
      <c r="U575" s="3613">
        <v>50</v>
      </c>
      <c r="V575" s="2347">
        <f>V576+V577</f>
        <v>55549000</v>
      </c>
      <c r="W575" s="3613"/>
      <c r="X575" s="3613"/>
      <c r="Y575" s="2505">
        <f t="shared" si="162"/>
        <v>50</v>
      </c>
      <c r="Z575" s="2361">
        <f t="shared" si="161"/>
        <v>69020500</v>
      </c>
      <c r="AA575" s="2505">
        <f t="shared" si="164"/>
        <v>50</v>
      </c>
      <c r="AB575" s="2361">
        <f t="shared" si="164"/>
        <v>69020500</v>
      </c>
      <c r="AC575" s="2505">
        <f t="shared" si="165"/>
        <v>8.3333333333333321</v>
      </c>
      <c r="AD575" s="2505">
        <f t="shared" si="163"/>
        <v>25.563148148148144</v>
      </c>
      <c r="AE575" s="3610" t="s">
        <v>3178</v>
      </c>
      <c r="AF575" s="642"/>
    </row>
    <row r="576" spans="1:32" s="145" customFormat="1" ht="48.75" customHeight="1">
      <c r="A576" s="2516"/>
      <c r="B576" s="2516"/>
      <c r="C576" s="2207"/>
      <c r="D576" s="2207"/>
      <c r="E576" s="2207"/>
      <c r="F576" s="2207"/>
      <c r="G576" s="2207"/>
      <c r="H576" s="2207"/>
      <c r="I576" s="3615" t="s">
        <v>3203</v>
      </c>
      <c r="J576" s="2516" t="s">
        <v>3238</v>
      </c>
      <c r="K576" s="1396">
        <v>500</v>
      </c>
      <c r="L576" s="2292">
        <v>120000000</v>
      </c>
      <c r="M576" s="1396">
        <v>100</v>
      </c>
      <c r="N576" s="2287">
        <v>81351200</v>
      </c>
      <c r="O576" s="1396">
        <v>100</v>
      </c>
      <c r="P576" s="2292">
        <v>39910087</v>
      </c>
      <c r="Q576" s="1396">
        <v>0</v>
      </c>
      <c r="R576" s="2287">
        <v>0</v>
      </c>
      <c r="S576" s="2516">
        <v>0</v>
      </c>
      <c r="T576" s="1387">
        <v>1359000</v>
      </c>
      <c r="U576" s="1396">
        <v>0</v>
      </c>
      <c r="V576" s="1396">
        <v>0</v>
      </c>
      <c r="W576" s="1396"/>
      <c r="X576" s="1396"/>
      <c r="Y576" s="2480">
        <f t="shared" si="162"/>
        <v>0</v>
      </c>
      <c r="Z576" s="2292">
        <f t="shared" si="161"/>
        <v>1359000</v>
      </c>
      <c r="AA576" s="2480">
        <f t="shared" si="164"/>
        <v>0</v>
      </c>
      <c r="AB576" s="2292">
        <f t="shared" si="164"/>
        <v>1359000</v>
      </c>
      <c r="AC576" s="2480">
        <f t="shared" si="165"/>
        <v>0</v>
      </c>
      <c r="AD576" s="2480">
        <f t="shared" si="163"/>
        <v>1.1325000000000001</v>
      </c>
      <c r="AE576" s="2203"/>
      <c r="AF576" s="642"/>
    </row>
    <row r="577" spans="1:76" s="145" customFormat="1" ht="64.5" customHeight="1">
      <c r="A577" s="2516"/>
      <c r="B577" s="2516"/>
      <c r="C577" s="2207"/>
      <c r="D577" s="2207"/>
      <c r="E577" s="2207"/>
      <c r="F577" s="2207"/>
      <c r="G577" s="2207"/>
      <c r="H577" s="2207"/>
      <c r="I577" s="3615" t="s">
        <v>3204</v>
      </c>
      <c r="J577" s="2516" t="s">
        <v>3205</v>
      </c>
      <c r="K577" s="1396">
        <v>10</v>
      </c>
      <c r="L577" s="2292">
        <v>150000000</v>
      </c>
      <c r="M577" s="1396">
        <v>2</v>
      </c>
      <c r="N577" s="2287">
        <v>114993000</v>
      </c>
      <c r="O577" s="1396">
        <v>2</v>
      </c>
      <c r="P577" s="2292">
        <v>78811391</v>
      </c>
      <c r="Q577" s="2285">
        <v>0</v>
      </c>
      <c r="R577" s="2287">
        <v>4242500</v>
      </c>
      <c r="S577" s="2516">
        <v>0</v>
      </c>
      <c r="T577" s="1387">
        <v>7870000</v>
      </c>
      <c r="U577" s="1396">
        <v>2</v>
      </c>
      <c r="V577" s="2292">
        <v>55549000</v>
      </c>
      <c r="W577" s="1396"/>
      <c r="X577" s="1396"/>
      <c r="Y577" s="2480">
        <f t="shared" si="162"/>
        <v>2</v>
      </c>
      <c r="Z577" s="2292">
        <f t="shared" si="161"/>
        <v>67661500</v>
      </c>
      <c r="AA577" s="2480">
        <f t="shared" si="164"/>
        <v>2</v>
      </c>
      <c r="AB577" s="2292">
        <f t="shared" si="164"/>
        <v>67661500</v>
      </c>
      <c r="AC577" s="2480">
        <f t="shared" si="165"/>
        <v>20</v>
      </c>
      <c r="AD577" s="2480">
        <f t="shared" si="163"/>
        <v>45.107666666666667</v>
      </c>
      <c r="AE577" s="2203"/>
      <c r="AF577" s="642"/>
    </row>
    <row r="578" spans="1:76" s="145" customFormat="1" ht="63.75">
      <c r="A578" s="2345"/>
      <c r="B578" s="2345"/>
      <c r="C578" s="2874"/>
      <c r="D578" s="2874"/>
      <c r="E578" s="2874"/>
      <c r="F578" s="2874"/>
      <c r="G578" s="2874"/>
      <c r="H578" s="2874"/>
      <c r="I578" s="2359" t="s">
        <v>2867</v>
      </c>
      <c r="J578" s="2335" t="s">
        <v>3883</v>
      </c>
      <c r="K578" s="4011">
        <v>100</v>
      </c>
      <c r="L578" s="2361">
        <v>28000000</v>
      </c>
      <c r="M578" s="4011">
        <v>98</v>
      </c>
      <c r="N578" s="2477">
        <v>14717800</v>
      </c>
      <c r="O578" s="4011">
        <v>100</v>
      </c>
      <c r="P578" s="2361">
        <v>28000000</v>
      </c>
      <c r="Q578" s="2412">
        <v>25</v>
      </c>
      <c r="R578" s="2477"/>
      <c r="S578" s="2335">
        <v>75</v>
      </c>
      <c r="T578" s="2340">
        <v>21956500</v>
      </c>
      <c r="U578" s="4011"/>
      <c r="V578" s="4011"/>
      <c r="W578" s="4011"/>
      <c r="X578" s="4011"/>
      <c r="Y578" s="2505">
        <f>S578</f>
        <v>75</v>
      </c>
      <c r="Z578" s="2361">
        <f t="shared" si="161"/>
        <v>21956500</v>
      </c>
      <c r="AA578" s="2505">
        <f t="shared" si="164"/>
        <v>75</v>
      </c>
      <c r="AB578" s="2361">
        <f t="shared" si="164"/>
        <v>21956500</v>
      </c>
      <c r="AC578" s="2505">
        <f t="shared" si="165"/>
        <v>75</v>
      </c>
      <c r="AD578" s="2505">
        <f t="shared" si="163"/>
        <v>78.416071428571428</v>
      </c>
      <c r="AE578" s="3997" t="s">
        <v>3178</v>
      </c>
      <c r="AF578" s="642"/>
    </row>
    <row r="579" spans="1:76" s="145" customFormat="1" ht="24.75" customHeight="1">
      <c r="A579" s="2516"/>
      <c r="B579" s="2516"/>
      <c r="C579" s="2207"/>
      <c r="D579" s="2207"/>
      <c r="E579" s="2207"/>
      <c r="F579" s="2207"/>
      <c r="G579" s="2207"/>
      <c r="H579" s="2207"/>
      <c r="I579" s="3615" t="s">
        <v>2869</v>
      </c>
      <c r="J579" s="2516"/>
      <c r="K579" s="1396">
        <v>100</v>
      </c>
      <c r="L579" s="2292">
        <v>28000000</v>
      </c>
      <c r="M579" s="1396">
        <v>98</v>
      </c>
      <c r="N579" s="2287">
        <f>N578</f>
        <v>14717800</v>
      </c>
      <c r="O579" s="1396">
        <f>O578</f>
        <v>100</v>
      </c>
      <c r="P579" s="2292">
        <f>P578</f>
        <v>28000000</v>
      </c>
      <c r="Q579" s="2285">
        <f>Q578</f>
        <v>25</v>
      </c>
      <c r="R579" s="2287"/>
      <c r="S579" s="2516">
        <f>S578</f>
        <v>75</v>
      </c>
      <c r="T579" s="1387">
        <f>SUM(T578)</f>
        <v>21956500</v>
      </c>
      <c r="U579" s="1396">
        <v>0</v>
      </c>
      <c r="V579" s="1396">
        <v>0</v>
      </c>
      <c r="W579" s="1396"/>
      <c r="X579" s="1396"/>
      <c r="Y579" s="2480">
        <f>Y578</f>
        <v>75</v>
      </c>
      <c r="Z579" s="2292"/>
      <c r="AA579" s="2480">
        <f t="shared" si="164"/>
        <v>75</v>
      </c>
      <c r="AB579" s="2292"/>
      <c r="AC579" s="2480">
        <f t="shared" si="165"/>
        <v>75</v>
      </c>
      <c r="AD579" s="2480"/>
      <c r="AE579" s="2203"/>
      <c r="AF579" s="642"/>
    </row>
    <row r="580" spans="1:76" s="145" customFormat="1">
      <c r="A580" s="4244" t="s">
        <v>89</v>
      </c>
      <c r="B580" s="4244"/>
      <c r="C580" s="4245"/>
      <c r="D580" s="4245"/>
      <c r="E580" s="4245"/>
      <c r="F580" s="4245"/>
      <c r="G580" s="4245"/>
      <c r="H580" s="4245"/>
      <c r="I580" s="4245"/>
      <c r="J580" s="4245"/>
      <c r="K580" s="4245"/>
      <c r="L580" s="4245"/>
      <c r="M580" s="4245"/>
      <c r="N580" s="4245"/>
      <c r="O580" s="4245"/>
      <c r="P580" s="4245"/>
      <c r="Q580" s="4245"/>
      <c r="R580" s="4245"/>
      <c r="S580" s="4245"/>
      <c r="T580" s="4245"/>
      <c r="U580" s="4245"/>
      <c r="V580" s="4245"/>
      <c r="W580" s="4245"/>
      <c r="X580" s="4245"/>
      <c r="Y580" s="4245"/>
      <c r="Z580" s="4245"/>
      <c r="AA580" s="4245"/>
      <c r="AB580" s="4245"/>
      <c r="AC580" s="2030">
        <f>(AC542+AC553+AC560+AC563+AC571+AC573+AC575+AC578)/8</f>
        <v>33.548088235294117</v>
      </c>
      <c r="AD580" s="2030">
        <f>(AD542+AD553+AD560+AD563+AD571+AD573+AD575+AD578)/8</f>
        <v>45.808929855140832</v>
      </c>
      <c r="AE580" s="390"/>
      <c r="AF580" s="642"/>
    </row>
    <row r="581" spans="1:76" s="145" customFormat="1">
      <c r="A581" s="4244" t="s">
        <v>90</v>
      </c>
      <c r="B581" s="4244"/>
      <c r="C581" s="4245"/>
      <c r="D581" s="4245"/>
      <c r="E581" s="4245"/>
      <c r="F581" s="4245"/>
      <c r="G581" s="4245"/>
      <c r="H581" s="4245"/>
      <c r="I581" s="4245"/>
      <c r="J581" s="4245"/>
      <c r="K581" s="4245"/>
      <c r="L581" s="4245"/>
      <c r="M581" s="4245"/>
      <c r="N581" s="4245"/>
      <c r="O581" s="4245"/>
      <c r="P581" s="4245"/>
      <c r="Q581" s="4245"/>
      <c r="R581" s="4245"/>
      <c r="S581" s="4245"/>
      <c r="T581" s="4245"/>
      <c r="U581" s="4245"/>
      <c r="V581" s="4245"/>
      <c r="W581" s="4245"/>
      <c r="X581" s="4245"/>
      <c r="Y581" s="4245"/>
      <c r="Z581" s="4245"/>
      <c r="AA581" s="4245"/>
      <c r="AB581" s="4245"/>
      <c r="AC581" s="3152" t="str">
        <f>IF(AC580&gt;=91,"ST",IF(AC580&gt;=76,"T",IF(AC580&gt;=66,"S",IF(AC580&gt;=51,"R","SR"))))</f>
        <v>SR</v>
      </c>
      <c r="AD581" s="3152" t="str">
        <f>IF(AD580&gt;=91,"ST",IF(AD580&gt;=76,"T",IF(AD580&gt;=66,"S",IF(AD580&gt;=51,"R","SR"))))</f>
        <v>SR</v>
      </c>
      <c r="AE581" s="390"/>
      <c r="AF581" s="642"/>
    </row>
    <row r="582" spans="1:76" s="2318" customFormat="1" ht="54.75" customHeight="1">
      <c r="A582" s="2473"/>
      <c r="B582" s="2473"/>
      <c r="C582" s="2474"/>
      <c r="D582" s="2474"/>
      <c r="E582" s="2474"/>
      <c r="F582" s="2474"/>
      <c r="G582" s="2474"/>
      <c r="H582" s="2474"/>
      <c r="I582" s="2475" t="s">
        <v>134</v>
      </c>
      <c r="J582" s="2476"/>
      <c r="K582" s="2473"/>
      <c r="L582" s="2473"/>
      <c r="M582" s="2473"/>
      <c r="N582" s="2473"/>
      <c r="O582" s="2473"/>
      <c r="P582" s="2473"/>
      <c r="Q582" s="2473"/>
      <c r="R582" s="2473"/>
      <c r="S582" s="2473"/>
      <c r="T582" s="2473"/>
      <c r="U582" s="2473"/>
      <c r="V582" s="2497"/>
      <c r="W582" s="2473"/>
      <c r="X582" s="2473"/>
      <c r="Y582" s="2473"/>
      <c r="Z582" s="2497"/>
      <c r="AA582" s="2473"/>
      <c r="AB582" s="2497"/>
      <c r="AC582" s="2473"/>
      <c r="AD582" s="2473"/>
      <c r="AE582" s="3182"/>
    </row>
    <row r="583" spans="1:76" s="2371" customFormat="1" ht="42.75" customHeight="1">
      <c r="A583" s="2546" t="s">
        <v>30</v>
      </c>
      <c r="B583" s="2917"/>
      <c r="C583" s="3193"/>
      <c r="D583" s="3193"/>
      <c r="E583" s="3193"/>
      <c r="F583" s="3193"/>
      <c r="G583" s="3193"/>
      <c r="H583" s="3193"/>
      <c r="I583" s="3218" t="s">
        <v>133</v>
      </c>
      <c r="J583" s="3219"/>
      <c r="K583" s="2917"/>
      <c r="L583" s="3198">
        <f>L584+L597+L604+L606+L609+L612</f>
        <v>17046836767</v>
      </c>
      <c r="M583" s="2917"/>
      <c r="N583" s="3195">
        <f>N584+N597+N604+N606+N609+N612</f>
        <v>3389718475</v>
      </c>
      <c r="O583" s="2917"/>
      <c r="P583" s="3195">
        <f>P584+P597+P604+P606+P609+P612</f>
        <v>2611087000</v>
      </c>
      <c r="Q583" s="2917"/>
      <c r="R583" s="3195">
        <f>R584+R597+R604+R606+R609+R612</f>
        <v>262541800</v>
      </c>
      <c r="S583" s="2917"/>
      <c r="T583" s="3195">
        <f>T584+T597+T604+T606+T609+T612</f>
        <v>1122811809</v>
      </c>
      <c r="U583" s="2917"/>
      <c r="V583" s="3255">
        <f>+V584+V597+V606+V609+V612</f>
        <v>277888711</v>
      </c>
      <c r="W583" s="2917"/>
      <c r="X583" s="2917"/>
      <c r="Y583" s="2917">
        <f t="shared" ref="Y583:Y614" si="166">Q583+S583+U583+W583</f>
        <v>0</v>
      </c>
      <c r="Z583" s="3195">
        <f t="shared" ref="Z583:Z614" si="167">R583+T583+V583+X583</f>
        <v>1663242320</v>
      </c>
      <c r="AA583" s="2917"/>
      <c r="AB583" s="3195">
        <f>AB584+AB597+AB604+AB606+AB609+AB612</f>
        <v>5052960795</v>
      </c>
      <c r="AC583" s="2917"/>
      <c r="AD583" s="2917"/>
      <c r="AE583" s="3196"/>
      <c r="AF583" s="1134"/>
      <c r="AG583" s="1134"/>
      <c r="AH583" s="1134"/>
      <c r="AI583" s="1134"/>
      <c r="AJ583" s="1134"/>
      <c r="AK583" s="1134"/>
      <c r="AL583" s="1134"/>
      <c r="AM583" s="1134"/>
      <c r="AN583" s="1134"/>
      <c r="AO583" s="1134"/>
      <c r="AP583" s="1134"/>
      <c r="AQ583" s="1134"/>
      <c r="AR583" s="1134"/>
      <c r="AS583" s="1134"/>
      <c r="AT583" s="1134"/>
      <c r="AU583" s="1134"/>
      <c r="AV583" s="1134"/>
      <c r="AW583" s="1134"/>
      <c r="AX583" s="1134"/>
      <c r="AY583" s="1134"/>
      <c r="AZ583" s="1134"/>
      <c r="BA583" s="1134"/>
      <c r="BB583" s="1134"/>
      <c r="BC583" s="1134"/>
      <c r="BD583" s="1134"/>
      <c r="BE583" s="1134"/>
      <c r="BF583" s="1134"/>
      <c r="BG583" s="1134"/>
      <c r="BH583" s="1134"/>
      <c r="BI583" s="1134"/>
      <c r="BJ583" s="1134"/>
      <c r="BK583" s="1134"/>
      <c r="BL583" s="1134"/>
      <c r="BM583" s="1134"/>
      <c r="BN583" s="1134"/>
      <c r="BO583" s="1134"/>
      <c r="BP583" s="1134"/>
      <c r="BQ583" s="1134"/>
      <c r="BR583" s="1134"/>
      <c r="BS583" s="1134"/>
      <c r="BT583" s="1134"/>
      <c r="BU583" s="1134"/>
      <c r="BV583" s="1134"/>
      <c r="BW583" s="1134"/>
      <c r="BX583" s="1134"/>
    </row>
    <row r="584" spans="1:76" s="2370" customFormat="1" ht="61.5" customHeight="1">
      <c r="A584" s="2549" t="s">
        <v>66</v>
      </c>
      <c r="B584" s="2363"/>
      <c r="C584" s="2374" t="s">
        <v>65</v>
      </c>
      <c r="D584" s="2374" t="s">
        <v>66</v>
      </c>
      <c r="E584" s="2374" t="s">
        <v>66</v>
      </c>
      <c r="F584" s="2374" t="s">
        <v>66</v>
      </c>
      <c r="G584" s="2374"/>
      <c r="H584" s="3795"/>
      <c r="I584" s="2359" t="s">
        <v>221</v>
      </c>
      <c r="J584" s="2335" t="s">
        <v>3239</v>
      </c>
      <c r="K584" s="2397">
        <v>72</v>
      </c>
      <c r="L584" s="2357">
        <f>SUM(L585:L596)</f>
        <v>4149928641</v>
      </c>
      <c r="M584" s="2412">
        <v>24</v>
      </c>
      <c r="N584" s="2938">
        <f>SUM(N585:N596)</f>
        <v>1330321825</v>
      </c>
      <c r="O584" s="2381">
        <v>12</v>
      </c>
      <c r="P584" s="2939">
        <f>SUM(P585:P596)</f>
        <v>590536850</v>
      </c>
      <c r="Q584" s="3162">
        <v>3</v>
      </c>
      <c r="R584" s="2477">
        <f>SUM(R585:R596)</f>
        <v>102335695</v>
      </c>
      <c r="S584" s="3162">
        <v>3</v>
      </c>
      <c r="T584" s="2757">
        <f>SUM(T585:T596)</f>
        <v>282233135</v>
      </c>
      <c r="U584" s="2335">
        <v>3</v>
      </c>
      <c r="V584" s="2342">
        <f>SUM(V585:V596)</f>
        <v>49802880</v>
      </c>
      <c r="W584" s="2335"/>
      <c r="X584" s="2335"/>
      <c r="Y584" s="2654">
        <f t="shared" si="166"/>
        <v>9</v>
      </c>
      <c r="Z584" s="2477">
        <f t="shared" si="167"/>
        <v>434371710</v>
      </c>
      <c r="AA584" s="3162">
        <f>Y584+M584</f>
        <v>33</v>
      </c>
      <c r="AB584" s="2940">
        <f>Z584+N584</f>
        <v>1764693535</v>
      </c>
      <c r="AC584" s="2505">
        <f t="shared" ref="AC584:AC595" si="168">AA584/K584*100</f>
        <v>45.833333333333329</v>
      </c>
      <c r="AD584" s="2505">
        <f t="shared" ref="AD584:AD595" si="169">AB584/L584*100</f>
        <v>42.523466971585449</v>
      </c>
      <c r="AE584" s="3138" t="s">
        <v>3416</v>
      </c>
      <c r="AF584" s="3220"/>
      <c r="AG584" s="1129"/>
      <c r="AH584" s="1129"/>
      <c r="AI584" s="1129"/>
      <c r="AJ584" s="1129"/>
      <c r="AK584" s="1129"/>
      <c r="AL584" s="1129"/>
      <c r="AM584" s="1129"/>
      <c r="AN584" s="1129"/>
      <c r="AO584" s="1129"/>
      <c r="AP584" s="1129"/>
      <c r="AQ584" s="1129"/>
      <c r="AR584" s="1129"/>
      <c r="AS584" s="1129"/>
      <c r="AT584" s="1129"/>
      <c r="AU584" s="1129"/>
      <c r="AV584" s="1129"/>
      <c r="AW584" s="1129"/>
      <c r="AX584" s="1129"/>
      <c r="AY584" s="1129"/>
      <c r="AZ584" s="1129"/>
      <c r="BA584" s="1129"/>
      <c r="BB584" s="1129"/>
      <c r="BC584" s="1129"/>
      <c r="BD584" s="1129"/>
      <c r="BE584" s="1129"/>
      <c r="BF584" s="1129"/>
      <c r="BG584" s="1129"/>
      <c r="BH584" s="1129"/>
      <c r="BI584" s="1129"/>
      <c r="BJ584" s="1129"/>
      <c r="BK584" s="1129"/>
      <c r="BL584" s="1129"/>
      <c r="BM584" s="1129"/>
      <c r="BN584" s="1129"/>
      <c r="BO584" s="1129"/>
      <c r="BP584" s="1129"/>
      <c r="BQ584" s="1129"/>
      <c r="BR584" s="1129"/>
      <c r="BS584" s="1129"/>
      <c r="BT584" s="1129"/>
      <c r="BU584" s="1129"/>
      <c r="BV584" s="1129"/>
      <c r="BW584" s="1129"/>
      <c r="BX584" s="1129"/>
    </row>
    <row r="585" spans="1:76" s="2371" customFormat="1" ht="47.25" customHeight="1">
      <c r="A585" s="384"/>
      <c r="B585" s="1237"/>
      <c r="C585" s="1218" t="s">
        <v>65</v>
      </c>
      <c r="D585" s="1218" t="s">
        <v>66</v>
      </c>
      <c r="E585" s="1218" t="s">
        <v>66</v>
      </c>
      <c r="F585" s="1218" t="s">
        <v>66</v>
      </c>
      <c r="G585" s="1218"/>
      <c r="H585" s="1218" t="s">
        <v>65</v>
      </c>
      <c r="I585" s="728" t="s">
        <v>1521</v>
      </c>
      <c r="J585" s="384" t="s">
        <v>3807</v>
      </c>
      <c r="K585" s="1992">
        <v>72</v>
      </c>
      <c r="L585" s="2941">
        <v>281676000</v>
      </c>
      <c r="M585" s="1992">
        <v>24</v>
      </c>
      <c r="N585" s="2942">
        <v>114600000</v>
      </c>
      <c r="O585" s="1992">
        <v>12</v>
      </c>
      <c r="P585" s="2943">
        <v>36000000</v>
      </c>
      <c r="Q585" s="1259">
        <v>3</v>
      </c>
      <c r="R585" s="2941">
        <v>6382445</v>
      </c>
      <c r="S585" s="384">
        <v>3</v>
      </c>
      <c r="T585" s="2945">
        <v>12430435</v>
      </c>
      <c r="U585" s="2316">
        <v>3</v>
      </c>
      <c r="V585" s="2941">
        <v>10766280</v>
      </c>
      <c r="W585" s="2946"/>
      <c r="X585" s="2947"/>
      <c r="Y585" s="2948">
        <f t="shared" si="166"/>
        <v>9</v>
      </c>
      <c r="Z585" s="2941">
        <f>R585+T585+V585</f>
        <v>29579160</v>
      </c>
      <c r="AA585" s="1992">
        <f t="shared" ref="AA585:AA595" si="170">M585+Y585</f>
        <v>33</v>
      </c>
      <c r="AB585" s="2949">
        <f t="shared" ref="AB585:AB595" si="171">N585+Z585</f>
        <v>144179160</v>
      </c>
      <c r="AC585" s="2950">
        <f t="shared" si="168"/>
        <v>45.833333333333329</v>
      </c>
      <c r="AD585" s="2435">
        <f t="shared" si="169"/>
        <v>51.186171345801554</v>
      </c>
      <c r="AE585" s="390"/>
      <c r="AF585" s="3601"/>
      <c r="AG585" s="1134"/>
      <c r="AH585" s="1134"/>
      <c r="AI585" s="1134"/>
      <c r="AJ585" s="1134"/>
      <c r="AK585" s="1134"/>
      <c r="AL585" s="1134"/>
      <c r="AM585" s="1134"/>
      <c r="AN585" s="1134"/>
      <c r="AO585" s="1134"/>
      <c r="AP585" s="1134"/>
      <c r="AQ585" s="1134"/>
      <c r="AR585" s="1134"/>
      <c r="AS585" s="1134"/>
      <c r="AT585" s="1134"/>
      <c r="AU585" s="1134"/>
      <c r="AV585" s="1134"/>
      <c r="AW585" s="1134"/>
      <c r="AX585" s="1134"/>
      <c r="AY585" s="1134"/>
      <c r="AZ585" s="1134"/>
      <c r="BA585" s="1134"/>
      <c r="BB585" s="1134"/>
      <c r="BC585" s="1134"/>
      <c r="BD585" s="1134"/>
      <c r="BE585" s="1134"/>
      <c r="BF585" s="1134"/>
      <c r="BG585" s="1134"/>
      <c r="BH585" s="1134"/>
      <c r="BI585" s="1134"/>
      <c r="BJ585" s="1134"/>
      <c r="BK585" s="1134"/>
      <c r="BL585" s="1134"/>
      <c r="BM585" s="1134"/>
      <c r="BN585" s="1134"/>
      <c r="BO585" s="1134"/>
      <c r="BP585" s="1134"/>
      <c r="BQ585" s="1134"/>
      <c r="BR585" s="1134"/>
      <c r="BS585" s="1134"/>
      <c r="BT585" s="1134"/>
      <c r="BU585" s="1134"/>
      <c r="BV585" s="1134"/>
      <c r="BW585" s="1134"/>
      <c r="BX585" s="1134"/>
    </row>
    <row r="586" spans="1:76" s="2371" customFormat="1" ht="51.75" customHeight="1">
      <c r="A586" s="384"/>
      <c r="B586" s="1237"/>
      <c r="C586" s="1218" t="s">
        <v>65</v>
      </c>
      <c r="D586" s="1218" t="s">
        <v>66</v>
      </c>
      <c r="E586" s="1218" t="s">
        <v>66</v>
      </c>
      <c r="F586" s="1218" t="s">
        <v>66</v>
      </c>
      <c r="G586" s="1218"/>
      <c r="H586" s="1218" t="s">
        <v>198</v>
      </c>
      <c r="I586" s="728" t="s">
        <v>1287</v>
      </c>
      <c r="J586" s="384" t="s">
        <v>3808</v>
      </c>
      <c r="K586" s="1992">
        <v>72</v>
      </c>
      <c r="L586" s="2941">
        <v>480168540</v>
      </c>
      <c r="M586" s="1992">
        <v>24</v>
      </c>
      <c r="N586" s="2942">
        <v>111971100</v>
      </c>
      <c r="O586" s="1992">
        <v>12</v>
      </c>
      <c r="P586" s="2943">
        <v>77500000</v>
      </c>
      <c r="Q586" s="1259">
        <v>3</v>
      </c>
      <c r="R586" s="2941">
        <v>12300000</v>
      </c>
      <c r="S586" s="384">
        <v>3</v>
      </c>
      <c r="T586" s="2945">
        <v>31250000</v>
      </c>
      <c r="U586" s="2316">
        <v>3</v>
      </c>
      <c r="V586" s="2941">
        <f>T586-R586</f>
        <v>18950000</v>
      </c>
      <c r="W586" s="2438"/>
      <c r="X586" s="2944"/>
      <c r="Y586" s="2948">
        <f t="shared" si="166"/>
        <v>9</v>
      </c>
      <c r="Z586" s="2941">
        <f>R586+T586+V586</f>
        <v>62500000</v>
      </c>
      <c r="AA586" s="1992">
        <f t="shared" si="170"/>
        <v>33</v>
      </c>
      <c r="AB586" s="2949">
        <f t="shared" si="171"/>
        <v>174471100</v>
      </c>
      <c r="AC586" s="2950">
        <f t="shared" si="168"/>
        <v>45.833333333333329</v>
      </c>
      <c r="AD586" s="2435">
        <f t="shared" si="169"/>
        <v>36.335387570372681</v>
      </c>
      <c r="AE586" s="390"/>
      <c r="AF586" s="1134"/>
      <c r="AG586" s="1134"/>
      <c r="AH586" s="1134"/>
      <c r="AI586" s="1134"/>
      <c r="AJ586" s="1134"/>
      <c r="AK586" s="1134"/>
      <c r="AL586" s="1134"/>
      <c r="AM586" s="1134"/>
      <c r="AN586" s="1134"/>
      <c r="AO586" s="1134"/>
      <c r="AP586" s="1134"/>
      <c r="AQ586" s="1134"/>
      <c r="AR586" s="1134"/>
      <c r="AS586" s="1134"/>
      <c r="AT586" s="1134"/>
      <c r="AU586" s="1134"/>
      <c r="AV586" s="1134"/>
      <c r="AW586" s="1134"/>
      <c r="AX586" s="1134"/>
      <c r="AY586" s="1134"/>
      <c r="AZ586" s="1134"/>
      <c r="BA586" s="1134"/>
      <c r="BB586" s="1134"/>
      <c r="BC586" s="1134"/>
      <c r="BD586" s="1134"/>
      <c r="BE586" s="1134"/>
      <c r="BF586" s="1134"/>
      <c r="BG586" s="1134"/>
      <c r="BH586" s="1134"/>
      <c r="BI586" s="1134"/>
      <c r="BJ586" s="1134"/>
      <c r="BK586" s="1134"/>
      <c r="BL586" s="1134"/>
      <c r="BM586" s="1134"/>
      <c r="BN586" s="1134"/>
      <c r="BO586" s="1134"/>
      <c r="BP586" s="1134"/>
      <c r="BQ586" s="1134"/>
      <c r="BR586" s="1134"/>
      <c r="BS586" s="1134"/>
      <c r="BT586" s="1134"/>
      <c r="BU586" s="1134"/>
      <c r="BV586" s="1134"/>
      <c r="BW586" s="1134"/>
      <c r="BX586" s="1134"/>
    </row>
    <row r="587" spans="1:76" s="2371" customFormat="1" ht="51.75" customHeight="1">
      <c r="A587" s="384"/>
      <c r="B587" s="1200"/>
      <c r="C587" s="1218" t="s">
        <v>65</v>
      </c>
      <c r="D587" s="1218" t="s">
        <v>66</v>
      </c>
      <c r="E587" s="1218" t="s">
        <v>66</v>
      </c>
      <c r="F587" s="1218" t="s">
        <v>66</v>
      </c>
      <c r="G587" s="1218"/>
      <c r="H587" s="1218" t="s">
        <v>93</v>
      </c>
      <c r="I587" s="728" t="s">
        <v>149</v>
      </c>
      <c r="J587" s="384" t="s">
        <v>3809</v>
      </c>
      <c r="K587" s="1992">
        <v>72</v>
      </c>
      <c r="L587" s="2941">
        <v>1024028824</v>
      </c>
      <c r="M587" s="1992">
        <v>24</v>
      </c>
      <c r="N587" s="2942">
        <v>271371400</v>
      </c>
      <c r="O587" s="1992">
        <v>12</v>
      </c>
      <c r="P587" s="2943">
        <v>162175700</v>
      </c>
      <c r="Q587" s="1259">
        <v>3</v>
      </c>
      <c r="R587" s="2941">
        <v>28307350</v>
      </c>
      <c r="S587" s="384">
        <v>3</v>
      </c>
      <c r="T587" s="2945">
        <v>91895850</v>
      </c>
      <c r="U587" s="2316">
        <v>3</v>
      </c>
      <c r="V587" s="2941">
        <f>AF587-T587</f>
        <v>-91895850</v>
      </c>
      <c r="W587" s="2222"/>
      <c r="X587" s="2944"/>
      <c r="Y587" s="1232">
        <f>Q587+S587+U587+W587</f>
        <v>9</v>
      </c>
      <c r="Z587" s="2941">
        <f t="shared" si="167"/>
        <v>28307350</v>
      </c>
      <c r="AA587" s="1992">
        <f t="shared" si="170"/>
        <v>33</v>
      </c>
      <c r="AB587" s="2802">
        <f t="shared" si="171"/>
        <v>299678750</v>
      </c>
      <c r="AC587" s="2950">
        <f t="shared" si="168"/>
        <v>45.833333333333329</v>
      </c>
      <c r="AD587" s="2435">
        <f t="shared" si="169"/>
        <v>29.264679174694791</v>
      </c>
      <c r="AE587" s="390"/>
      <c r="AF587" s="3602"/>
      <c r="AG587" s="1134"/>
      <c r="AH587" s="1134"/>
      <c r="AI587" s="1134"/>
      <c r="AJ587" s="1134"/>
      <c r="AK587" s="1134"/>
      <c r="AL587" s="1134"/>
      <c r="AM587" s="1134"/>
      <c r="AN587" s="1134"/>
      <c r="AO587" s="1134"/>
      <c r="AP587" s="1134"/>
      <c r="AQ587" s="1134"/>
      <c r="AR587" s="1134"/>
      <c r="AS587" s="1134"/>
      <c r="AT587" s="1134"/>
      <c r="AU587" s="1134"/>
      <c r="AV587" s="1134"/>
      <c r="AW587" s="1134"/>
      <c r="AX587" s="1134"/>
      <c r="AY587" s="1134"/>
      <c r="AZ587" s="1134"/>
      <c r="BA587" s="1134"/>
      <c r="BB587" s="1134"/>
      <c r="BC587" s="1134"/>
      <c r="BD587" s="1134"/>
      <c r="BE587" s="1134"/>
      <c r="BF587" s="1134"/>
      <c r="BG587" s="1134"/>
      <c r="BH587" s="1134"/>
      <c r="BI587" s="1134"/>
      <c r="BJ587" s="1134"/>
      <c r="BK587" s="1134"/>
      <c r="BL587" s="1134"/>
      <c r="BM587" s="1134"/>
      <c r="BN587" s="1134"/>
      <c r="BO587" s="1134"/>
      <c r="BP587" s="1134"/>
      <c r="BQ587" s="1134"/>
      <c r="BR587" s="1134"/>
      <c r="BS587" s="1134"/>
      <c r="BT587" s="1134"/>
      <c r="BU587" s="1134"/>
      <c r="BV587" s="1134"/>
      <c r="BW587" s="1134"/>
      <c r="BX587" s="1134"/>
    </row>
    <row r="588" spans="1:76" s="2371" customFormat="1" ht="38.25" customHeight="1">
      <c r="A588" s="384"/>
      <c r="B588" s="1200"/>
      <c r="C588" s="1218" t="s">
        <v>65</v>
      </c>
      <c r="D588" s="1218" t="s">
        <v>66</v>
      </c>
      <c r="E588" s="1218" t="s">
        <v>66</v>
      </c>
      <c r="F588" s="1218" t="s">
        <v>66</v>
      </c>
      <c r="G588" s="1218"/>
      <c r="H588" s="3790">
        <v>10</v>
      </c>
      <c r="I588" s="728" t="s">
        <v>1529</v>
      </c>
      <c r="J588" s="384" t="s">
        <v>3810</v>
      </c>
      <c r="K588" s="1992">
        <v>72</v>
      </c>
      <c r="L588" s="2941">
        <v>222114913</v>
      </c>
      <c r="M588" s="1992">
        <v>24</v>
      </c>
      <c r="N588" s="2942">
        <v>72574700</v>
      </c>
      <c r="O588" s="1992">
        <v>12</v>
      </c>
      <c r="P588" s="2943">
        <v>32221550</v>
      </c>
      <c r="Q588" s="1259">
        <v>3</v>
      </c>
      <c r="R588" s="2941">
        <v>11349200</v>
      </c>
      <c r="S588" s="384">
        <v>3</v>
      </c>
      <c r="T588" s="2945">
        <v>8726750</v>
      </c>
      <c r="U588" s="2316">
        <v>3</v>
      </c>
      <c r="V588" s="2941">
        <v>8726750</v>
      </c>
      <c r="W588" s="390"/>
      <c r="X588" s="2944"/>
      <c r="Y588" s="2948">
        <f t="shared" si="166"/>
        <v>9</v>
      </c>
      <c r="Z588" s="2941">
        <f t="shared" si="167"/>
        <v>28802700</v>
      </c>
      <c r="AA588" s="1992">
        <f t="shared" si="170"/>
        <v>33</v>
      </c>
      <c r="AB588" s="2802">
        <f t="shared" si="171"/>
        <v>101377400</v>
      </c>
      <c r="AC588" s="2950">
        <f t="shared" si="168"/>
        <v>45.833333333333329</v>
      </c>
      <c r="AD588" s="2435">
        <f t="shared" si="169"/>
        <v>45.641870071101437</v>
      </c>
      <c r="AE588" s="390"/>
      <c r="AF588" s="3601"/>
      <c r="AG588" s="1134"/>
      <c r="AH588" s="1134"/>
      <c r="AI588" s="1134"/>
      <c r="AJ588" s="1134"/>
      <c r="AK588" s="1134"/>
      <c r="AL588" s="1134"/>
      <c r="AM588" s="1134"/>
      <c r="AN588" s="1134"/>
      <c r="AO588" s="1134"/>
      <c r="AP588" s="1134"/>
      <c r="AQ588" s="1134"/>
      <c r="AR588" s="1134"/>
      <c r="AS588" s="1134"/>
      <c r="AT588" s="1134"/>
      <c r="AU588" s="1134"/>
      <c r="AV588" s="1134"/>
      <c r="AW588" s="1134"/>
      <c r="AX588" s="1134"/>
      <c r="AY588" s="1134"/>
      <c r="AZ588" s="1134"/>
      <c r="BA588" s="1134"/>
      <c r="BB588" s="1134"/>
      <c r="BC588" s="1134"/>
      <c r="BD588" s="1134"/>
      <c r="BE588" s="1134"/>
      <c r="BF588" s="1134"/>
      <c r="BG588" s="1134"/>
      <c r="BH588" s="1134"/>
      <c r="BI588" s="1134"/>
      <c r="BJ588" s="1134"/>
      <c r="BK588" s="1134"/>
      <c r="BL588" s="1134"/>
      <c r="BM588" s="1134"/>
      <c r="BN588" s="1134"/>
      <c r="BO588" s="1134"/>
      <c r="BP588" s="1134"/>
      <c r="BQ588" s="1134"/>
      <c r="BR588" s="1134"/>
      <c r="BS588" s="1134"/>
      <c r="BT588" s="1134"/>
      <c r="BU588" s="1134"/>
      <c r="BV588" s="1134"/>
      <c r="BW588" s="1134"/>
      <c r="BX588" s="1134"/>
    </row>
    <row r="589" spans="1:76" s="2371" customFormat="1" ht="45.75" customHeight="1">
      <c r="A589" s="384"/>
      <c r="B589" s="1200"/>
      <c r="C589" s="1218" t="s">
        <v>65</v>
      </c>
      <c r="D589" s="1218" t="s">
        <v>66</v>
      </c>
      <c r="E589" s="1218" t="s">
        <v>66</v>
      </c>
      <c r="F589" s="1218" t="s">
        <v>66</v>
      </c>
      <c r="G589" s="1218"/>
      <c r="H589" s="3790">
        <v>11</v>
      </c>
      <c r="I589" s="728" t="s">
        <v>1532</v>
      </c>
      <c r="J589" s="384" t="s">
        <v>3811</v>
      </c>
      <c r="K589" s="1992">
        <v>72</v>
      </c>
      <c r="L589" s="2941">
        <v>168834688</v>
      </c>
      <c r="M589" s="1992">
        <v>24</v>
      </c>
      <c r="N589" s="2942">
        <v>54742200</v>
      </c>
      <c r="O589" s="1992">
        <v>12</v>
      </c>
      <c r="P589" s="2943">
        <v>24583600</v>
      </c>
      <c r="Q589" s="1259">
        <v>3</v>
      </c>
      <c r="R589" s="2941">
        <v>6143700</v>
      </c>
      <c r="S589" s="384">
        <v>3</v>
      </c>
      <c r="T589" s="2945">
        <v>8773400</v>
      </c>
      <c r="U589" s="2316">
        <v>3</v>
      </c>
      <c r="V589" s="2941">
        <v>5199500</v>
      </c>
      <c r="W589" s="2438"/>
      <c r="X589" s="2944"/>
      <c r="Y589" s="2948">
        <f t="shared" si="166"/>
        <v>9</v>
      </c>
      <c r="Z589" s="2941">
        <f t="shared" si="167"/>
        <v>20116600</v>
      </c>
      <c r="AA589" s="1992">
        <f t="shared" si="170"/>
        <v>33</v>
      </c>
      <c r="AB589" s="2802">
        <f t="shared" si="171"/>
        <v>74858800</v>
      </c>
      <c r="AC589" s="2950">
        <f t="shared" si="168"/>
        <v>45.833333333333329</v>
      </c>
      <c r="AD589" s="2435">
        <f t="shared" si="169"/>
        <v>44.338518871193102</v>
      </c>
      <c r="AE589" s="390"/>
      <c r="AF589" s="3601"/>
      <c r="AG589" s="1134"/>
      <c r="AH589" s="1134"/>
      <c r="AI589" s="1134"/>
      <c r="AJ589" s="1134"/>
      <c r="AK589" s="1134"/>
      <c r="AL589" s="1134"/>
      <c r="AM589" s="1134"/>
      <c r="AN589" s="1134"/>
      <c r="AO589" s="1134"/>
      <c r="AP589" s="1134"/>
      <c r="AQ589" s="1134"/>
      <c r="AR589" s="1134"/>
      <c r="AS589" s="1134"/>
      <c r="AT589" s="1134"/>
      <c r="AU589" s="1134"/>
      <c r="AV589" s="1134"/>
      <c r="AW589" s="1134"/>
      <c r="AX589" s="1134"/>
      <c r="AY589" s="1134"/>
      <c r="AZ589" s="1134"/>
      <c r="BA589" s="1134"/>
      <c r="BB589" s="1134"/>
      <c r="BC589" s="1134"/>
      <c r="BD589" s="1134"/>
      <c r="BE589" s="1134"/>
      <c r="BF589" s="1134"/>
      <c r="BG589" s="1134"/>
      <c r="BH589" s="1134"/>
      <c r="BI589" s="1134"/>
      <c r="BJ589" s="1134"/>
      <c r="BK589" s="1134"/>
      <c r="BL589" s="1134"/>
      <c r="BM589" s="1134"/>
      <c r="BN589" s="1134"/>
      <c r="BO589" s="1134"/>
      <c r="BP589" s="1134"/>
      <c r="BQ589" s="1134"/>
      <c r="BR589" s="1134"/>
      <c r="BS589" s="1134"/>
      <c r="BT589" s="1134"/>
      <c r="BU589" s="1134"/>
      <c r="BV589" s="1134"/>
      <c r="BW589" s="1134"/>
      <c r="BX589" s="1134"/>
    </row>
    <row r="590" spans="1:76" s="2371" customFormat="1" ht="55.5" customHeight="1">
      <c r="A590" s="384"/>
      <c r="B590" s="1200"/>
      <c r="C590" s="1218" t="s">
        <v>65</v>
      </c>
      <c r="D590" s="1218" t="s">
        <v>66</v>
      </c>
      <c r="E590" s="1218" t="s">
        <v>66</v>
      </c>
      <c r="F590" s="1218" t="s">
        <v>66</v>
      </c>
      <c r="G590" s="1218"/>
      <c r="H590" s="3790">
        <v>12</v>
      </c>
      <c r="I590" s="728" t="s">
        <v>1535</v>
      </c>
      <c r="J590" s="384" t="s">
        <v>3812</v>
      </c>
      <c r="K590" s="1992">
        <v>72</v>
      </c>
      <c r="L590" s="2941">
        <v>101626351</v>
      </c>
      <c r="M590" s="1992">
        <v>24</v>
      </c>
      <c r="N590" s="2942">
        <v>21286000</v>
      </c>
      <c r="O590" s="1992">
        <v>12</v>
      </c>
      <c r="P590" s="2943">
        <v>17311000</v>
      </c>
      <c r="Q590" s="1259">
        <v>3</v>
      </c>
      <c r="R590" s="2941">
        <v>3476000</v>
      </c>
      <c r="S590" s="384">
        <v>3</v>
      </c>
      <c r="T590" s="2945">
        <v>7221500</v>
      </c>
      <c r="U590" s="2316">
        <v>3</v>
      </c>
      <c r="V590" s="2941">
        <f>T590-R590</f>
        <v>3745500</v>
      </c>
      <c r="W590" s="2951"/>
      <c r="X590" s="2944"/>
      <c r="Y590" s="2948">
        <f t="shared" si="166"/>
        <v>9</v>
      </c>
      <c r="Z590" s="2941">
        <f t="shared" si="167"/>
        <v>14443000</v>
      </c>
      <c r="AA590" s="1992">
        <f t="shared" si="170"/>
        <v>33</v>
      </c>
      <c r="AB590" s="2802">
        <f t="shared" si="171"/>
        <v>35729000</v>
      </c>
      <c r="AC590" s="2950">
        <f t="shared" si="168"/>
        <v>45.833333333333329</v>
      </c>
      <c r="AD590" s="2435">
        <f t="shared" si="169"/>
        <v>35.157220197741822</v>
      </c>
      <c r="AE590" s="390"/>
      <c r="AF590" s="1134"/>
      <c r="AG590" s="1134"/>
      <c r="AH590" s="1134"/>
      <c r="AI590" s="1134"/>
      <c r="AJ590" s="1134"/>
      <c r="AK590" s="1134"/>
      <c r="AL590" s="1134"/>
      <c r="AM590" s="1134"/>
      <c r="AN590" s="1134"/>
      <c r="AO590" s="1134"/>
      <c r="AP590" s="1134"/>
      <c r="AQ590" s="1134"/>
      <c r="AR590" s="1134"/>
      <c r="AS590" s="1134"/>
      <c r="AT590" s="1134"/>
      <c r="AU590" s="1134"/>
      <c r="AV590" s="1134"/>
      <c r="AW590" s="1134"/>
      <c r="AX590" s="1134"/>
      <c r="AY590" s="1134"/>
      <c r="AZ590" s="1134"/>
      <c r="BA590" s="1134"/>
      <c r="BB590" s="1134"/>
      <c r="BC590" s="1134"/>
      <c r="BD590" s="1134"/>
      <c r="BE590" s="1134"/>
      <c r="BF590" s="1134"/>
      <c r="BG590" s="1134"/>
      <c r="BH590" s="1134"/>
      <c r="BI590" s="1134"/>
      <c r="BJ590" s="1134"/>
      <c r="BK590" s="1134"/>
      <c r="BL590" s="1134"/>
      <c r="BM590" s="1134"/>
      <c r="BN590" s="1134"/>
      <c r="BO590" s="1134"/>
      <c r="BP590" s="1134"/>
      <c r="BQ590" s="1134"/>
      <c r="BR590" s="1134"/>
      <c r="BS590" s="1134"/>
      <c r="BT590" s="1134"/>
      <c r="BU590" s="1134"/>
      <c r="BV590" s="1134"/>
      <c r="BW590" s="1134"/>
      <c r="BX590" s="1134"/>
    </row>
    <row r="591" spans="1:76" s="2371" customFormat="1" ht="39.75" customHeight="1">
      <c r="A591" s="384"/>
      <c r="B591" s="1200"/>
      <c r="C591" s="1218" t="s">
        <v>65</v>
      </c>
      <c r="D591" s="1218" t="s">
        <v>66</v>
      </c>
      <c r="E591" s="1218" t="s">
        <v>66</v>
      </c>
      <c r="F591" s="1218" t="s">
        <v>66</v>
      </c>
      <c r="G591" s="1218"/>
      <c r="H591" s="3790">
        <v>15</v>
      </c>
      <c r="I591" s="1200" t="s">
        <v>1538</v>
      </c>
      <c r="J591" s="384" t="s">
        <v>3813</v>
      </c>
      <c r="K591" s="1992">
        <v>72</v>
      </c>
      <c r="L591" s="2941">
        <v>74939200</v>
      </c>
      <c r="M591" s="1992">
        <v>24</v>
      </c>
      <c r="N591" s="2942">
        <v>13220000</v>
      </c>
      <c r="O591" s="1992">
        <v>12</v>
      </c>
      <c r="P591" s="2943">
        <v>14320000</v>
      </c>
      <c r="Q591" s="1259">
        <v>3</v>
      </c>
      <c r="R591" s="2941">
        <v>785000</v>
      </c>
      <c r="S591" s="384">
        <v>3</v>
      </c>
      <c r="T591" s="2945">
        <v>8195000</v>
      </c>
      <c r="U591" s="2316">
        <v>3</v>
      </c>
      <c r="V591" s="2802">
        <f>T591-R591</f>
        <v>7410000</v>
      </c>
      <c r="W591" s="390"/>
      <c r="X591" s="2944"/>
      <c r="Y591" s="2948">
        <f t="shared" si="166"/>
        <v>9</v>
      </c>
      <c r="Z591" s="2941">
        <f t="shared" si="167"/>
        <v>16390000</v>
      </c>
      <c r="AA591" s="1992">
        <f t="shared" si="170"/>
        <v>33</v>
      </c>
      <c r="AB591" s="2802">
        <f t="shared" si="171"/>
        <v>29610000</v>
      </c>
      <c r="AC591" s="2950">
        <f t="shared" si="168"/>
        <v>45.833333333333329</v>
      </c>
      <c r="AD591" s="2435">
        <f t="shared" si="169"/>
        <v>39.512031086534151</v>
      </c>
      <c r="AE591" s="390"/>
      <c r="AF591" s="1134"/>
      <c r="AG591" s="1134"/>
      <c r="AH591" s="1134"/>
      <c r="AI591" s="1134"/>
      <c r="AJ591" s="1134"/>
      <c r="AK591" s="1134"/>
      <c r="AL591" s="1134"/>
      <c r="AM591" s="1134"/>
      <c r="AN591" s="1134"/>
      <c r="AO591" s="1134"/>
      <c r="AP591" s="1134"/>
      <c r="AQ591" s="1134"/>
      <c r="AR591" s="1134"/>
      <c r="AS591" s="1134"/>
      <c r="AT591" s="1134"/>
      <c r="AU591" s="1134"/>
      <c r="AV591" s="1134"/>
      <c r="AW591" s="1134"/>
      <c r="AX591" s="1134"/>
      <c r="AY591" s="1134"/>
      <c r="AZ591" s="1134"/>
      <c r="BA591" s="1134"/>
      <c r="BB591" s="1134"/>
      <c r="BC591" s="1134"/>
      <c r="BD591" s="1134"/>
      <c r="BE591" s="1134"/>
      <c r="BF591" s="1134"/>
      <c r="BG591" s="1134"/>
      <c r="BH591" s="1134"/>
      <c r="BI591" s="1134"/>
      <c r="BJ591" s="1134"/>
      <c r="BK591" s="1134"/>
      <c r="BL591" s="1134"/>
      <c r="BM591" s="1134"/>
      <c r="BN591" s="1134"/>
      <c r="BO591" s="1134"/>
      <c r="BP591" s="1134"/>
      <c r="BQ591" s="1134"/>
      <c r="BR591" s="1134"/>
      <c r="BS591" s="1134"/>
      <c r="BT591" s="1134"/>
      <c r="BU591" s="1134"/>
      <c r="BV591" s="1134"/>
      <c r="BW591" s="1134"/>
      <c r="BX591" s="1134"/>
    </row>
    <row r="592" spans="1:76" s="2371" customFormat="1" ht="52.5" customHeight="1">
      <c r="A592" s="383"/>
      <c r="B592" s="383"/>
      <c r="C592" s="1218" t="s">
        <v>65</v>
      </c>
      <c r="D592" s="1218" t="s">
        <v>66</v>
      </c>
      <c r="E592" s="1218" t="s">
        <v>66</v>
      </c>
      <c r="F592" s="1218" t="s">
        <v>66</v>
      </c>
      <c r="G592" s="1218"/>
      <c r="H592" s="3790">
        <v>17</v>
      </c>
      <c r="I592" s="728" t="s">
        <v>1541</v>
      </c>
      <c r="J592" s="3169" t="s">
        <v>3814</v>
      </c>
      <c r="K592" s="1992">
        <v>72</v>
      </c>
      <c r="L592" s="2941">
        <v>184488800</v>
      </c>
      <c r="M592" s="1992">
        <v>24</v>
      </c>
      <c r="N592" s="2952">
        <v>36905000</v>
      </c>
      <c r="O592" s="1992">
        <v>12</v>
      </c>
      <c r="P592" s="2953">
        <v>31800000</v>
      </c>
      <c r="Q592" s="1259">
        <v>3</v>
      </c>
      <c r="R592" s="3113">
        <v>4675000</v>
      </c>
      <c r="S592" s="384">
        <v>3</v>
      </c>
      <c r="T592" s="2945">
        <v>18177500</v>
      </c>
      <c r="U592" s="2316">
        <v>3</v>
      </c>
      <c r="V592" s="2941">
        <v>27060000</v>
      </c>
      <c r="W592" s="390"/>
      <c r="X592" s="2944"/>
      <c r="Y592" s="2948">
        <f t="shared" si="166"/>
        <v>9</v>
      </c>
      <c r="Z592" s="2941">
        <f t="shared" si="167"/>
        <v>49912500</v>
      </c>
      <c r="AA592" s="1992">
        <f t="shared" si="170"/>
        <v>33</v>
      </c>
      <c r="AB592" s="2802">
        <f t="shared" si="171"/>
        <v>86817500</v>
      </c>
      <c r="AC592" s="2950">
        <f t="shared" si="168"/>
        <v>45.833333333333329</v>
      </c>
      <c r="AD592" s="2435">
        <f t="shared" si="169"/>
        <v>47.058412217977455</v>
      </c>
      <c r="AE592" s="390"/>
      <c r="AF592" s="1134"/>
      <c r="AG592" s="1134"/>
      <c r="AH592" s="1134"/>
      <c r="AI592" s="1134"/>
      <c r="AJ592" s="1134"/>
      <c r="AK592" s="1134"/>
      <c r="AL592" s="1134"/>
      <c r="AM592" s="1134"/>
      <c r="AN592" s="1134"/>
      <c r="AO592" s="1134"/>
      <c r="AP592" s="1134"/>
      <c r="AQ592" s="1134"/>
      <c r="AR592" s="1134"/>
      <c r="AS592" s="1134"/>
      <c r="AT592" s="1134"/>
      <c r="AU592" s="1134"/>
      <c r="AV592" s="1134"/>
      <c r="AW592" s="1134"/>
      <c r="AX592" s="1134"/>
      <c r="AY592" s="1134"/>
      <c r="AZ592" s="1134"/>
      <c r="BA592" s="1134"/>
      <c r="BB592" s="1134"/>
      <c r="BC592" s="1134"/>
      <c r="BD592" s="1134"/>
      <c r="BE592" s="1134"/>
      <c r="BF592" s="1134"/>
      <c r="BG592" s="1134"/>
      <c r="BH592" s="1134"/>
      <c r="BI592" s="1134"/>
      <c r="BJ592" s="1134"/>
      <c r="BK592" s="1134"/>
      <c r="BL592" s="1134"/>
      <c r="BM592" s="1134"/>
      <c r="BN592" s="1134"/>
      <c r="BO592" s="1134"/>
      <c r="BP592" s="1134"/>
      <c r="BQ592" s="1134"/>
      <c r="BR592" s="1134"/>
      <c r="BS592" s="1134"/>
      <c r="BT592" s="1134"/>
      <c r="BU592" s="1134"/>
      <c r="BV592" s="1134"/>
      <c r="BW592" s="1134"/>
      <c r="BX592" s="1134"/>
    </row>
    <row r="593" spans="1:76" s="2371" customFormat="1" ht="69" customHeight="1">
      <c r="A593" s="384"/>
      <c r="B593" s="384"/>
      <c r="C593" s="1218" t="s">
        <v>65</v>
      </c>
      <c r="D593" s="1218" t="s">
        <v>66</v>
      </c>
      <c r="E593" s="1218" t="s">
        <v>66</v>
      </c>
      <c r="F593" s="1218" t="s">
        <v>66</v>
      </c>
      <c r="G593" s="1218"/>
      <c r="H593" s="3790">
        <v>18</v>
      </c>
      <c r="I593" s="1200" t="s">
        <v>1544</v>
      </c>
      <c r="J593" s="384" t="s">
        <v>3815</v>
      </c>
      <c r="K593" s="1992">
        <v>72</v>
      </c>
      <c r="L593" s="2941">
        <v>748497500</v>
      </c>
      <c r="M593" s="1992">
        <v>24</v>
      </c>
      <c r="N593" s="2942">
        <v>296000000</v>
      </c>
      <c r="O593" s="1992">
        <v>12</v>
      </c>
      <c r="P593" s="2943">
        <v>97500000</v>
      </c>
      <c r="Q593" s="1259">
        <v>3</v>
      </c>
      <c r="R593" s="2941">
        <v>17572000</v>
      </c>
      <c r="S593" s="384">
        <v>3</v>
      </c>
      <c r="T593" s="2945">
        <v>31903700</v>
      </c>
      <c r="U593" s="2316">
        <v>3</v>
      </c>
      <c r="V593" s="2802">
        <f>T593-R593</f>
        <v>14331700</v>
      </c>
      <c r="W593" s="1195"/>
      <c r="X593" s="2955"/>
      <c r="Y593" s="2948">
        <f t="shared" si="166"/>
        <v>9</v>
      </c>
      <c r="Z593" s="2941">
        <f t="shared" si="167"/>
        <v>63807400</v>
      </c>
      <c r="AA593" s="1992">
        <f t="shared" si="170"/>
        <v>33</v>
      </c>
      <c r="AB593" s="2802">
        <f t="shared" si="171"/>
        <v>359807400</v>
      </c>
      <c r="AC593" s="2950">
        <f t="shared" si="168"/>
        <v>45.833333333333329</v>
      </c>
      <c r="AD593" s="2435">
        <f t="shared" si="169"/>
        <v>48.070621478361652</v>
      </c>
      <c r="AE593" s="390"/>
      <c r="AF593" s="1134"/>
      <c r="AG593" s="1134"/>
      <c r="AH593" s="1134"/>
      <c r="AI593" s="1134"/>
      <c r="AJ593" s="1134"/>
      <c r="AK593" s="1134"/>
      <c r="AL593" s="1134"/>
      <c r="AM593" s="1134"/>
      <c r="AN593" s="1134"/>
      <c r="AO593" s="1134"/>
      <c r="AP593" s="1134"/>
      <c r="AQ593" s="1134"/>
      <c r="AR593" s="1134"/>
      <c r="AS593" s="1134"/>
      <c r="AT593" s="1134"/>
      <c r="AU593" s="1134"/>
      <c r="AV593" s="1134"/>
      <c r="AW593" s="1134"/>
      <c r="AX593" s="1134"/>
      <c r="AY593" s="1134"/>
      <c r="AZ593" s="1134"/>
      <c r="BA593" s="1134"/>
      <c r="BB593" s="1134"/>
      <c r="BC593" s="1134"/>
      <c r="BD593" s="1134"/>
      <c r="BE593" s="1134"/>
      <c r="BF593" s="1134"/>
      <c r="BG593" s="1134"/>
      <c r="BH593" s="1134"/>
      <c r="BI593" s="1134"/>
      <c r="BJ593" s="1134"/>
      <c r="BK593" s="1134"/>
      <c r="BL593" s="1134"/>
      <c r="BM593" s="1134"/>
      <c r="BN593" s="1134"/>
      <c r="BO593" s="1134"/>
      <c r="BP593" s="1134"/>
      <c r="BQ593" s="1134"/>
      <c r="BR593" s="1134"/>
      <c r="BS593" s="1134"/>
      <c r="BT593" s="1134"/>
      <c r="BU593" s="1134"/>
      <c r="BV593" s="1134"/>
      <c r="BW593" s="1134"/>
      <c r="BX593" s="1134"/>
    </row>
    <row r="594" spans="1:76" s="2370" customFormat="1" ht="35.25" customHeight="1">
      <c r="A594" s="384"/>
      <c r="B594" s="384"/>
      <c r="C594" s="1218" t="s">
        <v>65</v>
      </c>
      <c r="D594" s="1218" t="s">
        <v>66</v>
      </c>
      <c r="E594" s="1218" t="s">
        <v>66</v>
      </c>
      <c r="F594" s="1218" t="s">
        <v>66</v>
      </c>
      <c r="G594" s="1218"/>
      <c r="H594" s="3790">
        <v>31</v>
      </c>
      <c r="I594" s="728" t="s">
        <v>1191</v>
      </c>
      <c r="J594" s="384" t="s">
        <v>3816</v>
      </c>
      <c r="K594" s="1992">
        <v>1</v>
      </c>
      <c r="L594" s="2941">
        <v>50873070</v>
      </c>
      <c r="M594" s="1992">
        <v>1</v>
      </c>
      <c r="N594" s="2942">
        <v>50873070</v>
      </c>
      <c r="O594" s="1992">
        <v>0</v>
      </c>
      <c r="P594" s="2943">
        <v>0</v>
      </c>
      <c r="Q594" s="1259">
        <v>0</v>
      </c>
      <c r="R594" s="2941">
        <v>0</v>
      </c>
      <c r="S594" s="384">
        <v>0</v>
      </c>
      <c r="T594" s="2956" t="s">
        <v>2034</v>
      </c>
      <c r="U594" s="1396">
        <v>0</v>
      </c>
      <c r="V594" s="2949"/>
      <c r="W594" s="2222"/>
      <c r="X594" s="2944"/>
      <c r="Y594" s="2948">
        <f t="shared" si="166"/>
        <v>0</v>
      </c>
      <c r="Z594" s="2944">
        <f t="shared" si="167"/>
        <v>0</v>
      </c>
      <c r="AA594" s="1992">
        <f t="shared" si="170"/>
        <v>1</v>
      </c>
      <c r="AB594" s="2949">
        <f t="shared" si="171"/>
        <v>50873070</v>
      </c>
      <c r="AC594" s="2950">
        <f>AA594/K594*100</f>
        <v>100</v>
      </c>
      <c r="AD594" s="2435">
        <f t="shared" si="169"/>
        <v>100</v>
      </c>
      <c r="AE594" s="390"/>
      <c r="AF594" s="1129"/>
      <c r="AG594" s="1129"/>
      <c r="AH594" s="1129"/>
      <c r="AI594" s="1129"/>
      <c r="AJ594" s="1129"/>
      <c r="AK594" s="1129"/>
      <c r="AL594" s="1129"/>
      <c r="AM594" s="1129"/>
      <c r="AN594" s="1129"/>
      <c r="AO594" s="1129"/>
      <c r="AP594" s="1129"/>
      <c r="AQ594" s="1129"/>
      <c r="AR594" s="1129"/>
      <c r="AS594" s="1129"/>
      <c r="AT594" s="1129"/>
      <c r="AU594" s="1129"/>
      <c r="AV594" s="1129"/>
      <c r="AW594" s="1129"/>
      <c r="AX594" s="1129"/>
      <c r="AY594" s="1129"/>
      <c r="AZ594" s="1129"/>
      <c r="BA594" s="1129"/>
      <c r="BB594" s="1129"/>
      <c r="BC594" s="1129"/>
      <c r="BD594" s="1129"/>
      <c r="BE594" s="1129"/>
      <c r="BF594" s="1129"/>
      <c r="BG594" s="1129"/>
      <c r="BH594" s="1129"/>
      <c r="BI594" s="1129"/>
      <c r="BJ594" s="1129"/>
      <c r="BK594" s="1129"/>
      <c r="BL594" s="1129"/>
      <c r="BM594" s="1129"/>
      <c r="BN594" s="1129"/>
      <c r="BO594" s="1129"/>
      <c r="BP594" s="1129"/>
      <c r="BQ594" s="1129"/>
      <c r="BR594" s="1129"/>
      <c r="BS594" s="1129"/>
      <c r="BT594" s="1129"/>
      <c r="BU594" s="1129"/>
      <c r="BV594" s="1129"/>
      <c r="BW594" s="1129"/>
      <c r="BX594" s="1129"/>
    </row>
    <row r="595" spans="1:76" s="2371" customFormat="1" ht="73.5" customHeight="1">
      <c r="A595" s="384"/>
      <c r="B595" s="384"/>
      <c r="C595" s="1218" t="s">
        <v>65</v>
      </c>
      <c r="D595" s="1218" t="s">
        <v>66</v>
      </c>
      <c r="E595" s="1218" t="s">
        <v>66</v>
      </c>
      <c r="F595" s="1218" t="s">
        <v>66</v>
      </c>
      <c r="G595" s="1218"/>
      <c r="H595" s="3790">
        <v>20</v>
      </c>
      <c r="I595" s="728" t="s">
        <v>1549</v>
      </c>
      <c r="J595" s="384" t="s">
        <v>3817</v>
      </c>
      <c r="K595" s="1992">
        <v>72</v>
      </c>
      <c r="L595" s="2941">
        <v>532365000</v>
      </c>
      <c r="M595" s="1992">
        <v>24</v>
      </c>
      <c r="N595" s="2942">
        <v>198600000</v>
      </c>
      <c r="O595" s="1992">
        <v>12</v>
      </c>
      <c r="P595" s="2943">
        <v>55725000</v>
      </c>
      <c r="Q595" s="1259">
        <v>3</v>
      </c>
      <c r="R595" s="2941">
        <v>4000000</v>
      </c>
      <c r="S595" s="384">
        <v>3</v>
      </c>
      <c r="T595" s="2945">
        <v>38275000</v>
      </c>
      <c r="U595" s="2316">
        <v>6</v>
      </c>
      <c r="V595" s="2802">
        <v>13450000</v>
      </c>
      <c r="W595" s="390"/>
      <c r="X595" s="2944"/>
      <c r="Y595" s="2948">
        <f t="shared" si="166"/>
        <v>12</v>
      </c>
      <c r="Z595" s="2955">
        <f t="shared" si="167"/>
        <v>55725000</v>
      </c>
      <c r="AA595" s="1992">
        <f t="shared" si="170"/>
        <v>36</v>
      </c>
      <c r="AB595" s="2949">
        <f t="shared" si="171"/>
        <v>254325000</v>
      </c>
      <c r="AC595" s="2950">
        <f t="shared" si="168"/>
        <v>50</v>
      </c>
      <c r="AD595" s="2435">
        <f t="shared" si="169"/>
        <v>47.772674762615871</v>
      </c>
      <c r="AE595" s="390"/>
      <c r="AF595" s="3601"/>
      <c r="AG595" s="1134"/>
      <c r="AH595" s="1134"/>
      <c r="AI595" s="1134"/>
      <c r="AJ595" s="1134"/>
      <c r="AK595" s="1134"/>
      <c r="AL595" s="1134"/>
      <c r="AM595" s="1134"/>
      <c r="AN595" s="1134"/>
      <c r="AO595" s="1134"/>
      <c r="AP595" s="1134"/>
      <c r="AQ595" s="1134"/>
      <c r="AR595" s="1134"/>
      <c r="AS595" s="1134"/>
      <c r="AT595" s="1134"/>
      <c r="AU595" s="1134"/>
      <c r="AV595" s="1134"/>
      <c r="AW595" s="1134"/>
      <c r="AX595" s="1134"/>
      <c r="AY595" s="1134"/>
      <c r="AZ595" s="1134"/>
      <c r="BA595" s="1134"/>
      <c r="BB595" s="1134"/>
      <c r="BC595" s="1134"/>
      <c r="BD595" s="1134"/>
      <c r="BE595" s="1134"/>
      <c r="BF595" s="1134"/>
      <c r="BG595" s="1134"/>
      <c r="BH595" s="1134"/>
      <c r="BI595" s="1134"/>
      <c r="BJ595" s="1134"/>
      <c r="BK595" s="1134"/>
      <c r="BL595" s="1134"/>
      <c r="BM595" s="1134"/>
      <c r="BN595" s="1134"/>
      <c r="BO595" s="1134"/>
      <c r="BP595" s="1134"/>
      <c r="BQ595" s="1134"/>
      <c r="BR595" s="1134"/>
      <c r="BS595" s="1134"/>
      <c r="BT595" s="1134"/>
      <c r="BU595" s="1134"/>
      <c r="BV595" s="1134"/>
      <c r="BW595" s="1134"/>
      <c r="BX595" s="1134"/>
    </row>
    <row r="596" spans="1:76" s="2318" customFormat="1" ht="61.5" customHeight="1">
      <c r="A596" s="384"/>
      <c r="B596" s="384"/>
      <c r="C596" s="1218" t="s">
        <v>65</v>
      </c>
      <c r="D596" s="1218" t="s">
        <v>66</v>
      </c>
      <c r="E596" s="1218" t="s">
        <v>66</v>
      </c>
      <c r="F596" s="1218" t="s">
        <v>66</v>
      </c>
      <c r="G596" s="1218"/>
      <c r="H596" s="3790">
        <v>38</v>
      </c>
      <c r="I596" s="728" t="s">
        <v>1551</v>
      </c>
      <c r="J596" s="384" t="s">
        <v>3818</v>
      </c>
      <c r="K596" s="1992">
        <v>24</v>
      </c>
      <c r="L596" s="2941">
        <v>280315755</v>
      </c>
      <c r="M596" s="1992">
        <v>24</v>
      </c>
      <c r="N596" s="2942">
        <v>88178355</v>
      </c>
      <c r="O596" s="1992">
        <v>12</v>
      </c>
      <c r="P596" s="2943">
        <v>41400000</v>
      </c>
      <c r="Q596" s="1992">
        <v>3</v>
      </c>
      <c r="R596" s="2941">
        <v>7345000</v>
      </c>
      <c r="S596" s="384">
        <v>3</v>
      </c>
      <c r="T596" s="2945">
        <v>25384000</v>
      </c>
      <c r="U596" s="2316">
        <v>9</v>
      </c>
      <c r="V596" s="2802">
        <v>32059000</v>
      </c>
      <c r="W596" s="2438"/>
      <c r="X596" s="2944"/>
      <c r="Y596" s="1992">
        <f t="shared" si="166"/>
        <v>15</v>
      </c>
      <c r="Z596" s="2955">
        <f t="shared" si="167"/>
        <v>64788000</v>
      </c>
      <c r="AA596" s="1992">
        <v>27</v>
      </c>
      <c r="AB596" s="2949">
        <v>59882445</v>
      </c>
      <c r="AC596" s="2950">
        <v>37.5</v>
      </c>
      <c r="AD596" s="2435">
        <v>42.9509241113904</v>
      </c>
      <c r="AE596" s="390"/>
    </row>
    <row r="597" spans="1:76" s="2318" customFormat="1" ht="59.25" customHeight="1">
      <c r="A597" s="2335">
        <v>2</v>
      </c>
      <c r="B597" s="2335"/>
      <c r="C597" s="2374" t="s">
        <v>65</v>
      </c>
      <c r="D597" s="2374" t="s">
        <v>65</v>
      </c>
      <c r="E597" s="2374" t="s">
        <v>66</v>
      </c>
      <c r="F597" s="2374" t="s">
        <v>65</v>
      </c>
      <c r="G597" s="2374"/>
      <c r="H597" s="3795"/>
      <c r="I597" s="2359" t="s">
        <v>3619</v>
      </c>
      <c r="J597" s="2335" t="s">
        <v>3240</v>
      </c>
      <c r="K597" s="2412">
        <v>72</v>
      </c>
      <c r="L597" s="2477">
        <f>SUM(L598:L603)</f>
        <v>3247183616</v>
      </c>
      <c r="M597" s="2412">
        <v>24</v>
      </c>
      <c r="N597" s="2957">
        <f>SUM(N598:N603)</f>
        <v>1004125300</v>
      </c>
      <c r="O597" s="2412">
        <v>12</v>
      </c>
      <c r="P597" s="2938">
        <f>SUM(P598:P603)</f>
        <v>1069453000</v>
      </c>
      <c r="Q597" s="2412">
        <v>3</v>
      </c>
      <c r="R597" s="2958">
        <f>SUM(R598:R603)</f>
        <v>133863700</v>
      </c>
      <c r="S597" s="2345">
        <v>3</v>
      </c>
      <c r="T597" s="2975">
        <f>SUM(T598:T605)</f>
        <v>543715169</v>
      </c>
      <c r="U597" s="3300" t="s">
        <v>602</v>
      </c>
      <c r="V597" s="2342">
        <f>SUM(V599:V603)</f>
        <v>177607731</v>
      </c>
      <c r="W597" s="2335"/>
      <c r="X597" s="2958"/>
      <c r="Y597" s="2654">
        <f t="shared" si="166"/>
        <v>9</v>
      </c>
      <c r="Z597" s="2361">
        <f t="shared" si="167"/>
        <v>855186600</v>
      </c>
      <c r="AA597" s="2412">
        <f>M597+Y597</f>
        <v>33</v>
      </c>
      <c r="AB597" s="2935">
        <f>Z597+N597</f>
        <v>1859311900</v>
      </c>
      <c r="AC597" s="2505">
        <f t="shared" ref="AC597:AC605" si="172">AA597/K597*100</f>
        <v>45.833333333333329</v>
      </c>
      <c r="AD597" s="2505">
        <f t="shared" ref="AD597:AD605" si="173">AB597/L597*100</f>
        <v>57.259216597377659</v>
      </c>
      <c r="AE597" s="3138" t="s">
        <v>3416</v>
      </c>
    </row>
    <row r="598" spans="1:76" s="63" customFormat="1" ht="72" customHeight="1">
      <c r="A598" s="384"/>
      <c r="B598" s="384"/>
      <c r="C598" s="1218" t="s">
        <v>65</v>
      </c>
      <c r="D598" s="1218" t="s">
        <v>66</v>
      </c>
      <c r="E598" s="1218" t="s">
        <v>66</v>
      </c>
      <c r="F598" s="1218" t="s">
        <v>65</v>
      </c>
      <c r="G598" s="1218"/>
      <c r="H598" s="1218" t="s">
        <v>165</v>
      </c>
      <c r="I598" s="3169" t="s">
        <v>1554</v>
      </c>
      <c r="J598" s="384" t="s">
        <v>3819</v>
      </c>
      <c r="K598" s="2142">
        <v>72</v>
      </c>
      <c r="L598" s="2941">
        <v>732991008</v>
      </c>
      <c r="M598" s="1992">
        <v>24</v>
      </c>
      <c r="N598" s="2942">
        <v>388668700</v>
      </c>
      <c r="O598" s="1992">
        <v>12</v>
      </c>
      <c r="P598" s="2943">
        <v>127060000</v>
      </c>
      <c r="Q598" s="1259">
        <v>3</v>
      </c>
      <c r="R598" s="2941">
        <v>21293400</v>
      </c>
      <c r="S598" s="384">
        <v>3</v>
      </c>
      <c r="T598" s="2945">
        <f>R598</f>
        <v>21293400</v>
      </c>
      <c r="U598" s="3300" t="s">
        <v>602</v>
      </c>
      <c r="V598" s="3173">
        <v>49928600</v>
      </c>
      <c r="W598" s="2438"/>
      <c r="X598" s="2944"/>
      <c r="Y598" s="2948">
        <f t="shared" si="166"/>
        <v>9</v>
      </c>
      <c r="Z598" s="2941">
        <f t="shared" si="167"/>
        <v>92515400</v>
      </c>
      <c r="AA598" s="1992">
        <f>M598+Y598</f>
        <v>33</v>
      </c>
      <c r="AB598" s="2949">
        <f t="shared" ref="AB598:AB603" si="174">N598+Z598</f>
        <v>481184100</v>
      </c>
      <c r="AC598" s="2950">
        <f t="shared" si="172"/>
        <v>45.833333333333329</v>
      </c>
      <c r="AD598" s="2435">
        <f t="shared" si="173"/>
        <v>65.646657973736012</v>
      </c>
      <c r="AE598" s="390"/>
    </row>
    <row r="599" spans="1:76" s="145" customFormat="1" ht="39.75" customHeight="1">
      <c r="A599" s="384"/>
      <c r="B599" s="384"/>
      <c r="C599" s="1218" t="s">
        <v>65</v>
      </c>
      <c r="D599" s="1218" t="s">
        <v>66</v>
      </c>
      <c r="E599" s="1218" t="s">
        <v>66</v>
      </c>
      <c r="F599" s="1218" t="s">
        <v>65</v>
      </c>
      <c r="G599" s="1218"/>
      <c r="H599" s="1218" t="s">
        <v>201</v>
      </c>
      <c r="I599" s="3169" t="s">
        <v>1557</v>
      </c>
      <c r="J599" s="384" t="s">
        <v>3820</v>
      </c>
      <c r="K599" s="1992">
        <v>72</v>
      </c>
      <c r="L599" s="2941">
        <v>732991008</v>
      </c>
      <c r="M599" s="1992">
        <v>24</v>
      </c>
      <c r="N599" s="2942">
        <v>255451600</v>
      </c>
      <c r="O599" s="1992">
        <v>12</v>
      </c>
      <c r="P599" s="2943">
        <v>102895800</v>
      </c>
      <c r="Q599" s="1259">
        <v>3</v>
      </c>
      <c r="R599" s="2944">
        <v>89870700</v>
      </c>
      <c r="S599" s="384">
        <v>3</v>
      </c>
      <c r="T599" s="2945">
        <v>0</v>
      </c>
      <c r="U599" s="3300" t="s">
        <v>602</v>
      </c>
      <c r="V599" s="3173"/>
      <c r="W599" s="390" t="s">
        <v>228</v>
      </c>
      <c r="X599" s="2944"/>
      <c r="Y599" s="2948">
        <f>Q599+S599</f>
        <v>6</v>
      </c>
      <c r="Z599" s="2941">
        <f t="shared" si="167"/>
        <v>89870700</v>
      </c>
      <c r="AA599" s="1992">
        <f>M599+Y599</f>
        <v>30</v>
      </c>
      <c r="AB599" s="2949">
        <f t="shared" si="174"/>
        <v>345322300</v>
      </c>
      <c r="AC599" s="2950">
        <f t="shared" si="172"/>
        <v>41.666666666666671</v>
      </c>
      <c r="AD599" s="2435">
        <f t="shared" si="173"/>
        <v>47.111396487963461</v>
      </c>
      <c r="AE599" s="390"/>
    </row>
    <row r="600" spans="1:76" s="63" customFormat="1" ht="74.25" customHeight="1">
      <c r="A600" s="384"/>
      <c r="B600" s="384"/>
      <c r="C600" s="1218" t="s">
        <v>65</v>
      </c>
      <c r="D600" s="1218" t="s">
        <v>66</v>
      </c>
      <c r="E600" s="1218" t="s">
        <v>66</v>
      </c>
      <c r="F600" s="1218" t="s">
        <v>65</v>
      </c>
      <c r="G600" s="1218"/>
      <c r="H600" s="1218" t="s">
        <v>178</v>
      </c>
      <c r="I600" s="3169" t="s">
        <v>1560</v>
      </c>
      <c r="J600" s="384" t="s">
        <v>3821</v>
      </c>
      <c r="K600" s="1992">
        <v>72</v>
      </c>
      <c r="L600" s="2941">
        <v>136499400</v>
      </c>
      <c r="M600" s="1992">
        <v>24</v>
      </c>
      <c r="N600" s="2942">
        <v>27900000</v>
      </c>
      <c r="O600" s="1992">
        <v>12</v>
      </c>
      <c r="P600" s="2943">
        <v>23400000</v>
      </c>
      <c r="Q600" s="1259">
        <v>3</v>
      </c>
      <c r="R600" s="2944">
        <v>10275000</v>
      </c>
      <c r="S600" s="384">
        <v>3</v>
      </c>
      <c r="T600" s="2945">
        <v>4275000</v>
      </c>
      <c r="U600" s="3300" t="s">
        <v>602</v>
      </c>
      <c r="V600" s="1202">
        <v>6525000</v>
      </c>
      <c r="W600" s="1195"/>
      <c r="X600" s="2955"/>
      <c r="Y600" s="2948">
        <f t="shared" si="166"/>
        <v>9</v>
      </c>
      <c r="Z600" s="2941">
        <f t="shared" si="167"/>
        <v>21075000</v>
      </c>
      <c r="AA600" s="1992">
        <v>27</v>
      </c>
      <c r="AB600" s="2949">
        <f t="shared" si="174"/>
        <v>48975000</v>
      </c>
      <c r="AC600" s="2950">
        <f t="shared" si="172"/>
        <v>37.5</v>
      </c>
      <c r="AD600" s="2435">
        <f t="shared" si="173"/>
        <v>35.879278590235565</v>
      </c>
      <c r="AE600" s="390"/>
      <c r="AF600" s="2863"/>
    </row>
    <row r="601" spans="1:76" s="63" customFormat="1" ht="45.75" customHeight="1">
      <c r="A601" s="383"/>
      <c r="B601" s="383"/>
      <c r="C601" s="1218" t="s">
        <v>65</v>
      </c>
      <c r="D601" s="1218" t="s">
        <v>65</v>
      </c>
      <c r="E601" s="1218" t="s">
        <v>66</v>
      </c>
      <c r="F601" s="1218" t="s">
        <v>65</v>
      </c>
      <c r="G601" s="1218"/>
      <c r="H601" s="1218" t="s">
        <v>202</v>
      </c>
      <c r="I601" s="3169" t="s">
        <v>1563</v>
      </c>
      <c r="J601" s="384" t="s">
        <v>3822</v>
      </c>
      <c r="K601" s="1992">
        <v>24</v>
      </c>
      <c r="L601" s="2941">
        <v>127105000</v>
      </c>
      <c r="M601" s="1992">
        <v>24</v>
      </c>
      <c r="N601" s="2942">
        <v>127105000</v>
      </c>
      <c r="O601" s="1992">
        <v>0</v>
      </c>
      <c r="P601" s="2943">
        <v>0</v>
      </c>
      <c r="Q601" s="1259">
        <v>0</v>
      </c>
      <c r="R601" s="2944">
        <v>0</v>
      </c>
      <c r="S601" s="421" t="s">
        <v>2034</v>
      </c>
      <c r="T601" s="2959" t="s">
        <v>2034</v>
      </c>
      <c r="U601" s="4081">
        <v>0</v>
      </c>
      <c r="V601" s="3173"/>
      <c r="W601" s="2438"/>
      <c r="X601" s="2944"/>
      <c r="Y601" s="2948">
        <f t="shared" si="166"/>
        <v>0</v>
      </c>
      <c r="Z601" s="2944">
        <f t="shared" si="167"/>
        <v>0</v>
      </c>
      <c r="AA601" s="1992">
        <v>27</v>
      </c>
      <c r="AB601" s="2949">
        <f t="shared" si="174"/>
        <v>127105000</v>
      </c>
      <c r="AC601" s="2950">
        <f t="shared" si="172"/>
        <v>112.5</v>
      </c>
      <c r="AD601" s="2435">
        <f t="shared" si="173"/>
        <v>100</v>
      </c>
      <c r="AE601" s="390"/>
    </row>
    <row r="602" spans="1:76" s="63" customFormat="1" ht="46.5" customHeight="1">
      <c r="A602" s="384"/>
      <c r="B602" s="384"/>
      <c r="C602" s="1218" t="s">
        <v>65</v>
      </c>
      <c r="D602" s="1218" t="s">
        <v>66</v>
      </c>
      <c r="E602" s="1218" t="s">
        <v>66</v>
      </c>
      <c r="F602" s="1218" t="s">
        <v>65</v>
      </c>
      <c r="G602" s="1218"/>
      <c r="H602" s="1218" t="s">
        <v>163</v>
      </c>
      <c r="I602" s="3169" t="s">
        <v>1566</v>
      </c>
      <c r="J602" s="384" t="s">
        <v>3823</v>
      </c>
      <c r="K602" s="1992">
        <v>72</v>
      </c>
      <c r="L602" s="2941">
        <v>796867700</v>
      </c>
      <c r="M602" s="1992">
        <v>24</v>
      </c>
      <c r="N602" s="2942">
        <v>173500000</v>
      </c>
      <c r="O602" s="1992">
        <v>12</v>
      </c>
      <c r="P602" s="2943">
        <v>126867700</v>
      </c>
      <c r="Q602" s="1259">
        <v>3</v>
      </c>
      <c r="R602" s="2941">
        <v>12424600</v>
      </c>
      <c r="S602" s="384">
        <v>3</v>
      </c>
      <c r="T602" s="280">
        <v>65927200</v>
      </c>
      <c r="U602" s="3300" t="s">
        <v>602</v>
      </c>
      <c r="V602" s="1202">
        <f>AF602-T602</f>
        <v>-65927200</v>
      </c>
      <c r="W602" s="384"/>
      <c r="X602" s="2955"/>
      <c r="Y602" s="2948">
        <f t="shared" si="166"/>
        <v>9</v>
      </c>
      <c r="Z602" s="2941">
        <f t="shared" si="167"/>
        <v>12424600</v>
      </c>
      <c r="AA602" s="1992">
        <f>M602+Y602</f>
        <v>33</v>
      </c>
      <c r="AB602" s="2949">
        <f t="shared" si="174"/>
        <v>185924600</v>
      </c>
      <c r="AC602" s="2950">
        <f t="shared" si="172"/>
        <v>45.833333333333329</v>
      </c>
      <c r="AD602" s="2435">
        <f t="shared" si="173"/>
        <v>23.331928248566232</v>
      </c>
      <c r="AE602" s="390"/>
    </row>
    <row r="603" spans="1:76" s="63" customFormat="1" ht="56.25" customHeight="1">
      <c r="A603" s="384"/>
      <c r="B603" s="384"/>
      <c r="C603" s="1218" t="s">
        <v>65</v>
      </c>
      <c r="D603" s="1218" t="s">
        <v>66</v>
      </c>
      <c r="E603" s="1218" t="s">
        <v>66</v>
      </c>
      <c r="F603" s="1218" t="s">
        <v>65</v>
      </c>
      <c r="G603" s="1218"/>
      <c r="H603" s="1218" t="s">
        <v>164</v>
      </c>
      <c r="I603" s="1936" t="s">
        <v>1568</v>
      </c>
      <c r="J603" s="384" t="s">
        <v>3241</v>
      </c>
      <c r="K603" s="1992">
        <v>1</v>
      </c>
      <c r="L603" s="2941">
        <v>720729500</v>
      </c>
      <c r="M603" s="1992">
        <v>0.2</v>
      </c>
      <c r="N603" s="2941">
        <v>31500000</v>
      </c>
      <c r="O603" s="1992">
        <v>0.8</v>
      </c>
      <c r="P603" s="2943">
        <v>689229500</v>
      </c>
      <c r="Q603" s="1992">
        <v>0</v>
      </c>
      <c r="R603" s="2769">
        <v>0</v>
      </c>
      <c r="S603" s="384">
        <v>0.6</v>
      </c>
      <c r="T603" s="2955">
        <v>452219569</v>
      </c>
      <c r="U603" s="4082">
        <v>0.2</v>
      </c>
      <c r="V603" s="3173">
        <v>237009931</v>
      </c>
      <c r="W603" s="390"/>
      <c r="X603" s="2944"/>
      <c r="Y603" s="2948">
        <f t="shared" si="166"/>
        <v>0.8</v>
      </c>
      <c r="Z603" s="2941">
        <f t="shared" si="167"/>
        <v>689229500</v>
      </c>
      <c r="AA603" s="1992">
        <f>M603+Y603</f>
        <v>1</v>
      </c>
      <c r="AB603" s="2949">
        <f t="shared" si="174"/>
        <v>720729500</v>
      </c>
      <c r="AC603" s="2950">
        <f t="shared" si="172"/>
        <v>100</v>
      </c>
      <c r="AD603" s="2435">
        <f t="shared" si="173"/>
        <v>100</v>
      </c>
      <c r="AE603" s="390"/>
      <c r="AF603" s="2814"/>
    </row>
    <row r="604" spans="1:76" s="63" customFormat="1" ht="48" customHeight="1">
      <c r="A604" s="2335">
        <v>3</v>
      </c>
      <c r="B604" s="2335"/>
      <c r="C604" s="2374" t="s">
        <v>65</v>
      </c>
      <c r="D604" s="2374" t="s">
        <v>66</v>
      </c>
      <c r="E604" s="2374" t="s">
        <v>66</v>
      </c>
      <c r="F604" s="2374" t="s">
        <v>161</v>
      </c>
      <c r="G604" s="2374"/>
      <c r="H604" s="3795"/>
      <c r="I604" s="2359" t="s">
        <v>226</v>
      </c>
      <c r="J604" s="2335" t="s">
        <v>3824</v>
      </c>
      <c r="K604" s="2412">
        <v>100</v>
      </c>
      <c r="L604" s="2477">
        <f t="shared" ref="L604:R604" si="175">L605</f>
        <v>260500000</v>
      </c>
      <c r="M604" s="2412">
        <f t="shared" si="175"/>
        <v>24</v>
      </c>
      <c r="N604" s="2938">
        <f t="shared" si="175"/>
        <v>95000000</v>
      </c>
      <c r="O604" s="2412">
        <f t="shared" si="175"/>
        <v>0</v>
      </c>
      <c r="P604" s="2938">
        <f t="shared" si="175"/>
        <v>0</v>
      </c>
      <c r="Q604" s="3162">
        <f t="shared" si="175"/>
        <v>0</v>
      </c>
      <c r="R604" s="2938">
        <f t="shared" si="175"/>
        <v>0</v>
      </c>
      <c r="S604" s="2335">
        <v>0</v>
      </c>
      <c r="T604" s="2958">
        <v>0</v>
      </c>
      <c r="U604" s="3138"/>
      <c r="V604" s="3249"/>
      <c r="W604" s="3138"/>
      <c r="X604" s="2960"/>
      <c r="Y604" s="2654">
        <f t="shared" si="166"/>
        <v>0</v>
      </c>
      <c r="Z604" s="2938">
        <f t="shared" si="167"/>
        <v>0</v>
      </c>
      <c r="AA604" s="2412">
        <f>M604+Y604</f>
        <v>24</v>
      </c>
      <c r="AB604" s="2940">
        <f>Z604+N604</f>
        <v>95000000</v>
      </c>
      <c r="AC604" s="2505">
        <f t="shared" si="172"/>
        <v>24</v>
      </c>
      <c r="AD604" s="2505">
        <f t="shared" si="173"/>
        <v>36.468330134357011</v>
      </c>
      <c r="AE604" s="3138" t="s">
        <v>3416</v>
      </c>
      <c r="AF604" s="3603"/>
    </row>
    <row r="605" spans="1:76" s="63" customFormat="1" ht="46.5" customHeight="1">
      <c r="A605" s="384"/>
      <c r="B605" s="384"/>
      <c r="C605" s="1218" t="s">
        <v>65</v>
      </c>
      <c r="D605" s="1218" t="s">
        <v>66</v>
      </c>
      <c r="E605" s="1218" t="s">
        <v>66</v>
      </c>
      <c r="F605" s="1218" t="s">
        <v>161</v>
      </c>
      <c r="G605" s="1218"/>
      <c r="H605" s="1218" t="s">
        <v>196</v>
      </c>
      <c r="I605" s="3169" t="s">
        <v>1591</v>
      </c>
      <c r="J605" s="384" t="s">
        <v>3825</v>
      </c>
      <c r="K605" s="1992">
        <v>30</v>
      </c>
      <c r="L605" s="2941">
        <v>260500000</v>
      </c>
      <c r="M605" s="1992">
        <v>24</v>
      </c>
      <c r="N605" s="2942">
        <v>95000000</v>
      </c>
      <c r="O605" s="1992">
        <v>0</v>
      </c>
      <c r="P605" s="2943">
        <v>0</v>
      </c>
      <c r="Q605" s="1259">
        <v>0</v>
      </c>
      <c r="R605" s="2941">
        <v>0</v>
      </c>
      <c r="S605" s="384">
        <v>0</v>
      </c>
      <c r="T605" s="2956" t="s">
        <v>2034</v>
      </c>
      <c r="U605" s="2438"/>
      <c r="V605" s="3173"/>
      <c r="W605" s="2438"/>
      <c r="X605" s="2944"/>
      <c r="Y605" s="2948">
        <f t="shared" si="166"/>
        <v>0</v>
      </c>
      <c r="Z605" s="2941">
        <f t="shared" si="167"/>
        <v>0</v>
      </c>
      <c r="AA605" s="1992">
        <f>M605+Y605</f>
        <v>24</v>
      </c>
      <c r="AB605" s="2949">
        <f t="shared" ref="AB605:AB614" si="176">N605+Z605</f>
        <v>95000000</v>
      </c>
      <c r="AC605" s="2950">
        <f t="shared" si="172"/>
        <v>80</v>
      </c>
      <c r="AD605" s="2435">
        <f t="shared" si="173"/>
        <v>36.468330134357011</v>
      </c>
      <c r="AE605" s="390"/>
      <c r="AF605" s="2863"/>
    </row>
    <row r="606" spans="1:76" s="63" customFormat="1" ht="60.75" customHeight="1">
      <c r="A606" s="2335">
        <v>4</v>
      </c>
      <c r="B606" s="2335" t="s">
        <v>1594</v>
      </c>
      <c r="C606" s="2374" t="s">
        <v>65</v>
      </c>
      <c r="D606" s="2374" t="s">
        <v>66</v>
      </c>
      <c r="E606" s="2374" t="s">
        <v>66</v>
      </c>
      <c r="F606" s="2374" t="s">
        <v>155</v>
      </c>
      <c r="G606" s="2374"/>
      <c r="H606" s="3795"/>
      <c r="I606" s="3153" t="s">
        <v>3242</v>
      </c>
      <c r="J606" s="3153" t="s">
        <v>1595</v>
      </c>
      <c r="K606" s="2509">
        <f>5*144</f>
        <v>720</v>
      </c>
      <c r="L606" s="2580">
        <f>SUM(L607:L608)</f>
        <v>8590002825</v>
      </c>
      <c r="M606" s="2709">
        <v>160</v>
      </c>
      <c r="N606" s="2961">
        <f>SUM(N607:N608)</f>
        <v>630632000</v>
      </c>
      <c r="O606" s="2412">
        <v>112</v>
      </c>
      <c r="P606" s="2962">
        <f>SUM(P607:P608)</f>
        <v>774494500</v>
      </c>
      <c r="Q606" s="3162">
        <v>3</v>
      </c>
      <c r="R606" s="2938">
        <f>SUM(R607:R608)</f>
        <v>12257405</v>
      </c>
      <c r="S606" s="2345">
        <v>50</v>
      </c>
      <c r="T606" s="2963">
        <v>234434405</v>
      </c>
      <c r="U606" s="2335">
        <v>1</v>
      </c>
      <c r="V606" s="2342">
        <f>SUM(V608)</f>
        <v>-5509000</v>
      </c>
      <c r="W606" s="2335"/>
      <c r="X606" s="2960"/>
      <c r="Y606" s="2654">
        <f t="shared" si="166"/>
        <v>54</v>
      </c>
      <c r="Z606" s="2938">
        <f t="shared" si="167"/>
        <v>241182810</v>
      </c>
      <c r="AA606" s="2477">
        <f t="shared" ref="AA606:AA611" si="177">M606+Y606</f>
        <v>214</v>
      </c>
      <c r="AB606" s="2940">
        <f t="shared" si="176"/>
        <v>871814810</v>
      </c>
      <c r="AC606" s="2505">
        <f t="shared" ref="AC606:AD611" si="178">AA606/K606*100</f>
        <v>29.722222222222221</v>
      </c>
      <c r="AD606" s="2964">
        <f t="shared" si="178"/>
        <v>10.149179549309403</v>
      </c>
      <c r="AE606" s="3138" t="s">
        <v>3416</v>
      </c>
    </row>
    <row r="607" spans="1:76" s="63" customFormat="1" ht="42.75" customHeight="1">
      <c r="A607" s="384"/>
      <c r="B607" s="384"/>
      <c r="C607" s="1218" t="s">
        <v>65</v>
      </c>
      <c r="D607" s="1218" t="s">
        <v>66</v>
      </c>
      <c r="E607" s="1218" t="s">
        <v>66</v>
      </c>
      <c r="F607" s="1218" t="s">
        <v>155</v>
      </c>
      <c r="G607" s="1218"/>
      <c r="H607" s="1218" t="s">
        <v>197</v>
      </c>
      <c r="I607" s="728" t="s">
        <v>1596</v>
      </c>
      <c r="J607" s="384" t="s">
        <v>3826</v>
      </c>
      <c r="K607" s="1992">
        <v>60</v>
      </c>
      <c r="L607" s="2941">
        <v>8570504825</v>
      </c>
      <c r="M607" s="1992">
        <v>20</v>
      </c>
      <c r="N607" s="2942">
        <v>630632000</v>
      </c>
      <c r="O607" s="1992">
        <v>10</v>
      </c>
      <c r="P607" s="2943">
        <v>754996500</v>
      </c>
      <c r="Q607" s="1259">
        <v>3</v>
      </c>
      <c r="R607" s="2941">
        <v>6748405</v>
      </c>
      <c r="S607" s="384">
        <v>5</v>
      </c>
      <c r="T607" s="2945">
        <v>213380405</v>
      </c>
      <c r="U607" s="3172">
        <v>3</v>
      </c>
      <c r="V607" s="3173">
        <v>407586005</v>
      </c>
      <c r="W607" s="2438"/>
      <c r="X607" s="2944"/>
      <c r="Y607" s="2948">
        <f t="shared" si="166"/>
        <v>11</v>
      </c>
      <c r="Z607" s="2941">
        <f t="shared" si="167"/>
        <v>627714815</v>
      </c>
      <c r="AA607" s="1992">
        <f t="shared" si="177"/>
        <v>31</v>
      </c>
      <c r="AB607" s="2949">
        <f t="shared" si="176"/>
        <v>1258346815</v>
      </c>
      <c r="AC607" s="2950">
        <f t="shared" si="178"/>
        <v>51.666666666666671</v>
      </c>
      <c r="AD607" s="2965">
        <f t="shared" si="178"/>
        <v>14.682295158733547</v>
      </c>
      <c r="AE607" s="390"/>
    </row>
    <row r="608" spans="1:76" s="63" customFormat="1" ht="50.25" customHeight="1">
      <c r="A608" s="384"/>
      <c r="B608" s="384"/>
      <c r="C608" s="1218" t="s">
        <v>65</v>
      </c>
      <c r="D608" s="1218" t="s">
        <v>66</v>
      </c>
      <c r="E608" s="1218" t="s">
        <v>66</v>
      </c>
      <c r="F608" s="1218" t="s">
        <v>155</v>
      </c>
      <c r="G608" s="1218"/>
      <c r="H608" s="1218" t="s">
        <v>391</v>
      </c>
      <c r="I608" s="728" t="s">
        <v>1605</v>
      </c>
      <c r="J608" s="384" t="s">
        <v>3827</v>
      </c>
      <c r="K608" s="1992">
        <v>54</v>
      </c>
      <c r="L608" s="2941">
        <v>19498000</v>
      </c>
      <c r="M608" s="1992">
        <v>18</v>
      </c>
      <c r="N608" s="2941">
        <v>0</v>
      </c>
      <c r="O608" s="1992">
        <v>9</v>
      </c>
      <c r="P608" s="2943">
        <v>19498000</v>
      </c>
      <c r="Q608" s="1259">
        <v>3</v>
      </c>
      <c r="R608" s="2941">
        <v>5509000</v>
      </c>
      <c r="S608" s="1199">
        <v>3</v>
      </c>
      <c r="T608" s="2966">
        <f>R608</f>
        <v>5509000</v>
      </c>
      <c r="U608" s="1259">
        <v>3</v>
      </c>
      <c r="V608" s="2348">
        <f>AF608-T608</f>
        <v>-5509000</v>
      </c>
      <c r="W608" s="1259"/>
      <c r="X608" s="2941"/>
      <c r="Y608" s="2948">
        <f t="shared" si="166"/>
        <v>9</v>
      </c>
      <c r="Z608" s="2941">
        <f t="shared" si="167"/>
        <v>5509000</v>
      </c>
      <c r="AA608" s="1992">
        <f t="shared" si="177"/>
        <v>27</v>
      </c>
      <c r="AB608" s="2949">
        <f t="shared" si="176"/>
        <v>5509000</v>
      </c>
      <c r="AC608" s="2950">
        <f t="shared" si="178"/>
        <v>50</v>
      </c>
      <c r="AD608" s="2965">
        <f t="shared" si="178"/>
        <v>28.254179915888813</v>
      </c>
      <c r="AE608" s="390"/>
    </row>
    <row r="609" spans="1:32" s="63" customFormat="1" ht="38.25">
      <c r="A609" s="2335">
        <v>5</v>
      </c>
      <c r="B609" s="2335" t="s">
        <v>1608</v>
      </c>
      <c r="C609" s="2374" t="s">
        <v>65</v>
      </c>
      <c r="D609" s="2374" t="s">
        <v>66</v>
      </c>
      <c r="E609" s="2374" t="s">
        <v>66</v>
      </c>
      <c r="F609" s="2374" t="s">
        <v>166</v>
      </c>
      <c r="G609" s="2374"/>
      <c r="H609" s="3795"/>
      <c r="I609" s="2363" t="s">
        <v>3243</v>
      </c>
      <c r="J609" s="3153" t="s">
        <v>3828</v>
      </c>
      <c r="K609" s="2577">
        <v>326</v>
      </c>
      <c r="L609" s="2337">
        <f>SUM(L610:L611)</f>
        <v>336322000</v>
      </c>
      <c r="M609" s="2709">
        <v>350</v>
      </c>
      <c r="N609" s="2961">
        <f>SUM(N610:N611)</f>
        <v>221984350</v>
      </c>
      <c r="O609" s="2509">
        <v>150</v>
      </c>
      <c r="P609" s="2961">
        <f>SUM(P610:P611)</f>
        <v>114337650</v>
      </c>
      <c r="Q609" s="2361">
        <v>3</v>
      </c>
      <c r="R609" s="2958">
        <f>SUM(R610:R611)</f>
        <v>12310000</v>
      </c>
      <c r="S609" s="2698">
        <v>5</v>
      </c>
      <c r="T609" s="2976">
        <v>52666600</v>
      </c>
      <c r="U609" s="2335"/>
      <c r="V609" s="2342">
        <f>SUM(V610)</f>
        <v>28046600</v>
      </c>
      <c r="W609" s="2335"/>
      <c r="X609" s="2960"/>
      <c r="Y609" s="2967">
        <f t="shared" si="166"/>
        <v>8</v>
      </c>
      <c r="Z609" s="2967">
        <f t="shared" si="167"/>
        <v>93023200</v>
      </c>
      <c r="AA609" s="2523">
        <f t="shared" si="177"/>
        <v>358</v>
      </c>
      <c r="AB609" s="2523">
        <f t="shared" si="176"/>
        <v>315007550</v>
      </c>
      <c r="AC609" s="2672">
        <f t="shared" si="178"/>
        <v>109.81595092024541</v>
      </c>
      <c r="AD609" s="2964">
        <f t="shared" si="178"/>
        <v>93.662487140300072</v>
      </c>
      <c r="AE609" s="3138" t="s">
        <v>3416</v>
      </c>
    </row>
    <row r="610" spans="1:32" s="63" customFormat="1" ht="40.5" customHeight="1">
      <c r="A610" s="383"/>
      <c r="B610" s="383"/>
      <c r="C610" s="1218" t="s">
        <v>65</v>
      </c>
      <c r="D610" s="1218" t="s">
        <v>66</v>
      </c>
      <c r="E610" s="1218" t="s">
        <v>66</v>
      </c>
      <c r="F610" s="1218" t="s">
        <v>166</v>
      </c>
      <c r="G610" s="1218"/>
      <c r="H610" s="1218" t="s">
        <v>65</v>
      </c>
      <c r="I610" s="728" t="s">
        <v>1610</v>
      </c>
      <c r="J610" s="3140" t="s">
        <v>3829</v>
      </c>
      <c r="K610" s="1992">
        <v>72</v>
      </c>
      <c r="L610" s="2941">
        <v>269286900</v>
      </c>
      <c r="M610" s="1992">
        <v>24</v>
      </c>
      <c r="N610" s="2942">
        <v>154949250</v>
      </c>
      <c r="O610" s="1992">
        <v>12</v>
      </c>
      <c r="P610" s="2943">
        <v>114337650</v>
      </c>
      <c r="Q610" s="1259">
        <v>3</v>
      </c>
      <c r="R610" s="2941">
        <v>12310000</v>
      </c>
      <c r="S610" s="1259">
        <v>3</v>
      </c>
      <c r="T610" s="2968">
        <v>40356600</v>
      </c>
      <c r="U610" s="3172">
        <v>3</v>
      </c>
      <c r="V610" s="3173">
        <v>28046600</v>
      </c>
      <c r="W610" s="2438"/>
      <c r="X610" s="2944"/>
      <c r="Y610" s="2948">
        <f t="shared" si="166"/>
        <v>9</v>
      </c>
      <c r="Z610" s="2941">
        <f t="shared" si="167"/>
        <v>80713200</v>
      </c>
      <c r="AA610" s="1992">
        <f t="shared" si="177"/>
        <v>33</v>
      </c>
      <c r="AB610" s="2949">
        <f t="shared" si="176"/>
        <v>235662450</v>
      </c>
      <c r="AC610" s="2969">
        <f t="shared" si="178"/>
        <v>45.833333333333329</v>
      </c>
      <c r="AD610" s="2970">
        <f t="shared" si="178"/>
        <v>87.513521823750068</v>
      </c>
      <c r="AE610" s="390"/>
      <c r="AF610" s="3603"/>
    </row>
    <row r="611" spans="1:32" s="63" customFormat="1" ht="36" customHeight="1">
      <c r="A611" s="383"/>
      <c r="B611" s="383"/>
      <c r="C611" s="1218" t="s">
        <v>66</v>
      </c>
      <c r="D611" s="1218" t="s">
        <v>65</v>
      </c>
      <c r="E611" s="1218" t="s">
        <v>66</v>
      </c>
      <c r="F611" s="1218" t="s">
        <v>166</v>
      </c>
      <c r="G611" s="1218"/>
      <c r="H611" s="1218" t="s">
        <v>396</v>
      </c>
      <c r="I611" s="1200" t="s">
        <v>1616</v>
      </c>
      <c r="J611" s="3140" t="s">
        <v>3830</v>
      </c>
      <c r="K611" s="1992">
        <v>1</v>
      </c>
      <c r="L611" s="2941">
        <v>67035100</v>
      </c>
      <c r="M611" s="2769">
        <v>1</v>
      </c>
      <c r="N611" s="2941">
        <v>67035100</v>
      </c>
      <c r="O611" s="1992">
        <v>0</v>
      </c>
      <c r="P611" s="2943">
        <v>0</v>
      </c>
      <c r="Q611" s="2941">
        <v>0</v>
      </c>
      <c r="R611" s="2955">
        <v>0</v>
      </c>
      <c r="S611" s="390"/>
      <c r="T611" s="2949"/>
      <c r="U611" s="390"/>
      <c r="V611" s="3173"/>
      <c r="W611" s="2438"/>
      <c r="X611" s="2944"/>
      <c r="Y611" s="2948">
        <f t="shared" si="166"/>
        <v>0</v>
      </c>
      <c r="Z611" s="2941">
        <f t="shared" si="167"/>
        <v>0</v>
      </c>
      <c r="AA611" s="1992">
        <f t="shared" si="177"/>
        <v>1</v>
      </c>
      <c r="AB611" s="2954">
        <f t="shared" si="176"/>
        <v>67035100</v>
      </c>
      <c r="AC611" s="2969">
        <f t="shared" si="178"/>
        <v>100</v>
      </c>
      <c r="AD611" s="2970">
        <f t="shared" si="178"/>
        <v>100</v>
      </c>
      <c r="AE611" s="390"/>
      <c r="AF611" s="2863"/>
    </row>
    <row r="612" spans="1:32" s="63" customFormat="1" ht="72" customHeight="1">
      <c r="A612" s="2335">
        <v>6</v>
      </c>
      <c r="B612" s="2335"/>
      <c r="C612" s="2374" t="s">
        <v>65</v>
      </c>
      <c r="D612" s="2374" t="s">
        <v>66</v>
      </c>
      <c r="E612" s="2374" t="s">
        <v>66</v>
      </c>
      <c r="F612" s="3795">
        <v>17</v>
      </c>
      <c r="G612" s="3795"/>
      <c r="H612" s="3795"/>
      <c r="I612" s="2359" t="s">
        <v>3244</v>
      </c>
      <c r="J612" s="3153" t="s">
        <v>1622</v>
      </c>
      <c r="K612" s="2509">
        <v>100</v>
      </c>
      <c r="L612" s="2337">
        <f>SUM(L613:L614)</f>
        <v>462899685</v>
      </c>
      <c r="M612" s="2412">
        <v>40</v>
      </c>
      <c r="N612" s="2961">
        <f>SUM(N613:N614)</f>
        <v>107655000</v>
      </c>
      <c r="O612" s="2412">
        <v>20</v>
      </c>
      <c r="P612" s="2962">
        <f>SUM(P613:P614)</f>
        <v>62265000</v>
      </c>
      <c r="Q612" s="2361">
        <v>3</v>
      </c>
      <c r="R612" s="2958">
        <f>SUM(R613:R614)</f>
        <v>1775000</v>
      </c>
      <c r="S612" s="2335">
        <v>5</v>
      </c>
      <c r="T612" s="2935">
        <v>9762500</v>
      </c>
      <c r="U612" s="2335"/>
      <c r="V612" s="2342">
        <f>SUM(V613)</f>
        <v>27940500</v>
      </c>
      <c r="W612" s="3138"/>
      <c r="X612" s="2958"/>
      <c r="Y612" s="2967">
        <f t="shared" si="166"/>
        <v>8</v>
      </c>
      <c r="Z612" s="2938">
        <f t="shared" si="167"/>
        <v>39478000</v>
      </c>
      <c r="AA612" s="3161">
        <f>M612+Y612</f>
        <v>48</v>
      </c>
      <c r="AB612" s="2940">
        <f t="shared" si="176"/>
        <v>147133000</v>
      </c>
      <c r="AC612" s="2971">
        <f t="shared" ref="AC612:AD614" si="179">AA612/K612*100</f>
        <v>48</v>
      </c>
      <c r="AD612" s="2971">
        <f t="shared" si="179"/>
        <v>31.78507239640917</v>
      </c>
      <c r="AE612" s="3138" t="s">
        <v>3416</v>
      </c>
    </row>
    <row r="613" spans="1:32" s="63" customFormat="1" ht="61.5" customHeight="1">
      <c r="A613" s="383"/>
      <c r="B613" s="383"/>
      <c r="C613" s="1218" t="s">
        <v>65</v>
      </c>
      <c r="D613" s="1218" t="s">
        <v>66</v>
      </c>
      <c r="E613" s="1218" t="s">
        <v>66</v>
      </c>
      <c r="F613" s="1218" t="s">
        <v>448</v>
      </c>
      <c r="G613" s="1218"/>
      <c r="H613" s="1218" t="s">
        <v>161</v>
      </c>
      <c r="I613" s="728" t="s">
        <v>1623</v>
      </c>
      <c r="J613" s="1936" t="s">
        <v>3245</v>
      </c>
      <c r="K613" s="1992">
        <v>72</v>
      </c>
      <c r="L613" s="2941">
        <v>416899685</v>
      </c>
      <c r="M613" s="1992">
        <v>24</v>
      </c>
      <c r="N613" s="2942">
        <v>61655000</v>
      </c>
      <c r="O613" s="1992">
        <v>12</v>
      </c>
      <c r="P613" s="2943">
        <v>62265000</v>
      </c>
      <c r="Q613" s="1259">
        <v>3</v>
      </c>
      <c r="R613" s="2941">
        <v>1775000</v>
      </c>
      <c r="S613" s="1259">
        <v>5</v>
      </c>
      <c r="T613" s="2968">
        <v>9762500</v>
      </c>
      <c r="U613" s="3172">
        <v>3</v>
      </c>
      <c r="V613" s="3173">
        <v>27940500</v>
      </c>
      <c r="W613" s="2438"/>
      <c r="X613" s="2944"/>
      <c r="Y613" s="2948">
        <f t="shared" si="166"/>
        <v>11</v>
      </c>
      <c r="Z613" s="2941">
        <f t="shared" si="167"/>
        <v>39478000</v>
      </c>
      <c r="AA613" s="1992">
        <f>M613+Y613</f>
        <v>35</v>
      </c>
      <c r="AB613" s="2949">
        <f t="shared" si="176"/>
        <v>101133000</v>
      </c>
      <c r="AC613" s="2972">
        <f t="shared" si="179"/>
        <v>48.611111111111107</v>
      </c>
      <c r="AD613" s="2973">
        <f t="shared" si="179"/>
        <v>24.258353661265058</v>
      </c>
      <c r="AE613" s="390"/>
    </row>
    <row r="614" spans="1:32" s="63" customFormat="1" ht="45.75" customHeight="1">
      <c r="A614" s="383"/>
      <c r="B614" s="383"/>
      <c r="C614" s="3790"/>
      <c r="D614" s="3790"/>
      <c r="E614" s="3790"/>
      <c r="F614" s="3790"/>
      <c r="G614" s="3790"/>
      <c r="H614" s="3790"/>
      <c r="I614" s="728" t="s">
        <v>1626</v>
      </c>
      <c r="J614" s="1936" t="s">
        <v>3246</v>
      </c>
      <c r="K614" s="1992">
        <v>72</v>
      </c>
      <c r="L614" s="2941">
        <v>46000000</v>
      </c>
      <c r="M614" s="1992">
        <v>24</v>
      </c>
      <c r="N614" s="2942">
        <v>46000000</v>
      </c>
      <c r="O614" s="1992">
        <v>0</v>
      </c>
      <c r="P614" s="1992">
        <v>0</v>
      </c>
      <c r="Q614" s="1992">
        <v>0</v>
      </c>
      <c r="R614" s="1995">
        <v>0</v>
      </c>
      <c r="S614" s="1199" t="s">
        <v>2034</v>
      </c>
      <c r="T614" s="2974" t="s">
        <v>2034</v>
      </c>
      <c r="U614" s="390"/>
      <c r="V614" s="3173"/>
      <c r="W614" s="390"/>
      <c r="X614" s="2944"/>
      <c r="Y614" s="2948">
        <f t="shared" si="166"/>
        <v>0</v>
      </c>
      <c r="Z614" s="2941">
        <f t="shared" si="167"/>
        <v>0</v>
      </c>
      <c r="AA614" s="1992">
        <f>M614+Y614</f>
        <v>24</v>
      </c>
      <c r="AB614" s="2949">
        <f t="shared" si="176"/>
        <v>46000000</v>
      </c>
      <c r="AC614" s="2972">
        <f t="shared" si="179"/>
        <v>33.333333333333329</v>
      </c>
      <c r="AD614" s="2973">
        <f t="shared" si="179"/>
        <v>100</v>
      </c>
      <c r="AE614" s="390"/>
    </row>
    <row r="615" spans="1:32" s="63" customFormat="1" ht="17.25" customHeight="1">
      <c r="A615" s="4244" t="s">
        <v>89</v>
      </c>
      <c r="B615" s="4244"/>
      <c r="C615" s="4245"/>
      <c r="D615" s="4245"/>
      <c r="E615" s="4245"/>
      <c r="F615" s="4245"/>
      <c r="G615" s="4245"/>
      <c r="H615" s="4245"/>
      <c r="I615" s="4245"/>
      <c r="J615" s="4245"/>
      <c r="K615" s="4245"/>
      <c r="L615" s="4245"/>
      <c r="M615" s="4245"/>
      <c r="N615" s="4245"/>
      <c r="O615" s="4245"/>
      <c r="P615" s="4245"/>
      <c r="Q615" s="4245"/>
      <c r="R615" s="4245"/>
      <c r="S615" s="4245"/>
      <c r="T615" s="4245"/>
      <c r="U615" s="4245"/>
      <c r="V615" s="4245"/>
      <c r="W615" s="4245"/>
      <c r="X615" s="4245"/>
      <c r="Y615" s="4245"/>
      <c r="Z615" s="4245"/>
      <c r="AA615" s="4245"/>
      <c r="AB615" s="4245"/>
      <c r="AC615" s="2030">
        <f>(AC584+AC597+AC604+AC606+AC609+AC612)/6</f>
        <v>50.534139968189045</v>
      </c>
      <c r="AD615" s="2030">
        <f>(AD584+AD597+AD604+AD606+AD609+AD612)/6</f>
        <v>45.307958798223126</v>
      </c>
      <c r="AE615" s="390"/>
    </row>
    <row r="616" spans="1:32" s="63" customFormat="1" ht="17.25" customHeight="1">
      <c r="A616" s="4244" t="s">
        <v>90</v>
      </c>
      <c r="B616" s="4244"/>
      <c r="C616" s="4245"/>
      <c r="D616" s="4245"/>
      <c r="E616" s="4245"/>
      <c r="F616" s="4245"/>
      <c r="G616" s="4245"/>
      <c r="H616" s="4245"/>
      <c r="I616" s="4245"/>
      <c r="J616" s="4245"/>
      <c r="K616" s="4245"/>
      <c r="L616" s="4245"/>
      <c r="M616" s="4245"/>
      <c r="N616" s="4245"/>
      <c r="O616" s="4245"/>
      <c r="P616" s="4245"/>
      <c r="Q616" s="4245"/>
      <c r="R616" s="4245"/>
      <c r="S616" s="4245"/>
      <c r="T616" s="4245"/>
      <c r="U616" s="4245"/>
      <c r="V616" s="4245"/>
      <c r="W616" s="4245"/>
      <c r="X616" s="4245"/>
      <c r="Y616" s="4245"/>
      <c r="Z616" s="4245"/>
      <c r="AA616" s="4245"/>
      <c r="AB616" s="4245"/>
      <c r="AC616" s="3152" t="str">
        <f>IF(AC615&gt;=91,"ST",IF(AC615&gt;=76,"T",IF(AC615&gt;=66,"S",IF(AC615&gt;=51,"R","SR"))))</f>
        <v>SR</v>
      </c>
      <c r="AD616" s="3152" t="str">
        <f>IF(AD615&gt;=91,"ST",IF(AD615&gt;=76,"T",IF(AD615&gt;=66,"S",IF(AD615&gt;=51,"R","SR"))))</f>
        <v>SR</v>
      </c>
      <c r="AE616" s="390"/>
    </row>
    <row r="617" spans="1:32" s="63" customFormat="1" ht="39" customHeight="1">
      <c r="A617" s="2546" t="s">
        <v>31</v>
      </c>
      <c r="B617" s="2918"/>
      <c r="C617" s="2546"/>
      <c r="D617" s="2546"/>
      <c r="E617" s="2546"/>
      <c r="F617" s="2546"/>
      <c r="G617" s="2546"/>
      <c r="H617" s="2546"/>
      <c r="I617" s="2515" t="s">
        <v>135</v>
      </c>
      <c r="J617" s="2918"/>
      <c r="K617" s="3210"/>
      <c r="L617" s="3198">
        <f>L618+L622+L625</f>
        <v>1445075162</v>
      </c>
      <c r="M617" s="3210"/>
      <c r="N617" s="3195">
        <f>N618+N622+N625</f>
        <v>366265225</v>
      </c>
      <c r="O617" s="3210"/>
      <c r="P617" s="3195">
        <f>SUM(P618+P622+P625+P627)</f>
        <v>593607148</v>
      </c>
      <c r="Q617" s="3210"/>
      <c r="R617" s="2916">
        <f>R618+R622+R625</f>
        <v>29446850</v>
      </c>
      <c r="S617" s="2918"/>
      <c r="T617" s="3101">
        <f>SUM(T619:T621)</f>
        <v>20602500</v>
      </c>
      <c r="U617" s="2918"/>
      <c r="V617" s="3101">
        <f>SUM(V619:V621)</f>
        <v>60571120</v>
      </c>
      <c r="W617" s="2918"/>
      <c r="X617" s="2918"/>
      <c r="Y617" s="3210"/>
      <c r="Z617" s="2916">
        <f>R617+T617+V617</f>
        <v>110620470</v>
      </c>
      <c r="AA617" s="3210"/>
      <c r="AB617" s="2916">
        <f>AB618+AB622+AB625</f>
        <v>552220496</v>
      </c>
      <c r="AC617" s="3210"/>
      <c r="AD617" s="3210"/>
      <c r="AE617" s="3211"/>
      <c r="AF617" s="2863"/>
    </row>
    <row r="618" spans="1:32" s="63" customFormat="1" ht="68.25" customHeight="1">
      <c r="A618" s="2345">
        <v>1</v>
      </c>
      <c r="B618" s="2335" t="s">
        <v>3206</v>
      </c>
      <c r="C618" s="2874"/>
      <c r="D618" s="2874"/>
      <c r="E618" s="2874"/>
      <c r="F618" s="2874"/>
      <c r="G618" s="2874"/>
      <c r="H618" s="2874"/>
      <c r="I618" s="3120" t="s">
        <v>4139</v>
      </c>
      <c r="J618" s="2335" t="s">
        <v>3247</v>
      </c>
      <c r="K618" s="2377">
        <v>0.8</v>
      </c>
      <c r="L618" s="3612">
        <f>SUM(L619:L621)</f>
        <v>727575162</v>
      </c>
      <c r="M618" s="2377">
        <v>0.29039999999999999</v>
      </c>
      <c r="N618" s="2477">
        <f>N620+N621</f>
        <v>156395105</v>
      </c>
      <c r="O618" s="2377">
        <v>0.3</v>
      </c>
      <c r="P618" s="2361">
        <f>SUM(P619:P621)</f>
        <v>201693506</v>
      </c>
      <c r="Q618" s="2413">
        <f>R618/P618</f>
        <v>3.8317297136973759E-2</v>
      </c>
      <c r="R618" s="2477">
        <f>SUM(R620:R621)</f>
        <v>7728350</v>
      </c>
      <c r="S618" s="3613"/>
      <c r="T618" s="2523">
        <f>SUM(T619:T621)</f>
        <v>20602500</v>
      </c>
      <c r="U618" s="3613"/>
      <c r="V618" s="2523">
        <f>SUM(V619:V621)</f>
        <v>60571120</v>
      </c>
      <c r="W618" s="3613"/>
      <c r="X618" s="3613"/>
      <c r="Y618" s="2540">
        <f t="shared" ref="Y618:Z630" si="180">Q618+S618+U618+W618</f>
        <v>3.8317297136973759E-2</v>
      </c>
      <c r="Z618" s="2361">
        <f t="shared" si="180"/>
        <v>88901970</v>
      </c>
      <c r="AA618" s="2540">
        <f>Y618+M618</f>
        <v>0.32871729713697373</v>
      </c>
      <c r="AB618" s="2361">
        <f>Z618+N618</f>
        <v>245297075</v>
      </c>
      <c r="AC618" s="2505">
        <f t="shared" ref="AC618:AC628" si="181">AA618/K618*100</f>
        <v>41.089662142121711</v>
      </c>
      <c r="AD618" s="2505">
        <f t="shared" ref="AD618:AD630" si="182">(AB618/L618)*100</f>
        <v>33.714327785147788</v>
      </c>
      <c r="AE618" s="3610" t="s">
        <v>3178</v>
      </c>
    </row>
    <row r="619" spans="1:32" s="475" customFormat="1" ht="54" customHeight="1">
      <c r="A619" s="2516"/>
      <c r="B619" s="2516"/>
      <c r="C619" s="2207"/>
      <c r="D619" s="2207"/>
      <c r="E619" s="2207"/>
      <c r="F619" s="2207"/>
      <c r="G619" s="2207"/>
      <c r="H619" s="2207"/>
      <c r="I619" s="2516" t="s">
        <v>3207</v>
      </c>
      <c r="J619" s="1380" t="s">
        <v>3248</v>
      </c>
      <c r="K619" s="1396">
        <v>15</v>
      </c>
      <c r="L619" s="2292">
        <f>3*P619</f>
        <v>258389847</v>
      </c>
      <c r="M619" s="1396">
        <v>0</v>
      </c>
      <c r="N619" s="2479"/>
      <c r="O619" s="2285">
        <v>2</v>
      </c>
      <c r="P619" s="2292">
        <v>86129949</v>
      </c>
      <c r="Q619" s="1396">
        <v>0</v>
      </c>
      <c r="R619" s="2287">
        <v>0</v>
      </c>
      <c r="S619" s="1396">
        <v>0</v>
      </c>
      <c r="T619" s="2286">
        <v>1106000</v>
      </c>
      <c r="U619" s="1396">
        <v>0</v>
      </c>
      <c r="V619" s="2292">
        <v>35397620</v>
      </c>
      <c r="W619" s="1396"/>
      <c r="X619" s="1396"/>
      <c r="Y619" s="2480">
        <f t="shared" si="180"/>
        <v>0</v>
      </c>
      <c r="Z619" s="2292">
        <f t="shared" si="180"/>
        <v>36503620</v>
      </c>
      <c r="AA619" s="2480">
        <f t="shared" ref="AA619:AB628" si="183">Y619+M619</f>
        <v>0</v>
      </c>
      <c r="AB619" s="2292">
        <f t="shared" si="183"/>
        <v>36503620</v>
      </c>
      <c r="AC619" s="2480">
        <f t="shared" si="181"/>
        <v>0</v>
      </c>
      <c r="AD619" s="2480">
        <f t="shared" si="182"/>
        <v>14.127343014371613</v>
      </c>
      <c r="AE619" s="2207"/>
    </row>
    <row r="620" spans="1:32" s="63" customFormat="1" ht="51.75" customHeight="1">
      <c r="A620" s="2516"/>
      <c r="B620" s="2516"/>
      <c r="C620" s="2207"/>
      <c r="D620" s="2207"/>
      <c r="E620" s="2207"/>
      <c r="F620" s="2207"/>
      <c r="G620" s="2207"/>
      <c r="H620" s="2207"/>
      <c r="I620" s="2516" t="s">
        <v>3208</v>
      </c>
      <c r="J620" s="2516" t="s">
        <v>3831</v>
      </c>
      <c r="K620" s="2290">
        <v>0.6</v>
      </c>
      <c r="L620" s="2292">
        <f>3*N620</f>
        <v>267868020</v>
      </c>
      <c r="M620" s="2481">
        <v>0.29039999999999999</v>
      </c>
      <c r="N620" s="2479">
        <v>89289340</v>
      </c>
      <c r="O620" s="2290">
        <v>0.15</v>
      </c>
      <c r="P620" s="2292">
        <v>84103590</v>
      </c>
      <c r="Q620" s="2481">
        <v>0.02</v>
      </c>
      <c r="R620" s="2287">
        <v>6728350</v>
      </c>
      <c r="S620" s="2378">
        <v>0.02</v>
      </c>
      <c r="T620" s="2286">
        <v>6930000</v>
      </c>
      <c r="U620" s="2378">
        <v>0.05</v>
      </c>
      <c r="V620" s="2292">
        <v>20673500</v>
      </c>
      <c r="W620" s="1396"/>
      <c r="X620" s="1396"/>
      <c r="Y620" s="2288">
        <f t="shared" si="180"/>
        <v>0.09</v>
      </c>
      <c r="Z620" s="2292">
        <f t="shared" si="180"/>
        <v>34331850</v>
      </c>
      <c r="AA620" s="2288">
        <f t="shared" si="183"/>
        <v>0.38039999999999996</v>
      </c>
      <c r="AB620" s="2292">
        <f t="shared" si="183"/>
        <v>123621190</v>
      </c>
      <c r="AC620" s="2480">
        <f t="shared" si="181"/>
        <v>63.4</v>
      </c>
      <c r="AD620" s="2480">
        <f t="shared" si="182"/>
        <v>46.150036872636008</v>
      </c>
      <c r="AE620" s="2207"/>
    </row>
    <row r="621" spans="1:32" s="63" customFormat="1" ht="51.75" customHeight="1">
      <c r="A621" s="2516"/>
      <c r="B621" s="2516"/>
      <c r="C621" s="2207"/>
      <c r="D621" s="2207"/>
      <c r="E621" s="2207"/>
      <c r="F621" s="2207"/>
      <c r="G621" s="2207"/>
      <c r="H621" s="2207"/>
      <c r="I621" s="2516" t="s">
        <v>3209</v>
      </c>
      <c r="J621" s="2516" t="s">
        <v>3832</v>
      </c>
      <c r="K621" s="1396">
        <v>45</v>
      </c>
      <c r="L621" s="2292">
        <f>3*N621</f>
        <v>201317295</v>
      </c>
      <c r="M621" s="1396">
        <v>20</v>
      </c>
      <c r="N621" s="2485">
        <v>67105765</v>
      </c>
      <c r="O621" s="1396">
        <v>20</v>
      </c>
      <c r="P621" s="2292">
        <v>31459967</v>
      </c>
      <c r="Q621" s="2285">
        <v>0</v>
      </c>
      <c r="R621" s="2287">
        <v>1000000</v>
      </c>
      <c r="S621" s="2286">
        <v>20</v>
      </c>
      <c r="T621" s="2286">
        <v>12566500</v>
      </c>
      <c r="U621" s="1396">
        <v>0</v>
      </c>
      <c r="V621" s="2292">
        <v>4500000</v>
      </c>
      <c r="W621" s="1396"/>
      <c r="X621" s="1396"/>
      <c r="Y621" s="2480">
        <f t="shared" si="180"/>
        <v>20</v>
      </c>
      <c r="Z621" s="2292">
        <f t="shared" si="180"/>
        <v>18066500</v>
      </c>
      <c r="AA621" s="2480">
        <f t="shared" si="183"/>
        <v>40</v>
      </c>
      <c r="AB621" s="2292">
        <f t="shared" si="183"/>
        <v>85172265</v>
      </c>
      <c r="AC621" s="2480">
        <f t="shared" si="181"/>
        <v>88.888888888888886</v>
      </c>
      <c r="AD621" s="2480">
        <f t="shared" si="182"/>
        <v>42.307475371154773</v>
      </c>
      <c r="AE621" s="2207"/>
    </row>
    <row r="622" spans="1:32" s="63" customFormat="1" ht="84" customHeight="1">
      <c r="A622" s="2335">
        <v>2</v>
      </c>
      <c r="B622" s="2335" t="s">
        <v>3206</v>
      </c>
      <c r="C622" s="2874"/>
      <c r="D622" s="2874"/>
      <c r="E622" s="2874"/>
      <c r="F622" s="2874"/>
      <c r="G622" s="2874"/>
      <c r="H622" s="2874"/>
      <c r="I622" s="3611" t="s">
        <v>3210</v>
      </c>
      <c r="J622" s="2335" t="s">
        <v>3833</v>
      </c>
      <c r="K622" s="2377">
        <v>0.8</v>
      </c>
      <c r="L622" s="3612">
        <f>SUM(L623:L624)</f>
        <v>467500000</v>
      </c>
      <c r="M622" s="2338">
        <v>0.6</v>
      </c>
      <c r="N622" s="2542">
        <f>N623</f>
        <v>60563060</v>
      </c>
      <c r="O622" s="2338">
        <v>0.5</v>
      </c>
      <c r="P622" s="2467">
        <f>SUM(P623:P624)</f>
        <v>145344827</v>
      </c>
      <c r="Q622" s="2346">
        <v>7.0699999999999999E-2</v>
      </c>
      <c r="R622" s="2467">
        <f>SUM(R623:R624)</f>
        <v>10273400</v>
      </c>
      <c r="S622" s="2543"/>
      <c r="T622" s="2587">
        <f>SUM(T623:T624)</f>
        <v>26217800</v>
      </c>
      <c r="U622" s="2543"/>
      <c r="V622" s="2587">
        <f>SUM(V623:V624)</f>
        <v>25517800</v>
      </c>
      <c r="W622" s="2543"/>
      <c r="X622" s="2543"/>
      <c r="Y622" s="2336">
        <f t="shared" si="180"/>
        <v>7.0699999999999999E-2</v>
      </c>
      <c r="Z622" s="2467">
        <f t="shared" si="180"/>
        <v>62009000</v>
      </c>
      <c r="AA622" s="2336">
        <f t="shared" si="183"/>
        <v>0.67069999999999996</v>
      </c>
      <c r="AB622" s="2467">
        <f t="shared" si="183"/>
        <v>122572060</v>
      </c>
      <c r="AC622" s="2544">
        <f t="shared" si="181"/>
        <v>83.837499999999991</v>
      </c>
      <c r="AD622" s="2544">
        <f t="shared" si="182"/>
        <v>26.218622459893048</v>
      </c>
      <c r="AE622" s="3610" t="s">
        <v>3178</v>
      </c>
    </row>
    <row r="623" spans="1:32" s="63" customFormat="1" ht="66.75" customHeight="1">
      <c r="A623" s="2516"/>
      <c r="B623" s="2516"/>
      <c r="C623" s="2207"/>
      <c r="D623" s="2207"/>
      <c r="E623" s="2207"/>
      <c r="F623" s="2207"/>
      <c r="G623" s="2207"/>
      <c r="H623" s="2207"/>
      <c r="I623" s="2541" t="s">
        <v>3211</v>
      </c>
      <c r="J623" s="2516" t="s">
        <v>3249</v>
      </c>
      <c r="K623" s="1396">
        <v>15</v>
      </c>
      <c r="L623" s="2292">
        <v>275000000</v>
      </c>
      <c r="M623" s="2285">
        <v>2</v>
      </c>
      <c r="N623" s="2479">
        <v>60563060</v>
      </c>
      <c r="O623" s="2285">
        <v>2</v>
      </c>
      <c r="P623" s="2292">
        <v>113859822</v>
      </c>
      <c r="Q623" s="2285">
        <v>0</v>
      </c>
      <c r="R623" s="2287">
        <v>7843500</v>
      </c>
      <c r="S623" s="1396">
        <v>2</v>
      </c>
      <c r="T623" s="2286">
        <v>21537300</v>
      </c>
      <c r="U623" s="1396">
        <v>0</v>
      </c>
      <c r="V623" s="2292">
        <v>14979600</v>
      </c>
      <c r="W623" s="1396"/>
      <c r="X623" s="1396"/>
      <c r="Y623" s="2480">
        <f t="shared" si="180"/>
        <v>2</v>
      </c>
      <c r="Z623" s="2292">
        <f t="shared" si="180"/>
        <v>44360400</v>
      </c>
      <c r="AA623" s="2480">
        <f t="shared" si="183"/>
        <v>4</v>
      </c>
      <c r="AB623" s="2292">
        <f t="shared" si="183"/>
        <v>104923460</v>
      </c>
      <c r="AC623" s="2480">
        <f t="shared" si="181"/>
        <v>26.666666666666668</v>
      </c>
      <c r="AD623" s="2480">
        <f t="shared" si="182"/>
        <v>38.153985454545456</v>
      </c>
      <c r="AE623" s="2207"/>
    </row>
    <row r="624" spans="1:32" s="63" customFormat="1" ht="33" customHeight="1">
      <c r="A624" s="2516"/>
      <c r="B624" s="2516"/>
      <c r="C624" s="2207"/>
      <c r="D624" s="2207"/>
      <c r="E624" s="2207"/>
      <c r="F624" s="2207"/>
      <c r="G624" s="2207"/>
      <c r="H624" s="2207"/>
      <c r="I624" s="2516" t="s">
        <v>3212</v>
      </c>
      <c r="J624" s="1380" t="s">
        <v>3834</v>
      </c>
      <c r="K624" s="2283">
        <v>5</v>
      </c>
      <c r="L624" s="2486">
        <v>192500000</v>
      </c>
      <c r="M624" s="2485"/>
      <c r="N624" s="3614"/>
      <c r="O624" s="2283">
        <v>1</v>
      </c>
      <c r="P624" s="2292">
        <v>31485005</v>
      </c>
      <c r="Q624" s="2285">
        <v>0</v>
      </c>
      <c r="R624" s="2287">
        <v>2429900</v>
      </c>
      <c r="S624" s="1396">
        <v>0</v>
      </c>
      <c r="T624" s="2286">
        <v>4680500</v>
      </c>
      <c r="U624" s="1396">
        <v>0</v>
      </c>
      <c r="V624" s="2292">
        <v>10538200</v>
      </c>
      <c r="W624" s="1396"/>
      <c r="X624" s="1396"/>
      <c r="Y624" s="2480">
        <f t="shared" si="180"/>
        <v>0</v>
      </c>
      <c r="Z624" s="2292">
        <f t="shared" si="180"/>
        <v>17648600</v>
      </c>
      <c r="AA624" s="2480">
        <f t="shared" si="183"/>
        <v>0</v>
      </c>
      <c r="AB624" s="2292">
        <f t="shared" si="183"/>
        <v>17648600</v>
      </c>
      <c r="AC624" s="2480">
        <f t="shared" si="181"/>
        <v>0</v>
      </c>
      <c r="AD624" s="2480">
        <f t="shared" si="182"/>
        <v>9.1681038961038972</v>
      </c>
      <c r="AE624" s="2207"/>
    </row>
    <row r="625" spans="1:76" s="63" customFormat="1" ht="76.5">
      <c r="A625" s="2345">
        <v>3</v>
      </c>
      <c r="B625" s="2335" t="s">
        <v>3206</v>
      </c>
      <c r="C625" s="2874"/>
      <c r="D625" s="2874"/>
      <c r="E625" s="2874"/>
      <c r="F625" s="2874"/>
      <c r="G625" s="2874"/>
      <c r="H625" s="2874"/>
      <c r="I625" s="3611" t="s">
        <v>4228</v>
      </c>
      <c r="J625" s="2335" t="s">
        <v>3250</v>
      </c>
      <c r="K625" s="3613">
        <v>15</v>
      </c>
      <c r="L625" s="2361">
        <v>250000000</v>
      </c>
      <c r="M625" s="2412">
        <v>3</v>
      </c>
      <c r="N625" s="2507">
        <v>149307060</v>
      </c>
      <c r="O625" s="2412">
        <v>3</v>
      </c>
      <c r="P625" s="2361">
        <v>71012892</v>
      </c>
      <c r="Q625" s="2412">
        <v>0</v>
      </c>
      <c r="R625" s="2545">
        <v>11445100</v>
      </c>
      <c r="S625" s="3613"/>
      <c r="T625" s="2523">
        <f>SUM(T626)</f>
        <v>9788900</v>
      </c>
      <c r="U625" s="3613"/>
      <c r="V625" s="2523">
        <f>SUM(V626)</f>
        <v>13810301</v>
      </c>
      <c r="W625" s="3613"/>
      <c r="X625" s="3613"/>
      <c r="Y625" s="2505">
        <f t="shared" si="180"/>
        <v>0</v>
      </c>
      <c r="Z625" s="2361">
        <f t="shared" si="180"/>
        <v>35044301</v>
      </c>
      <c r="AA625" s="2505">
        <f t="shared" si="183"/>
        <v>3</v>
      </c>
      <c r="AB625" s="2361">
        <f t="shared" si="183"/>
        <v>184351361</v>
      </c>
      <c r="AC625" s="2505">
        <f t="shared" si="181"/>
        <v>20</v>
      </c>
      <c r="AD625" s="2505">
        <f t="shared" si="182"/>
        <v>73.74054439999999</v>
      </c>
      <c r="AE625" s="3610" t="s">
        <v>3178</v>
      </c>
    </row>
    <row r="626" spans="1:76" s="63" customFormat="1" ht="57.75" customHeight="1">
      <c r="A626" s="2516"/>
      <c r="B626" s="2516"/>
      <c r="C626" s="2207"/>
      <c r="D626" s="2207"/>
      <c r="E626" s="2207"/>
      <c r="F626" s="2207"/>
      <c r="G626" s="2207"/>
      <c r="H626" s="2207"/>
      <c r="I626" s="2516" t="s">
        <v>3213</v>
      </c>
      <c r="J626" s="2516" t="s">
        <v>3250</v>
      </c>
      <c r="K626" s="1396">
        <v>15</v>
      </c>
      <c r="L626" s="2292">
        <v>250000000</v>
      </c>
      <c r="M626" s="2285">
        <v>3</v>
      </c>
      <c r="N626" s="2479">
        <v>149307060</v>
      </c>
      <c r="O626" s="2285">
        <v>2</v>
      </c>
      <c r="P626" s="2292">
        <v>71012892</v>
      </c>
      <c r="Q626" s="2285">
        <v>0</v>
      </c>
      <c r="R626" s="2287">
        <v>11445100</v>
      </c>
      <c r="S626" s="1396">
        <v>0</v>
      </c>
      <c r="T626" s="2286">
        <v>9788900</v>
      </c>
      <c r="U626" s="1396">
        <v>0</v>
      </c>
      <c r="V626" s="2292">
        <v>13810301</v>
      </c>
      <c r="W626" s="1396"/>
      <c r="X626" s="1396"/>
      <c r="Y626" s="2480">
        <f t="shared" si="180"/>
        <v>0</v>
      </c>
      <c r="Z626" s="2292">
        <f t="shared" si="180"/>
        <v>35044301</v>
      </c>
      <c r="AA626" s="2480">
        <f t="shared" si="183"/>
        <v>3</v>
      </c>
      <c r="AB626" s="2292">
        <f t="shared" si="183"/>
        <v>184351361</v>
      </c>
      <c r="AC626" s="2480">
        <f t="shared" si="181"/>
        <v>20</v>
      </c>
      <c r="AD626" s="2480">
        <f t="shared" si="182"/>
        <v>73.74054439999999</v>
      </c>
      <c r="AE626" s="2207"/>
    </row>
    <row r="627" spans="1:76" s="63" customFormat="1" ht="65.25" customHeight="1">
      <c r="A627" s="2335">
        <v>4</v>
      </c>
      <c r="B627" s="2335" t="s">
        <v>3206</v>
      </c>
      <c r="C627" s="3795"/>
      <c r="D627" s="3795"/>
      <c r="E627" s="3795"/>
      <c r="F627" s="3795"/>
      <c r="G627" s="3795"/>
      <c r="H627" s="3795"/>
      <c r="I627" s="3611" t="s">
        <v>3214</v>
      </c>
      <c r="J627" s="2335" t="s">
        <v>3835</v>
      </c>
      <c r="K627" s="2413">
        <v>7.0000000000000001E-3</v>
      </c>
      <c r="L627" s="2361">
        <f>SUM(L628:L630)</f>
        <v>954368542</v>
      </c>
      <c r="M627" s="2413">
        <v>5.7999999999999996E-3</v>
      </c>
      <c r="N627" s="2477">
        <f>SUM(N628:N630)</f>
        <v>368290022</v>
      </c>
      <c r="O627" s="2413">
        <v>1E-3</v>
      </c>
      <c r="P627" s="2361">
        <f>SUM(P628:P630)</f>
        <v>175555923</v>
      </c>
      <c r="Q627" s="2413">
        <v>4.0000000000000002E-4</v>
      </c>
      <c r="R627" s="2477">
        <f>SUM(R628:R630)</f>
        <v>10600000</v>
      </c>
      <c r="S627" s="3613"/>
      <c r="T627" s="2477">
        <f>SUM(T628:T630)</f>
        <v>22392746</v>
      </c>
      <c r="U627" s="3613"/>
      <c r="V627" s="2477">
        <f>SUM(V628:V630)</f>
        <v>8966200</v>
      </c>
      <c r="W627" s="3613"/>
      <c r="X627" s="3613"/>
      <c r="Y627" s="2540">
        <f t="shared" si="180"/>
        <v>4.0000000000000002E-4</v>
      </c>
      <c r="Z627" s="2361">
        <f>SUM(R627+T627)</f>
        <v>32992746</v>
      </c>
      <c r="AA627" s="2540">
        <f t="shared" ref="AA627" si="184">Y627+M627</f>
        <v>6.1999999999999998E-3</v>
      </c>
      <c r="AB627" s="2361">
        <f t="shared" ref="AB627" si="185">Z627+N627</f>
        <v>401282768</v>
      </c>
      <c r="AC627" s="2505">
        <f t="shared" ref="AC627" si="186">AA627/K627*100</f>
        <v>88.571428571428569</v>
      </c>
      <c r="AD627" s="2505">
        <f t="shared" ref="AD627" si="187">(AB627/L627)*100</f>
        <v>42.046939975521532</v>
      </c>
      <c r="AE627" s="3610" t="s">
        <v>3178</v>
      </c>
    </row>
    <row r="628" spans="1:76" s="63" customFormat="1" ht="30.75" customHeight="1">
      <c r="A628" s="2516"/>
      <c r="B628" s="2516"/>
      <c r="C628" s="2207"/>
      <c r="D628" s="2207"/>
      <c r="E628" s="2207"/>
      <c r="F628" s="2207"/>
      <c r="G628" s="2207"/>
      <c r="H628" s="2207"/>
      <c r="I628" s="2516" t="s">
        <v>3215</v>
      </c>
      <c r="J628" s="2516" t="s">
        <v>3251</v>
      </c>
      <c r="K628" s="1396">
        <v>60</v>
      </c>
      <c r="L628" s="2292">
        <f>3*N628</f>
        <v>704068542</v>
      </c>
      <c r="M628" s="1396">
        <v>12</v>
      </c>
      <c r="N628" s="2287">
        <v>234689514</v>
      </c>
      <c r="O628" s="1396">
        <v>8</v>
      </c>
      <c r="P628" s="2292">
        <v>75000000</v>
      </c>
      <c r="Q628" s="2285">
        <v>2</v>
      </c>
      <c r="R628" s="2287">
        <v>1100000</v>
      </c>
      <c r="S628" s="1396">
        <v>2</v>
      </c>
      <c r="T628" s="2292">
        <v>8562000</v>
      </c>
      <c r="U628" s="1396">
        <v>0</v>
      </c>
      <c r="V628" s="2292">
        <v>4112300</v>
      </c>
      <c r="W628" s="1396"/>
      <c r="X628" s="1396"/>
      <c r="Y628" s="2480">
        <f t="shared" si="180"/>
        <v>4</v>
      </c>
      <c r="Z628" s="2292">
        <f>SUM(R628+T628)</f>
        <v>9662000</v>
      </c>
      <c r="AA628" s="2480">
        <f t="shared" si="183"/>
        <v>16</v>
      </c>
      <c r="AB628" s="2292">
        <f t="shared" si="183"/>
        <v>244351514</v>
      </c>
      <c r="AC628" s="2480">
        <f t="shared" si="181"/>
        <v>26.666666666666668</v>
      </c>
      <c r="AD628" s="2480">
        <f t="shared" si="182"/>
        <v>34.705642905999909</v>
      </c>
      <c r="AE628" s="2207"/>
    </row>
    <row r="629" spans="1:76" s="63" customFormat="1" ht="68.25" customHeight="1">
      <c r="A629" s="2516"/>
      <c r="B629" s="2516"/>
      <c r="C629" s="2207"/>
      <c r="D629" s="2207"/>
      <c r="E629" s="2207"/>
      <c r="F629" s="2207"/>
      <c r="G629" s="2207"/>
      <c r="H629" s="2207"/>
      <c r="I629" s="2516" t="s">
        <v>3694</v>
      </c>
      <c r="J629" s="2516" t="s">
        <v>3836</v>
      </c>
      <c r="K629" s="1396">
        <v>60</v>
      </c>
      <c r="L629" s="2292">
        <v>300000</v>
      </c>
      <c r="M629" s="2285">
        <v>12</v>
      </c>
      <c r="N629" s="2287">
        <v>99982208</v>
      </c>
      <c r="O629" s="2285">
        <v>12</v>
      </c>
      <c r="P629" s="2292">
        <v>58000000</v>
      </c>
      <c r="Q629" s="2285">
        <v>2</v>
      </c>
      <c r="R629" s="2287">
        <v>800000</v>
      </c>
      <c r="S629" s="1396">
        <v>4</v>
      </c>
      <c r="T629" s="2286">
        <v>8267500</v>
      </c>
      <c r="U629" s="1396">
        <v>2</v>
      </c>
      <c r="V629" s="2292">
        <v>1396700</v>
      </c>
      <c r="W629" s="1396"/>
      <c r="X629" s="1396"/>
      <c r="Y629" s="3628">
        <f t="shared" si="180"/>
        <v>8</v>
      </c>
      <c r="Z629" s="2348">
        <f>SUM(R629+T629)</f>
        <v>9067500</v>
      </c>
      <c r="AA629" s="3102" t="s">
        <v>167</v>
      </c>
      <c r="AB629" s="2348">
        <f>SUM(N629+Z629)</f>
        <v>109049708</v>
      </c>
      <c r="AC629" s="2950">
        <f>SUM(M629+Y629)</f>
        <v>20</v>
      </c>
      <c r="AD629" s="2950">
        <f t="shared" si="182"/>
        <v>36349.902666666669</v>
      </c>
      <c r="AE629" s="3610" t="s">
        <v>3178</v>
      </c>
    </row>
    <row r="630" spans="1:76" s="63" customFormat="1" ht="68.25" customHeight="1">
      <c r="A630" s="2516"/>
      <c r="B630" s="2516"/>
      <c r="C630" s="2207"/>
      <c r="D630" s="2207"/>
      <c r="E630" s="2207"/>
      <c r="F630" s="2207"/>
      <c r="G630" s="2207"/>
      <c r="H630" s="2207"/>
      <c r="I630" s="2516" t="s">
        <v>3695</v>
      </c>
      <c r="J630" s="2516" t="s">
        <v>3837</v>
      </c>
      <c r="K630" s="1396">
        <v>60</v>
      </c>
      <c r="L630" s="2292">
        <v>250000000</v>
      </c>
      <c r="M630" s="2285">
        <v>12</v>
      </c>
      <c r="N630" s="2287">
        <v>33618300</v>
      </c>
      <c r="O630" s="2285">
        <v>12</v>
      </c>
      <c r="P630" s="2292">
        <v>42555923</v>
      </c>
      <c r="Q630" s="2285">
        <v>4</v>
      </c>
      <c r="R630" s="2287">
        <v>8700000</v>
      </c>
      <c r="S630" s="1396">
        <v>4</v>
      </c>
      <c r="T630" s="2286">
        <v>5563246</v>
      </c>
      <c r="U630" s="1396">
        <v>0</v>
      </c>
      <c r="V630" s="2292">
        <v>3457200</v>
      </c>
      <c r="W630" s="1396"/>
      <c r="X630" s="1396"/>
      <c r="Y630" s="2480">
        <f t="shared" si="180"/>
        <v>8</v>
      </c>
      <c r="Z630" s="2292">
        <f>SUM(R630+T630)</f>
        <v>14263246</v>
      </c>
      <c r="AA630" s="2480">
        <f t="shared" ref="AA630" si="188">Y630+M630</f>
        <v>20</v>
      </c>
      <c r="AB630" s="2292">
        <f>SUM(N630+Z630)</f>
        <v>47881546</v>
      </c>
      <c r="AC630" s="2480">
        <f>SUM(M630+Y630)</f>
        <v>20</v>
      </c>
      <c r="AD630" s="2480">
        <f t="shared" si="182"/>
        <v>19.152618399999998</v>
      </c>
      <c r="AE630" s="2207"/>
    </row>
    <row r="631" spans="1:76" s="63" customFormat="1" ht="19.5" customHeight="1">
      <c r="A631" s="4244" t="s">
        <v>89</v>
      </c>
      <c r="B631" s="4244"/>
      <c r="C631" s="4245"/>
      <c r="D631" s="4245"/>
      <c r="E631" s="4245"/>
      <c r="F631" s="4245"/>
      <c r="G631" s="4245"/>
      <c r="H631" s="4245"/>
      <c r="I631" s="4245"/>
      <c r="J631" s="4245"/>
      <c r="K631" s="4245"/>
      <c r="L631" s="4245"/>
      <c r="M631" s="4245"/>
      <c r="N631" s="4245"/>
      <c r="O631" s="4245"/>
      <c r="P631" s="4245"/>
      <c r="Q631" s="4245"/>
      <c r="R631" s="4245"/>
      <c r="S631" s="4245"/>
      <c r="T631" s="4245"/>
      <c r="U631" s="4245"/>
      <c r="V631" s="4245"/>
      <c r="W631" s="4245"/>
      <c r="X631" s="4245"/>
      <c r="Y631" s="4245"/>
      <c r="Z631" s="4245"/>
      <c r="AA631" s="4245"/>
      <c r="AB631" s="4245"/>
      <c r="AC631" s="2030">
        <f>(AC618+AC622+AC625)/3</f>
        <v>48.309054047373898</v>
      </c>
      <c r="AD631" s="2030">
        <f>(AD618+AD622+AD625)/3</f>
        <v>44.55783154834694</v>
      </c>
      <c r="AE631" s="390"/>
    </row>
    <row r="632" spans="1:76" s="63" customFormat="1" ht="19.5" customHeight="1">
      <c r="A632" s="4244" t="s">
        <v>90</v>
      </c>
      <c r="B632" s="4244"/>
      <c r="C632" s="4245"/>
      <c r="D632" s="4245"/>
      <c r="E632" s="4245"/>
      <c r="F632" s="4245"/>
      <c r="G632" s="4245"/>
      <c r="H632" s="4245"/>
      <c r="I632" s="4245"/>
      <c r="J632" s="4245"/>
      <c r="K632" s="4245"/>
      <c r="L632" s="4245"/>
      <c r="M632" s="4245"/>
      <c r="N632" s="4245"/>
      <c r="O632" s="4245"/>
      <c r="P632" s="4245"/>
      <c r="Q632" s="4245"/>
      <c r="R632" s="4245"/>
      <c r="S632" s="4245"/>
      <c r="T632" s="4245"/>
      <c r="U632" s="4245"/>
      <c r="V632" s="4245"/>
      <c r="W632" s="4245"/>
      <c r="X632" s="4245"/>
      <c r="Y632" s="4245"/>
      <c r="Z632" s="4245"/>
      <c r="AA632" s="4245"/>
      <c r="AB632" s="4245"/>
      <c r="AC632" s="3152" t="str">
        <f>IF(AC631&gt;=91,"ST",IF(AC631&gt;=76,"T",IF(AC631&gt;=66,"S",IF(AC631&gt;=51,"R","SR"))))</f>
        <v>SR</v>
      </c>
      <c r="AD632" s="3152" t="str">
        <f>IF(AD631&gt;=91,"ST",IF(AD631&gt;=76,"T",IF(AD631&gt;=66,"S",IF(AD631&gt;=51,"R","SR"))))</f>
        <v>SR</v>
      </c>
      <c r="AE632" s="390"/>
    </row>
    <row r="633" spans="1:76" s="63" customFormat="1" ht="24.75" customHeight="1">
      <c r="A633" s="2918" t="s">
        <v>122</v>
      </c>
      <c r="B633" s="2918"/>
      <c r="C633" s="2546"/>
      <c r="D633" s="2546"/>
      <c r="E633" s="2546"/>
      <c r="F633" s="2546"/>
      <c r="G633" s="2546"/>
      <c r="H633" s="2546"/>
      <c r="I633" s="2515" t="s">
        <v>136</v>
      </c>
      <c r="J633" s="2918"/>
      <c r="K633" s="3210"/>
      <c r="L633" s="3194">
        <f>L634+L645+L650+L663</f>
        <v>7720000000</v>
      </c>
      <c r="M633" s="3210"/>
      <c r="N633" s="3195">
        <f>N634+N645+N650+N663</f>
        <v>2537290184</v>
      </c>
      <c r="O633" s="3210"/>
      <c r="P633" s="3195">
        <f>P634+P645+P650+P663</f>
        <v>2209314548</v>
      </c>
      <c r="Q633" s="3210"/>
      <c r="R633" s="2916">
        <f>R634+R645+R650+R663</f>
        <v>242800107</v>
      </c>
      <c r="S633" s="2918"/>
      <c r="T633" s="2916">
        <f>T634+T645+T650+T663</f>
        <v>1198195864</v>
      </c>
      <c r="U633" s="2918"/>
      <c r="V633" s="2916">
        <f>V634+V645+V650+V663</f>
        <v>474362807</v>
      </c>
      <c r="W633" s="2918"/>
      <c r="X633" s="2918"/>
      <c r="Y633" s="3210"/>
      <c r="Z633" s="2916">
        <f t="shared" ref="Z633:Z673" si="189">R633+T633+V633+X633</f>
        <v>1915358778</v>
      </c>
      <c r="AA633" s="3210"/>
      <c r="AB633" s="2916">
        <f>AB634+AB645+AB650+AB663</f>
        <v>4452648962</v>
      </c>
      <c r="AC633" s="3210"/>
      <c r="AD633" s="3210"/>
      <c r="AE633" s="3211"/>
    </row>
    <row r="634" spans="1:76" s="295" customFormat="1" ht="59.25" customHeight="1">
      <c r="A634" s="3155">
        <v>1</v>
      </c>
      <c r="B634" s="3156"/>
      <c r="C634" s="2567">
        <v>1</v>
      </c>
      <c r="D634" s="2567" t="s">
        <v>65</v>
      </c>
      <c r="E634" s="2567" t="s">
        <v>196</v>
      </c>
      <c r="F634" s="2567" t="s">
        <v>66</v>
      </c>
      <c r="G634" s="2567" t="s">
        <v>66</v>
      </c>
      <c r="H634" s="3796"/>
      <c r="I634" s="2335" t="s">
        <v>221</v>
      </c>
      <c r="J634" s="2335" t="s">
        <v>439</v>
      </c>
      <c r="K634" s="2543">
        <v>72</v>
      </c>
      <c r="L634" s="2568">
        <f>SUM(L635:L644)</f>
        <v>720000000</v>
      </c>
      <c r="M634" s="2543">
        <v>24</v>
      </c>
      <c r="N634" s="2568">
        <f>SUM(N635:N644)</f>
        <v>451143502</v>
      </c>
      <c r="O634" s="2543">
        <v>12</v>
      </c>
      <c r="P634" s="2568">
        <f>SUM(P635:P644)</f>
        <v>300631331</v>
      </c>
      <c r="Q634" s="2543">
        <v>3</v>
      </c>
      <c r="R634" s="2569">
        <f>SUM(R635:R644)</f>
        <v>89316807</v>
      </c>
      <c r="S634" s="2570">
        <v>3</v>
      </c>
      <c r="T634" s="2569">
        <f>SUM(T635:T644)</f>
        <v>45180714</v>
      </c>
      <c r="U634" s="2570">
        <v>3</v>
      </c>
      <c r="V634" s="2571">
        <f>SUM(V635:V644)</f>
        <v>94142969</v>
      </c>
      <c r="W634" s="2570"/>
      <c r="X634" s="2570"/>
      <c r="Y634" s="2543">
        <f t="shared" ref="Y634:Y673" si="190">Q634+S634+U634+W634</f>
        <v>9</v>
      </c>
      <c r="Z634" s="2571">
        <f t="shared" si="189"/>
        <v>228640490</v>
      </c>
      <c r="AA634" s="2543">
        <f>Y634+M634</f>
        <v>33</v>
      </c>
      <c r="AB634" s="2571">
        <f>N634+Z634</f>
        <v>679783992</v>
      </c>
      <c r="AC634" s="2544">
        <v>25</v>
      </c>
      <c r="AD634" s="2544">
        <f>AB634/L634*100</f>
        <v>94.414443333333338</v>
      </c>
      <c r="AE634" s="3138" t="s">
        <v>440</v>
      </c>
      <c r="AF634" s="3114"/>
      <c r="AG634" s="353"/>
      <c r="AH634" s="353"/>
      <c r="AI634" s="353"/>
      <c r="AJ634" s="353"/>
      <c r="AK634" s="353"/>
      <c r="AL634" s="353"/>
      <c r="AM634" s="353"/>
      <c r="AN634" s="353"/>
      <c r="AO634" s="353"/>
      <c r="AP634" s="353"/>
      <c r="AQ634" s="353"/>
      <c r="AR634" s="353"/>
      <c r="AS634" s="353"/>
      <c r="AT634" s="353"/>
      <c r="AU634" s="353"/>
      <c r="AV634" s="353"/>
      <c r="AW634" s="353"/>
      <c r="AX634" s="353"/>
      <c r="AY634" s="353"/>
      <c r="AZ634" s="353"/>
      <c r="BA634" s="353"/>
      <c r="BB634" s="353"/>
      <c r="BC634" s="353"/>
      <c r="BD634" s="353"/>
      <c r="BE634" s="353"/>
      <c r="BF634" s="353"/>
      <c r="BG634" s="353"/>
      <c r="BH634" s="353"/>
      <c r="BI634" s="353"/>
      <c r="BJ634" s="353"/>
      <c r="BK634" s="353"/>
      <c r="BL634" s="353"/>
      <c r="BM634" s="353"/>
      <c r="BN634" s="353"/>
      <c r="BO634" s="353"/>
      <c r="BP634" s="353"/>
      <c r="BQ634" s="353"/>
      <c r="BR634" s="353"/>
      <c r="BS634" s="353"/>
      <c r="BT634" s="353"/>
      <c r="BU634" s="353"/>
      <c r="BV634" s="353"/>
      <c r="BW634" s="353"/>
      <c r="BX634" s="353"/>
    </row>
    <row r="635" spans="1:76" s="244" customFormat="1" ht="62.25" customHeight="1">
      <c r="A635" s="3134"/>
      <c r="B635" s="3140"/>
      <c r="C635" s="1218" t="s">
        <v>146</v>
      </c>
      <c r="D635" s="1218" t="s">
        <v>65</v>
      </c>
      <c r="E635" s="1218" t="s">
        <v>196</v>
      </c>
      <c r="F635" s="1218" t="s">
        <v>66</v>
      </c>
      <c r="G635" s="3792" t="s">
        <v>66</v>
      </c>
      <c r="H635" s="1218" t="s">
        <v>65</v>
      </c>
      <c r="I635" s="3140" t="s">
        <v>147</v>
      </c>
      <c r="J635" s="384" t="s">
        <v>441</v>
      </c>
      <c r="K635" s="3143">
        <v>72</v>
      </c>
      <c r="L635" s="3141">
        <v>90000000</v>
      </c>
      <c r="M635" s="3143">
        <v>24</v>
      </c>
      <c r="N635" s="3141">
        <v>58509350</v>
      </c>
      <c r="O635" s="3143">
        <v>12</v>
      </c>
      <c r="P635" s="3141">
        <v>45480000</v>
      </c>
      <c r="Q635" s="3143">
        <v>3</v>
      </c>
      <c r="R635" s="387">
        <v>9347387</v>
      </c>
      <c r="S635" s="1389">
        <v>3</v>
      </c>
      <c r="T635" s="3001">
        <v>13217000</v>
      </c>
      <c r="U635" s="385">
        <v>3</v>
      </c>
      <c r="V635" s="597">
        <v>10401469</v>
      </c>
      <c r="W635" s="385"/>
      <c r="X635" s="385"/>
      <c r="Y635" s="3143">
        <f t="shared" si="190"/>
        <v>9</v>
      </c>
      <c r="Z635" s="597">
        <f t="shared" si="189"/>
        <v>32965856</v>
      </c>
      <c r="AA635" s="3143">
        <f>M635+Y635</f>
        <v>33</v>
      </c>
      <c r="AB635" s="597">
        <f t="shared" ref="AB635:AB644" si="191">N635+Z635</f>
        <v>91475206</v>
      </c>
      <c r="AC635" s="3142">
        <f>AA635/K635*100</f>
        <v>45.833333333333329</v>
      </c>
      <c r="AD635" s="3142">
        <f t="shared" ref="AD635:AD645" si="192">AB635/L635*100</f>
        <v>101.63911777777778</v>
      </c>
      <c r="AE635" s="390"/>
      <c r="AF635" s="2266"/>
      <c r="AG635" s="2266"/>
      <c r="AH635" s="2266"/>
      <c r="AI635" s="2266"/>
      <c r="AJ635" s="2266"/>
      <c r="AK635" s="2266"/>
      <c r="AL635" s="2266"/>
      <c r="AM635" s="2266"/>
      <c r="AN635" s="2266"/>
      <c r="AO635" s="2266"/>
      <c r="AP635" s="2266"/>
      <c r="AQ635" s="2266"/>
      <c r="AR635" s="2266"/>
      <c r="AS635" s="2266"/>
      <c r="AT635" s="2266"/>
      <c r="AU635" s="2266"/>
      <c r="AV635" s="2266"/>
      <c r="AW635" s="2266"/>
      <c r="AX635" s="2266"/>
      <c r="AY635" s="2266"/>
      <c r="AZ635" s="2266"/>
      <c r="BA635" s="2266"/>
      <c r="BB635" s="2266"/>
      <c r="BC635" s="2266"/>
      <c r="BD635" s="2266"/>
      <c r="BE635" s="2266"/>
      <c r="BF635" s="2266"/>
      <c r="BG635" s="2266"/>
      <c r="BH635" s="2266"/>
      <c r="BI635" s="2266"/>
      <c r="BJ635" s="2266"/>
      <c r="BK635" s="2266"/>
      <c r="BL635" s="2266"/>
      <c r="BM635" s="2266"/>
      <c r="BN635" s="2266"/>
      <c r="BO635" s="2266"/>
      <c r="BP635" s="2266"/>
      <c r="BQ635" s="2266"/>
      <c r="BR635" s="2266"/>
      <c r="BS635" s="2266"/>
      <c r="BT635" s="2266"/>
      <c r="BU635" s="2266"/>
      <c r="BV635" s="2266"/>
      <c r="BW635" s="2266"/>
      <c r="BX635" s="2266"/>
    </row>
    <row r="636" spans="1:76" s="244" customFormat="1" ht="68.25" customHeight="1">
      <c r="A636" s="3134"/>
      <c r="B636" s="3140"/>
      <c r="C636" s="1218" t="s">
        <v>146</v>
      </c>
      <c r="D636" s="1218" t="s">
        <v>65</v>
      </c>
      <c r="E636" s="1218" t="s">
        <v>196</v>
      </c>
      <c r="F636" s="1218" t="s">
        <v>66</v>
      </c>
      <c r="G636" s="3792" t="s">
        <v>66</v>
      </c>
      <c r="H636" s="1218" t="s">
        <v>198</v>
      </c>
      <c r="I636" s="3140" t="s">
        <v>148</v>
      </c>
      <c r="J636" s="384" t="s">
        <v>442</v>
      </c>
      <c r="K636" s="3143">
        <v>72</v>
      </c>
      <c r="L636" s="3141">
        <v>80000000</v>
      </c>
      <c r="M636" s="3143">
        <v>24</v>
      </c>
      <c r="N636" s="3141">
        <v>51500000</v>
      </c>
      <c r="O636" s="3143">
        <v>12</v>
      </c>
      <c r="P636" s="3141">
        <v>77850000</v>
      </c>
      <c r="Q636" s="3143">
        <v>3</v>
      </c>
      <c r="R636" s="387">
        <v>8750000</v>
      </c>
      <c r="S636" s="1389">
        <v>3</v>
      </c>
      <c r="T636" s="3001">
        <v>1245000</v>
      </c>
      <c r="U636" s="385">
        <v>3</v>
      </c>
      <c r="V636" s="597">
        <v>39455000</v>
      </c>
      <c r="W636" s="385"/>
      <c r="X636" s="385"/>
      <c r="Y636" s="3143">
        <f t="shared" si="190"/>
        <v>9</v>
      </c>
      <c r="Z636" s="597">
        <f t="shared" si="189"/>
        <v>49450000</v>
      </c>
      <c r="AA636" s="3143">
        <f t="shared" ref="AA636:AA644" si="193">M636+Y636</f>
        <v>33</v>
      </c>
      <c r="AB636" s="597">
        <f t="shared" si="191"/>
        <v>100950000</v>
      </c>
      <c r="AC636" s="3142">
        <f t="shared" ref="AC636:AC645" si="194">AA636/K636*100</f>
        <v>45.833333333333329</v>
      </c>
      <c r="AD636" s="3142">
        <f t="shared" si="192"/>
        <v>126.18750000000001</v>
      </c>
      <c r="AE636" s="390"/>
      <c r="AF636" s="2266"/>
      <c r="AG636" s="2266"/>
      <c r="AH636" s="2266"/>
      <c r="AI636" s="2266"/>
      <c r="AJ636" s="2266"/>
      <c r="AK636" s="2266"/>
      <c r="AL636" s="2266"/>
      <c r="AM636" s="2266"/>
      <c r="AN636" s="2266"/>
      <c r="AO636" s="2266"/>
      <c r="AP636" s="2266"/>
      <c r="AQ636" s="2266"/>
      <c r="AR636" s="2266"/>
      <c r="AS636" s="2266"/>
      <c r="AT636" s="2266"/>
      <c r="AU636" s="2266"/>
      <c r="AV636" s="2266"/>
      <c r="AW636" s="2266"/>
      <c r="AX636" s="2266"/>
      <c r="AY636" s="2266"/>
      <c r="AZ636" s="2266"/>
      <c r="BA636" s="2266"/>
      <c r="BB636" s="2266"/>
      <c r="BC636" s="2266"/>
      <c r="BD636" s="2266"/>
      <c r="BE636" s="2266"/>
      <c r="BF636" s="2266"/>
      <c r="BG636" s="2266"/>
      <c r="BH636" s="2266"/>
      <c r="BI636" s="2266"/>
      <c r="BJ636" s="2266"/>
      <c r="BK636" s="2266"/>
      <c r="BL636" s="2266"/>
      <c r="BM636" s="2266"/>
      <c r="BN636" s="2266"/>
      <c r="BO636" s="2266"/>
      <c r="BP636" s="2266"/>
      <c r="BQ636" s="2266"/>
      <c r="BR636" s="2266"/>
      <c r="BS636" s="2266"/>
      <c r="BT636" s="2266"/>
      <c r="BU636" s="2266"/>
      <c r="BV636" s="2266"/>
      <c r="BW636" s="2266"/>
      <c r="BX636" s="2266"/>
    </row>
    <row r="637" spans="1:76" s="244" customFormat="1" ht="38.25" customHeight="1">
      <c r="A637" s="3134"/>
      <c r="B637" s="3140"/>
      <c r="C637" s="1218" t="s">
        <v>146</v>
      </c>
      <c r="D637" s="1218" t="s">
        <v>65</v>
      </c>
      <c r="E637" s="1218" t="s">
        <v>196</v>
      </c>
      <c r="F637" s="1218" t="s">
        <v>66</v>
      </c>
      <c r="G637" s="3792" t="s">
        <v>66</v>
      </c>
      <c r="H637" s="1218" t="s">
        <v>202</v>
      </c>
      <c r="I637" s="3140" t="s">
        <v>150</v>
      </c>
      <c r="J637" s="3140" t="s">
        <v>443</v>
      </c>
      <c r="K637" s="3143">
        <v>72</v>
      </c>
      <c r="L637" s="3141">
        <v>50000000</v>
      </c>
      <c r="M637" s="3143">
        <v>24</v>
      </c>
      <c r="N637" s="3141">
        <v>36563000</v>
      </c>
      <c r="O637" s="3143">
        <v>12</v>
      </c>
      <c r="P637" s="3141">
        <v>19407631</v>
      </c>
      <c r="Q637" s="3143">
        <v>3</v>
      </c>
      <c r="R637" s="387">
        <v>8418420</v>
      </c>
      <c r="S637" s="1389">
        <v>3</v>
      </c>
      <c r="T637" s="3115">
        <v>12393000</v>
      </c>
      <c r="U637" s="385">
        <v>3</v>
      </c>
      <c r="V637" s="597">
        <v>10246580</v>
      </c>
      <c r="W637" s="385"/>
      <c r="X637" s="385"/>
      <c r="Y637" s="3143">
        <f t="shared" si="190"/>
        <v>9</v>
      </c>
      <c r="Z637" s="597">
        <f t="shared" si="189"/>
        <v>31058000</v>
      </c>
      <c r="AA637" s="3143">
        <f t="shared" si="193"/>
        <v>33</v>
      </c>
      <c r="AB637" s="597">
        <f t="shared" si="191"/>
        <v>67621000</v>
      </c>
      <c r="AC637" s="3142">
        <f t="shared" si="194"/>
        <v>45.833333333333329</v>
      </c>
      <c r="AD637" s="3142">
        <f t="shared" si="192"/>
        <v>135.24199999999999</v>
      </c>
      <c r="AE637" s="390"/>
      <c r="AF637" s="2266"/>
      <c r="AG637" s="2266"/>
      <c r="AH637" s="2266"/>
      <c r="AI637" s="2266"/>
      <c r="AJ637" s="2266"/>
      <c r="AK637" s="2266"/>
      <c r="AL637" s="2266"/>
      <c r="AM637" s="2266"/>
      <c r="AN637" s="2266"/>
      <c r="AO637" s="2266"/>
      <c r="AP637" s="2266"/>
      <c r="AQ637" s="2266"/>
      <c r="AR637" s="2266"/>
      <c r="AS637" s="2266"/>
      <c r="AT637" s="2266"/>
      <c r="AU637" s="2266"/>
      <c r="AV637" s="2266"/>
      <c r="AW637" s="2266"/>
      <c r="AX637" s="2266"/>
      <c r="AY637" s="2266"/>
      <c r="AZ637" s="2266"/>
      <c r="BA637" s="2266"/>
      <c r="BB637" s="2266"/>
      <c r="BC637" s="2266"/>
      <c r="BD637" s="2266"/>
      <c r="BE637" s="2266"/>
      <c r="BF637" s="2266"/>
      <c r="BG637" s="2266"/>
      <c r="BH637" s="2266"/>
      <c r="BI637" s="2266"/>
      <c r="BJ637" s="2266"/>
      <c r="BK637" s="2266"/>
      <c r="BL637" s="2266"/>
      <c r="BM637" s="2266"/>
      <c r="BN637" s="2266"/>
      <c r="BO637" s="2266"/>
      <c r="BP637" s="2266"/>
      <c r="BQ637" s="2266"/>
      <c r="BR637" s="2266"/>
      <c r="BS637" s="2266"/>
      <c r="BT637" s="2266"/>
      <c r="BU637" s="2266"/>
      <c r="BV637" s="2266"/>
      <c r="BW637" s="2266"/>
      <c r="BX637" s="2266"/>
    </row>
    <row r="638" spans="1:76" s="244" customFormat="1" ht="48.75" customHeight="1">
      <c r="A638" s="3134"/>
      <c r="B638" s="3140"/>
      <c r="C638" s="1218" t="s">
        <v>146</v>
      </c>
      <c r="D638" s="1218" t="s">
        <v>65</v>
      </c>
      <c r="E638" s="1218" t="s">
        <v>196</v>
      </c>
      <c r="F638" s="1218" t="s">
        <v>66</v>
      </c>
      <c r="G638" s="3792" t="s">
        <v>66</v>
      </c>
      <c r="H638" s="1218" t="s">
        <v>417</v>
      </c>
      <c r="I638" s="3140" t="s">
        <v>151</v>
      </c>
      <c r="J638" s="3140" t="s">
        <v>444</v>
      </c>
      <c r="K638" s="3143">
        <v>72</v>
      </c>
      <c r="L638" s="3141">
        <v>60000000</v>
      </c>
      <c r="M638" s="3143">
        <v>24</v>
      </c>
      <c r="N638" s="3141">
        <v>30392000</v>
      </c>
      <c r="O638" s="3143">
        <v>12</v>
      </c>
      <c r="P638" s="3141">
        <v>20589700</v>
      </c>
      <c r="Q638" s="3143">
        <v>3</v>
      </c>
      <c r="R638" s="387">
        <v>3995500</v>
      </c>
      <c r="S638" s="1389">
        <v>3</v>
      </c>
      <c r="T638" s="3115">
        <v>3754214</v>
      </c>
      <c r="U638" s="385">
        <v>3</v>
      </c>
      <c r="V638" s="597">
        <v>6941920</v>
      </c>
      <c r="W638" s="385"/>
      <c r="X638" s="385"/>
      <c r="Y638" s="3143">
        <f t="shared" si="190"/>
        <v>9</v>
      </c>
      <c r="Z638" s="597">
        <f t="shared" si="189"/>
        <v>14691634</v>
      </c>
      <c r="AA638" s="3143">
        <f t="shared" si="193"/>
        <v>33</v>
      </c>
      <c r="AB638" s="597">
        <f t="shared" si="191"/>
        <v>45083634</v>
      </c>
      <c r="AC638" s="3142">
        <f t="shared" si="194"/>
        <v>45.833333333333329</v>
      </c>
      <c r="AD638" s="3142">
        <f t="shared" si="192"/>
        <v>75.139389999999992</v>
      </c>
      <c r="AE638" s="390"/>
      <c r="AF638" s="2266"/>
      <c r="AG638" s="2266"/>
      <c r="AH638" s="2266"/>
      <c r="AI638" s="2266"/>
      <c r="AJ638" s="2266"/>
      <c r="AK638" s="2266"/>
      <c r="AL638" s="2266"/>
      <c r="AM638" s="2266"/>
      <c r="AN638" s="2266"/>
      <c r="AO638" s="2266"/>
      <c r="AP638" s="2266"/>
      <c r="AQ638" s="2266"/>
      <c r="AR638" s="2266"/>
      <c r="AS638" s="2266"/>
      <c r="AT638" s="2266"/>
      <c r="AU638" s="2266"/>
      <c r="AV638" s="2266"/>
      <c r="AW638" s="2266"/>
      <c r="AX638" s="2266"/>
      <c r="AY638" s="2266"/>
      <c r="AZ638" s="2266"/>
      <c r="BA638" s="2266"/>
      <c r="BB638" s="2266"/>
      <c r="BC638" s="2266"/>
      <c r="BD638" s="2266"/>
      <c r="BE638" s="2266"/>
      <c r="BF638" s="2266"/>
      <c r="BG638" s="2266"/>
      <c r="BH638" s="2266"/>
      <c r="BI638" s="2266"/>
      <c r="BJ638" s="2266"/>
      <c r="BK638" s="2266"/>
      <c r="BL638" s="2266"/>
      <c r="BM638" s="2266"/>
      <c r="BN638" s="2266"/>
      <c r="BO638" s="2266"/>
      <c r="BP638" s="2266"/>
      <c r="BQ638" s="2266"/>
      <c r="BR638" s="2266"/>
      <c r="BS638" s="2266"/>
      <c r="BT638" s="2266"/>
      <c r="BU638" s="2266"/>
      <c r="BV638" s="2266"/>
      <c r="BW638" s="2266"/>
      <c r="BX638" s="2266"/>
    </row>
    <row r="639" spans="1:76" s="244" customFormat="1" ht="58.5" customHeight="1">
      <c r="A639" s="3134"/>
      <c r="B639" s="3140"/>
      <c r="C639" s="1218" t="s">
        <v>146</v>
      </c>
      <c r="D639" s="1218" t="s">
        <v>65</v>
      </c>
      <c r="E639" s="1218" t="s">
        <v>196</v>
      </c>
      <c r="F639" s="1218" t="s">
        <v>66</v>
      </c>
      <c r="G639" s="3792" t="s">
        <v>66</v>
      </c>
      <c r="H639" s="1218" t="s">
        <v>160</v>
      </c>
      <c r="I639" s="3140" t="s">
        <v>152</v>
      </c>
      <c r="J639" s="3140" t="s">
        <v>445</v>
      </c>
      <c r="K639" s="3143">
        <v>72</v>
      </c>
      <c r="L639" s="3141">
        <v>10000000</v>
      </c>
      <c r="M639" s="3143">
        <v>24</v>
      </c>
      <c r="N639" s="3141">
        <v>3112500</v>
      </c>
      <c r="O639" s="3143">
        <v>12</v>
      </c>
      <c r="P639" s="3141">
        <v>5124000</v>
      </c>
      <c r="Q639" s="3143">
        <v>3</v>
      </c>
      <c r="R639" s="387">
        <v>493000</v>
      </c>
      <c r="S639" s="1389">
        <v>3</v>
      </c>
      <c r="T639" s="3001">
        <v>984000</v>
      </c>
      <c r="U639" s="385">
        <v>3</v>
      </c>
      <c r="V639" s="597">
        <v>10395500</v>
      </c>
      <c r="W639" s="385"/>
      <c r="X639" s="385"/>
      <c r="Y639" s="3143">
        <f t="shared" si="190"/>
        <v>9</v>
      </c>
      <c r="Z639" s="597">
        <f t="shared" si="189"/>
        <v>11872500</v>
      </c>
      <c r="AA639" s="3143">
        <f t="shared" si="193"/>
        <v>33</v>
      </c>
      <c r="AB639" s="597">
        <f t="shared" si="191"/>
        <v>14985000</v>
      </c>
      <c r="AC639" s="3142">
        <f t="shared" si="194"/>
        <v>45.833333333333329</v>
      </c>
      <c r="AD639" s="3142">
        <f t="shared" si="192"/>
        <v>149.85</v>
      </c>
      <c r="AE639" s="390"/>
      <c r="AF639" s="2266"/>
      <c r="AG639" s="2266"/>
      <c r="AH639" s="2266"/>
      <c r="AI639" s="2266"/>
      <c r="AJ639" s="2266"/>
      <c r="AK639" s="2266"/>
      <c r="AL639" s="2266"/>
      <c r="AM639" s="2266"/>
      <c r="AN639" s="2266"/>
      <c r="AO639" s="2266"/>
      <c r="AP639" s="2266"/>
      <c r="AQ639" s="2266"/>
      <c r="AR639" s="2266"/>
      <c r="AS639" s="2266"/>
      <c r="AT639" s="2266"/>
      <c r="AU639" s="2266"/>
      <c r="AV639" s="2266"/>
      <c r="AW639" s="2266"/>
      <c r="AX639" s="2266"/>
      <c r="AY639" s="2266"/>
      <c r="AZ639" s="2266"/>
      <c r="BA639" s="2266"/>
      <c r="BB639" s="2266"/>
      <c r="BC639" s="2266"/>
      <c r="BD639" s="2266"/>
      <c r="BE639" s="2266"/>
      <c r="BF639" s="2266"/>
      <c r="BG639" s="2266"/>
      <c r="BH639" s="2266"/>
      <c r="BI639" s="2266"/>
      <c r="BJ639" s="2266"/>
      <c r="BK639" s="2266"/>
      <c r="BL639" s="2266"/>
      <c r="BM639" s="2266"/>
      <c r="BN639" s="2266"/>
      <c r="BO639" s="2266"/>
      <c r="BP639" s="2266"/>
      <c r="BQ639" s="2266"/>
      <c r="BR639" s="2266"/>
      <c r="BS639" s="2266"/>
      <c r="BT639" s="2266"/>
      <c r="BU639" s="2266"/>
      <c r="BV639" s="2266"/>
      <c r="BW639" s="2266"/>
      <c r="BX639" s="2266"/>
    </row>
    <row r="640" spans="1:76" s="2318" customFormat="1" ht="42.75" customHeight="1">
      <c r="A640" s="3134"/>
      <c r="B640" s="3140"/>
      <c r="C640" s="1218" t="s">
        <v>146</v>
      </c>
      <c r="D640" s="1218" t="s">
        <v>65</v>
      </c>
      <c r="E640" s="1218" t="s">
        <v>196</v>
      </c>
      <c r="F640" s="1218" t="s">
        <v>66</v>
      </c>
      <c r="G640" s="3792" t="s">
        <v>66</v>
      </c>
      <c r="H640" s="1218" t="s">
        <v>391</v>
      </c>
      <c r="I640" s="3140" t="s">
        <v>149</v>
      </c>
      <c r="J640" s="3140" t="s">
        <v>446</v>
      </c>
      <c r="K640" s="3143">
        <v>72</v>
      </c>
      <c r="L640" s="3141">
        <v>80000000</v>
      </c>
      <c r="M640" s="3143">
        <v>24</v>
      </c>
      <c r="N640" s="3141">
        <v>43175500</v>
      </c>
      <c r="O640" s="3143">
        <v>12</v>
      </c>
      <c r="P640" s="3141">
        <v>44050000</v>
      </c>
      <c r="Q640" s="3143">
        <v>3</v>
      </c>
      <c r="R640" s="387">
        <v>7825000</v>
      </c>
      <c r="S640" s="1389">
        <v>3</v>
      </c>
      <c r="T640" s="3001">
        <v>460000</v>
      </c>
      <c r="U640" s="385">
        <v>3</v>
      </c>
      <c r="V640" s="597">
        <v>1118500</v>
      </c>
      <c r="W640" s="385"/>
      <c r="X640" s="385"/>
      <c r="Y640" s="3143">
        <f t="shared" si="190"/>
        <v>9</v>
      </c>
      <c r="Z640" s="597">
        <f t="shared" si="189"/>
        <v>9403500</v>
      </c>
      <c r="AA640" s="3143">
        <f t="shared" si="193"/>
        <v>33</v>
      </c>
      <c r="AB640" s="597">
        <f t="shared" si="191"/>
        <v>52579000</v>
      </c>
      <c r="AC640" s="3142">
        <f t="shared" si="194"/>
        <v>45.833333333333329</v>
      </c>
      <c r="AD640" s="3142">
        <f t="shared" si="192"/>
        <v>65.72375000000001</v>
      </c>
      <c r="AE640" s="390"/>
    </row>
    <row r="641" spans="1:76" s="2318" customFormat="1" ht="42.75" customHeight="1">
      <c r="A641" s="3134"/>
      <c r="B641" s="3140"/>
      <c r="C641" s="1218" t="s">
        <v>146</v>
      </c>
      <c r="D641" s="1218" t="s">
        <v>65</v>
      </c>
      <c r="E641" s="1218" t="s">
        <v>196</v>
      </c>
      <c r="F641" s="1218" t="s">
        <v>66</v>
      </c>
      <c r="G641" s="3792" t="s">
        <v>66</v>
      </c>
      <c r="H641" s="1218" t="s">
        <v>155</v>
      </c>
      <c r="I641" s="3140" t="s">
        <v>156</v>
      </c>
      <c r="J641" s="3140" t="s">
        <v>447</v>
      </c>
      <c r="K641" s="3143">
        <v>72</v>
      </c>
      <c r="L641" s="3141">
        <v>10000000</v>
      </c>
      <c r="M641" s="3143">
        <v>24</v>
      </c>
      <c r="N641" s="3141">
        <v>8435000</v>
      </c>
      <c r="O641" s="3143">
        <v>12</v>
      </c>
      <c r="P641" s="3141">
        <v>2600000</v>
      </c>
      <c r="Q641" s="3143">
        <v>3</v>
      </c>
      <c r="R641" s="387">
        <v>460000</v>
      </c>
      <c r="S641" s="1389">
        <v>3</v>
      </c>
      <c r="T641" s="3001">
        <v>460000</v>
      </c>
      <c r="U641" s="385">
        <v>3</v>
      </c>
      <c r="V641" s="597">
        <v>920000</v>
      </c>
      <c r="W641" s="385"/>
      <c r="X641" s="385"/>
      <c r="Y641" s="3143">
        <f t="shared" si="190"/>
        <v>9</v>
      </c>
      <c r="Z641" s="597">
        <f t="shared" si="189"/>
        <v>1840000</v>
      </c>
      <c r="AA641" s="3143">
        <f t="shared" si="193"/>
        <v>33</v>
      </c>
      <c r="AB641" s="597">
        <f t="shared" si="191"/>
        <v>10275000</v>
      </c>
      <c r="AC641" s="3142">
        <f t="shared" si="194"/>
        <v>45.833333333333329</v>
      </c>
      <c r="AD641" s="3142">
        <f t="shared" si="192"/>
        <v>102.75000000000001</v>
      </c>
      <c r="AE641" s="390"/>
    </row>
    <row r="642" spans="1:76" s="2266" customFormat="1" ht="42.75" customHeight="1">
      <c r="A642" s="3134"/>
      <c r="B642" s="3140"/>
      <c r="C642" s="1218" t="s">
        <v>146</v>
      </c>
      <c r="D642" s="1218" t="s">
        <v>65</v>
      </c>
      <c r="E642" s="1218" t="s">
        <v>196</v>
      </c>
      <c r="F642" s="1218" t="s">
        <v>66</v>
      </c>
      <c r="G642" s="3792" t="s">
        <v>66</v>
      </c>
      <c r="H642" s="1218" t="s">
        <v>448</v>
      </c>
      <c r="I642" s="3140" t="s">
        <v>157</v>
      </c>
      <c r="J642" s="3140" t="s">
        <v>449</v>
      </c>
      <c r="K642" s="3143">
        <v>72</v>
      </c>
      <c r="L642" s="3141">
        <v>25000000</v>
      </c>
      <c r="M642" s="3143">
        <v>24</v>
      </c>
      <c r="N642" s="3141">
        <v>19387500</v>
      </c>
      <c r="O642" s="3143">
        <v>12</v>
      </c>
      <c r="P642" s="3141">
        <v>14630000</v>
      </c>
      <c r="Q642" s="3143">
        <v>3</v>
      </c>
      <c r="R642" s="387">
        <v>2767500</v>
      </c>
      <c r="S642" s="1389">
        <v>3</v>
      </c>
      <c r="T642" s="3115">
        <v>2767500</v>
      </c>
      <c r="U642" s="385">
        <v>3</v>
      </c>
      <c r="V642" s="597">
        <v>1695000</v>
      </c>
      <c r="W642" s="385"/>
      <c r="X642" s="385"/>
      <c r="Y642" s="3143">
        <f t="shared" si="190"/>
        <v>9</v>
      </c>
      <c r="Z642" s="597">
        <f t="shared" si="189"/>
        <v>7230000</v>
      </c>
      <c r="AA642" s="3143">
        <f t="shared" si="193"/>
        <v>33</v>
      </c>
      <c r="AB642" s="597">
        <f t="shared" si="191"/>
        <v>26617500</v>
      </c>
      <c r="AC642" s="3142">
        <f t="shared" si="194"/>
        <v>45.833333333333329</v>
      </c>
      <c r="AD642" s="3142">
        <f t="shared" si="192"/>
        <v>106.47</v>
      </c>
      <c r="AE642" s="390"/>
    </row>
    <row r="643" spans="1:76" s="244" customFormat="1" ht="42.75" customHeight="1">
      <c r="A643" s="3134"/>
      <c r="B643" s="3140"/>
      <c r="C643" s="1218" t="s">
        <v>146</v>
      </c>
      <c r="D643" s="1218" t="s">
        <v>65</v>
      </c>
      <c r="E643" s="1218" t="s">
        <v>196</v>
      </c>
      <c r="F643" s="1218" t="s">
        <v>66</v>
      </c>
      <c r="G643" s="3792" t="s">
        <v>66</v>
      </c>
      <c r="H643" s="1218" t="s">
        <v>167</v>
      </c>
      <c r="I643" s="3140" t="s">
        <v>158</v>
      </c>
      <c r="J643" s="3140" t="s">
        <v>450</v>
      </c>
      <c r="K643" s="3143">
        <v>72</v>
      </c>
      <c r="L643" s="3141">
        <v>180000000</v>
      </c>
      <c r="M643" s="3143">
        <v>24</v>
      </c>
      <c r="N643" s="3141">
        <v>124083652</v>
      </c>
      <c r="O643" s="3143">
        <v>12</v>
      </c>
      <c r="P643" s="3141">
        <v>42825000</v>
      </c>
      <c r="Q643" s="3143">
        <v>3</v>
      </c>
      <c r="R643" s="387">
        <v>32590000</v>
      </c>
      <c r="S643" s="1389">
        <v>3</v>
      </c>
      <c r="T643" s="3115">
        <v>1875000</v>
      </c>
      <c r="U643" s="385">
        <v>3</v>
      </c>
      <c r="V643" s="597">
        <v>8264000</v>
      </c>
      <c r="W643" s="385"/>
      <c r="X643" s="385"/>
      <c r="Y643" s="3143">
        <f t="shared" si="190"/>
        <v>9</v>
      </c>
      <c r="Z643" s="597">
        <f t="shared" si="189"/>
        <v>42729000</v>
      </c>
      <c r="AA643" s="3143">
        <f t="shared" si="193"/>
        <v>33</v>
      </c>
      <c r="AB643" s="597">
        <f t="shared" si="191"/>
        <v>166812652</v>
      </c>
      <c r="AC643" s="3142">
        <f t="shared" si="194"/>
        <v>45.833333333333329</v>
      </c>
      <c r="AD643" s="3142">
        <f t="shared" si="192"/>
        <v>92.673695555555554</v>
      </c>
      <c r="AE643" s="390"/>
      <c r="AF643" s="2266"/>
      <c r="AG643" s="2266"/>
      <c r="AH643" s="2266"/>
      <c r="AI643" s="2266"/>
      <c r="AJ643" s="2266"/>
      <c r="AK643" s="2266"/>
      <c r="AL643" s="2266"/>
      <c r="AM643" s="2266"/>
      <c r="AN643" s="2266"/>
      <c r="AO643" s="2266"/>
      <c r="AP643" s="2266"/>
      <c r="AQ643" s="2266"/>
      <c r="AR643" s="2266"/>
      <c r="AS643" s="2266"/>
      <c r="AT643" s="2266"/>
      <c r="AU643" s="2266"/>
      <c r="AV643" s="2266"/>
      <c r="AW643" s="2266"/>
      <c r="AX643" s="2266"/>
      <c r="AY643" s="2266"/>
      <c r="AZ643" s="2266"/>
      <c r="BA643" s="2266"/>
      <c r="BB643" s="2266"/>
      <c r="BC643" s="2266"/>
      <c r="BD643" s="2266"/>
      <c r="BE643" s="2266"/>
      <c r="BF643" s="2266"/>
      <c r="BG643" s="2266"/>
      <c r="BH643" s="2266"/>
      <c r="BI643" s="2266"/>
      <c r="BJ643" s="2266"/>
      <c r="BK643" s="2266"/>
      <c r="BL643" s="2266"/>
      <c r="BM643" s="2266"/>
      <c r="BN643" s="2266"/>
      <c r="BO643" s="2266"/>
      <c r="BP643" s="2266"/>
      <c r="BQ643" s="2266"/>
      <c r="BR643" s="2266"/>
      <c r="BS643" s="2266"/>
      <c r="BT643" s="2266"/>
      <c r="BU643" s="2266"/>
      <c r="BV643" s="2266"/>
      <c r="BW643" s="2266"/>
      <c r="BX643" s="2266"/>
    </row>
    <row r="644" spans="1:76" s="244" customFormat="1" ht="63.75">
      <c r="A644" s="3134"/>
      <c r="B644" s="3140"/>
      <c r="C644" s="1218" t="s">
        <v>146</v>
      </c>
      <c r="D644" s="1218" t="s">
        <v>65</v>
      </c>
      <c r="E644" s="1218" t="s">
        <v>196</v>
      </c>
      <c r="F644" s="1218" t="s">
        <v>66</v>
      </c>
      <c r="G644" s="3792" t="s">
        <v>66</v>
      </c>
      <c r="H644" s="1218" t="s">
        <v>376</v>
      </c>
      <c r="I644" s="3140" t="s">
        <v>159</v>
      </c>
      <c r="J644" s="3140" t="s">
        <v>451</v>
      </c>
      <c r="K644" s="3143">
        <v>72</v>
      </c>
      <c r="L644" s="3141">
        <v>135000000</v>
      </c>
      <c r="M644" s="3143">
        <v>24</v>
      </c>
      <c r="N644" s="3141">
        <v>75985000</v>
      </c>
      <c r="O644" s="3143">
        <v>12</v>
      </c>
      <c r="P644" s="3141">
        <v>28075000</v>
      </c>
      <c r="Q644" s="3143">
        <v>3</v>
      </c>
      <c r="R644" s="387">
        <v>14670000</v>
      </c>
      <c r="S644" s="1389">
        <v>3</v>
      </c>
      <c r="T644" s="3115">
        <v>8025000</v>
      </c>
      <c r="U644" s="385">
        <v>3</v>
      </c>
      <c r="V644" s="597">
        <v>4705000</v>
      </c>
      <c r="W644" s="385"/>
      <c r="X644" s="385"/>
      <c r="Y644" s="3143">
        <f t="shared" si="190"/>
        <v>9</v>
      </c>
      <c r="Z644" s="597">
        <f t="shared" si="189"/>
        <v>27400000</v>
      </c>
      <c r="AA644" s="3143">
        <f t="shared" si="193"/>
        <v>33</v>
      </c>
      <c r="AB644" s="597">
        <f t="shared" si="191"/>
        <v>103385000</v>
      </c>
      <c r="AC644" s="3142">
        <f t="shared" si="194"/>
        <v>45.833333333333329</v>
      </c>
      <c r="AD644" s="3142">
        <f t="shared" si="192"/>
        <v>76.581481481481489</v>
      </c>
      <c r="AE644" s="390"/>
      <c r="AF644" s="2266"/>
      <c r="AG644" s="2266"/>
      <c r="AH644" s="2266"/>
      <c r="AI644" s="2266"/>
      <c r="AJ644" s="2266"/>
      <c r="AK644" s="2266"/>
      <c r="AL644" s="2266"/>
      <c r="AM644" s="2266"/>
      <c r="AN644" s="2266"/>
      <c r="AO644" s="2266"/>
      <c r="AP644" s="2266"/>
      <c r="AQ644" s="2266"/>
      <c r="AR644" s="2266"/>
      <c r="AS644" s="2266"/>
      <c r="AT644" s="2266"/>
      <c r="AU644" s="2266"/>
      <c r="AV644" s="2266"/>
      <c r="AW644" s="2266"/>
      <c r="AX644" s="2266"/>
      <c r="AY644" s="2266"/>
      <c r="AZ644" s="2266"/>
      <c r="BA644" s="2266"/>
      <c r="BB644" s="2266"/>
      <c r="BC644" s="2266"/>
      <c r="BD644" s="2266"/>
      <c r="BE644" s="2266"/>
      <c r="BF644" s="2266"/>
      <c r="BG644" s="2266"/>
      <c r="BH644" s="2266"/>
      <c r="BI644" s="2266"/>
      <c r="BJ644" s="2266"/>
      <c r="BK644" s="2266"/>
      <c r="BL644" s="2266"/>
      <c r="BM644" s="2266"/>
      <c r="BN644" s="2266"/>
      <c r="BO644" s="2266"/>
      <c r="BP644" s="2266"/>
      <c r="BQ644" s="2266"/>
      <c r="BR644" s="2266"/>
      <c r="BS644" s="2266"/>
      <c r="BT644" s="2266"/>
      <c r="BU644" s="2266"/>
      <c r="BV644" s="2266"/>
      <c r="BW644" s="2266"/>
      <c r="BX644" s="2266"/>
    </row>
    <row r="645" spans="1:76" s="295" customFormat="1" ht="63.75">
      <c r="A645" s="3155">
        <v>2</v>
      </c>
      <c r="B645" s="3156" t="s">
        <v>452</v>
      </c>
      <c r="C645" s="2374" t="s">
        <v>146</v>
      </c>
      <c r="D645" s="2374" t="s">
        <v>65</v>
      </c>
      <c r="E645" s="2374" t="s">
        <v>196</v>
      </c>
      <c r="F645" s="2374" t="s">
        <v>66</v>
      </c>
      <c r="G645" s="2374" t="s">
        <v>65</v>
      </c>
      <c r="H645" s="2374"/>
      <c r="I645" s="3156" t="s">
        <v>257</v>
      </c>
      <c r="J645" s="3156" t="s">
        <v>453</v>
      </c>
      <c r="K645" s="2543">
        <v>100</v>
      </c>
      <c r="L645" s="2568">
        <f>SUM(L646:L649)</f>
        <v>2120000000</v>
      </c>
      <c r="M645" s="2543">
        <v>33</v>
      </c>
      <c r="N645" s="2568">
        <f>SUM(N646:N649)</f>
        <v>319770750</v>
      </c>
      <c r="O645" s="2543">
        <v>16</v>
      </c>
      <c r="P645" s="2568">
        <f>SUM(P646:P649)</f>
        <v>159162500</v>
      </c>
      <c r="Q645" s="2568">
        <v>6</v>
      </c>
      <c r="R645" s="2594">
        <f>SUM(R647+R648+R649+R646)</f>
        <v>25710800</v>
      </c>
      <c r="S645" s="2570">
        <v>3</v>
      </c>
      <c r="T645" s="2569">
        <f>SUM(T646:T649)</f>
        <v>60719300</v>
      </c>
      <c r="U645" s="2570"/>
      <c r="V645" s="2571">
        <f>SUM(V646:V649)</f>
        <v>48896100</v>
      </c>
      <c r="W645" s="2570"/>
      <c r="X645" s="2570"/>
      <c r="Y645" s="2543">
        <f t="shared" si="190"/>
        <v>9</v>
      </c>
      <c r="Z645" s="2571">
        <f t="shared" si="189"/>
        <v>135326200</v>
      </c>
      <c r="AA645" s="2543">
        <f>M645+Y645</f>
        <v>42</v>
      </c>
      <c r="AB645" s="2571">
        <f>N645+Z645</f>
        <v>455096950</v>
      </c>
      <c r="AC645" s="2544">
        <f t="shared" si="194"/>
        <v>42</v>
      </c>
      <c r="AD645" s="2544">
        <f t="shared" si="192"/>
        <v>21.466837264150943</v>
      </c>
      <c r="AE645" s="3138" t="s">
        <v>440</v>
      </c>
      <c r="AF645" s="353"/>
      <c r="AG645" s="353"/>
      <c r="AH645" s="353"/>
      <c r="AI645" s="353"/>
      <c r="AJ645" s="353"/>
      <c r="AK645" s="353"/>
      <c r="AL645" s="353"/>
      <c r="AM645" s="353"/>
      <c r="AN645" s="353"/>
      <c r="AO645" s="353"/>
      <c r="AP645" s="353"/>
      <c r="AQ645" s="353"/>
      <c r="AR645" s="353"/>
      <c r="AS645" s="353"/>
      <c r="AT645" s="353"/>
      <c r="AU645" s="353"/>
      <c r="AV645" s="353"/>
      <c r="AW645" s="353"/>
      <c r="AX645" s="353"/>
      <c r="AY645" s="353"/>
      <c r="AZ645" s="353"/>
      <c r="BA645" s="353"/>
      <c r="BB645" s="353"/>
      <c r="BC645" s="353"/>
      <c r="BD645" s="353"/>
      <c r="BE645" s="353"/>
      <c r="BF645" s="353"/>
      <c r="BG645" s="353"/>
      <c r="BH645" s="353"/>
      <c r="BI645" s="353"/>
      <c r="BJ645" s="353"/>
      <c r="BK645" s="353"/>
      <c r="BL645" s="353"/>
      <c r="BM645" s="353"/>
      <c r="BN645" s="353"/>
      <c r="BO645" s="353"/>
      <c r="BP645" s="353"/>
      <c r="BQ645" s="353"/>
      <c r="BR645" s="353"/>
      <c r="BS645" s="353"/>
      <c r="BT645" s="353"/>
      <c r="BU645" s="353"/>
      <c r="BV645" s="353"/>
      <c r="BW645" s="353"/>
      <c r="BX645" s="353"/>
    </row>
    <row r="646" spans="1:76" s="244" customFormat="1" ht="49.5" customHeight="1">
      <c r="A646" s="3134"/>
      <c r="B646" s="3140"/>
      <c r="C646" s="1218" t="s">
        <v>146</v>
      </c>
      <c r="D646" s="1218" t="s">
        <v>65</v>
      </c>
      <c r="E646" s="1218" t="s">
        <v>196</v>
      </c>
      <c r="F646" s="1218" t="s">
        <v>66</v>
      </c>
      <c r="G646" s="1218" t="s">
        <v>65</v>
      </c>
      <c r="H646" s="1218" t="s">
        <v>201</v>
      </c>
      <c r="I646" s="3140" t="s">
        <v>454</v>
      </c>
      <c r="J646" s="3140" t="s">
        <v>455</v>
      </c>
      <c r="K646" s="3143">
        <v>60</v>
      </c>
      <c r="L646" s="3141">
        <f>300000000*6</f>
        <v>1800000000</v>
      </c>
      <c r="M646" s="3143">
        <v>23</v>
      </c>
      <c r="N646" s="3141">
        <v>136827000</v>
      </c>
      <c r="O646" s="3143">
        <v>2</v>
      </c>
      <c r="P646" s="3141">
        <v>13000000</v>
      </c>
      <c r="Q646" s="3143">
        <v>0</v>
      </c>
      <c r="R646" s="387">
        <v>0</v>
      </c>
      <c r="S646" s="1389">
        <v>2</v>
      </c>
      <c r="T646" s="3115">
        <v>13000000</v>
      </c>
      <c r="U646" s="385">
        <v>0</v>
      </c>
      <c r="V646" s="597">
        <v>0</v>
      </c>
      <c r="W646" s="385"/>
      <c r="X646" s="385"/>
      <c r="Y646" s="3143">
        <f t="shared" si="190"/>
        <v>2</v>
      </c>
      <c r="Z646" s="597">
        <f t="shared" si="189"/>
        <v>13000000</v>
      </c>
      <c r="AA646" s="3143">
        <f t="shared" ref="AA646:AA662" si="195">M646+Y646</f>
        <v>25</v>
      </c>
      <c r="AB646" s="597">
        <f t="shared" ref="AB646:AB662" si="196">N646+Z646</f>
        <v>149827000</v>
      </c>
      <c r="AC646" s="3142">
        <f t="shared" ref="AC646:AC662" si="197">AA646/K646*100</f>
        <v>41.666666666666671</v>
      </c>
      <c r="AD646" s="3142">
        <f t="shared" ref="AD646:AD662" si="198">AB646/L646*100</f>
        <v>8.3237222222222229</v>
      </c>
      <c r="AE646" s="390"/>
      <c r="AF646" s="2266"/>
      <c r="AG646" s="2266"/>
      <c r="AH646" s="2266"/>
      <c r="AI646" s="2266"/>
      <c r="AJ646" s="2266"/>
      <c r="AK646" s="2266"/>
      <c r="AL646" s="2266"/>
      <c r="AM646" s="2266"/>
      <c r="AN646" s="2266"/>
      <c r="AO646" s="2266"/>
      <c r="AP646" s="2266"/>
      <c r="AQ646" s="2266"/>
      <c r="AR646" s="2266"/>
      <c r="AS646" s="2266"/>
      <c r="AT646" s="2266"/>
      <c r="AU646" s="2266"/>
      <c r="AV646" s="2266"/>
      <c r="AW646" s="2266"/>
      <c r="AX646" s="2266"/>
      <c r="AY646" s="2266"/>
      <c r="AZ646" s="2266"/>
      <c r="BA646" s="2266"/>
      <c r="BB646" s="2266"/>
      <c r="BC646" s="2266"/>
      <c r="BD646" s="2266"/>
      <c r="BE646" s="2266"/>
      <c r="BF646" s="2266"/>
      <c r="BG646" s="2266"/>
      <c r="BH646" s="2266"/>
      <c r="BI646" s="2266"/>
      <c r="BJ646" s="2266"/>
      <c r="BK646" s="2266"/>
      <c r="BL646" s="2266"/>
      <c r="BM646" s="2266"/>
      <c r="BN646" s="2266"/>
      <c r="BO646" s="2266"/>
      <c r="BP646" s="2266"/>
      <c r="BQ646" s="2266"/>
      <c r="BR646" s="2266"/>
      <c r="BS646" s="2266"/>
      <c r="BT646" s="2266"/>
      <c r="BU646" s="2266"/>
      <c r="BV646" s="2266"/>
      <c r="BW646" s="2266"/>
      <c r="BX646" s="2266"/>
    </row>
    <row r="647" spans="1:76" s="244" customFormat="1" ht="49.5" customHeight="1">
      <c r="A647" s="3134"/>
      <c r="B647" s="3140"/>
      <c r="C647" s="1218" t="s">
        <v>146</v>
      </c>
      <c r="D647" s="1218" t="s">
        <v>65</v>
      </c>
      <c r="E647" s="1218" t="s">
        <v>196</v>
      </c>
      <c r="F647" s="1218" t="s">
        <v>66</v>
      </c>
      <c r="G647" s="1218" t="s">
        <v>65</v>
      </c>
      <c r="H647" s="1218" t="s">
        <v>163</v>
      </c>
      <c r="I647" s="3140" t="s">
        <v>258</v>
      </c>
      <c r="J647" s="3140" t="s">
        <v>456</v>
      </c>
      <c r="K647" s="3143">
        <v>72</v>
      </c>
      <c r="L647" s="3141">
        <v>150000000</v>
      </c>
      <c r="M647" s="3143">
        <v>24</v>
      </c>
      <c r="N647" s="3141">
        <v>63955000</v>
      </c>
      <c r="O647" s="3143">
        <v>12</v>
      </c>
      <c r="P647" s="3141">
        <v>36000000</v>
      </c>
      <c r="Q647" s="3143">
        <v>3</v>
      </c>
      <c r="R647" s="387">
        <v>5435000</v>
      </c>
      <c r="S647" s="1389">
        <v>3</v>
      </c>
      <c r="T647" s="3115">
        <v>5435000</v>
      </c>
      <c r="U647" s="385">
        <v>3</v>
      </c>
      <c r="V647" s="597">
        <v>21430000</v>
      </c>
      <c r="W647" s="385"/>
      <c r="X647" s="385"/>
      <c r="Y647" s="3143">
        <f t="shared" si="190"/>
        <v>9</v>
      </c>
      <c r="Z647" s="597">
        <f t="shared" si="189"/>
        <v>32300000</v>
      </c>
      <c r="AA647" s="3143">
        <f t="shared" si="195"/>
        <v>33</v>
      </c>
      <c r="AB647" s="597">
        <f t="shared" si="196"/>
        <v>96255000</v>
      </c>
      <c r="AC647" s="3142">
        <f t="shared" si="197"/>
        <v>45.833333333333329</v>
      </c>
      <c r="AD647" s="3142">
        <f t="shared" si="198"/>
        <v>64.17</v>
      </c>
      <c r="AE647" s="390"/>
      <c r="AF647" s="2266"/>
      <c r="AG647" s="2266"/>
      <c r="AH647" s="2266"/>
      <c r="AI647" s="2266"/>
      <c r="AJ647" s="2266"/>
      <c r="AK647" s="2266"/>
      <c r="AL647" s="2266"/>
      <c r="AM647" s="2266"/>
      <c r="AN647" s="2266"/>
      <c r="AO647" s="2266"/>
      <c r="AP647" s="2266"/>
      <c r="AQ647" s="2266"/>
      <c r="AR647" s="2266"/>
      <c r="AS647" s="2266"/>
      <c r="AT647" s="2266"/>
      <c r="AU647" s="2266"/>
      <c r="AV647" s="2266"/>
      <c r="AW647" s="2266"/>
      <c r="AX647" s="2266"/>
      <c r="AY647" s="2266"/>
      <c r="AZ647" s="2266"/>
      <c r="BA647" s="2266"/>
      <c r="BB647" s="2266"/>
      <c r="BC647" s="2266"/>
      <c r="BD647" s="2266"/>
      <c r="BE647" s="2266"/>
      <c r="BF647" s="2266"/>
      <c r="BG647" s="2266"/>
      <c r="BH647" s="2266"/>
      <c r="BI647" s="2266"/>
      <c r="BJ647" s="2266"/>
      <c r="BK647" s="2266"/>
      <c r="BL647" s="2266"/>
      <c r="BM647" s="2266"/>
      <c r="BN647" s="2266"/>
      <c r="BO647" s="2266"/>
      <c r="BP647" s="2266"/>
      <c r="BQ647" s="2266"/>
      <c r="BR647" s="2266"/>
      <c r="BS647" s="2266"/>
      <c r="BT647" s="2266"/>
      <c r="BU647" s="2266"/>
      <c r="BV647" s="2266"/>
      <c r="BW647" s="2266"/>
      <c r="BX647" s="2266"/>
    </row>
    <row r="648" spans="1:76" s="2318" customFormat="1" ht="87" customHeight="1">
      <c r="A648" s="3134"/>
      <c r="B648" s="3140"/>
      <c r="C648" s="1218" t="s">
        <v>146</v>
      </c>
      <c r="D648" s="1218" t="s">
        <v>65</v>
      </c>
      <c r="E648" s="1218" t="s">
        <v>196</v>
      </c>
      <c r="F648" s="1218" t="s">
        <v>66</v>
      </c>
      <c r="G648" s="1218" t="s">
        <v>65</v>
      </c>
      <c r="H648" s="1218" t="s">
        <v>165</v>
      </c>
      <c r="I648" s="3140" t="s">
        <v>457</v>
      </c>
      <c r="J648" s="3140" t="s">
        <v>458</v>
      </c>
      <c r="K648" s="3143">
        <v>72</v>
      </c>
      <c r="L648" s="3141">
        <v>150000000</v>
      </c>
      <c r="M648" s="3143">
        <v>24</v>
      </c>
      <c r="N648" s="3141">
        <v>100788750</v>
      </c>
      <c r="O648" s="3143">
        <v>12</v>
      </c>
      <c r="P648" s="3141">
        <v>99312500</v>
      </c>
      <c r="Q648" s="3143">
        <v>3</v>
      </c>
      <c r="R648" s="386">
        <v>19624800</v>
      </c>
      <c r="S648" s="1389">
        <v>3</v>
      </c>
      <c r="T648" s="3115">
        <v>41385000</v>
      </c>
      <c r="U648" s="385">
        <v>3</v>
      </c>
      <c r="V648" s="597">
        <v>22166400</v>
      </c>
      <c r="W648" s="385"/>
      <c r="X648" s="385"/>
      <c r="Y648" s="3143">
        <f t="shared" si="190"/>
        <v>9</v>
      </c>
      <c r="Z648" s="597">
        <f t="shared" si="189"/>
        <v>83176200</v>
      </c>
      <c r="AA648" s="3143">
        <f t="shared" si="195"/>
        <v>33</v>
      </c>
      <c r="AB648" s="597">
        <f t="shared" si="196"/>
        <v>183964950</v>
      </c>
      <c r="AC648" s="3142">
        <f t="shared" si="197"/>
        <v>45.833333333333329</v>
      </c>
      <c r="AD648" s="3142">
        <f t="shared" si="198"/>
        <v>122.64330000000001</v>
      </c>
      <c r="AE648" s="390"/>
    </row>
    <row r="649" spans="1:76" s="2318" customFormat="1" ht="49.5" customHeight="1">
      <c r="A649" s="3134"/>
      <c r="B649" s="3140"/>
      <c r="C649" s="1218" t="s">
        <v>146</v>
      </c>
      <c r="D649" s="1218" t="s">
        <v>65</v>
      </c>
      <c r="E649" s="1218" t="s">
        <v>196</v>
      </c>
      <c r="F649" s="1218" t="s">
        <v>66</v>
      </c>
      <c r="G649" s="1218" t="s">
        <v>65</v>
      </c>
      <c r="H649" s="1218" t="s">
        <v>459</v>
      </c>
      <c r="I649" s="3140" t="s">
        <v>225</v>
      </c>
      <c r="J649" s="3140" t="s">
        <v>460</v>
      </c>
      <c r="K649" s="3143">
        <v>72</v>
      </c>
      <c r="L649" s="3141">
        <v>20000000</v>
      </c>
      <c r="M649" s="3143">
        <v>24</v>
      </c>
      <c r="N649" s="3141">
        <v>18200000</v>
      </c>
      <c r="O649" s="3143">
        <v>12</v>
      </c>
      <c r="P649" s="3141">
        <v>10850000</v>
      </c>
      <c r="Q649" s="3143">
        <v>3</v>
      </c>
      <c r="R649" s="387">
        <v>651000</v>
      </c>
      <c r="S649" s="1389">
        <v>3</v>
      </c>
      <c r="T649" s="3001">
        <v>899300</v>
      </c>
      <c r="U649" s="385">
        <v>3</v>
      </c>
      <c r="V649" s="597">
        <v>5299700</v>
      </c>
      <c r="W649" s="385"/>
      <c r="X649" s="385"/>
      <c r="Y649" s="3143">
        <f t="shared" si="190"/>
        <v>9</v>
      </c>
      <c r="Z649" s="597">
        <f t="shared" si="189"/>
        <v>6850000</v>
      </c>
      <c r="AA649" s="3143">
        <f t="shared" si="195"/>
        <v>33</v>
      </c>
      <c r="AB649" s="597">
        <f t="shared" si="196"/>
        <v>25050000</v>
      </c>
      <c r="AC649" s="3142">
        <f t="shared" si="197"/>
        <v>45.833333333333329</v>
      </c>
      <c r="AD649" s="3142">
        <f t="shared" si="198"/>
        <v>125.25</v>
      </c>
      <c r="AE649" s="390"/>
    </row>
    <row r="650" spans="1:76" s="3221" customFormat="1" ht="27" customHeight="1">
      <c r="A650" s="4291">
        <v>3</v>
      </c>
      <c r="B650" s="4292" t="s">
        <v>461</v>
      </c>
      <c r="C650" s="4085" t="s">
        <v>146</v>
      </c>
      <c r="D650" s="4085" t="s">
        <v>65</v>
      </c>
      <c r="E650" s="4085" t="s">
        <v>196</v>
      </c>
      <c r="F650" s="4085" t="s">
        <v>66</v>
      </c>
      <c r="G650" s="4085" t="s">
        <v>166</v>
      </c>
      <c r="H650" s="4085"/>
      <c r="I650" s="4241" t="s">
        <v>462</v>
      </c>
      <c r="J650" s="2335" t="s">
        <v>463</v>
      </c>
      <c r="K650" s="3162">
        <f>3*O650</f>
        <v>7200</v>
      </c>
      <c r="L650" s="2568">
        <f>SUM(L652:L662)</f>
        <v>1980000000</v>
      </c>
      <c r="M650" s="3162">
        <v>3955</v>
      </c>
      <c r="N650" s="2977">
        <f>SUM(N652:N662)</f>
        <v>751712939</v>
      </c>
      <c r="O650" s="3162">
        <v>2400</v>
      </c>
      <c r="P650" s="2587">
        <f>SUM(P652:P662)</f>
        <v>501386324</v>
      </c>
      <c r="Q650" s="2588">
        <v>2000</v>
      </c>
      <c r="R650" s="2677">
        <f>R652+R653+R654+R655+R656+R657+R658+R660+R659+R661+R662</f>
        <v>58273000</v>
      </c>
      <c r="S650" s="2570">
        <v>0</v>
      </c>
      <c r="T650" s="2569">
        <f>SUM(T653:T662)</f>
        <v>735832700</v>
      </c>
      <c r="U650" s="2570">
        <v>0</v>
      </c>
      <c r="V650" s="2571">
        <f>SUM(V653:V662)</f>
        <v>114733400</v>
      </c>
      <c r="W650" s="2570"/>
      <c r="X650" s="2570"/>
      <c r="Y650" s="2543">
        <f t="shared" si="190"/>
        <v>2000</v>
      </c>
      <c r="Z650" s="2571">
        <f t="shared" si="189"/>
        <v>908839100</v>
      </c>
      <c r="AA650" s="2543">
        <f t="shared" si="195"/>
        <v>5955</v>
      </c>
      <c r="AB650" s="2571">
        <f t="shared" si="196"/>
        <v>1660552039</v>
      </c>
      <c r="AC650" s="2544">
        <f t="shared" si="197"/>
        <v>82.708333333333329</v>
      </c>
      <c r="AD650" s="2544">
        <f t="shared" si="198"/>
        <v>83.866264595959592</v>
      </c>
      <c r="AE650" s="4240" t="s">
        <v>440</v>
      </c>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row>
    <row r="651" spans="1:76" s="3221" customFormat="1" ht="33" customHeight="1">
      <c r="A651" s="4291"/>
      <c r="B651" s="4292"/>
      <c r="C651" s="4088"/>
      <c r="D651" s="4088"/>
      <c r="E651" s="4088"/>
      <c r="F651" s="4088"/>
      <c r="G651" s="4088"/>
      <c r="H651" s="4090"/>
      <c r="I651" s="4242"/>
      <c r="J651" s="2335" t="s">
        <v>464</v>
      </c>
      <c r="K651" s="3162">
        <v>93</v>
      </c>
      <c r="L651" s="2568"/>
      <c r="M651" s="3162">
        <v>77</v>
      </c>
      <c r="N651" s="2978"/>
      <c r="O651" s="3162">
        <f>K651-M651</f>
        <v>16</v>
      </c>
      <c r="P651" s="2587"/>
      <c r="Q651" s="2588">
        <v>0</v>
      </c>
      <c r="R651" s="2979"/>
      <c r="S651" s="2570">
        <v>0</v>
      </c>
      <c r="T651" s="2569"/>
      <c r="U651" s="2570">
        <v>16</v>
      </c>
      <c r="V651" s="2571"/>
      <c r="W651" s="2570"/>
      <c r="X651" s="2570"/>
      <c r="Y651" s="2543">
        <f t="shared" si="190"/>
        <v>16</v>
      </c>
      <c r="Z651" s="2571">
        <f t="shared" si="189"/>
        <v>0</v>
      </c>
      <c r="AA651" s="2543">
        <f t="shared" si="195"/>
        <v>93</v>
      </c>
      <c r="AB651" s="2571">
        <f t="shared" si="196"/>
        <v>0</v>
      </c>
      <c r="AC651" s="2544">
        <f t="shared" si="197"/>
        <v>100</v>
      </c>
      <c r="AD651" s="2544"/>
      <c r="AE651" s="4240"/>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row>
    <row r="652" spans="1:76" s="918" customFormat="1" ht="57" customHeight="1">
      <c r="A652" s="3134"/>
      <c r="B652" s="384"/>
      <c r="C652" s="3792" t="s">
        <v>146</v>
      </c>
      <c r="D652" s="3792" t="s">
        <v>65</v>
      </c>
      <c r="E652" s="3792" t="s">
        <v>196</v>
      </c>
      <c r="F652" s="3792" t="s">
        <v>66</v>
      </c>
      <c r="G652" s="3792" t="s">
        <v>166</v>
      </c>
      <c r="H652" s="4089" t="s">
        <v>66</v>
      </c>
      <c r="I652" s="3140" t="s">
        <v>465</v>
      </c>
      <c r="J652" s="3140" t="s">
        <v>466</v>
      </c>
      <c r="K652" s="1259">
        <v>60</v>
      </c>
      <c r="L652" s="3141">
        <f>50000000*6</f>
        <v>300000000</v>
      </c>
      <c r="M652" s="1259">
        <v>11</v>
      </c>
      <c r="N652" s="2564">
        <v>56158920</v>
      </c>
      <c r="O652" s="1259">
        <v>10</v>
      </c>
      <c r="P652" s="2278">
        <v>42240120</v>
      </c>
      <c r="Q652" s="3144">
        <v>0</v>
      </c>
      <c r="R652" s="2565">
        <v>1525000</v>
      </c>
      <c r="S652" s="1389">
        <v>0</v>
      </c>
      <c r="T652" s="3001">
        <v>0</v>
      </c>
      <c r="U652" s="385">
        <v>0</v>
      </c>
      <c r="V652" s="597">
        <v>950000</v>
      </c>
      <c r="W652" s="385"/>
      <c r="X652" s="385"/>
      <c r="Y652" s="3143">
        <f t="shared" si="190"/>
        <v>0</v>
      </c>
      <c r="Z652" s="597">
        <f t="shared" si="189"/>
        <v>2475000</v>
      </c>
      <c r="AA652" s="3143">
        <f t="shared" si="195"/>
        <v>11</v>
      </c>
      <c r="AB652" s="597">
        <f t="shared" si="196"/>
        <v>58633920</v>
      </c>
      <c r="AC652" s="3142">
        <f t="shared" si="197"/>
        <v>18.333333333333332</v>
      </c>
      <c r="AD652" s="3142">
        <f t="shared" si="198"/>
        <v>19.544639999999998</v>
      </c>
      <c r="AE652" s="390"/>
      <c r="AF652" s="63"/>
      <c r="AG652" s="63"/>
      <c r="AH652" s="63"/>
      <c r="AI652" s="63"/>
      <c r="AJ652" s="63"/>
      <c r="AK652" s="63"/>
      <c r="AL652" s="63"/>
      <c r="AM652" s="63"/>
      <c r="AN652" s="63"/>
      <c r="AO652" s="63"/>
      <c r="AP652" s="63"/>
      <c r="AQ652" s="63"/>
      <c r="AR652" s="63"/>
      <c r="AS652" s="63"/>
      <c r="AT652" s="63"/>
      <c r="AU652" s="63"/>
      <c r="AV652" s="63"/>
      <c r="AW652" s="63"/>
      <c r="AX652" s="63"/>
      <c r="AY652" s="63"/>
      <c r="AZ652" s="63"/>
      <c r="BA652" s="63"/>
      <c r="BB652" s="63"/>
      <c r="BC652" s="63"/>
      <c r="BD652" s="63"/>
      <c r="BE652" s="63"/>
      <c r="BF652" s="63"/>
      <c r="BG652" s="63"/>
      <c r="BH652" s="63"/>
      <c r="BI652" s="63"/>
      <c r="BJ652" s="63"/>
      <c r="BK652" s="63"/>
      <c r="BL652" s="63"/>
      <c r="BM652" s="63"/>
      <c r="BN652" s="63"/>
      <c r="BO652" s="63"/>
      <c r="BP652" s="63"/>
      <c r="BQ652" s="63"/>
      <c r="BR652" s="63"/>
      <c r="BS652" s="63"/>
      <c r="BT652" s="63"/>
      <c r="BU652" s="63"/>
      <c r="BV652" s="63"/>
      <c r="BW652" s="63"/>
      <c r="BX652" s="63"/>
    </row>
    <row r="653" spans="1:76" s="918" customFormat="1" ht="56.25" customHeight="1">
      <c r="A653" s="3134"/>
      <c r="B653" s="384"/>
      <c r="C653" s="3792" t="s">
        <v>146</v>
      </c>
      <c r="D653" s="3792" t="s">
        <v>65</v>
      </c>
      <c r="E653" s="3792" t="s">
        <v>196</v>
      </c>
      <c r="F653" s="3792" t="s">
        <v>66</v>
      </c>
      <c r="G653" s="3792" t="s">
        <v>166</v>
      </c>
      <c r="H653" s="1218" t="s">
        <v>396</v>
      </c>
      <c r="I653" s="3140" t="s">
        <v>467</v>
      </c>
      <c r="J653" s="3140" t="s">
        <v>468</v>
      </c>
      <c r="K653" s="1259">
        <f>6*14</f>
        <v>84</v>
      </c>
      <c r="L653" s="3141">
        <v>160000000</v>
      </c>
      <c r="M653" s="1259">
        <v>14</v>
      </c>
      <c r="N653" s="2564">
        <v>80271360</v>
      </c>
      <c r="O653" s="1259">
        <v>14</v>
      </c>
      <c r="P653" s="2278">
        <v>29949690</v>
      </c>
      <c r="Q653" s="3144">
        <v>0</v>
      </c>
      <c r="R653" s="2565">
        <v>5293000</v>
      </c>
      <c r="S653" s="1389">
        <v>7</v>
      </c>
      <c r="T653" s="3115">
        <v>4584000</v>
      </c>
      <c r="U653" s="385">
        <v>3</v>
      </c>
      <c r="V653" s="597">
        <v>2774000</v>
      </c>
      <c r="W653" s="385"/>
      <c r="X653" s="385"/>
      <c r="Y653" s="3143">
        <f t="shared" si="190"/>
        <v>10</v>
      </c>
      <c r="Z653" s="597">
        <f t="shared" si="189"/>
        <v>12651000</v>
      </c>
      <c r="AA653" s="3143">
        <f t="shared" si="195"/>
        <v>24</v>
      </c>
      <c r="AB653" s="597">
        <f t="shared" si="196"/>
        <v>92922360</v>
      </c>
      <c r="AC653" s="3142">
        <f t="shared" si="197"/>
        <v>28.571428571428569</v>
      </c>
      <c r="AD653" s="3142">
        <f t="shared" si="198"/>
        <v>58.076475000000002</v>
      </c>
      <c r="AE653" s="390"/>
      <c r="AF653" s="63"/>
      <c r="AG653" s="63"/>
      <c r="AH653" s="63"/>
      <c r="AI653" s="63"/>
      <c r="AJ653" s="63"/>
      <c r="AK653" s="63"/>
      <c r="AL653" s="63"/>
      <c r="AM653" s="63"/>
      <c r="AN653" s="63"/>
      <c r="AO653" s="63"/>
      <c r="AP653" s="63"/>
      <c r="AQ653" s="63"/>
      <c r="AR653" s="63"/>
      <c r="AS653" s="63"/>
      <c r="AT653" s="63"/>
      <c r="AU653" s="63"/>
      <c r="AV653" s="63"/>
      <c r="AW653" s="63"/>
      <c r="AX653" s="63"/>
      <c r="AY653" s="63"/>
      <c r="AZ653" s="63"/>
      <c r="BA653" s="63"/>
      <c r="BB653" s="63"/>
      <c r="BC653" s="63"/>
      <c r="BD653" s="63"/>
      <c r="BE653" s="63"/>
      <c r="BF653" s="63"/>
      <c r="BG653" s="63"/>
      <c r="BH653" s="63"/>
      <c r="BI653" s="63"/>
      <c r="BJ653" s="63"/>
      <c r="BK653" s="63"/>
      <c r="BL653" s="63"/>
      <c r="BM653" s="63"/>
      <c r="BN653" s="63"/>
      <c r="BO653" s="63"/>
      <c r="BP653" s="63"/>
      <c r="BQ653" s="63"/>
      <c r="BR653" s="63"/>
      <c r="BS653" s="63"/>
      <c r="BT653" s="63"/>
      <c r="BU653" s="63"/>
      <c r="BV653" s="63"/>
      <c r="BW653" s="63"/>
      <c r="BX653" s="63"/>
    </row>
    <row r="654" spans="1:76" s="918" customFormat="1" ht="60.75" customHeight="1">
      <c r="A654" s="3134"/>
      <c r="B654" s="384"/>
      <c r="C654" s="3792" t="s">
        <v>146</v>
      </c>
      <c r="D654" s="3792" t="s">
        <v>65</v>
      </c>
      <c r="E654" s="3792" t="s">
        <v>196</v>
      </c>
      <c r="F654" s="3792" t="s">
        <v>66</v>
      </c>
      <c r="G654" s="3792" t="s">
        <v>166</v>
      </c>
      <c r="H654" s="1218" t="s">
        <v>469</v>
      </c>
      <c r="I654" s="3140" t="s">
        <v>470</v>
      </c>
      <c r="J654" s="3140" t="s">
        <v>471</v>
      </c>
      <c r="K654" s="1259">
        <f>5*M654</f>
        <v>115</v>
      </c>
      <c r="L654" s="3141">
        <v>130000000</v>
      </c>
      <c r="M654" s="1259">
        <v>23</v>
      </c>
      <c r="N654" s="2564">
        <v>54679850</v>
      </c>
      <c r="O654" s="1259">
        <v>23</v>
      </c>
      <c r="P654" s="2278">
        <v>71889895</v>
      </c>
      <c r="Q654" s="3144">
        <v>0</v>
      </c>
      <c r="R654" s="2565">
        <v>6767300</v>
      </c>
      <c r="S654" s="1389">
        <v>12</v>
      </c>
      <c r="T654" s="3115">
        <v>9740000</v>
      </c>
      <c r="U654" s="385">
        <v>6</v>
      </c>
      <c r="V654" s="597">
        <v>32042800</v>
      </c>
      <c r="W654" s="385"/>
      <c r="X654" s="385"/>
      <c r="Y654" s="3143">
        <f t="shared" si="190"/>
        <v>18</v>
      </c>
      <c r="Z654" s="597">
        <f t="shared" si="189"/>
        <v>48550100</v>
      </c>
      <c r="AA654" s="3143">
        <f t="shared" si="195"/>
        <v>41</v>
      </c>
      <c r="AB654" s="597">
        <f t="shared" si="196"/>
        <v>103229950</v>
      </c>
      <c r="AC654" s="3142">
        <f t="shared" si="197"/>
        <v>35.652173913043477</v>
      </c>
      <c r="AD654" s="3142">
        <f t="shared" si="198"/>
        <v>79.407653846153849</v>
      </c>
      <c r="AE654" s="390"/>
      <c r="AF654" s="63"/>
      <c r="AG654" s="63"/>
      <c r="AH654" s="63"/>
      <c r="AI654" s="63"/>
      <c r="AJ654" s="63"/>
      <c r="AK654" s="63"/>
      <c r="AL654" s="63"/>
      <c r="AM654" s="63"/>
      <c r="AN654" s="63"/>
      <c r="AO654" s="63"/>
      <c r="AP654" s="63"/>
      <c r="AQ654" s="63"/>
      <c r="AR654" s="63"/>
      <c r="AS654" s="63"/>
      <c r="AT654" s="63"/>
      <c r="AU654" s="63"/>
      <c r="AV654" s="63"/>
      <c r="AW654" s="63"/>
      <c r="AX654" s="63"/>
      <c r="AY654" s="63"/>
      <c r="AZ654" s="63"/>
      <c r="BA654" s="63"/>
      <c r="BB654" s="63"/>
      <c r="BC654" s="63"/>
      <c r="BD654" s="63"/>
      <c r="BE654" s="63"/>
      <c r="BF654" s="63"/>
      <c r="BG654" s="63"/>
      <c r="BH654" s="63"/>
      <c r="BI654" s="63"/>
      <c r="BJ654" s="63"/>
      <c r="BK654" s="63"/>
      <c r="BL654" s="63"/>
      <c r="BM654" s="63"/>
      <c r="BN654" s="63"/>
      <c r="BO654" s="63"/>
      <c r="BP654" s="63"/>
      <c r="BQ654" s="63"/>
      <c r="BR654" s="63"/>
      <c r="BS654" s="63"/>
      <c r="BT654" s="63"/>
      <c r="BU654" s="63"/>
      <c r="BV654" s="63"/>
      <c r="BW654" s="63"/>
      <c r="BX654" s="63"/>
    </row>
    <row r="655" spans="1:76" s="918" customFormat="1" ht="69" customHeight="1">
      <c r="A655" s="3134"/>
      <c r="B655" s="384"/>
      <c r="C655" s="3792" t="s">
        <v>146</v>
      </c>
      <c r="D655" s="3792" t="s">
        <v>65</v>
      </c>
      <c r="E655" s="3792" t="s">
        <v>196</v>
      </c>
      <c r="F655" s="3792" t="s">
        <v>66</v>
      </c>
      <c r="G655" s="3792" t="s">
        <v>166</v>
      </c>
      <c r="H655" s="1218" t="s">
        <v>345</v>
      </c>
      <c r="I655" s="3140" t="s">
        <v>472</v>
      </c>
      <c r="J655" s="3140" t="s">
        <v>473</v>
      </c>
      <c r="K655" s="1259">
        <v>75</v>
      </c>
      <c r="L655" s="3141">
        <v>80000000</v>
      </c>
      <c r="M655" s="1259">
        <v>15</v>
      </c>
      <c r="N655" s="2564">
        <v>45334790</v>
      </c>
      <c r="O655" s="1259">
        <v>15</v>
      </c>
      <c r="P655" s="2278">
        <v>59586761</v>
      </c>
      <c r="Q655" s="3144">
        <v>0</v>
      </c>
      <c r="R655" s="2565">
        <v>4217000</v>
      </c>
      <c r="S655" s="1389">
        <v>3</v>
      </c>
      <c r="T655" s="3115">
        <v>22253000</v>
      </c>
      <c r="U655" s="385">
        <v>3</v>
      </c>
      <c r="V655" s="597">
        <v>10263000</v>
      </c>
      <c r="W655" s="385"/>
      <c r="X655" s="385"/>
      <c r="Y655" s="3143">
        <f t="shared" si="190"/>
        <v>6</v>
      </c>
      <c r="Z655" s="597">
        <f t="shared" si="189"/>
        <v>36733000</v>
      </c>
      <c r="AA655" s="3143">
        <f t="shared" si="195"/>
        <v>21</v>
      </c>
      <c r="AB655" s="597">
        <f t="shared" si="196"/>
        <v>82067790</v>
      </c>
      <c r="AC655" s="3142">
        <f t="shared" si="197"/>
        <v>28.000000000000004</v>
      </c>
      <c r="AD655" s="3142">
        <f t="shared" si="198"/>
        <v>102.58473749999999</v>
      </c>
      <c r="AE655" s="390"/>
      <c r="AF655" s="63"/>
      <c r="AG655" s="63"/>
      <c r="AH655" s="63"/>
      <c r="AI655" s="63"/>
      <c r="AJ655" s="63"/>
      <c r="AK655" s="63"/>
      <c r="AL655" s="63"/>
      <c r="AM655" s="63"/>
      <c r="AN655" s="63"/>
      <c r="AO655" s="63"/>
      <c r="AP655" s="63"/>
      <c r="AQ655" s="63"/>
      <c r="AR655" s="63"/>
      <c r="AS655" s="63"/>
      <c r="AT655" s="63"/>
      <c r="AU655" s="63"/>
      <c r="AV655" s="63"/>
      <c r="AW655" s="63"/>
      <c r="AX655" s="63"/>
      <c r="AY655" s="63"/>
      <c r="AZ655" s="63"/>
      <c r="BA655" s="63"/>
      <c r="BB655" s="63"/>
      <c r="BC655" s="63"/>
      <c r="BD655" s="63"/>
      <c r="BE655" s="63"/>
      <c r="BF655" s="63"/>
      <c r="BG655" s="63"/>
      <c r="BH655" s="63"/>
      <c r="BI655" s="63"/>
      <c r="BJ655" s="63"/>
      <c r="BK655" s="63"/>
      <c r="BL655" s="63"/>
      <c r="BM655" s="63"/>
      <c r="BN655" s="63"/>
      <c r="BO655" s="63"/>
      <c r="BP655" s="63"/>
      <c r="BQ655" s="63"/>
      <c r="BR655" s="63"/>
      <c r="BS655" s="63"/>
      <c r="BT655" s="63"/>
      <c r="BU655" s="63"/>
      <c r="BV655" s="63"/>
      <c r="BW655" s="63"/>
      <c r="BX655" s="63"/>
    </row>
    <row r="656" spans="1:76" s="918" customFormat="1" ht="62.25" customHeight="1">
      <c r="A656" s="3134"/>
      <c r="B656" s="384"/>
      <c r="C656" s="3792" t="s">
        <v>146</v>
      </c>
      <c r="D656" s="3792" t="s">
        <v>65</v>
      </c>
      <c r="E656" s="3792" t="s">
        <v>196</v>
      </c>
      <c r="F656" s="3792" t="s">
        <v>66</v>
      </c>
      <c r="G656" s="3792" t="s">
        <v>166</v>
      </c>
      <c r="H656" s="1218" t="s">
        <v>183</v>
      </c>
      <c r="I656" s="3140" t="s">
        <v>474</v>
      </c>
      <c r="J656" s="3140" t="s">
        <v>475</v>
      </c>
      <c r="K656" s="1259">
        <v>100</v>
      </c>
      <c r="L656" s="3141">
        <v>250000000</v>
      </c>
      <c r="M656" s="1259">
        <v>46.5</v>
      </c>
      <c r="N656" s="2564">
        <v>84791480</v>
      </c>
      <c r="O656" s="1259">
        <v>6</v>
      </c>
      <c r="P656" s="2278">
        <v>98189419</v>
      </c>
      <c r="Q656" s="3144">
        <v>0</v>
      </c>
      <c r="R656" s="2565">
        <v>7670100</v>
      </c>
      <c r="S656" s="1389">
        <v>5.25</v>
      </c>
      <c r="T656" s="3115">
        <v>673551000</v>
      </c>
      <c r="U656" s="385">
        <v>0</v>
      </c>
      <c r="V656" s="597">
        <v>10783000</v>
      </c>
      <c r="W656" s="385"/>
      <c r="X656" s="385"/>
      <c r="Y656" s="3143">
        <f t="shared" si="190"/>
        <v>5.25</v>
      </c>
      <c r="Z656" s="597">
        <f t="shared" si="189"/>
        <v>692004100</v>
      </c>
      <c r="AA656" s="3143">
        <f t="shared" si="195"/>
        <v>51.75</v>
      </c>
      <c r="AB656" s="597">
        <f t="shared" si="196"/>
        <v>776795580</v>
      </c>
      <c r="AC656" s="3142">
        <f t="shared" si="197"/>
        <v>51.749999999999993</v>
      </c>
      <c r="AD656" s="3142">
        <f t="shared" si="198"/>
        <v>310.718232</v>
      </c>
      <c r="AE656" s="390"/>
      <c r="AF656" s="63"/>
      <c r="AG656" s="63"/>
      <c r="AH656" s="63"/>
      <c r="AI656" s="63"/>
      <c r="AJ656" s="63"/>
      <c r="AK656" s="63"/>
      <c r="AL656" s="63"/>
      <c r="AM656" s="63"/>
      <c r="AN656" s="63"/>
      <c r="AO656" s="63"/>
      <c r="AP656" s="63"/>
      <c r="AQ656" s="63"/>
      <c r="AR656" s="63"/>
      <c r="AS656" s="63"/>
      <c r="AT656" s="63"/>
      <c r="AU656" s="63"/>
      <c r="AV656" s="63"/>
      <c r="AW656" s="63"/>
      <c r="AX656" s="63"/>
      <c r="AY656" s="63"/>
      <c r="AZ656" s="63"/>
      <c r="BA656" s="63"/>
      <c r="BB656" s="63"/>
      <c r="BC656" s="63"/>
      <c r="BD656" s="63"/>
      <c r="BE656" s="63"/>
      <c r="BF656" s="63"/>
      <c r="BG656" s="63"/>
      <c r="BH656" s="63"/>
      <c r="BI656" s="63"/>
      <c r="BJ656" s="63"/>
      <c r="BK656" s="63"/>
      <c r="BL656" s="63"/>
      <c r="BM656" s="63"/>
      <c r="BN656" s="63"/>
      <c r="BO656" s="63"/>
      <c r="BP656" s="63"/>
      <c r="BQ656" s="63"/>
      <c r="BR656" s="63"/>
      <c r="BS656" s="63"/>
      <c r="BT656" s="63"/>
      <c r="BU656" s="63"/>
      <c r="BV656" s="63"/>
      <c r="BW656" s="63"/>
      <c r="BX656" s="63"/>
    </row>
    <row r="657" spans="1:76" s="918" customFormat="1" ht="50.25" customHeight="1">
      <c r="A657" s="3134"/>
      <c r="B657" s="384"/>
      <c r="C657" s="3792" t="s">
        <v>146</v>
      </c>
      <c r="D657" s="3792" t="s">
        <v>65</v>
      </c>
      <c r="E657" s="3792" t="s">
        <v>196</v>
      </c>
      <c r="F657" s="3792" t="s">
        <v>66</v>
      </c>
      <c r="G657" s="3792" t="s">
        <v>166</v>
      </c>
      <c r="H657" s="1218" t="s">
        <v>476</v>
      </c>
      <c r="I657" s="3140" t="s">
        <v>477</v>
      </c>
      <c r="J657" s="3140" t="s">
        <v>478</v>
      </c>
      <c r="K657" s="1259">
        <v>72</v>
      </c>
      <c r="L657" s="3141">
        <v>75000000</v>
      </c>
      <c r="M657" s="1259">
        <v>6</v>
      </c>
      <c r="N657" s="2564">
        <v>36549200</v>
      </c>
      <c r="O657" s="1259">
        <v>6</v>
      </c>
      <c r="P657" s="2278">
        <v>32450290</v>
      </c>
      <c r="Q657" s="3144">
        <v>0</v>
      </c>
      <c r="R657" s="2565">
        <v>6831500</v>
      </c>
      <c r="S657" s="1389">
        <v>3</v>
      </c>
      <c r="T657" s="3115">
        <v>5381000</v>
      </c>
      <c r="U657" s="385">
        <v>0</v>
      </c>
      <c r="V657" s="597">
        <v>6820000</v>
      </c>
      <c r="W657" s="385"/>
      <c r="X657" s="385"/>
      <c r="Y657" s="3143">
        <f t="shared" si="190"/>
        <v>3</v>
      </c>
      <c r="Z657" s="597">
        <f t="shared" si="189"/>
        <v>19032500</v>
      </c>
      <c r="AA657" s="3143">
        <f t="shared" si="195"/>
        <v>9</v>
      </c>
      <c r="AB657" s="597">
        <f t="shared" si="196"/>
        <v>55581700</v>
      </c>
      <c r="AC657" s="3142">
        <f t="shared" si="197"/>
        <v>12.5</v>
      </c>
      <c r="AD657" s="3142">
        <f t="shared" si="198"/>
        <v>74.10893333333334</v>
      </c>
      <c r="AE657" s="390"/>
      <c r="AF657" s="63"/>
      <c r="AG657" s="63"/>
      <c r="AH657" s="63"/>
      <c r="AI657" s="63"/>
      <c r="AJ657" s="63"/>
      <c r="AK657" s="63"/>
      <c r="AL657" s="63"/>
      <c r="AM657" s="63"/>
      <c r="AN657" s="63"/>
      <c r="AO657" s="63"/>
      <c r="AP657" s="63"/>
      <c r="AQ657" s="63"/>
      <c r="AR657" s="63"/>
      <c r="AS657" s="63"/>
      <c r="AT657" s="63"/>
      <c r="AU657" s="63"/>
      <c r="AV657" s="63"/>
      <c r="AW657" s="63"/>
      <c r="AX657" s="63"/>
      <c r="AY657" s="63"/>
      <c r="AZ657" s="63"/>
      <c r="BA657" s="63"/>
      <c r="BB657" s="63"/>
      <c r="BC657" s="63"/>
      <c r="BD657" s="63"/>
      <c r="BE657" s="63"/>
      <c r="BF657" s="63"/>
      <c r="BG657" s="63"/>
      <c r="BH657" s="63"/>
      <c r="BI657" s="63"/>
      <c r="BJ657" s="63"/>
      <c r="BK657" s="63"/>
      <c r="BL657" s="63"/>
      <c r="BM657" s="63"/>
      <c r="BN657" s="63"/>
      <c r="BO657" s="63"/>
      <c r="BP657" s="63"/>
      <c r="BQ657" s="63"/>
      <c r="BR657" s="63"/>
      <c r="BS657" s="63"/>
      <c r="BT657" s="63"/>
      <c r="BU657" s="63"/>
      <c r="BV657" s="63"/>
      <c r="BW657" s="63"/>
      <c r="BX657" s="63"/>
    </row>
    <row r="658" spans="1:76" s="918" customFormat="1" ht="51" customHeight="1">
      <c r="A658" s="3134"/>
      <c r="B658" s="384"/>
      <c r="C658" s="3792" t="s">
        <v>146</v>
      </c>
      <c r="D658" s="3792" t="s">
        <v>65</v>
      </c>
      <c r="E658" s="3792" t="s">
        <v>196</v>
      </c>
      <c r="F658" s="3792" t="s">
        <v>66</v>
      </c>
      <c r="G658" s="3792" t="s">
        <v>166</v>
      </c>
      <c r="H658" s="1218" t="s">
        <v>479</v>
      </c>
      <c r="I658" s="3140" t="s">
        <v>480</v>
      </c>
      <c r="J658" s="3140" t="s">
        <v>481</v>
      </c>
      <c r="K658" s="1259">
        <v>12</v>
      </c>
      <c r="L658" s="3141">
        <v>300000000</v>
      </c>
      <c r="M658" s="1259">
        <v>2</v>
      </c>
      <c r="N658" s="2564">
        <v>36549200</v>
      </c>
      <c r="O658" s="1259">
        <v>2</v>
      </c>
      <c r="P658" s="2278">
        <v>49163282</v>
      </c>
      <c r="Q658" s="3144">
        <v>0</v>
      </c>
      <c r="R658" s="2565">
        <v>4985800</v>
      </c>
      <c r="S658" s="1389">
        <v>1</v>
      </c>
      <c r="T658" s="3115">
        <v>3750000</v>
      </c>
      <c r="U658" s="385">
        <v>0</v>
      </c>
      <c r="V658" s="597">
        <v>20271600</v>
      </c>
      <c r="W658" s="385"/>
      <c r="X658" s="385"/>
      <c r="Y658" s="3143">
        <f t="shared" si="190"/>
        <v>1</v>
      </c>
      <c r="Z658" s="597">
        <f t="shared" si="189"/>
        <v>29007400</v>
      </c>
      <c r="AA658" s="3143">
        <f t="shared" si="195"/>
        <v>3</v>
      </c>
      <c r="AB658" s="597">
        <f t="shared" si="196"/>
        <v>65556600</v>
      </c>
      <c r="AC658" s="3142">
        <f t="shared" si="197"/>
        <v>25</v>
      </c>
      <c r="AD658" s="3142">
        <f t="shared" si="198"/>
        <v>21.8522</v>
      </c>
      <c r="AE658" s="390"/>
      <c r="AF658" s="63"/>
      <c r="AG658" s="63"/>
      <c r="AH658" s="63"/>
      <c r="AI658" s="63"/>
      <c r="AJ658" s="63"/>
      <c r="AK658" s="63"/>
      <c r="AL658" s="63"/>
      <c r="AM658" s="63"/>
      <c r="AN658" s="63"/>
      <c r="AO658" s="63"/>
      <c r="AP658" s="63"/>
      <c r="AQ658" s="63"/>
      <c r="AR658" s="63"/>
      <c r="AS658" s="63"/>
      <c r="AT658" s="63"/>
      <c r="AU658" s="63"/>
      <c r="AV658" s="63"/>
      <c r="AW658" s="63"/>
      <c r="AX658" s="63"/>
      <c r="AY658" s="63"/>
      <c r="AZ658" s="63"/>
      <c r="BA658" s="63"/>
      <c r="BB658" s="63"/>
      <c r="BC658" s="63"/>
      <c r="BD658" s="63"/>
      <c r="BE658" s="63"/>
      <c r="BF658" s="63"/>
      <c r="BG658" s="63"/>
      <c r="BH658" s="63"/>
      <c r="BI658" s="63"/>
      <c r="BJ658" s="63"/>
      <c r="BK658" s="63"/>
      <c r="BL658" s="63"/>
      <c r="BM658" s="63"/>
      <c r="BN658" s="63"/>
      <c r="BO658" s="63"/>
      <c r="BP658" s="63"/>
      <c r="BQ658" s="63"/>
      <c r="BR658" s="63"/>
      <c r="BS658" s="63"/>
      <c r="BT658" s="63"/>
      <c r="BU658" s="63"/>
      <c r="BV658" s="63"/>
      <c r="BW658" s="63"/>
      <c r="BX658" s="63"/>
    </row>
    <row r="659" spans="1:76" s="918" customFormat="1" ht="41.25" customHeight="1">
      <c r="A659" s="3134"/>
      <c r="B659" s="384"/>
      <c r="C659" s="3792" t="s">
        <v>146</v>
      </c>
      <c r="D659" s="3792" t="s">
        <v>65</v>
      </c>
      <c r="E659" s="3792" t="s">
        <v>196</v>
      </c>
      <c r="F659" s="3792" t="s">
        <v>66</v>
      </c>
      <c r="G659" s="3792" t="s">
        <v>166</v>
      </c>
      <c r="H659" s="1218" t="s">
        <v>482</v>
      </c>
      <c r="I659" s="3140" t="s">
        <v>483</v>
      </c>
      <c r="J659" s="3140" t="s">
        <v>484</v>
      </c>
      <c r="K659" s="1259">
        <v>5</v>
      </c>
      <c r="L659" s="3141">
        <v>50000000</v>
      </c>
      <c r="M659" s="1259">
        <v>0</v>
      </c>
      <c r="N659" s="2564">
        <v>0</v>
      </c>
      <c r="O659" s="1259">
        <v>1</v>
      </c>
      <c r="P659" s="2278">
        <v>24175500</v>
      </c>
      <c r="Q659" s="3144">
        <v>0</v>
      </c>
      <c r="R659" s="2566">
        <v>0</v>
      </c>
      <c r="S659" s="1389">
        <v>0</v>
      </c>
      <c r="T659" s="3115">
        <v>5571200</v>
      </c>
      <c r="U659" s="385">
        <v>0</v>
      </c>
      <c r="V659" s="597">
        <v>9351500</v>
      </c>
      <c r="W659" s="385"/>
      <c r="X659" s="385"/>
      <c r="Y659" s="3143">
        <f t="shared" si="190"/>
        <v>0</v>
      </c>
      <c r="Z659" s="597">
        <f t="shared" si="189"/>
        <v>14922700</v>
      </c>
      <c r="AA659" s="3143">
        <f t="shared" si="195"/>
        <v>0</v>
      </c>
      <c r="AB659" s="597">
        <f t="shared" si="196"/>
        <v>14922700</v>
      </c>
      <c r="AC659" s="3142">
        <f t="shared" si="197"/>
        <v>0</v>
      </c>
      <c r="AD659" s="3142">
        <f t="shared" si="198"/>
        <v>29.845399999999998</v>
      </c>
      <c r="AE659" s="390"/>
      <c r="AF659" s="63"/>
      <c r="AG659" s="63"/>
      <c r="AH659" s="63"/>
      <c r="AI659" s="63"/>
      <c r="AJ659" s="63"/>
      <c r="AK659" s="63"/>
      <c r="AL659" s="63"/>
      <c r="AM659" s="63"/>
      <c r="AN659" s="63"/>
      <c r="AO659" s="63"/>
      <c r="AP659" s="63"/>
      <c r="AQ659" s="63"/>
      <c r="AR659" s="63"/>
      <c r="AS659" s="63"/>
      <c r="AT659" s="63"/>
      <c r="AU659" s="63"/>
      <c r="AV659" s="63"/>
      <c r="AW659" s="63"/>
      <c r="AX659" s="63"/>
      <c r="AY659" s="63"/>
      <c r="AZ659" s="63"/>
      <c r="BA659" s="63"/>
      <c r="BB659" s="63"/>
      <c r="BC659" s="63"/>
      <c r="BD659" s="63"/>
      <c r="BE659" s="63"/>
      <c r="BF659" s="63"/>
      <c r="BG659" s="63"/>
      <c r="BH659" s="63"/>
      <c r="BI659" s="63"/>
      <c r="BJ659" s="63"/>
      <c r="BK659" s="63"/>
      <c r="BL659" s="63"/>
      <c r="BM659" s="63"/>
      <c r="BN659" s="63"/>
      <c r="BO659" s="63"/>
      <c r="BP659" s="63"/>
      <c r="BQ659" s="63"/>
      <c r="BR659" s="63"/>
      <c r="BS659" s="63"/>
      <c r="BT659" s="63"/>
      <c r="BU659" s="63"/>
      <c r="BV659" s="63"/>
      <c r="BW659" s="63"/>
      <c r="BX659" s="63"/>
    </row>
    <row r="660" spans="1:76" s="918" customFormat="1" ht="56.25" customHeight="1">
      <c r="A660" s="3134"/>
      <c r="B660" s="384"/>
      <c r="C660" s="3792" t="s">
        <v>146</v>
      </c>
      <c r="D660" s="3792" t="s">
        <v>65</v>
      </c>
      <c r="E660" s="3792" t="s">
        <v>196</v>
      </c>
      <c r="F660" s="3792" t="s">
        <v>66</v>
      </c>
      <c r="G660" s="3792" t="s">
        <v>166</v>
      </c>
      <c r="H660" s="1218" t="s">
        <v>485</v>
      </c>
      <c r="I660" s="3140" t="s">
        <v>486</v>
      </c>
      <c r="J660" s="3140" t="s">
        <v>487</v>
      </c>
      <c r="K660" s="1259">
        <v>25</v>
      </c>
      <c r="L660" s="3141">
        <v>200000000</v>
      </c>
      <c r="M660" s="1259">
        <v>5</v>
      </c>
      <c r="N660" s="2564">
        <v>29568139</v>
      </c>
      <c r="O660" s="1259">
        <v>5</v>
      </c>
      <c r="P660" s="2278">
        <v>26277699</v>
      </c>
      <c r="Q660" s="3144">
        <v>1</v>
      </c>
      <c r="R660" s="2565">
        <v>10121100</v>
      </c>
      <c r="S660" s="1389">
        <v>1</v>
      </c>
      <c r="T660" s="3115">
        <v>4680900</v>
      </c>
      <c r="U660" s="385">
        <v>4</v>
      </c>
      <c r="V660" s="597">
        <v>4410000</v>
      </c>
      <c r="W660" s="385"/>
      <c r="X660" s="385"/>
      <c r="Y660" s="3143">
        <f t="shared" si="190"/>
        <v>6</v>
      </c>
      <c r="Z660" s="597">
        <f t="shared" si="189"/>
        <v>19212000</v>
      </c>
      <c r="AA660" s="3143">
        <v>5</v>
      </c>
      <c r="AB660" s="597">
        <f t="shared" si="196"/>
        <v>48780139</v>
      </c>
      <c r="AC660" s="3142">
        <f t="shared" si="197"/>
        <v>20</v>
      </c>
      <c r="AD660" s="3142">
        <f t="shared" si="198"/>
        <v>24.390069499999999</v>
      </c>
      <c r="AE660" s="390"/>
      <c r="AF660" s="63"/>
      <c r="AG660" s="63"/>
      <c r="AH660" s="63"/>
      <c r="AI660" s="63"/>
      <c r="AJ660" s="63"/>
      <c r="AK660" s="63"/>
      <c r="AL660" s="63"/>
      <c r="AM660" s="63"/>
      <c r="AN660" s="63"/>
      <c r="AO660" s="63"/>
      <c r="AP660" s="63"/>
      <c r="AQ660" s="63"/>
      <c r="AR660" s="63"/>
      <c r="AS660" s="63"/>
      <c r="AT660" s="63"/>
      <c r="AU660" s="63"/>
      <c r="AV660" s="63"/>
      <c r="AW660" s="63"/>
      <c r="AX660" s="63"/>
      <c r="AY660" s="63"/>
      <c r="AZ660" s="63"/>
      <c r="BA660" s="63"/>
      <c r="BB660" s="63"/>
      <c r="BC660" s="63"/>
      <c r="BD660" s="63"/>
      <c r="BE660" s="63"/>
      <c r="BF660" s="63"/>
      <c r="BG660" s="63"/>
      <c r="BH660" s="63"/>
      <c r="BI660" s="63"/>
      <c r="BJ660" s="63"/>
      <c r="BK660" s="63"/>
      <c r="BL660" s="63"/>
      <c r="BM660" s="63"/>
      <c r="BN660" s="63"/>
      <c r="BO660" s="63"/>
      <c r="BP660" s="63"/>
      <c r="BQ660" s="63"/>
      <c r="BR660" s="63"/>
      <c r="BS660" s="63"/>
      <c r="BT660" s="63"/>
      <c r="BU660" s="63"/>
      <c r="BV660" s="63"/>
      <c r="BW660" s="63"/>
      <c r="BX660" s="63"/>
    </row>
    <row r="661" spans="1:76" s="918" customFormat="1" ht="56.25" customHeight="1">
      <c r="A661" s="384"/>
      <c r="B661" s="384"/>
      <c r="C661" s="3792">
        <v>1</v>
      </c>
      <c r="D661" s="3792" t="s">
        <v>65</v>
      </c>
      <c r="E661" s="3792" t="s">
        <v>196</v>
      </c>
      <c r="F661" s="3792" t="s">
        <v>66</v>
      </c>
      <c r="G661" s="3792" t="s">
        <v>166</v>
      </c>
      <c r="H661" s="1218" t="s">
        <v>488</v>
      </c>
      <c r="I661" s="3140" t="s">
        <v>489</v>
      </c>
      <c r="J661" s="3140" t="s">
        <v>490</v>
      </c>
      <c r="K661" s="1259">
        <v>6</v>
      </c>
      <c r="L661" s="1232">
        <v>250000000</v>
      </c>
      <c r="M661" s="1259">
        <v>1</v>
      </c>
      <c r="N661" s="1232">
        <f>(64810+98000)*1000</f>
        <v>162810000</v>
      </c>
      <c r="O661" s="1259">
        <v>4</v>
      </c>
      <c r="P661" s="1232">
        <v>36680585</v>
      </c>
      <c r="Q661" s="1259">
        <v>0</v>
      </c>
      <c r="R661" s="590">
        <v>9351700</v>
      </c>
      <c r="S661" s="2516">
        <v>0</v>
      </c>
      <c r="T661" s="2593">
        <v>1800000</v>
      </c>
      <c r="U661" s="384">
        <v>0</v>
      </c>
      <c r="V661" s="1202">
        <v>13329500</v>
      </c>
      <c r="W661" s="384"/>
      <c r="X661" s="384"/>
      <c r="Y661" s="3143">
        <f t="shared" si="190"/>
        <v>0</v>
      </c>
      <c r="Z661" s="597">
        <f t="shared" si="189"/>
        <v>24481200</v>
      </c>
      <c r="AA661" s="3143">
        <f t="shared" si="195"/>
        <v>1</v>
      </c>
      <c r="AB661" s="597">
        <f t="shared" si="196"/>
        <v>187291200</v>
      </c>
      <c r="AC661" s="3142">
        <f t="shared" si="197"/>
        <v>16.666666666666664</v>
      </c>
      <c r="AD661" s="3142">
        <f t="shared" si="198"/>
        <v>74.916479999999993</v>
      </c>
      <c r="AE661" s="390"/>
      <c r="AF661" s="63"/>
      <c r="AG661" s="63"/>
      <c r="AH661" s="63"/>
      <c r="AI661" s="63"/>
      <c r="AJ661" s="63"/>
      <c r="AK661" s="63"/>
      <c r="AL661" s="63"/>
      <c r="AM661" s="63"/>
      <c r="AN661" s="63"/>
      <c r="AO661" s="63"/>
      <c r="AP661" s="63"/>
      <c r="AQ661" s="63"/>
      <c r="AR661" s="63"/>
      <c r="AS661" s="63"/>
      <c r="AT661" s="63"/>
      <c r="AU661" s="63"/>
      <c r="AV661" s="63"/>
      <c r="AW661" s="63"/>
      <c r="AX661" s="63"/>
      <c r="AY661" s="63"/>
      <c r="AZ661" s="63"/>
      <c r="BA661" s="63"/>
      <c r="BB661" s="63"/>
      <c r="BC661" s="63"/>
      <c r="BD661" s="63"/>
      <c r="BE661" s="63"/>
      <c r="BF661" s="63"/>
      <c r="BG661" s="63"/>
      <c r="BH661" s="63"/>
      <c r="BI661" s="63"/>
      <c r="BJ661" s="63"/>
      <c r="BK661" s="63"/>
      <c r="BL661" s="63"/>
      <c r="BM661" s="63"/>
      <c r="BN661" s="63"/>
      <c r="BO661" s="63"/>
      <c r="BP661" s="63"/>
      <c r="BQ661" s="63"/>
      <c r="BR661" s="63"/>
      <c r="BS661" s="63"/>
      <c r="BT661" s="63"/>
      <c r="BU661" s="63"/>
      <c r="BV661" s="63"/>
      <c r="BW661" s="63"/>
      <c r="BX661" s="63"/>
    </row>
    <row r="662" spans="1:76" s="918" customFormat="1" ht="56.25" customHeight="1">
      <c r="A662" s="385"/>
      <c r="B662" s="384"/>
      <c r="C662" s="3792" t="s">
        <v>146</v>
      </c>
      <c r="D662" s="3792" t="s">
        <v>65</v>
      </c>
      <c r="E662" s="3792" t="s">
        <v>196</v>
      </c>
      <c r="F662" s="3792" t="s">
        <v>66</v>
      </c>
      <c r="G662" s="3792" t="s">
        <v>166</v>
      </c>
      <c r="H662" s="1218" t="s">
        <v>491</v>
      </c>
      <c r="I662" s="3140" t="s">
        <v>492</v>
      </c>
      <c r="J662" s="3140" t="s">
        <v>493</v>
      </c>
      <c r="K662" s="1259">
        <v>72</v>
      </c>
      <c r="L662" s="1232">
        <v>185000000</v>
      </c>
      <c r="M662" s="1259">
        <v>24</v>
      </c>
      <c r="N662" s="1232">
        <f>165000000</f>
        <v>165000000</v>
      </c>
      <c r="O662" s="1259">
        <v>27</v>
      </c>
      <c r="P662" s="1232">
        <v>30783083</v>
      </c>
      <c r="Q662" s="1259">
        <v>3</v>
      </c>
      <c r="R662" s="590">
        <v>1510500</v>
      </c>
      <c r="S662" s="2632">
        <v>3</v>
      </c>
      <c r="T662" s="2554">
        <v>4521600</v>
      </c>
      <c r="U662" s="384">
        <v>2</v>
      </c>
      <c r="V662" s="1202">
        <v>4688000</v>
      </c>
      <c r="W662" s="384"/>
      <c r="X662" s="384"/>
      <c r="Y662" s="3143">
        <f t="shared" si="190"/>
        <v>8</v>
      </c>
      <c r="Z662" s="597">
        <f t="shared" si="189"/>
        <v>10720100</v>
      </c>
      <c r="AA662" s="3143">
        <f t="shared" si="195"/>
        <v>32</v>
      </c>
      <c r="AB662" s="597">
        <f t="shared" si="196"/>
        <v>175720100</v>
      </c>
      <c r="AC662" s="3142">
        <f t="shared" si="197"/>
        <v>44.444444444444443</v>
      </c>
      <c r="AD662" s="3142">
        <f t="shared" si="198"/>
        <v>94.983837837837839</v>
      </c>
      <c r="AE662" s="390"/>
      <c r="AF662" s="63"/>
      <c r="AG662" s="63"/>
      <c r="AH662" s="63"/>
      <c r="AI662" s="63"/>
      <c r="AJ662" s="63"/>
      <c r="AK662" s="63"/>
      <c r="AL662" s="63"/>
      <c r="AM662" s="63"/>
      <c r="AN662" s="63"/>
      <c r="AO662" s="63"/>
      <c r="AP662" s="63"/>
      <c r="AQ662" s="63"/>
      <c r="AR662" s="63"/>
      <c r="AS662" s="63"/>
      <c r="AT662" s="63"/>
      <c r="AU662" s="63"/>
      <c r="AV662" s="63"/>
      <c r="AW662" s="63"/>
      <c r="AX662" s="63"/>
      <c r="AY662" s="63"/>
      <c r="AZ662" s="63"/>
      <c r="BA662" s="63"/>
      <c r="BB662" s="63"/>
      <c r="BC662" s="63"/>
      <c r="BD662" s="63"/>
      <c r="BE662" s="63"/>
      <c r="BF662" s="63"/>
      <c r="BG662" s="63"/>
      <c r="BH662" s="63"/>
      <c r="BI662" s="63"/>
      <c r="BJ662" s="63"/>
      <c r="BK662" s="63"/>
      <c r="BL662" s="63"/>
      <c r="BM662" s="63"/>
      <c r="BN662" s="63"/>
      <c r="BO662" s="63"/>
      <c r="BP662" s="63"/>
      <c r="BQ662" s="63"/>
      <c r="BR662" s="63"/>
      <c r="BS662" s="63"/>
      <c r="BT662" s="63"/>
      <c r="BU662" s="63"/>
      <c r="BV662" s="63"/>
      <c r="BW662" s="63"/>
      <c r="BX662" s="63"/>
    </row>
    <row r="663" spans="1:76" s="918" customFormat="1" ht="39.75" customHeight="1">
      <c r="A663" s="4083" t="s">
        <v>494</v>
      </c>
      <c r="B663" s="4084" t="s">
        <v>495</v>
      </c>
      <c r="C663" s="4085" t="s">
        <v>146</v>
      </c>
      <c r="D663" s="4085" t="s">
        <v>65</v>
      </c>
      <c r="E663" s="4085" t="s">
        <v>196</v>
      </c>
      <c r="F663" s="4085" t="s">
        <v>66</v>
      </c>
      <c r="G663" s="4085" t="s">
        <v>448</v>
      </c>
      <c r="H663" s="4086"/>
      <c r="I663" s="4084" t="s">
        <v>496</v>
      </c>
      <c r="J663" s="4087" t="s">
        <v>497</v>
      </c>
      <c r="K663" s="2523">
        <f>3*M663</f>
        <v>7131</v>
      </c>
      <c r="L663" s="2442">
        <f>SUM(L664:L673)</f>
        <v>2900000000</v>
      </c>
      <c r="M663" s="2442">
        <v>2377</v>
      </c>
      <c r="N663" s="2442">
        <f>SUM(N664:N673)</f>
        <v>1014662993</v>
      </c>
      <c r="O663" s="2442">
        <v>2400</v>
      </c>
      <c r="P663" s="2442">
        <f>SUM(P664:P673)</f>
        <v>1248134393</v>
      </c>
      <c r="Q663" s="2442">
        <f>O663/3</f>
        <v>800</v>
      </c>
      <c r="R663" s="2340">
        <f>SUM(R664:R673)</f>
        <v>69499500</v>
      </c>
      <c r="S663" s="2367">
        <v>69.5</v>
      </c>
      <c r="T663" s="2347">
        <f>SUM(T664:T673)</f>
        <v>356463150</v>
      </c>
      <c r="U663" s="2335"/>
      <c r="V663" s="2342">
        <f>SUM(V664:V673)</f>
        <v>216590338</v>
      </c>
      <c r="W663" s="2335"/>
      <c r="X663" s="2335"/>
      <c r="Y663" s="3162">
        <f t="shared" si="190"/>
        <v>869.5</v>
      </c>
      <c r="Z663" s="2342">
        <f t="shared" si="189"/>
        <v>642552988</v>
      </c>
      <c r="AA663" s="2543">
        <f t="shared" ref="AA663:AA672" si="199">M663+Y663</f>
        <v>3246.5</v>
      </c>
      <c r="AB663" s="2571">
        <f t="shared" ref="AB663:AB673" si="200">N663+Z663</f>
        <v>1657215981</v>
      </c>
      <c r="AC663" s="2544">
        <f t="shared" ref="AC663:AC673" si="201">AA663/K663*100</f>
        <v>45.526574113027621</v>
      </c>
      <c r="AD663" s="2544">
        <f t="shared" ref="AD663:AD673" si="202">AB663/L663*100</f>
        <v>57.145378655172422</v>
      </c>
      <c r="AE663" s="3997" t="s">
        <v>440</v>
      </c>
      <c r="AF663" s="63"/>
      <c r="AG663" s="63"/>
      <c r="AH663" s="63"/>
      <c r="AI663" s="63"/>
      <c r="AJ663" s="63"/>
      <c r="AK663" s="63"/>
      <c r="AL663" s="63"/>
      <c r="AM663" s="63"/>
      <c r="AN663" s="63"/>
      <c r="AO663" s="63"/>
      <c r="AP663" s="63"/>
      <c r="AQ663" s="63"/>
      <c r="AR663" s="63"/>
      <c r="AS663" s="63"/>
      <c r="AT663" s="63"/>
      <c r="AU663" s="63"/>
      <c r="AV663" s="63"/>
      <c r="AW663" s="63"/>
      <c r="AX663" s="63"/>
      <c r="AY663" s="63"/>
      <c r="AZ663" s="63"/>
      <c r="BA663" s="63"/>
      <c r="BB663" s="63"/>
      <c r="BC663" s="63"/>
      <c r="BD663" s="63"/>
      <c r="BE663" s="63"/>
      <c r="BF663" s="63"/>
      <c r="BG663" s="63"/>
      <c r="BH663" s="63"/>
      <c r="BI663" s="63"/>
      <c r="BJ663" s="63"/>
      <c r="BK663" s="63"/>
      <c r="BL663" s="63"/>
      <c r="BM663" s="63"/>
      <c r="BN663" s="63"/>
      <c r="BO663" s="63"/>
      <c r="BP663" s="63"/>
      <c r="BQ663" s="63"/>
      <c r="BR663" s="63"/>
      <c r="BS663" s="63"/>
      <c r="BT663" s="63"/>
      <c r="BU663" s="63"/>
      <c r="BV663" s="63"/>
      <c r="BW663" s="63"/>
      <c r="BX663" s="63"/>
    </row>
    <row r="664" spans="1:76" s="145" customFormat="1" ht="57" customHeight="1">
      <c r="A664" s="385"/>
      <c r="B664" s="384"/>
      <c r="C664" s="3792" t="s">
        <v>146</v>
      </c>
      <c r="D664" s="3792" t="s">
        <v>65</v>
      </c>
      <c r="E664" s="3792" t="s">
        <v>196</v>
      </c>
      <c r="F664" s="3792" t="s">
        <v>66</v>
      </c>
      <c r="G664" s="3792" t="s">
        <v>448</v>
      </c>
      <c r="H664" s="1218" t="s">
        <v>161</v>
      </c>
      <c r="I664" s="3140" t="s">
        <v>499</v>
      </c>
      <c r="J664" s="3140" t="s">
        <v>500</v>
      </c>
      <c r="K664" s="1259">
        <v>18</v>
      </c>
      <c r="L664" s="1232">
        <v>500000000</v>
      </c>
      <c r="M664" s="1259">
        <v>3</v>
      </c>
      <c r="N664" s="1232">
        <v>234638627</v>
      </c>
      <c r="O664" s="1259">
        <v>3</v>
      </c>
      <c r="P664" s="1232">
        <v>397945384</v>
      </c>
      <c r="Q664" s="1259">
        <v>0</v>
      </c>
      <c r="R664" s="590">
        <v>7158700</v>
      </c>
      <c r="S664" s="2632">
        <v>1</v>
      </c>
      <c r="T664" s="2554">
        <v>207995650</v>
      </c>
      <c r="U664" s="384">
        <v>0</v>
      </c>
      <c r="V664" s="1202">
        <v>57826750</v>
      </c>
      <c r="W664" s="384"/>
      <c r="X664" s="384"/>
      <c r="Y664" s="1259">
        <f t="shared" si="190"/>
        <v>1</v>
      </c>
      <c r="Z664" s="1202">
        <f t="shared" si="189"/>
        <v>272981100</v>
      </c>
      <c r="AA664" s="3143">
        <f t="shared" si="199"/>
        <v>4</v>
      </c>
      <c r="AB664" s="597">
        <f t="shared" si="200"/>
        <v>507619727</v>
      </c>
      <c r="AC664" s="3142">
        <f t="shared" si="201"/>
        <v>22.222222222222221</v>
      </c>
      <c r="AD664" s="3142">
        <f t="shared" si="202"/>
        <v>101.5239454</v>
      </c>
      <c r="AE664" s="390"/>
    </row>
    <row r="665" spans="1:76" s="918" customFormat="1" ht="63.75" customHeight="1">
      <c r="A665" s="385"/>
      <c r="B665" s="384"/>
      <c r="C665" s="3792" t="s">
        <v>146</v>
      </c>
      <c r="D665" s="3792" t="s">
        <v>65</v>
      </c>
      <c r="E665" s="3792" t="s">
        <v>196</v>
      </c>
      <c r="F665" s="3792" t="s">
        <v>66</v>
      </c>
      <c r="G665" s="3792" t="s">
        <v>448</v>
      </c>
      <c r="H665" s="1218" t="s">
        <v>197</v>
      </c>
      <c r="I665" s="3140" t="s">
        <v>501</v>
      </c>
      <c r="J665" s="3140" t="s">
        <v>502</v>
      </c>
      <c r="K665" s="1259">
        <v>60</v>
      </c>
      <c r="L665" s="1232">
        <v>250000000</v>
      </c>
      <c r="M665" s="1259">
        <v>20</v>
      </c>
      <c r="N665" s="1232">
        <v>50226800</v>
      </c>
      <c r="O665" s="1259">
        <v>10</v>
      </c>
      <c r="P665" s="1232">
        <v>134718359</v>
      </c>
      <c r="Q665" s="1259">
        <v>0</v>
      </c>
      <c r="R665" s="590">
        <v>11554800</v>
      </c>
      <c r="S665" s="2632">
        <v>5</v>
      </c>
      <c r="T665" s="2554">
        <v>5418600</v>
      </c>
      <c r="U665" s="384">
        <v>0</v>
      </c>
      <c r="V665" s="1202">
        <v>19448700</v>
      </c>
      <c r="W665" s="384"/>
      <c r="X665" s="384"/>
      <c r="Y665" s="1259">
        <f t="shared" si="190"/>
        <v>5</v>
      </c>
      <c r="Z665" s="1202">
        <f t="shared" si="189"/>
        <v>36422100</v>
      </c>
      <c r="AA665" s="3143">
        <f t="shared" si="199"/>
        <v>25</v>
      </c>
      <c r="AB665" s="597">
        <f t="shared" si="200"/>
        <v>86648900</v>
      </c>
      <c r="AC665" s="3142">
        <f t="shared" si="201"/>
        <v>41.666666666666671</v>
      </c>
      <c r="AD665" s="3142">
        <f t="shared" si="202"/>
        <v>34.659559999999999</v>
      </c>
      <c r="AE665" s="390"/>
      <c r="AF665" s="63"/>
      <c r="AG665" s="63"/>
      <c r="AH665" s="63"/>
      <c r="AI665" s="63"/>
      <c r="AJ665" s="63"/>
      <c r="AK665" s="63"/>
      <c r="AL665" s="63"/>
      <c r="AM665" s="63"/>
      <c r="AN665" s="63"/>
      <c r="AO665" s="63"/>
      <c r="AP665" s="63"/>
      <c r="AQ665" s="63"/>
      <c r="AR665" s="63"/>
      <c r="AS665" s="63"/>
      <c r="AT665" s="63"/>
      <c r="AU665" s="63"/>
      <c r="AV665" s="63"/>
      <c r="AW665" s="63"/>
      <c r="AX665" s="63"/>
      <c r="AY665" s="63"/>
      <c r="AZ665" s="63"/>
      <c r="BA665" s="63"/>
      <c r="BB665" s="63"/>
      <c r="BC665" s="63"/>
      <c r="BD665" s="63"/>
      <c r="BE665" s="63"/>
      <c r="BF665" s="63"/>
      <c r="BG665" s="63"/>
      <c r="BH665" s="63"/>
      <c r="BI665" s="63"/>
      <c r="BJ665" s="63"/>
      <c r="BK665" s="63"/>
      <c r="BL665" s="63"/>
      <c r="BM665" s="63"/>
      <c r="BN665" s="63"/>
      <c r="BO665" s="63"/>
      <c r="BP665" s="63"/>
      <c r="BQ665" s="63"/>
      <c r="BR665" s="63"/>
      <c r="BS665" s="63"/>
      <c r="BT665" s="63"/>
      <c r="BU665" s="63"/>
      <c r="BV665" s="63"/>
      <c r="BW665" s="63"/>
      <c r="BX665" s="63"/>
    </row>
    <row r="666" spans="1:76" s="918" customFormat="1" ht="47.25" customHeight="1">
      <c r="A666" s="385"/>
      <c r="B666" s="384"/>
      <c r="C666" s="3792" t="s">
        <v>146</v>
      </c>
      <c r="D666" s="3792" t="s">
        <v>65</v>
      </c>
      <c r="E666" s="3792" t="s">
        <v>196</v>
      </c>
      <c r="F666" s="3792" t="s">
        <v>66</v>
      </c>
      <c r="G666" s="3792" t="s">
        <v>448</v>
      </c>
      <c r="H666" s="1218" t="s">
        <v>198</v>
      </c>
      <c r="I666" s="3140" t="s">
        <v>503</v>
      </c>
      <c r="J666" s="3140" t="s">
        <v>504</v>
      </c>
      <c r="K666" s="1259">
        <v>18</v>
      </c>
      <c r="L666" s="1232">
        <v>500000000</v>
      </c>
      <c r="M666" s="1259">
        <v>3</v>
      </c>
      <c r="N666" s="1232">
        <v>78200620</v>
      </c>
      <c r="O666" s="1259">
        <v>3</v>
      </c>
      <c r="P666" s="1232">
        <v>72524832</v>
      </c>
      <c r="Q666" s="1259">
        <v>0</v>
      </c>
      <c r="R666" s="590">
        <v>2039500</v>
      </c>
      <c r="S666" s="2632">
        <v>9</v>
      </c>
      <c r="T666" s="2554">
        <v>15845100</v>
      </c>
      <c r="U666" s="384">
        <v>5</v>
      </c>
      <c r="V666" s="1202">
        <v>17244900</v>
      </c>
      <c r="W666" s="384"/>
      <c r="X666" s="384"/>
      <c r="Y666" s="1259">
        <f t="shared" si="190"/>
        <v>14</v>
      </c>
      <c r="Z666" s="1202">
        <f t="shared" si="189"/>
        <v>35129500</v>
      </c>
      <c r="AA666" s="3143">
        <f t="shared" si="199"/>
        <v>17</v>
      </c>
      <c r="AB666" s="597">
        <f t="shared" si="200"/>
        <v>113330120</v>
      </c>
      <c r="AC666" s="3142">
        <f t="shared" si="201"/>
        <v>94.444444444444443</v>
      </c>
      <c r="AD666" s="3142">
        <f t="shared" si="202"/>
        <v>22.666024</v>
      </c>
      <c r="AE666" s="390"/>
      <c r="AF666" s="63"/>
      <c r="AG666" s="63"/>
      <c r="AH666" s="63"/>
      <c r="AI666" s="63"/>
      <c r="AJ666" s="63"/>
      <c r="AK666" s="63"/>
      <c r="AL666" s="63"/>
      <c r="AM666" s="63"/>
      <c r="AN666" s="63"/>
      <c r="AO666" s="63"/>
      <c r="AP666" s="63"/>
      <c r="AQ666" s="63"/>
      <c r="AR666" s="63"/>
      <c r="AS666" s="63"/>
      <c r="AT666" s="63"/>
      <c r="AU666" s="63"/>
      <c r="AV666" s="63"/>
      <c r="AW666" s="63"/>
      <c r="AX666" s="63"/>
      <c r="AY666" s="63"/>
      <c r="AZ666" s="63"/>
      <c r="BA666" s="63"/>
      <c r="BB666" s="63"/>
      <c r="BC666" s="63"/>
      <c r="BD666" s="63"/>
      <c r="BE666" s="63"/>
      <c r="BF666" s="63"/>
      <c r="BG666" s="63"/>
      <c r="BH666" s="63"/>
      <c r="BI666" s="63"/>
      <c r="BJ666" s="63"/>
      <c r="BK666" s="63"/>
      <c r="BL666" s="63"/>
      <c r="BM666" s="63"/>
      <c r="BN666" s="63"/>
      <c r="BO666" s="63"/>
      <c r="BP666" s="63"/>
      <c r="BQ666" s="63"/>
      <c r="BR666" s="63"/>
      <c r="BS666" s="63"/>
      <c r="BT666" s="63"/>
      <c r="BU666" s="63"/>
      <c r="BV666" s="63"/>
      <c r="BW666" s="63"/>
      <c r="BX666" s="63"/>
    </row>
    <row r="667" spans="1:76" s="918" customFormat="1" ht="57" customHeight="1">
      <c r="A667" s="385"/>
      <c r="B667" s="384"/>
      <c r="C667" s="3792" t="s">
        <v>146</v>
      </c>
      <c r="D667" s="3792" t="s">
        <v>65</v>
      </c>
      <c r="E667" s="3792" t="s">
        <v>196</v>
      </c>
      <c r="F667" s="3792" t="s">
        <v>66</v>
      </c>
      <c r="G667" s="3792" t="s">
        <v>448</v>
      </c>
      <c r="H667" s="1218" t="s">
        <v>93</v>
      </c>
      <c r="I667" s="3140" t="s">
        <v>505</v>
      </c>
      <c r="J667" s="3140" t="s">
        <v>506</v>
      </c>
      <c r="K667" s="1259">
        <v>6</v>
      </c>
      <c r="L667" s="1232">
        <v>100000000</v>
      </c>
      <c r="M667" s="1259">
        <v>1</v>
      </c>
      <c r="N667" s="1232">
        <v>38154242</v>
      </c>
      <c r="O667" s="1259">
        <v>1</v>
      </c>
      <c r="P667" s="1232">
        <v>26033521</v>
      </c>
      <c r="Q667" s="1259">
        <v>0</v>
      </c>
      <c r="R667" s="590">
        <v>500000</v>
      </c>
      <c r="S667" s="2632">
        <v>0</v>
      </c>
      <c r="T667" s="1400">
        <v>0</v>
      </c>
      <c r="U667" s="384">
        <v>0</v>
      </c>
      <c r="V667" s="1202">
        <v>5864100</v>
      </c>
      <c r="W667" s="384"/>
      <c r="X667" s="384"/>
      <c r="Y667" s="1259">
        <f t="shared" si="190"/>
        <v>0</v>
      </c>
      <c r="Z667" s="1202">
        <f t="shared" si="189"/>
        <v>6364100</v>
      </c>
      <c r="AA667" s="3143">
        <f t="shared" si="199"/>
        <v>1</v>
      </c>
      <c r="AB667" s="597">
        <f t="shared" si="200"/>
        <v>44518342</v>
      </c>
      <c r="AC667" s="3142">
        <f t="shared" si="201"/>
        <v>16.666666666666664</v>
      </c>
      <c r="AD667" s="3142">
        <f t="shared" si="202"/>
        <v>44.518341999999997</v>
      </c>
      <c r="AE667" s="390"/>
      <c r="AF667" s="63"/>
      <c r="AG667" s="63"/>
      <c r="AH667" s="63"/>
      <c r="AI667" s="63"/>
      <c r="AJ667" s="63"/>
      <c r="AK667" s="63"/>
      <c r="AL667" s="63"/>
      <c r="AM667" s="63"/>
      <c r="AN667" s="63"/>
      <c r="AO667" s="63"/>
      <c r="AP667" s="63"/>
      <c r="AQ667" s="63"/>
      <c r="AR667" s="63"/>
      <c r="AS667" s="63"/>
      <c r="AT667" s="63"/>
      <c r="AU667" s="63"/>
      <c r="AV667" s="63"/>
      <c r="AW667" s="63"/>
      <c r="AX667" s="63"/>
      <c r="AY667" s="63"/>
      <c r="AZ667" s="63"/>
      <c r="BA667" s="63"/>
      <c r="BB667" s="63"/>
      <c r="BC667" s="63"/>
      <c r="BD667" s="63"/>
      <c r="BE667" s="63"/>
      <c r="BF667" s="63"/>
      <c r="BG667" s="63"/>
      <c r="BH667" s="63"/>
      <c r="BI667" s="63"/>
      <c r="BJ667" s="63"/>
      <c r="BK667" s="63"/>
      <c r="BL667" s="63"/>
      <c r="BM667" s="63"/>
      <c r="BN667" s="63"/>
      <c r="BO667" s="63"/>
      <c r="BP667" s="63"/>
      <c r="BQ667" s="63"/>
      <c r="BR667" s="63"/>
      <c r="BS667" s="63"/>
      <c r="BT667" s="63"/>
      <c r="BU667" s="63"/>
      <c r="BV667" s="63"/>
      <c r="BW667" s="63"/>
      <c r="BX667" s="63"/>
    </row>
    <row r="668" spans="1:76" s="145" customFormat="1" ht="57" customHeight="1">
      <c r="A668" s="385"/>
      <c r="B668" s="384"/>
      <c r="C668" s="3792" t="s">
        <v>146</v>
      </c>
      <c r="D668" s="3792" t="s">
        <v>65</v>
      </c>
      <c r="E668" s="3792" t="s">
        <v>196</v>
      </c>
      <c r="F668" s="3792" t="s">
        <v>66</v>
      </c>
      <c r="G668" s="3792" t="s">
        <v>448</v>
      </c>
      <c r="H668" s="1218" t="s">
        <v>448</v>
      </c>
      <c r="I668" s="3140" t="s">
        <v>507</v>
      </c>
      <c r="J668" s="3140" t="s">
        <v>508</v>
      </c>
      <c r="K668" s="1259">
        <v>6</v>
      </c>
      <c r="L668" s="1232">
        <v>150000000</v>
      </c>
      <c r="M668" s="1259">
        <v>1</v>
      </c>
      <c r="N668" s="1232">
        <v>96433241</v>
      </c>
      <c r="O668" s="1259">
        <v>1</v>
      </c>
      <c r="P668" s="1232">
        <v>107538259</v>
      </c>
      <c r="Q668" s="1259">
        <v>0</v>
      </c>
      <c r="R668" s="590">
        <v>1352000</v>
      </c>
      <c r="S668" s="2632">
        <v>0</v>
      </c>
      <c r="T668" s="2554">
        <v>20882000</v>
      </c>
      <c r="U668" s="384">
        <v>1</v>
      </c>
      <c r="V668" s="1202">
        <v>45152500</v>
      </c>
      <c r="W668" s="384"/>
      <c r="X668" s="384"/>
      <c r="Y668" s="1259">
        <f t="shared" si="190"/>
        <v>1</v>
      </c>
      <c r="Z668" s="1202">
        <f t="shared" si="189"/>
        <v>67386500</v>
      </c>
      <c r="AA668" s="3143">
        <f t="shared" si="199"/>
        <v>2</v>
      </c>
      <c r="AB668" s="597">
        <f t="shared" si="200"/>
        <v>163819741</v>
      </c>
      <c r="AC668" s="3142">
        <f t="shared" si="201"/>
        <v>33.333333333333329</v>
      </c>
      <c r="AD668" s="3142">
        <f t="shared" si="202"/>
        <v>109.21316066666667</v>
      </c>
      <c r="AE668" s="390"/>
    </row>
    <row r="669" spans="1:76" s="918" customFormat="1" ht="50.25" customHeight="1">
      <c r="A669" s="385"/>
      <c r="B669" s="384"/>
      <c r="C669" s="3792" t="s">
        <v>146</v>
      </c>
      <c r="D669" s="3792" t="s">
        <v>65</v>
      </c>
      <c r="E669" s="3792" t="s">
        <v>196</v>
      </c>
      <c r="F669" s="3792" t="s">
        <v>66</v>
      </c>
      <c r="G669" s="3792" t="s">
        <v>448</v>
      </c>
      <c r="H669" s="1218" t="s">
        <v>163</v>
      </c>
      <c r="I669" s="3140" t="s">
        <v>509</v>
      </c>
      <c r="J669" s="3140" t="s">
        <v>510</v>
      </c>
      <c r="K669" s="1259">
        <v>12</v>
      </c>
      <c r="L669" s="1232">
        <v>350000000</v>
      </c>
      <c r="M669" s="1259">
        <v>2</v>
      </c>
      <c r="N669" s="1232">
        <v>42315740</v>
      </c>
      <c r="O669" s="1259">
        <v>2</v>
      </c>
      <c r="P669" s="1232">
        <v>90476680</v>
      </c>
      <c r="Q669" s="1259">
        <v>0</v>
      </c>
      <c r="R669" s="590">
        <v>15814900</v>
      </c>
      <c r="S669" s="2632">
        <v>0</v>
      </c>
      <c r="T669" s="2554">
        <v>64406000</v>
      </c>
      <c r="U669" s="384">
        <v>1</v>
      </c>
      <c r="V669" s="1202">
        <v>4816600</v>
      </c>
      <c r="W669" s="384"/>
      <c r="X669" s="384"/>
      <c r="Y669" s="1259">
        <f t="shared" si="190"/>
        <v>1</v>
      </c>
      <c r="Z669" s="1202">
        <f t="shared" si="189"/>
        <v>85037500</v>
      </c>
      <c r="AA669" s="3143">
        <f t="shared" si="199"/>
        <v>3</v>
      </c>
      <c r="AB669" s="597">
        <f t="shared" si="200"/>
        <v>127353240</v>
      </c>
      <c r="AC669" s="3142">
        <f t="shared" si="201"/>
        <v>25</v>
      </c>
      <c r="AD669" s="3142">
        <f t="shared" si="202"/>
        <v>36.38664</v>
      </c>
      <c r="AE669" s="390"/>
      <c r="AF669" s="63"/>
      <c r="AG669" s="63"/>
      <c r="AH669" s="63"/>
      <c r="AI669" s="63"/>
      <c r="AJ669" s="63"/>
      <c r="AK669" s="63"/>
      <c r="AL669" s="63"/>
      <c r="AM669" s="63"/>
      <c r="AN669" s="63"/>
      <c r="AO669" s="63"/>
      <c r="AP669" s="63"/>
      <c r="AQ669" s="63"/>
      <c r="AR669" s="63"/>
      <c r="AS669" s="63"/>
      <c r="AT669" s="63"/>
      <c r="AU669" s="63"/>
      <c r="AV669" s="63"/>
      <c r="AW669" s="63"/>
      <c r="AX669" s="63"/>
      <c r="AY669" s="63"/>
      <c r="AZ669" s="63"/>
      <c r="BA669" s="63"/>
      <c r="BB669" s="63"/>
      <c r="BC669" s="63"/>
      <c r="BD669" s="63"/>
      <c r="BE669" s="63"/>
      <c r="BF669" s="63"/>
      <c r="BG669" s="63"/>
      <c r="BH669" s="63"/>
      <c r="BI669" s="63"/>
      <c r="BJ669" s="63"/>
      <c r="BK669" s="63"/>
      <c r="BL669" s="63"/>
      <c r="BM669" s="63"/>
      <c r="BN669" s="63"/>
      <c r="BO669" s="63"/>
      <c r="BP669" s="63"/>
      <c r="BQ669" s="63"/>
      <c r="BR669" s="63"/>
      <c r="BS669" s="63"/>
      <c r="BT669" s="63"/>
      <c r="BU669" s="63"/>
      <c r="BV669" s="63"/>
      <c r="BW669" s="63"/>
      <c r="BX669" s="63"/>
    </row>
    <row r="670" spans="1:76" s="918" customFormat="1" ht="58.5" customHeight="1">
      <c r="A670" s="385"/>
      <c r="B670" s="384"/>
      <c r="C670" s="3792" t="s">
        <v>146</v>
      </c>
      <c r="D670" s="3792" t="s">
        <v>65</v>
      </c>
      <c r="E670" s="3792" t="s">
        <v>196</v>
      </c>
      <c r="F670" s="3792" t="s">
        <v>66</v>
      </c>
      <c r="G670" s="3792" t="s">
        <v>448</v>
      </c>
      <c r="H670" s="1218" t="s">
        <v>360</v>
      </c>
      <c r="I670" s="3140" t="s">
        <v>511</v>
      </c>
      <c r="J670" s="3140" t="s">
        <v>512</v>
      </c>
      <c r="K670" s="1259">
        <v>100</v>
      </c>
      <c r="L670" s="1232">
        <v>100000000</v>
      </c>
      <c r="M670" s="1259">
        <v>20</v>
      </c>
      <c r="N670" s="1232">
        <v>37715920</v>
      </c>
      <c r="O670" s="1259">
        <v>20</v>
      </c>
      <c r="P670" s="1232">
        <v>35281968</v>
      </c>
      <c r="Q670" s="1259">
        <v>0</v>
      </c>
      <c r="R670" s="590">
        <v>0</v>
      </c>
      <c r="S670" s="2632">
        <v>0</v>
      </c>
      <c r="T670" s="1400">
        <v>0</v>
      </c>
      <c r="U670" s="384">
        <v>50</v>
      </c>
      <c r="V670" s="1202">
        <v>10385500</v>
      </c>
      <c r="W670" s="384"/>
      <c r="X670" s="384"/>
      <c r="Y670" s="1259">
        <f t="shared" si="190"/>
        <v>50</v>
      </c>
      <c r="Z670" s="1202">
        <f t="shared" si="189"/>
        <v>10385500</v>
      </c>
      <c r="AA670" s="3143">
        <f t="shared" si="199"/>
        <v>70</v>
      </c>
      <c r="AB670" s="597">
        <f t="shared" si="200"/>
        <v>48101420</v>
      </c>
      <c r="AC670" s="3142">
        <f t="shared" si="201"/>
        <v>70</v>
      </c>
      <c r="AD670" s="3142">
        <f t="shared" si="202"/>
        <v>48.101419999999997</v>
      </c>
      <c r="AE670" s="390"/>
      <c r="AF670" s="63"/>
      <c r="AG670" s="63"/>
      <c r="AH670" s="63"/>
      <c r="AI670" s="63"/>
      <c r="AJ670" s="63"/>
      <c r="AK670" s="63"/>
      <c r="AL670" s="63"/>
      <c r="AM670" s="63"/>
      <c r="AN670" s="63"/>
      <c r="AO670" s="63"/>
      <c r="AP670" s="63"/>
      <c r="AQ670" s="63"/>
      <c r="AR670" s="63"/>
      <c r="AS670" s="63"/>
      <c r="AT670" s="63"/>
      <c r="AU670" s="63"/>
      <c r="AV670" s="63"/>
      <c r="AW670" s="63"/>
      <c r="AX670" s="63"/>
      <c r="AY670" s="63"/>
      <c r="AZ670" s="63"/>
      <c r="BA670" s="63"/>
      <c r="BB670" s="63"/>
      <c r="BC670" s="63"/>
      <c r="BD670" s="63"/>
      <c r="BE670" s="63"/>
      <c r="BF670" s="63"/>
      <c r="BG670" s="63"/>
      <c r="BH670" s="63"/>
      <c r="BI670" s="63"/>
      <c r="BJ670" s="63"/>
      <c r="BK670" s="63"/>
      <c r="BL670" s="63"/>
      <c r="BM670" s="63"/>
      <c r="BN670" s="63"/>
      <c r="BO670" s="63"/>
      <c r="BP670" s="63"/>
      <c r="BQ670" s="63"/>
      <c r="BR670" s="63"/>
      <c r="BS670" s="63"/>
      <c r="BT670" s="63"/>
      <c r="BU670" s="63"/>
      <c r="BV670" s="63"/>
      <c r="BW670" s="63"/>
      <c r="BX670" s="63"/>
    </row>
    <row r="671" spans="1:76" s="918" customFormat="1" ht="46.5" customHeight="1">
      <c r="A671" s="385"/>
      <c r="B671" s="384"/>
      <c r="C671" s="3792" t="s">
        <v>146</v>
      </c>
      <c r="D671" s="3792" t="s">
        <v>65</v>
      </c>
      <c r="E671" s="3792" t="s">
        <v>196</v>
      </c>
      <c r="F671" s="3792" t="s">
        <v>66</v>
      </c>
      <c r="G671" s="3792" t="s">
        <v>448</v>
      </c>
      <c r="H671" s="1218" t="s">
        <v>165</v>
      </c>
      <c r="I671" s="3140" t="s">
        <v>513</v>
      </c>
      <c r="J671" s="3140" t="s">
        <v>514</v>
      </c>
      <c r="K671" s="1259">
        <v>18</v>
      </c>
      <c r="L671" s="1232">
        <v>500000000</v>
      </c>
      <c r="M671" s="1259">
        <v>3</v>
      </c>
      <c r="N671" s="1232">
        <v>304801353</v>
      </c>
      <c r="O671" s="1259">
        <v>3</v>
      </c>
      <c r="P671" s="1232">
        <v>183561550</v>
      </c>
      <c r="Q671" s="1259">
        <v>0</v>
      </c>
      <c r="R671" s="590">
        <v>8946000</v>
      </c>
      <c r="S671" s="2632">
        <v>1</v>
      </c>
      <c r="T671" s="2554">
        <v>29932500</v>
      </c>
      <c r="U671" s="384">
        <v>0</v>
      </c>
      <c r="V671" s="1202">
        <v>19701000</v>
      </c>
      <c r="W671" s="384"/>
      <c r="X671" s="384"/>
      <c r="Y671" s="1259">
        <f t="shared" si="190"/>
        <v>1</v>
      </c>
      <c r="Z671" s="1202">
        <f t="shared" si="189"/>
        <v>58579500</v>
      </c>
      <c r="AA671" s="3143">
        <f t="shared" si="199"/>
        <v>4</v>
      </c>
      <c r="AB671" s="597">
        <f t="shared" si="200"/>
        <v>363380853</v>
      </c>
      <c r="AC671" s="3142">
        <f t="shared" si="201"/>
        <v>22.222222222222221</v>
      </c>
      <c r="AD671" s="3142">
        <f t="shared" si="202"/>
        <v>72.676170600000006</v>
      </c>
      <c r="AE671" s="390"/>
      <c r="AF671" s="63"/>
      <c r="AG671" s="63"/>
      <c r="AH671" s="63"/>
      <c r="AI671" s="63"/>
      <c r="AJ671" s="63"/>
      <c r="AK671" s="63"/>
      <c r="AL671" s="63"/>
      <c r="AM671" s="63"/>
      <c r="AN671" s="63"/>
      <c r="AO671" s="63"/>
      <c r="AP671" s="63"/>
      <c r="AQ671" s="63"/>
      <c r="AR671" s="63"/>
      <c r="AS671" s="63"/>
      <c r="AT671" s="63"/>
      <c r="AU671" s="63"/>
      <c r="AV671" s="63"/>
      <c r="AW671" s="63"/>
      <c r="AX671" s="63"/>
      <c r="AY671" s="63"/>
      <c r="AZ671" s="63"/>
      <c r="BA671" s="63"/>
      <c r="BB671" s="63"/>
      <c r="BC671" s="63"/>
      <c r="BD671" s="63"/>
      <c r="BE671" s="63"/>
      <c r="BF671" s="63"/>
      <c r="BG671" s="63"/>
      <c r="BH671" s="63"/>
      <c r="BI671" s="63"/>
      <c r="BJ671" s="63"/>
      <c r="BK671" s="63"/>
      <c r="BL671" s="63"/>
      <c r="BM671" s="63"/>
      <c r="BN671" s="63"/>
      <c r="BO671" s="63"/>
      <c r="BP671" s="63"/>
      <c r="BQ671" s="63"/>
      <c r="BR671" s="63"/>
      <c r="BS671" s="63"/>
      <c r="BT671" s="63"/>
      <c r="BU671" s="63"/>
      <c r="BV671" s="63"/>
      <c r="BW671" s="63"/>
      <c r="BX671" s="63"/>
    </row>
    <row r="672" spans="1:76" s="918" customFormat="1" ht="46.5" customHeight="1">
      <c r="A672" s="385"/>
      <c r="B672" s="384"/>
      <c r="C672" s="3792" t="s">
        <v>146</v>
      </c>
      <c r="D672" s="3792" t="s">
        <v>65</v>
      </c>
      <c r="E672" s="3792" t="s">
        <v>196</v>
      </c>
      <c r="F672" s="3792" t="s">
        <v>66</v>
      </c>
      <c r="G672" s="3792" t="s">
        <v>448</v>
      </c>
      <c r="H672" s="1218" t="s">
        <v>515</v>
      </c>
      <c r="I672" s="3140" t="s">
        <v>516</v>
      </c>
      <c r="J672" s="3140" t="s">
        <v>517</v>
      </c>
      <c r="K672" s="1259">
        <f>82*6</f>
        <v>492</v>
      </c>
      <c r="L672" s="1232">
        <v>300000000</v>
      </c>
      <c r="M672" s="1259">
        <v>83</v>
      </c>
      <c r="N672" s="1232">
        <v>122408530</v>
      </c>
      <c r="O672" s="1259">
        <v>78</v>
      </c>
      <c r="P672" s="1232">
        <v>117624855</v>
      </c>
      <c r="Q672" s="1259">
        <v>0</v>
      </c>
      <c r="R672" s="590">
        <v>21183600</v>
      </c>
      <c r="S672" s="2632">
        <v>0</v>
      </c>
      <c r="T672" s="2554">
        <v>11801300</v>
      </c>
      <c r="U672" s="384">
        <v>0</v>
      </c>
      <c r="V672" s="1202">
        <v>3010888</v>
      </c>
      <c r="W672" s="384"/>
      <c r="X672" s="384"/>
      <c r="Y672" s="1259">
        <f t="shared" si="190"/>
        <v>0</v>
      </c>
      <c r="Z672" s="1202">
        <f t="shared" si="189"/>
        <v>35995788</v>
      </c>
      <c r="AA672" s="3143">
        <f t="shared" si="199"/>
        <v>83</v>
      </c>
      <c r="AB672" s="597">
        <f t="shared" si="200"/>
        <v>158404318</v>
      </c>
      <c r="AC672" s="3142">
        <f t="shared" si="201"/>
        <v>16.869918699186993</v>
      </c>
      <c r="AD672" s="3142">
        <f t="shared" si="202"/>
        <v>52.801439333333335</v>
      </c>
      <c r="AE672" s="390"/>
      <c r="AF672" s="63"/>
      <c r="AG672" s="63"/>
      <c r="AH672" s="63"/>
      <c r="AI672" s="63"/>
      <c r="AJ672" s="63"/>
      <c r="AK672" s="63"/>
      <c r="AL672" s="63"/>
      <c r="AM672" s="63"/>
      <c r="AN672" s="63"/>
      <c r="AO672" s="63"/>
      <c r="AP672" s="63"/>
      <c r="AQ672" s="63"/>
      <c r="AR672" s="63"/>
      <c r="AS672" s="63"/>
      <c r="AT672" s="63"/>
      <c r="AU672" s="63"/>
      <c r="AV672" s="63"/>
      <c r="AW672" s="63"/>
      <c r="AX672" s="63"/>
      <c r="AY672" s="63"/>
      <c r="AZ672" s="63"/>
      <c r="BA672" s="63"/>
      <c r="BB672" s="63"/>
      <c r="BC672" s="63"/>
      <c r="BD672" s="63"/>
      <c r="BE672" s="63"/>
      <c r="BF672" s="63"/>
      <c r="BG672" s="63"/>
      <c r="BH672" s="63"/>
      <c r="BI672" s="63"/>
      <c r="BJ672" s="63"/>
      <c r="BK672" s="63"/>
      <c r="BL672" s="63"/>
      <c r="BM672" s="63"/>
      <c r="BN672" s="63"/>
      <c r="BO672" s="63"/>
      <c r="BP672" s="63"/>
      <c r="BQ672" s="63"/>
      <c r="BR672" s="63"/>
      <c r="BS672" s="63"/>
      <c r="BT672" s="63"/>
      <c r="BU672" s="63"/>
      <c r="BV672" s="63"/>
      <c r="BW672" s="63"/>
      <c r="BX672" s="63"/>
    </row>
    <row r="673" spans="1:76" s="918" customFormat="1" ht="57.75" customHeight="1">
      <c r="A673" s="385"/>
      <c r="B673" s="384"/>
      <c r="C673" s="3792" t="s">
        <v>146</v>
      </c>
      <c r="D673" s="3792" t="s">
        <v>65</v>
      </c>
      <c r="E673" s="3792" t="s">
        <v>196</v>
      </c>
      <c r="F673" s="3792" t="s">
        <v>66</v>
      </c>
      <c r="G673" s="3792" t="s">
        <v>448</v>
      </c>
      <c r="H673" s="1218" t="s">
        <v>178</v>
      </c>
      <c r="I673" s="3140" t="s">
        <v>518</v>
      </c>
      <c r="J673" s="3140" t="s">
        <v>519</v>
      </c>
      <c r="K673" s="1259">
        <v>2</v>
      </c>
      <c r="L673" s="1232">
        <v>150000000</v>
      </c>
      <c r="M673" s="1259">
        <v>1</v>
      </c>
      <c r="N673" s="1232">
        <v>9767920</v>
      </c>
      <c r="O673" s="1259">
        <v>1</v>
      </c>
      <c r="P673" s="1232">
        <v>82428985</v>
      </c>
      <c r="Q673" s="1259">
        <v>0</v>
      </c>
      <c r="R673" s="590">
        <v>950000</v>
      </c>
      <c r="S673" s="2632">
        <v>0</v>
      </c>
      <c r="T673" s="1400">
        <v>182000</v>
      </c>
      <c r="U673" s="384">
        <v>1</v>
      </c>
      <c r="V673" s="1202">
        <v>33139400</v>
      </c>
      <c r="W673" s="384"/>
      <c r="X673" s="384"/>
      <c r="Y673" s="1259">
        <f t="shared" si="190"/>
        <v>1</v>
      </c>
      <c r="Z673" s="1202">
        <f t="shared" si="189"/>
        <v>34271400</v>
      </c>
      <c r="AA673" s="3143">
        <v>2</v>
      </c>
      <c r="AB673" s="597">
        <f t="shared" si="200"/>
        <v>44039320</v>
      </c>
      <c r="AC673" s="3142">
        <f t="shared" si="201"/>
        <v>100</v>
      </c>
      <c r="AD673" s="3142">
        <f t="shared" si="202"/>
        <v>29.35954666666667</v>
      </c>
      <c r="AE673" s="390"/>
      <c r="AF673" s="63"/>
      <c r="AG673" s="63"/>
      <c r="AH673" s="63"/>
      <c r="AI673" s="63"/>
      <c r="AJ673" s="63"/>
      <c r="AK673" s="63"/>
      <c r="AL673" s="63"/>
      <c r="AM673" s="63"/>
      <c r="AN673" s="63"/>
      <c r="AO673" s="63"/>
      <c r="AP673" s="63"/>
      <c r="AQ673" s="63"/>
      <c r="AR673" s="63"/>
      <c r="AS673" s="63"/>
      <c r="AT673" s="63"/>
      <c r="AU673" s="63"/>
      <c r="AV673" s="63"/>
      <c r="AW673" s="63"/>
      <c r="AX673" s="63"/>
      <c r="AY673" s="63"/>
      <c r="AZ673" s="63"/>
      <c r="BA673" s="63"/>
      <c r="BB673" s="63"/>
      <c r="BC673" s="63"/>
      <c r="BD673" s="63"/>
      <c r="BE673" s="63"/>
      <c r="BF673" s="63"/>
      <c r="BG673" s="63"/>
      <c r="BH673" s="63"/>
      <c r="BI673" s="63"/>
      <c r="BJ673" s="63"/>
      <c r="BK673" s="63"/>
      <c r="BL673" s="63"/>
      <c r="BM673" s="63"/>
      <c r="BN673" s="63"/>
      <c r="BO673" s="63"/>
      <c r="BP673" s="63"/>
      <c r="BQ673" s="63"/>
      <c r="BR673" s="63"/>
      <c r="BS673" s="63"/>
      <c r="BT673" s="63"/>
      <c r="BU673" s="63"/>
      <c r="BV673" s="63"/>
      <c r="BW673" s="63"/>
      <c r="BX673" s="63"/>
    </row>
    <row r="674" spans="1:76" s="918" customFormat="1">
      <c r="A674" s="4244" t="s">
        <v>89</v>
      </c>
      <c r="B674" s="4244"/>
      <c r="C674" s="4245"/>
      <c r="D674" s="4245"/>
      <c r="E674" s="4245"/>
      <c r="F674" s="4245"/>
      <c r="G674" s="4245"/>
      <c r="H674" s="4245"/>
      <c r="I674" s="4245"/>
      <c r="J674" s="4245"/>
      <c r="K674" s="4245"/>
      <c r="L674" s="4245"/>
      <c r="M674" s="4245"/>
      <c r="N674" s="4245"/>
      <c r="O674" s="4245"/>
      <c r="P674" s="4245"/>
      <c r="Q674" s="4245"/>
      <c r="R674" s="4245"/>
      <c r="S674" s="4245"/>
      <c r="T674" s="4245"/>
      <c r="U674" s="4245"/>
      <c r="V674" s="4245"/>
      <c r="W674" s="4245"/>
      <c r="X674" s="4245"/>
      <c r="Y674" s="4245"/>
      <c r="Z674" s="4245"/>
      <c r="AA674" s="4245"/>
      <c r="AB674" s="4245"/>
      <c r="AC674" s="2030">
        <f>(AC634+AC645+AC650+AC651+AC663)/5</f>
        <v>59.046981489272184</v>
      </c>
      <c r="AD674" s="2030">
        <f>(AD634+AD645+AD650+AD651+AD663)/5</f>
        <v>51.378584769723261</v>
      </c>
      <c r="AE674" s="390"/>
      <c r="AF674" s="63"/>
      <c r="AG674" s="63"/>
      <c r="AH674" s="63"/>
      <c r="AI674" s="63"/>
      <c r="AJ674" s="63"/>
      <c r="AK674" s="63"/>
      <c r="AL674" s="63"/>
      <c r="AM674" s="63"/>
      <c r="AN674" s="63"/>
      <c r="AO674" s="63"/>
      <c r="AP674" s="63"/>
      <c r="AQ674" s="63"/>
      <c r="AR674" s="63"/>
      <c r="AS674" s="63"/>
      <c r="AT674" s="63"/>
      <c r="AU674" s="63"/>
      <c r="AV674" s="63"/>
      <c r="AW674" s="63"/>
      <c r="AX674" s="63"/>
      <c r="AY674" s="63"/>
      <c r="AZ674" s="63"/>
      <c r="BA674" s="63"/>
      <c r="BB674" s="63"/>
      <c r="BC674" s="63"/>
      <c r="BD674" s="63"/>
      <c r="BE674" s="63"/>
      <c r="BF674" s="63"/>
      <c r="BG674" s="63"/>
      <c r="BH674" s="63"/>
      <c r="BI674" s="63"/>
      <c r="BJ674" s="63"/>
      <c r="BK674" s="63"/>
      <c r="BL674" s="63"/>
      <c r="BM674" s="63"/>
      <c r="BN674" s="63"/>
      <c r="BO674" s="63"/>
      <c r="BP674" s="63"/>
      <c r="BQ674" s="63"/>
      <c r="BR674" s="63"/>
      <c r="BS674" s="63"/>
      <c r="BT674" s="63"/>
      <c r="BU674" s="63"/>
      <c r="BV674" s="63"/>
      <c r="BW674" s="63"/>
      <c r="BX674" s="63"/>
    </row>
    <row r="675" spans="1:76" s="918" customFormat="1">
      <c r="A675" s="4244" t="s">
        <v>90</v>
      </c>
      <c r="B675" s="4244"/>
      <c r="C675" s="4245"/>
      <c r="D675" s="4245"/>
      <c r="E675" s="4245"/>
      <c r="F675" s="4245"/>
      <c r="G675" s="4245"/>
      <c r="H675" s="4245"/>
      <c r="I675" s="4245"/>
      <c r="J675" s="4245"/>
      <c r="K675" s="4245"/>
      <c r="L675" s="4245"/>
      <c r="M675" s="4245"/>
      <c r="N675" s="4245"/>
      <c r="O675" s="4245"/>
      <c r="P675" s="4245"/>
      <c r="Q675" s="4245"/>
      <c r="R675" s="4245"/>
      <c r="S675" s="4245"/>
      <c r="T675" s="4245"/>
      <c r="U675" s="4245"/>
      <c r="V675" s="4245"/>
      <c r="W675" s="4245"/>
      <c r="X675" s="4245"/>
      <c r="Y675" s="4245"/>
      <c r="Z675" s="4245"/>
      <c r="AA675" s="4245"/>
      <c r="AB675" s="4245"/>
      <c r="AC675" s="3152" t="str">
        <f>IF(AC674&gt;=91,"ST",IF(AC674&gt;=76,"T",IF(AC674&gt;=66,"S",IF(AC674&gt;=51,"R","SR"))))</f>
        <v>R</v>
      </c>
      <c r="AD675" s="3152" t="str">
        <f>IF(AD674&gt;=91,"ST",IF(AD674&gt;=76,"T",IF(AD674&gt;=66,"S",IF(AD674&gt;=51,"R","SR"))))</f>
        <v>R</v>
      </c>
      <c r="AE675" s="390"/>
      <c r="AF675" s="63"/>
      <c r="AG675" s="63"/>
      <c r="AH675" s="63"/>
      <c r="AI675" s="63"/>
      <c r="AJ675" s="63"/>
      <c r="AK675" s="63"/>
      <c r="AL675" s="63"/>
      <c r="AM675" s="63"/>
      <c r="AN675" s="63"/>
      <c r="AO675" s="63"/>
      <c r="AP675" s="63"/>
      <c r="AQ675" s="63"/>
      <c r="AR675" s="63"/>
      <c r="AS675" s="63"/>
      <c r="AT675" s="63"/>
      <c r="AU675" s="63"/>
      <c r="AV675" s="63"/>
      <c r="AW675" s="63"/>
      <c r="AX675" s="63"/>
      <c r="AY675" s="63"/>
      <c r="AZ675" s="63"/>
      <c r="BA675" s="63"/>
      <c r="BB675" s="63"/>
      <c r="BC675" s="63"/>
      <c r="BD675" s="63"/>
      <c r="BE675" s="63"/>
      <c r="BF675" s="63"/>
      <c r="BG675" s="63"/>
      <c r="BH675" s="63"/>
      <c r="BI675" s="63"/>
      <c r="BJ675" s="63"/>
      <c r="BK675" s="63"/>
      <c r="BL675" s="63"/>
      <c r="BM675" s="63"/>
      <c r="BN675" s="63"/>
      <c r="BO675" s="63"/>
      <c r="BP675" s="63"/>
      <c r="BQ675" s="63"/>
      <c r="BR675" s="63"/>
      <c r="BS675" s="63"/>
      <c r="BT675" s="63"/>
      <c r="BU675" s="63"/>
      <c r="BV675" s="63"/>
      <c r="BW675" s="63"/>
      <c r="BX675" s="63"/>
    </row>
    <row r="676" spans="1:76" s="3221" customFormat="1" ht="32.25" customHeight="1">
      <c r="A676" s="3287" t="s">
        <v>123</v>
      </c>
      <c r="B676" s="3288"/>
      <c r="C676" s="3287"/>
      <c r="D676" s="3287"/>
      <c r="E676" s="3287"/>
      <c r="F676" s="3287"/>
      <c r="G676" s="3287"/>
      <c r="H676" s="3287"/>
      <c r="I676" s="3289" t="s">
        <v>137</v>
      </c>
      <c r="J676" s="3288"/>
      <c r="K676" s="3290"/>
      <c r="L676" s="3291">
        <f>L677+L684+L686</f>
        <v>28778645000</v>
      </c>
      <c r="M676" s="3290"/>
      <c r="N676" s="3292">
        <f>N677+N684+N686</f>
        <v>3119341850</v>
      </c>
      <c r="O676" s="3290"/>
      <c r="P676" s="3292">
        <f>SUM(P677+P684+P686)</f>
        <v>10971645000</v>
      </c>
      <c r="Q676" s="3290"/>
      <c r="R676" s="3293">
        <f>R677+R684+R686</f>
        <v>1060215500</v>
      </c>
      <c r="S676" s="3288"/>
      <c r="T676" s="3293">
        <f>T677+T684+T686</f>
        <v>2418582900</v>
      </c>
      <c r="U676" s="3288"/>
      <c r="V676" s="3607">
        <f>V677+V684+V686</f>
        <v>2771730130</v>
      </c>
      <c r="W676" s="3288"/>
      <c r="X676" s="3288"/>
      <c r="Y676" s="3290"/>
      <c r="Z676" s="3293">
        <f t="shared" ref="Z676:Z687" si="203">R676+T676+V676+X676</f>
        <v>6250528530</v>
      </c>
      <c r="AA676" s="3290"/>
      <c r="AB676" s="3293">
        <f>AB677+AB684+AB686</f>
        <v>9369870380</v>
      </c>
      <c r="AC676" s="3290"/>
      <c r="AD676" s="3290"/>
      <c r="AE676" s="3296"/>
      <c r="AF676" s="145"/>
      <c r="AG676" s="145"/>
      <c r="AH676" s="145"/>
      <c r="AI676" s="145"/>
      <c r="AJ676" s="145"/>
      <c r="AK676" s="145"/>
      <c r="AL676" s="145"/>
      <c r="AM676" s="145"/>
      <c r="AN676" s="145"/>
      <c r="AO676" s="145"/>
      <c r="AP676" s="145"/>
      <c r="AQ676" s="145"/>
      <c r="AR676" s="145"/>
      <c r="AS676" s="145"/>
      <c r="AT676" s="145"/>
      <c r="AU676" s="145"/>
      <c r="AV676" s="145"/>
      <c r="AW676" s="145"/>
      <c r="AX676" s="145"/>
      <c r="AY676" s="145"/>
      <c r="AZ676" s="145"/>
      <c r="BA676" s="145"/>
      <c r="BB676" s="145"/>
      <c r="BC676" s="145"/>
      <c r="BD676" s="145"/>
      <c r="BE676" s="145"/>
      <c r="BF676" s="145"/>
      <c r="BG676" s="145"/>
      <c r="BH676" s="145"/>
      <c r="BI676" s="145"/>
      <c r="BJ676" s="145"/>
      <c r="BK676" s="145"/>
      <c r="BL676" s="145"/>
      <c r="BM676" s="145"/>
      <c r="BN676" s="145"/>
      <c r="BO676" s="145"/>
      <c r="BP676" s="145"/>
      <c r="BQ676" s="145"/>
      <c r="BR676" s="145"/>
      <c r="BS676" s="145"/>
      <c r="BT676" s="145"/>
      <c r="BU676" s="145"/>
      <c r="BV676" s="145"/>
      <c r="BW676" s="145"/>
      <c r="BX676" s="145"/>
    </row>
    <row r="677" spans="1:76" s="1486" customFormat="1" ht="65.25" customHeight="1">
      <c r="A677" s="2502">
        <v>1</v>
      </c>
      <c r="B677" s="2502"/>
      <c r="C677" s="2781">
        <v>1</v>
      </c>
      <c r="D677" s="2781"/>
      <c r="E677" s="2781" t="s">
        <v>65</v>
      </c>
      <c r="F677" s="2781" t="s">
        <v>95</v>
      </c>
      <c r="G677" s="2781" t="s">
        <v>166</v>
      </c>
      <c r="H677" s="2640"/>
      <c r="I677" s="3270" t="s">
        <v>2862</v>
      </c>
      <c r="J677" s="3270" t="s">
        <v>3234</v>
      </c>
      <c r="K677" s="2502">
        <v>30</v>
      </c>
      <c r="L677" s="2662">
        <f>SUM(L678:L683)</f>
        <v>28129095000</v>
      </c>
      <c r="M677" s="2502">
        <v>10</v>
      </c>
      <c r="N677" s="2662">
        <f>SUM(N678:N683)</f>
        <v>3016160450</v>
      </c>
      <c r="O677" s="2502">
        <v>5</v>
      </c>
      <c r="P677" s="2662">
        <f>SUM(P678:P683)</f>
        <v>10837095000</v>
      </c>
      <c r="Q677" s="2752">
        <v>1</v>
      </c>
      <c r="R677" s="2662">
        <f>SUM(R678:R683)</f>
        <v>1046338000</v>
      </c>
      <c r="S677" s="2502">
        <v>3</v>
      </c>
      <c r="T677" s="2662">
        <f>SUM(T678:T683)</f>
        <v>2361947900</v>
      </c>
      <c r="U677" s="2502">
        <v>4</v>
      </c>
      <c r="V677" s="2662">
        <f>SUM(V678:V683)</f>
        <v>2676549730</v>
      </c>
      <c r="W677" s="2502"/>
      <c r="X677" s="2502"/>
      <c r="Y677" s="2752">
        <f t="shared" ref="Y677:Y687" si="204">Q677+S677+U677+W677</f>
        <v>8</v>
      </c>
      <c r="Z677" s="2445">
        <f t="shared" si="203"/>
        <v>6084835630</v>
      </c>
      <c r="AA677" s="2612">
        <f t="shared" ref="AA677:AB680" si="205">M677+Y677</f>
        <v>18</v>
      </c>
      <c r="AB677" s="2445">
        <f t="shared" si="205"/>
        <v>9100996080</v>
      </c>
      <c r="AC677" s="2752">
        <f>AA677/K677*100</f>
        <v>60</v>
      </c>
      <c r="AD677" s="2790">
        <f>(AB677/L677)*100</f>
        <v>32.354386374677176</v>
      </c>
      <c r="AE677" s="3271" t="s">
        <v>2978</v>
      </c>
      <c r="AF677" s="2980"/>
    </row>
    <row r="678" spans="1:76" s="1486" customFormat="1" ht="33" customHeight="1">
      <c r="A678" s="2736"/>
      <c r="B678" s="2736"/>
      <c r="C678" s="2784" t="s">
        <v>146</v>
      </c>
      <c r="D678" s="2784"/>
      <c r="E678" s="2784" t="s">
        <v>65</v>
      </c>
      <c r="F678" s="2784" t="s">
        <v>95</v>
      </c>
      <c r="G678" s="2784" t="s">
        <v>166</v>
      </c>
      <c r="H678" s="2784"/>
      <c r="I678" s="1936" t="s">
        <v>3012</v>
      </c>
      <c r="J678" s="1936" t="s">
        <v>3013</v>
      </c>
      <c r="K678" s="2736">
        <v>25</v>
      </c>
      <c r="L678" s="2785">
        <v>194995000</v>
      </c>
      <c r="M678" s="2736">
        <v>6</v>
      </c>
      <c r="N678" s="2786">
        <v>88070950</v>
      </c>
      <c r="O678" s="2736">
        <v>5</v>
      </c>
      <c r="P678" s="2786">
        <v>104995000</v>
      </c>
      <c r="Q678" s="2787">
        <v>0</v>
      </c>
      <c r="R678" s="2786">
        <v>6535500</v>
      </c>
      <c r="S678" s="2736">
        <v>3</v>
      </c>
      <c r="T678" s="2648">
        <v>33705500</v>
      </c>
      <c r="U678" s="3269">
        <v>4</v>
      </c>
      <c r="V678" s="2910">
        <v>58856600</v>
      </c>
      <c r="W678" s="2736"/>
      <c r="X678" s="2736"/>
      <c r="Y678" s="2787">
        <f t="shared" si="204"/>
        <v>7</v>
      </c>
      <c r="Z678" s="2401">
        <f t="shared" si="203"/>
        <v>99097600</v>
      </c>
      <c r="AA678" s="2736">
        <f t="shared" si="205"/>
        <v>13</v>
      </c>
      <c r="AB678" s="2401">
        <f t="shared" si="205"/>
        <v>187168550</v>
      </c>
      <c r="AC678" s="2736">
        <f>AA678/K678*100</f>
        <v>52</v>
      </c>
      <c r="AD678" s="2788">
        <f t="shared" ref="AD678:AD683" si="206">(AB678/L678)*100</f>
        <v>95.986332982896997</v>
      </c>
      <c r="AE678" s="2783"/>
    </row>
    <row r="679" spans="1:76" s="1486" customFormat="1" ht="57.75" customHeight="1">
      <c r="A679" s="2736"/>
      <c r="B679" s="2736"/>
      <c r="C679" s="2784" t="s">
        <v>146</v>
      </c>
      <c r="D679" s="2784"/>
      <c r="E679" s="2784" t="s">
        <v>65</v>
      </c>
      <c r="F679" s="2784" t="s">
        <v>95</v>
      </c>
      <c r="G679" s="2784" t="s">
        <v>166</v>
      </c>
      <c r="H679" s="2784"/>
      <c r="I679" s="1936" t="s">
        <v>3014</v>
      </c>
      <c r="J679" s="1936" t="s">
        <v>3903</v>
      </c>
      <c r="K679" s="2736">
        <v>25</v>
      </c>
      <c r="L679" s="2785">
        <v>190000000</v>
      </c>
      <c r="M679" s="2736">
        <v>5</v>
      </c>
      <c r="N679" s="2786">
        <v>106257250</v>
      </c>
      <c r="O679" s="2736">
        <v>5</v>
      </c>
      <c r="P679" s="2786">
        <v>100000000</v>
      </c>
      <c r="Q679" s="2787">
        <v>0</v>
      </c>
      <c r="R679" s="2786">
        <v>3100000</v>
      </c>
      <c r="S679" s="2736">
        <v>3</v>
      </c>
      <c r="T679" s="2648">
        <v>6582700</v>
      </c>
      <c r="U679" s="3269">
        <v>4</v>
      </c>
      <c r="V679" s="2910">
        <v>10258500</v>
      </c>
      <c r="W679" s="2736"/>
      <c r="X679" s="2736"/>
      <c r="Y679" s="2787">
        <f t="shared" si="204"/>
        <v>7</v>
      </c>
      <c r="Z679" s="2401">
        <f t="shared" si="203"/>
        <v>19941200</v>
      </c>
      <c r="AA679" s="2736">
        <f t="shared" si="205"/>
        <v>12</v>
      </c>
      <c r="AB679" s="2401">
        <f t="shared" si="205"/>
        <v>126198450</v>
      </c>
      <c r="AC679" s="2736">
        <f>AA679/K679*100</f>
        <v>48</v>
      </c>
      <c r="AD679" s="2788">
        <f t="shared" si="206"/>
        <v>66.420236842105268</v>
      </c>
      <c r="AE679" s="2783"/>
    </row>
    <row r="680" spans="1:76" s="1486" customFormat="1" ht="43.5" customHeight="1">
      <c r="A680" s="2736"/>
      <c r="B680" s="2736"/>
      <c r="C680" s="2784" t="s">
        <v>146</v>
      </c>
      <c r="D680" s="2784"/>
      <c r="E680" s="2784" t="s">
        <v>65</v>
      </c>
      <c r="F680" s="2784" t="s">
        <v>95</v>
      </c>
      <c r="G680" s="2784" t="s">
        <v>166</v>
      </c>
      <c r="H680" s="2784"/>
      <c r="I680" s="1936" t="s">
        <v>3015</v>
      </c>
      <c r="J680" s="1936" t="s">
        <v>3016</v>
      </c>
      <c r="K680" s="2736">
        <v>25</v>
      </c>
      <c r="L680" s="2785">
        <v>25562000000</v>
      </c>
      <c r="M680" s="2736">
        <v>5</v>
      </c>
      <c r="N680" s="2786">
        <v>2781117800</v>
      </c>
      <c r="O680" s="2736">
        <v>5</v>
      </c>
      <c r="P680" s="2786">
        <v>10262000000</v>
      </c>
      <c r="Q680" s="2787">
        <v>1</v>
      </c>
      <c r="R680" s="2786">
        <v>1017831500</v>
      </c>
      <c r="S680" s="2736">
        <v>3</v>
      </c>
      <c r="T680" s="2648">
        <v>2267476800</v>
      </c>
      <c r="U680" s="3269">
        <v>4</v>
      </c>
      <c r="V680" s="2910">
        <v>2446368700</v>
      </c>
      <c r="W680" s="2736"/>
      <c r="X680" s="2736"/>
      <c r="Y680" s="2787">
        <f t="shared" si="204"/>
        <v>8</v>
      </c>
      <c r="Z680" s="2401">
        <f t="shared" si="203"/>
        <v>5731677000</v>
      </c>
      <c r="AA680" s="2736">
        <f t="shared" si="205"/>
        <v>13</v>
      </c>
      <c r="AB680" s="2401">
        <f t="shared" si="205"/>
        <v>8512794800</v>
      </c>
      <c r="AC680" s="2736">
        <f>AA680/K680*100</f>
        <v>52</v>
      </c>
      <c r="AD680" s="2788">
        <f t="shared" si="206"/>
        <v>33.302538142555356</v>
      </c>
      <c r="AE680" s="2783"/>
    </row>
    <row r="681" spans="1:76" s="1486" customFormat="1" ht="51" customHeight="1">
      <c r="A681" s="2736"/>
      <c r="B681" s="2736"/>
      <c r="C681" s="2784" t="s">
        <v>146</v>
      </c>
      <c r="D681" s="2784"/>
      <c r="E681" s="2784" t="s">
        <v>65</v>
      </c>
      <c r="F681" s="2784" t="s">
        <v>95</v>
      </c>
      <c r="G681" s="2784" t="s">
        <v>166</v>
      </c>
      <c r="H681" s="2784"/>
      <c r="I681" s="1936" t="s">
        <v>3017</v>
      </c>
      <c r="J681" s="1936" t="s">
        <v>3904</v>
      </c>
      <c r="K681" s="2736"/>
      <c r="L681" s="2785">
        <v>210000000</v>
      </c>
      <c r="M681" s="2736"/>
      <c r="N681" s="2786">
        <v>1304000</v>
      </c>
      <c r="O681" s="2736"/>
      <c r="P681" s="2786">
        <v>100000000</v>
      </c>
      <c r="Q681" s="2787"/>
      <c r="R681" s="2786"/>
      <c r="S681" s="2736"/>
      <c r="T681" s="2648">
        <v>4700000</v>
      </c>
      <c r="U681" s="3269"/>
      <c r="V681" s="2910">
        <v>8984580</v>
      </c>
      <c r="W681" s="2736"/>
      <c r="X681" s="2736"/>
      <c r="Y681" s="2787">
        <f t="shared" si="204"/>
        <v>0</v>
      </c>
      <c r="Z681" s="2401">
        <f t="shared" si="203"/>
        <v>13684580</v>
      </c>
      <c r="AA681" s="2736"/>
      <c r="AB681" s="2401">
        <f>N681+Z681</f>
        <v>14988580</v>
      </c>
      <c r="AC681" s="2736"/>
      <c r="AD681" s="2788">
        <f t="shared" si="206"/>
        <v>7.1374190476190478</v>
      </c>
      <c r="AE681" s="2783"/>
    </row>
    <row r="682" spans="1:76" s="1486" customFormat="1" ht="51" customHeight="1">
      <c r="A682" s="2736"/>
      <c r="B682" s="2736"/>
      <c r="C682" s="2784" t="s">
        <v>146</v>
      </c>
      <c r="D682" s="2784"/>
      <c r="E682" s="2784" t="s">
        <v>65</v>
      </c>
      <c r="F682" s="2784" t="s">
        <v>95</v>
      </c>
      <c r="G682" s="2784" t="s">
        <v>166</v>
      </c>
      <c r="H682" s="2784"/>
      <c r="I682" s="1936" t="s">
        <v>3018</v>
      </c>
      <c r="J682" s="1936" t="s">
        <v>3019</v>
      </c>
      <c r="K682" s="2736">
        <v>24</v>
      </c>
      <c r="L682" s="2785">
        <v>1094600000</v>
      </c>
      <c r="M682" s="2736"/>
      <c r="N682" s="2786"/>
      <c r="O682" s="2736">
        <v>6</v>
      </c>
      <c r="P682" s="2786">
        <v>94600000</v>
      </c>
      <c r="Q682" s="2787"/>
      <c r="R682" s="2786">
        <v>2489500</v>
      </c>
      <c r="S682" s="2736"/>
      <c r="T682" s="2648">
        <v>14079500</v>
      </c>
      <c r="U682" s="3269">
        <v>3</v>
      </c>
      <c r="V682" s="2910">
        <v>30367750</v>
      </c>
      <c r="W682" s="2736"/>
      <c r="X682" s="2736"/>
      <c r="Y682" s="2787">
        <f t="shared" si="204"/>
        <v>3</v>
      </c>
      <c r="Z682" s="2401">
        <f t="shared" si="203"/>
        <v>46936750</v>
      </c>
      <c r="AA682" s="2736"/>
      <c r="AB682" s="2401">
        <f>N682+Z682</f>
        <v>46936750</v>
      </c>
      <c r="AC682" s="2736"/>
      <c r="AD682" s="2788">
        <f t="shared" si="206"/>
        <v>4.2880275899872107</v>
      </c>
      <c r="AE682" s="2783"/>
    </row>
    <row r="683" spans="1:76" s="1486" customFormat="1" ht="51" customHeight="1">
      <c r="A683" s="2736"/>
      <c r="B683" s="2736"/>
      <c r="C683" s="2784" t="s">
        <v>146</v>
      </c>
      <c r="D683" s="2784"/>
      <c r="E683" s="2784" t="s">
        <v>65</v>
      </c>
      <c r="F683" s="2784" t="s">
        <v>95</v>
      </c>
      <c r="G683" s="2784" t="s">
        <v>166</v>
      </c>
      <c r="H683" s="2784"/>
      <c r="I683" s="1936" t="s">
        <v>3020</v>
      </c>
      <c r="J683" s="1936" t="s">
        <v>3021</v>
      </c>
      <c r="K683" s="2736">
        <v>35</v>
      </c>
      <c r="L683" s="2785">
        <v>877500000</v>
      </c>
      <c r="M683" s="2736">
        <v>8</v>
      </c>
      <c r="N683" s="2786">
        <v>39410450</v>
      </c>
      <c r="O683" s="2736">
        <v>8</v>
      </c>
      <c r="P683" s="2786">
        <v>175500000</v>
      </c>
      <c r="Q683" s="2787">
        <v>2</v>
      </c>
      <c r="R683" s="2786">
        <v>16381500</v>
      </c>
      <c r="S683" s="2736">
        <v>2</v>
      </c>
      <c r="T683" s="2648">
        <v>35403400</v>
      </c>
      <c r="U683" s="3269">
        <v>7</v>
      </c>
      <c r="V683" s="2910">
        <v>121713600</v>
      </c>
      <c r="W683" s="2736"/>
      <c r="X683" s="2736"/>
      <c r="Y683" s="2787">
        <f t="shared" si="204"/>
        <v>11</v>
      </c>
      <c r="Z683" s="2401">
        <f t="shared" si="203"/>
        <v>173498500</v>
      </c>
      <c r="AA683" s="2736">
        <f>M683+Y683</f>
        <v>19</v>
      </c>
      <c r="AB683" s="2401">
        <f>N683+Z683</f>
        <v>212908950</v>
      </c>
      <c r="AC683" s="2736">
        <f>AA683/K683*100</f>
        <v>54.285714285714285</v>
      </c>
      <c r="AD683" s="2788">
        <f t="shared" si="206"/>
        <v>24.263128205128204</v>
      </c>
      <c r="AE683" s="2783"/>
    </row>
    <row r="684" spans="1:76" s="1389" customFormat="1" ht="69.75" customHeight="1">
      <c r="A684" s="2501">
        <v>2</v>
      </c>
      <c r="B684" s="2501"/>
      <c r="C684" s="2781" t="s">
        <v>146</v>
      </c>
      <c r="D684" s="2781"/>
      <c r="E684" s="2781" t="s">
        <v>65</v>
      </c>
      <c r="F684" s="2781" t="s">
        <v>95</v>
      </c>
      <c r="G684" s="2781" t="s">
        <v>448</v>
      </c>
      <c r="H684" s="2640"/>
      <c r="I684" s="3270" t="s">
        <v>3022</v>
      </c>
      <c r="J684" s="3270" t="s">
        <v>3023</v>
      </c>
      <c r="K684" s="2502">
        <v>100</v>
      </c>
      <c r="L684" s="2794">
        <f>L685</f>
        <v>459550000</v>
      </c>
      <c r="M684" s="2502">
        <v>20</v>
      </c>
      <c r="N684" s="2662">
        <f>N685</f>
        <v>88186400</v>
      </c>
      <c r="O684" s="2502">
        <v>20</v>
      </c>
      <c r="P684" s="2662">
        <f>SUM(P685)</f>
        <v>94550000</v>
      </c>
      <c r="Q684" s="2752">
        <v>0</v>
      </c>
      <c r="R684" s="2664">
        <f>SUM(R685)</f>
        <v>5877500</v>
      </c>
      <c r="S684" s="2501">
        <v>0</v>
      </c>
      <c r="T684" s="2614">
        <f>SUM(T685)</f>
        <v>26150000</v>
      </c>
      <c r="U684" s="2501"/>
      <c r="V684" s="2614">
        <f>SUM(V685)</f>
        <v>61695400</v>
      </c>
      <c r="W684" s="2501"/>
      <c r="X684" s="2501"/>
      <c r="Y684" s="2752">
        <f t="shared" si="204"/>
        <v>0</v>
      </c>
      <c r="Z684" s="2763">
        <f t="shared" si="203"/>
        <v>93722900</v>
      </c>
      <c r="AA684" s="2612">
        <f t="shared" ref="AA684:AB687" si="207">M684+Y684</f>
        <v>20</v>
      </c>
      <c r="AB684" s="2763">
        <f t="shared" si="207"/>
        <v>181909300</v>
      </c>
      <c r="AC684" s="2751">
        <f t="shared" ref="AC684:AD687" si="208">AA684/K684*100</f>
        <v>20</v>
      </c>
      <c r="AD684" s="2751">
        <f t="shared" si="208"/>
        <v>39.584223697094984</v>
      </c>
      <c r="AE684" s="3271" t="s">
        <v>2978</v>
      </c>
      <c r="AF684" s="385"/>
      <c r="AG684" s="385"/>
      <c r="AH684" s="385"/>
      <c r="AI684" s="385"/>
      <c r="AJ684" s="385"/>
      <c r="AK684" s="385"/>
      <c r="AL684" s="385"/>
      <c r="AM684" s="385"/>
      <c r="AN684" s="385"/>
      <c r="AO684" s="385"/>
      <c r="AP684" s="385"/>
      <c r="AQ684" s="385"/>
      <c r="AR684" s="385"/>
      <c r="AS684" s="385"/>
      <c r="AT684" s="385"/>
      <c r="AU684" s="385"/>
      <c r="AV684" s="385"/>
      <c r="AW684" s="385"/>
      <c r="AX684" s="385"/>
      <c r="AY684" s="385"/>
      <c r="AZ684" s="385"/>
      <c r="BA684" s="385"/>
      <c r="BB684" s="385"/>
      <c r="BC684" s="385"/>
      <c r="BD684" s="385"/>
      <c r="BE684" s="385"/>
      <c r="BF684" s="385"/>
      <c r="BG684" s="385"/>
      <c r="BH684" s="385"/>
      <c r="BI684" s="385"/>
      <c r="BJ684" s="385"/>
      <c r="BK684" s="385"/>
      <c r="BL684" s="385"/>
      <c r="BM684" s="385"/>
      <c r="BN684" s="385"/>
      <c r="BO684" s="385"/>
      <c r="BP684" s="385"/>
      <c r="BQ684" s="385"/>
      <c r="BR684" s="385"/>
      <c r="BS684" s="385"/>
      <c r="BT684" s="385"/>
      <c r="BU684" s="385"/>
      <c r="BV684" s="385"/>
      <c r="BW684" s="385"/>
      <c r="BX684" s="385"/>
    </row>
    <row r="685" spans="1:76" s="1389" customFormat="1" ht="54" customHeight="1">
      <c r="A685" s="3272"/>
      <c r="B685" s="3272"/>
      <c r="C685" s="2784" t="s">
        <v>146</v>
      </c>
      <c r="D685" s="2784"/>
      <c r="E685" s="2784" t="s">
        <v>65</v>
      </c>
      <c r="F685" s="2784" t="s">
        <v>95</v>
      </c>
      <c r="G685" s="2784" t="s">
        <v>448</v>
      </c>
      <c r="H685" s="2784" t="s">
        <v>66</v>
      </c>
      <c r="I685" s="1936" t="s">
        <v>3024</v>
      </c>
      <c r="J685" s="1936" t="s">
        <v>3025</v>
      </c>
      <c r="K685" s="2736">
        <v>50</v>
      </c>
      <c r="L685" s="2785">
        <v>459550000</v>
      </c>
      <c r="M685" s="2736">
        <v>4</v>
      </c>
      <c r="N685" s="2786">
        <v>88186400</v>
      </c>
      <c r="O685" s="2736">
        <v>10</v>
      </c>
      <c r="P685" s="2786">
        <v>94550000</v>
      </c>
      <c r="Q685" s="2787">
        <v>0</v>
      </c>
      <c r="R685" s="1203">
        <v>5877500</v>
      </c>
      <c r="S685" s="3272">
        <v>0</v>
      </c>
      <c r="T685" s="2115">
        <v>26150000</v>
      </c>
      <c r="U685" s="3272"/>
      <c r="V685" s="3272">
        <v>61695400</v>
      </c>
      <c r="W685" s="3272"/>
      <c r="X685" s="3272"/>
      <c r="Y685" s="2787">
        <f t="shared" si="204"/>
        <v>0</v>
      </c>
      <c r="Z685" s="2148">
        <f t="shared" si="203"/>
        <v>93722900</v>
      </c>
      <c r="AA685" s="2736">
        <f t="shared" si="207"/>
        <v>4</v>
      </c>
      <c r="AB685" s="2148">
        <f t="shared" si="207"/>
        <v>181909300</v>
      </c>
      <c r="AC685" s="2737">
        <f t="shared" si="208"/>
        <v>8</v>
      </c>
      <c r="AD685" s="2737">
        <f t="shared" si="208"/>
        <v>39.584223697094984</v>
      </c>
      <c r="AE685" s="2783"/>
      <c r="AF685" s="385"/>
      <c r="AG685" s="385"/>
      <c r="AH685" s="385"/>
      <c r="AI685" s="385"/>
      <c r="AJ685" s="385"/>
      <c r="AK685" s="385"/>
      <c r="AL685" s="385"/>
      <c r="AM685" s="385"/>
      <c r="AN685" s="385"/>
      <c r="AO685" s="385"/>
      <c r="AP685" s="385"/>
      <c r="AQ685" s="385"/>
      <c r="AR685" s="385"/>
      <c r="AS685" s="385"/>
      <c r="AT685" s="385"/>
      <c r="AU685" s="385"/>
      <c r="AV685" s="385"/>
      <c r="AW685" s="385"/>
      <c r="AX685" s="385"/>
      <c r="AY685" s="385"/>
      <c r="AZ685" s="385"/>
      <c r="BA685" s="385"/>
      <c r="BB685" s="385"/>
      <c r="BC685" s="385"/>
      <c r="BD685" s="385"/>
      <c r="BE685" s="385"/>
      <c r="BF685" s="385"/>
      <c r="BG685" s="385"/>
      <c r="BH685" s="385"/>
      <c r="BI685" s="385"/>
      <c r="BJ685" s="385"/>
      <c r="BK685" s="385"/>
      <c r="BL685" s="385"/>
      <c r="BM685" s="385"/>
      <c r="BN685" s="385"/>
      <c r="BO685" s="385"/>
      <c r="BP685" s="385"/>
      <c r="BQ685" s="385"/>
      <c r="BR685" s="385"/>
      <c r="BS685" s="385"/>
      <c r="BT685" s="385"/>
      <c r="BU685" s="385"/>
      <c r="BV685" s="385"/>
      <c r="BW685" s="385"/>
      <c r="BX685" s="385"/>
    </row>
    <row r="686" spans="1:76" s="1389" customFormat="1" ht="54" customHeight="1">
      <c r="A686" s="2501">
        <v>3</v>
      </c>
      <c r="B686" s="2501"/>
      <c r="C686" s="3029" t="s">
        <v>2006</v>
      </c>
      <c r="D686" s="3029"/>
      <c r="E686" s="3029" t="s">
        <v>107</v>
      </c>
      <c r="F686" s="3029" t="s">
        <v>65</v>
      </c>
      <c r="G686" s="3029" t="s">
        <v>155</v>
      </c>
      <c r="H686" s="3799"/>
      <c r="I686" s="3270" t="s">
        <v>2867</v>
      </c>
      <c r="J686" s="3270" t="s">
        <v>3906</v>
      </c>
      <c r="K686" s="2502">
        <v>15</v>
      </c>
      <c r="L686" s="2794">
        <f>L687</f>
        <v>190000000</v>
      </c>
      <c r="M686" s="2502">
        <v>3</v>
      </c>
      <c r="N686" s="2662">
        <f>N687</f>
        <v>14995000</v>
      </c>
      <c r="O686" s="2502">
        <v>3</v>
      </c>
      <c r="P686" s="2662">
        <f>SUM(P687)</f>
        <v>40000000</v>
      </c>
      <c r="Q686" s="2752">
        <v>0</v>
      </c>
      <c r="R686" s="2664">
        <f>SUM(R687)</f>
        <v>8000000</v>
      </c>
      <c r="S686" s="2501">
        <v>1</v>
      </c>
      <c r="T686" s="2664">
        <f>SUM(T687)</f>
        <v>30485000</v>
      </c>
      <c r="U686" s="2501">
        <v>1</v>
      </c>
      <c r="V686" s="2614">
        <f>SUM(V687)</f>
        <v>33485000</v>
      </c>
      <c r="W686" s="2501"/>
      <c r="X686" s="2501"/>
      <c r="Y686" s="2752">
        <f t="shared" si="204"/>
        <v>2</v>
      </c>
      <c r="Z686" s="2763">
        <f t="shared" si="203"/>
        <v>71970000</v>
      </c>
      <c r="AA686" s="2502">
        <f t="shared" si="207"/>
        <v>5</v>
      </c>
      <c r="AB686" s="2763">
        <f t="shared" si="207"/>
        <v>86965000</v>
      </c>
      <c r="AC686" s="2751">
        <f t="shared" si="208"/>
        <v>33.333333333333329</v>
      </c>
      <c r="AD686" s="2751">
        <f t="shared" si="208"/>
        <v>45.771052631578947</v>
      </c>
      <c r="AE686" s="3271" t="s">
        <v>2978</v>
      </c>
      <c r="AF686" s="385"/>
      <c r="AG686" s="385"/>
      <c r="AH686" s="385"/>
      <c r="AI686" s="385"/>
      <c r="AJ686" s="385"/>
      <c r="AK686" s="385"/>
      <c r="AL686" s="385"/>
      <c r="AM686" s="385"/>
      <c r="AN686" s="385"/>
      <c r="AO686" s="385"/>
      <c r="AP686" s="385"/>
      <c r="AQ686" s="385"/>
      <c r="AR686" s="385"/>
      <c r="AS686" s="385"/>
      <c r="AT686" s="385"/>
      <c r="AU686" s="385"/>
      <c r="AV686" s="385"/>
      <c r="AW686" s="385"/>
      <c r="AX686" s="385"/>
      <c r="AY686" s="385"/>
      <c r="AZ686" s="385"/>
      <c r="BA686" s="385"/>
      <c r="BB686" s="385"/>
      <c r="BC686" s="385"/>
      <c r="BD686" s="385"/>
      <c r="BE686" s="385"/>
      <c r="BF686" s="385"/>
      <c r="BG686" s="385"/>
      <c r="BH686" s="385"/>
      <c r="BI686" s="385"/>
      <c r="BJ686" s="385"/>
      <c r="BK686" s="385"/>
      <c r="BL686" s="385"/>
      <c r="BM686" s="385"/>
      <c r="BN686" s="385"/>
      <c r="BO686" s="385"/>
      <c r="BP686" s="385"/>
      <c r="BQ686" s="385"/>
      <c r="BR686" s="385"/>
      <c r="BS686" s="385"/>
      <c r="BT686" s="385"/>
      <c r="BU686" s="385"/>
      <c r="BV686" s="385"/>
      <c r="BW686" s="385"/>
      <c r="BX686" s="385"/>
    </row>
    <row r="687" spans="1:76" s="1389" customFormat="1" ht="54.75" customHeight="1">
      <c r="A687" s="3272"/>
      <c r="B687" s="3272"/>
      <c r="C687" s="2784" t="s">
        <v>2006</v>
      </c>
      <c r="D687" s="2784"/>
      <c r="E687" s="2784" t="s">
        <v>107</v>
      </c>
      <c r="F687" s="2784" t="s">
        <v>65</v>
      </c>
      <c r="G687" s="2784" t="s">
        <v>155</v>
      </c>
      <c r="H687" s="2784" t="s">
        <v>1129</v>
      </c>
      <c r="I687" s="1936" t="s">
        <v>3623</v>
      </c>
      <c r="J687" s="1936" t="s">
        <v>3905</v>
      </c>
      <c r="K687" s="2736">
        <v>5</v>
      </c>
      <c r="L687" s="2785">
        <v>190000000</v>
      </c>
      <c r="M687" s="2736">
        <v>1</v>
      </c>
      <c r="N687" s="2786">
        <v>14995000</v>
      </c>
      <c r="O687" s="2736">
        <v>1</v>
      </c>
      <c r="P687" s="2786">
        <v>40000000</v>
      </c>
      <c r="Q687" s="2787">
        <v>0</v>
      </c>
      <c r="R687" s="1203">
        <v>8000000</v>
      </c>
      <c r="S687" s="3272">
        <v>1</v>
      </c>
      <c r="T687" s="2115">
        <v>30485000</v>
      </c>
      <c r="U687" s="3272">
        <v>1</v>
      </c>
      <c r="V687" s="3272">
        <v>33485000</v>
      </c>
      <c r="W687" s="3272"/>
      <c r="X687" s="3272"/>
      <c r="Y687" s="2787">
        <f t="shared" si="204"/>
        <v>2</v>
      </c>
      <c r="Z687" s="2148">
        <f t="shared" si="203"/>
        <v>71970000</v>
      </c>
      <c r="AA687" s="2736">
        <f t="shared" si="207"/>
        <v>3</v>
      </c>
      <c r="AB687" s="2148">
        <f t="shared" si="207"/>
        <v>86965000</v>
      </c>
      <c r="AC687" s="2737">
        <f t="shared" si="208"/>
        <v>60</v>
      </c>
      <c r="AD687" s="2737">
        <f t="shared" si="208"/>
        <v>45.771052631578947</v>
      </c>
      <c r="AE687" s="2783"/>
      <c r="AF687" s="385"/>
      <c r="AG687" s="385"/>
      <c r="AH687" s="385"/>
      <c r="AI687" s="385"/>
      <c r="AJ687" s="385"/>
      <c r="AK687" s="385"/>
      <c r="AL687" s="385"/>
      <c r="AM687" s="385"/>
      <c r="AN687" s="385"/>
      <c r="AO687" s="385"/>
      <c r="AP687" s="385"/>
      <c r="AQ687" s="385"/>
      <c r="AR687" s="385"/>
      <c r="AS687" s="385"/>
      <c r="AT687" s="385"/>
      <c r="AU687" s="385"/>
      <c r="AV687" s="385"/>
      <c r="AW687" s="385"/>
      <c r="AX687" s="385"/>
      <c r="AY687" s="385"/>
      <c r="AZ687" s="385"/>
      <c r="BA687" s="385"/>
      <c r="BB687" s="385"/>
      <c r="BC687" s="385"/>
      <c r="BD687" s="385"/>
      <c r="BE687" s="385"/>
      <c r="BF687" s="385"/>
      <c r="BG687" s="385"/>
      <c r="BH687" s="385"/>
      <c r="BI687" s="385"/>
      <c r="BJ687" s="385"/>
      <c r="BK687" s="385"/>
      <c r="BL687" s="385"/>
      <c r="BM687" s="385"/>
      <c r="BN687" s="385"/>
      <c r="BO687" s="385"/>
      <c r="BP687" s="385"/>
      <c r="BQ687" s="385"/>
      <c r="BR687" s="385"/>
      <c r="BS687" s="385"/>
      <c r="BT687" s="385"/>
      <c r="BU687" s="385"/>
      <c r="BV687" s="385"/>
      <c r="BW687" s="385"/>
      <c r="BX687" s="385"/>
    </row>
    <row r="688" spans="1:76" s="918" customFormat="1">
      <c r="A688" s="4298" t="s">
        <v>89</v>
      </c>
      <c r="B688" s="4298"/>
      <c r="C688" s="4299"/>
      <c r="D688" s="4299"/>
      <c r="E688" s="4299"/>
      <c r="F688" s="4299"/>
      <c r="G688" s="4299"/>
      <c r="H688" s="4299"/>
      <c r="I688" s="4299"/>
      <c r="J688" s="4299"/>
      <c r="K688" s="4299"/>
      <c r="L688" s="4299"/>
      <c r="M688" s="4299"/>
      <c r="N688" s="4299"/>
      <c r="O688" s="4299"/>
      <c r="P688" s="4299"/>
      <c r="Q688" s="4299"/>
      <c r="R688" s="4299"/>
      <c r="S688" s="4299"/>
      <c r="T688" s="4299"/>
      <c r="U688" s="4299"/>
      <c r="V688" s="4299"/>
      <c r="W688" s="4299"/>
      <c r="X688" s="4299"/>
      <c r="Y688" s="4299"/>
      <c r="Z688" s="4299"/>
      <c r="AA688" s="4299"/>
      <c r="AB688" s="4299"/>
      <c r="AC688" s="3297">
        <f>(AC677+AC684+AC686)/3</f>
        <v>37.777777777777779</v>
      </c>
      <c r="AD688" s="3297">
        <f>(AD677+AD684+AD686)/3</f>
        <v>39.236554234450374</v>
      </c>
      <c r="AE688" s="3274"/>
      <c r="AF688" s="63"/>
      <c r="AG688" s="63"/>
      <c r="AH688" s="63"/>
      <c r="AI688" s="63"/>
      <c r="AJ688" s="63"/>
      <c r="AK688" s="63"/>
      <c r="AL688" s="63"/>
      <c r="AM688" s="63"/>
      <c r="AN688" s="63"/>
      <c r="AO688" s="63"/>
      <c r="AP688" s="63"/>
      <c r="AQ688" s="63"/>
      <c r="AR688" s="63"/>
      <c r="AS688" s="63"/>
      <c r="AT688" s="63"/>
      <c r="AU688" s="63"/>
      <c r="AV688" s="63"/>
      <c r="AW688" s="63"/>
      <c r="AX688" s="63"/>
      <c r="AY688" s="63"/>
      <c r="AZ688" s="63"/>
      <c r="BA688" s="63"/>
      <c r="BB688" s="63"/>
      <c r="BC688" s="63"/>
      <c r="BD688" s="63"/>
      <c r="BE688" s="63"/>
      <c r="BF688" s="63"/>
      <c r="BG688" s="63"/>
      <c r="BH688" s="63"/>
      <c r="BI688" s="63"/>
      <c r="BJ688" s="63"/>
      <c r="BK688" s="63"/>
      <c r="BL688" s="63"/>
      <c r="BM688" s="63"/>
      <c r="BN688" s="63"/>
      <c r="BO688" s="63"/>
      <c r="BP688" s="63"/>
      <c r="BQ688" s="63"/>
      <c r="BR688" s="63"/>
      <c r="BS688" s="63"/>
      <c r="BT688" s="63"/>
      <c r="BU688" s="63"/>
      <c r="BV688" s="63"/>
      <c r="BW688" s="63"/>
      <c r="BX688" s="63"/>
    </row>
    <row r="689" spans="1:76" s="918" customFormat="1">
      <c r="A689" s="4244" t="s">
        <v>90</v>
      </c>
      <c r="B689" s="4244"/>
      <c r="C689" s="4245"/>
      <c r="D689" s="4245"/>
      <c r="E689" s="4245"/>
      <c r="F689" s="4245"/>
      <c r="G689" s="4245"/>
      <c r="H689" s="4245"/>
      <c r="I689" s="4245"/>
      <c r="J689" s="4245"/>
      <c r="K689" s="4245"/>
      <c r="L689" s="4245"/>
      <c r="M689" s="4245"/>
      <c r="N689" s="4245"/>
      <c r="O689" s="4245"/>
      <c r="P689" s="4245"/>
      <c r="Q689" s="4245"/>
      <c r="R689" s="4245"/>
      <c r="S689" s="4245"/>
      <c r="T689" s="4245"/>
      <c r="U689" s="4245"/>
      <c r="V689" s="4245"/>
      <c r="W689" s="4245"/>
      <c r="X689" s="4245"/>
      <c r="Y689" s="4245"/>
      <c r="Z689" s="4245"/>
      <c r="AA689" s="4245"/>
      <c r="AB689" s="4245"/>
      <c r="AC689" s="3152" t="str">
        <f>IF(AC688&gt;=91,"ST",IF(AC688&gt;=76,"T",IF(AC688&gt;=66,"S",IF(AC688&gt;=51,"R","SR"))))</f>
        <v>SR</v>
      </c>
      <c r="AD689" s="3152" t="str">
        <f>IF(AD688&gt;=91,"ST",IF(AD688&gt;=76,"T",IF(AD688&gt;=66,"S",IF(AD688&gt;=51,"R","SR"))))</f>
        <v>SR</v>
      </c>
      <c r="AE689" s="390"/>
      <c r="AF689" s="63"/>
      <c r="AG689" s="63"/>
      <c r="AH689" s="63"/>
      <c r="AI689" s="63"/>
      <c r="AJ689" s="63"/>
      <c r="AK689" s="63"/>
      <c r="AL689" s="63"/>
      <c r="AM689" s="63"/>
      <c r="AN689" s="63"/>
      <c r="AO689" s="63"/>
      <c r="AP689" s="63"/>
      <c r="AQ689" s="63"/>
      <c r="AR689" s="63"/>
      <c r="AS689" s="63"/>
      <c r="AT689" s="63"/>
      <c r="AU689" s="63"/>
      <c r="AV689" s="63"/>
      <c r="AW689" s="63"/>
      <c r="AX689" s="63"/>
      <c r="AY689" s="63"/>
      <c r="AZ689" s="63"/>
      <c r="BA689" s="63"/>
      <c r="BB689" s="63"/>
      <c r="BC689" s="63"/>
      <c r="BD689" s="63"/>
      <c r="BE689" s="63"/>
      <c r="BF689" s="63"/>
      <c r="BG689" s="63"/>
      <c r="BH689" s="63"/>
      <c r="BI689" s="63"/>
      <c r="BJ689" s="63"/>
      <c r="BK689" s="63"/>
      <c r="BL689" s="63"/>
      <c r="BM689" s="63"/>
      <c r="BN689" s="63"/>
      <c r="BO689" s="63"/>
      <c r="BP689" s="63"/>
      <c r="BQ689" s="63"/>
      <c r="BR689" s="63"/>
      <c r="BS689" s="63"/>
      <c r="BT689" s="63"/>
      <c r="BU689" s="63"/>
      <c r="BV689" s="63"/>
      <c r="BW689" s="63"/>
      <c r="BX689" s="63"/>
    </row>
    <row r="690" spans="1:76" s="3221" customFormat="1" ht="25.5">
      <c r="A690" s="2546" t="s">
        <v>3252</v>
      </c>
      <c r="B690" s="2918"/>
      <c r="C690" s="2546"/>
      <c r="D690" s="2546"/>
      <c r="E690" s="2546"/>
      <c r="F690" s="2546"/>
      <c r="G690" s="2546"/>
      <c r="H690" s="2546"/>
      <c r="I690" s="2515" t="s">
        <v>138</v>
      </c>
      <c r="J690" s="2918"/>
      <c r="K690" s="3210"/>
      <c r="L690" s="3194">
        <f>L691+L705+L709+L711+L713+L722+L729</f>
        <v>13657763041</v>
      </c>
      <c r="M690" s="3210"/>
      <c r="N690" s="3195">
        <f>N691+N705+N709+N711+N713+N722+N729</f>
        <v>4154851739</v>
      </c>
      <c r="O690" s="3210"/>
      <c r="P690" s="3195">
        <f>SUM(P691+P705+P709+P711+P713+P722+P729+P731)</f>
        <v>2769737964</v>
      </c>
      <c r="Q690" s="3210"/>
      <c r="R690" s="2916">
        <f>R691+R705+R709+R711+R713+R722+R729</f>
        <v>515186892</v>
      </c>
      <c r="S690" s="2918"/>
      <c r="T690" s="2916">
        <f>T691+T705+T709+T711+T713+T722+T729</f>
        <v>991817894</v>
      </c>
      <c r="U690" s="2918"/>
      <c r="V690" s="2916">
        <f>V691+V705+V709+V711+V713+V722+V729+V731</f>
        <v>483238186</v>
      </c>
      <c r="W690" s="2918"/>
      <c r="X690" s="2918"/>
      <c r="Y690" s="3210">
        <f>Q690+S690+U690+W690</f>
        <v>0</v>
      </c>
      <c r="Z690" s="2916">
        <f>R690+T690+V690</f>
        <v>1990242972</v>
      </c>
      <c r="AA690" s="3210"/>
      <c r="AB690" s="2916">
        <f>AB691+AB705+AB709+AB711+AB713+AB722+AB729</f>
        <v>6140325728</v>
      </c>
      <c r="AC690" s="3210"/>
      <c r="AD690" s="3210"/>
      <c r="AE690" s="3211"/>
      <c r="AF690" s="145"/>
      <c r="AG690" s="145"/>
      <c r="AH690" s="145"/>
      <c r="AI690" s="145"/>
      <c r="AJ690" s="145"/>
      <c r="AK690" s="145"/>
      <c r="AL690" s="145"/>
      <c r="AM690" s="145"/>
      <c r="AN690" s="145"/>
      <c r="AO690" s="145"/>
      <c r="AP690" s="145"/>
      <c r="AQ690" s="145"/>
      <c r="AR690" s="145"/>
      <c r="AS690" s="145"/>
      <c r="AT690" s="145"/>
      <c r="AU690" s="145"/>
      <c r="AV690" s="145"/>
      <c r="AW690" s="145"/>
      <c r="AX690" s="145"/>
      <c r="AY690" s="145"/>
      <c r="AZ690" s="145"/>
      <c r="BA690" s="145"/>
      <c r="BB690" s="145"/>
      <c r="BC690" s="145"/>
      <c r="BD690" s="145"/>
      <c r="BE690" s="145"/>
      <c r="BF690" s="145"/>
      <c r="BG690" s="145"/>
      <c r="BH690" s="145"/>
      <c r="BI690" s="145"/>
      <c r="BJ690" s="145"/>
      <c r="BK690" s="145"/>
      <c r="BL690" s="145"/>
      <c r="BM690" s="145"/>
      <c r="BN690" s="145"/>
      <c r="BO690" s="145"/>
      <c r="BP690" s="145"/>
      <c r="BQ690" s="145"/>
      <c r="BR690" s="145"/>
      <c r="BS690" s="145"/>
      <c r="BT690" s="145"/>
      <c r="BU690" s="145"/>
      <c r="BV690" s="145"/>
      <c r="BW690" s="145"/>
      <c r="BX690" s="145"/>
    </row>
    <row r="691" spans="1:76" s="3304" customFormat="1" ht="51.75" customHeight="1">
      <c r="A691" s="4092">
        <v>1</v>
      </c>
      <c r="B691" s="4092"/>
      <c r="C691" s="4093" t="s">
        <v>146</v>
      </c>
      <c r="D691" s="4093" t="s">
        <v>65</v>
      </c>
      <c r="E691" s="4093" t="s">
        <v>66</v>
      </c>
      <c r="F691" s="4093"/>
      <c r="G691" s="4093"/>
      <c r="H691" s="4094"/>
      <c r="I691" s="4092" t="s">
        <v>1183</v>
      </c>
      <c r="J691" s="4095" t="s">
        <v>1184</v>
      </c>
      <c r="K691" s="4096">
        <v>72</v>
      </c>
      <c r="L691" s="4097">
        <f>SUM(L692:L704)</f>
        <v>2706517359</v>
      </c>
      <c r="M691" s="4096">
        <v>24</v>
      </c>
      <c r="N691" s="4097">
        <v>45640671</v>
      </c>
      <c r="O691" s="4096">
        <v>12</v>
      </c>
      <c r="P691" s="4097">
        <f>SUM(P692:P704)</f>
        <v>432097724</v>
      </c>
      <c r="Q691" s="4107">
        <v>3</v>
      </c>
      <c r="R691" s="4100">
        <f>SUM(R692:R704)</f>
        <v>91379753</v>
      </c>
      <c r="S691" s="4134">
        <v>3</v>
      </c>
      <c r="T691" s="4100">
        <f>SUM(T692:T704)</f>
        <v>191098628</v>
      </c>
      <c r="U691" s="4135">
        <v>3</v>
      </c>
      <c r="V691" s="4136">
        <f>SUM(V692+V693+V694+V695+V696+V697+V698+V699+V700+V701+V702+V703+V704)</f>
        <v>99749007</v>
      </c>
      <c r="W691" s="4094"/>
      <c r="X691" s="4100"/>
      <c r="Y691" s="4137">
        <f t="shared" ref="Y691:Z732" si="209">Q691+S691+U691+W691</f>
        <v>9</v>
      </c>
      <c r="Z691" s="4104">
        <f>R691+T691+V691+X691</f>
        <v>382227388</v>
      </c>
      <c r="AA691" s="4096">
        <f>Y691+M691</f>
        <v>33</v>
      </c>
      <c r="AB691" s="4104">
        <f>Z691+N691</f>
        <v>427868059</v>
      </c>
      <c r="AC691" s="4110">
        <f>AA691/K691*100</f>
        <v>45.833333333333329</v>
      </c>
      <c r="AD691" s="4110">
        <f>AB691/L691*100</f>
        <v>15.8088052743208</v>
      </c>
      <c r="AE691" s="4094" t="s">
        <v>1056</v>
      </c>
      <c r="AF691" s="3305"/>
      <c r="AG691" s="3306"/>
      <c r="AH691" s="3306"/>
      <c r="AI691" s="3306"/>
      <c r="AJ691" s="3306"/>
      <c r="AK691" s="3306"/>
      <c r="AL691" s="3306"/>
      <c r="AM691" s="3306"/>
      <c r="AN691" s="3306"/>
      <c r="AO691" s="3306"/>
      <c r="AP691" s="3306"/>
      <c r="AQ691" s="3306"/>
      <c r="AR691" s="3306"/>
      <c r="AS691" s="3306"/>
      <c r="AT691" s="3306"/>
      <c r="AU691" s="3306"/>
      <c r="AV691" s="3306"/>
      <c r="AW691" s="3306"/>
      <c r="AX691" s="3306"/>
      <c r="AY691" s="3306"/>
      <c r="AZ691" s="3306"/>
      <c r="BA691" s="3306"/>
      <c r="BB691" s="3306"/>
      <c r="BC691" s="3306"/>
      <c r="BD691" s="3306"/>
      <c r="BE691" s="3306"/>
      <c r="BF691" s="3306"/>
      <c r="BG691" s="3306"/>
      <c r="BH691" s="3306"/>
      <c r="BI691" s="3306"/>
      <c r="BJ691" s="3306"/>
      <c r="BK691" s="3306"/>
      <c r="BL691" s="3306"/>
      <c r="BM691" s="3306"/>
      <c r="BN691" s="3306"/>
      <c r="BO691" s="3306"/>
      <c r="BP691" s="3306"/>
      <c r="BQ691" s="3306"/>
      <c r="BR691" s="3306"/>
      <c r="BS691" s="3306"/>
      <c r="BT691" s="3306"/>
      <c r="BU691" s="3306"/>
      <c r="BV691" s="3306"/>
      <c r="BW691" s="3306"/>
      <c r="BX691" s="3306"/>
    </row>
    <row r="692" spans="1:76" s="3304" customFormat="1" ht="60.75" customHeight="1">
      <c r="A692" s="3307"/>
      <c r="B692" s="3307"/>
      <c r="C692" s="3308" t="s">
        <v>146</v>
      </c>
      <c r="D692" s="3308" t="s">
        <v>65</v>
      </c>
      <c r="E692" s="3308" t="s">
        <v>66</v>
      </c>
      <c r="F692" s="3308" t="s">
        <v>65</v>
      </c>
      <c r="G692" s="3308"/>
      <c r="H692" s="3309"/>
      <c r="I692" s="3307" t="s">
        <v>873</v>
      </c>
      <c r="J692" s="3310" t="s">
        <v>1185</v>
      </c>
      <c r="K692" s="3311">
        <v>72</v>
      </c>
      <c r="L692" s="3312">
        <f>130000000*3</f>
        <v>390000000</v>
      </c>
      <c r="M692" s="3311">
        <v>24</v>
      </c>
      <c r="N692" s="3312">
        <v>113900000</v>
      </c>
      <c r="O692" s="3313">
        <v>12</v>
      </c>
      <c r="P692" s="3312">
        <v>23700000</v>
      </c>
      <c r="Q692" s="3314">
        <v>3</v>
      </c>
      <c r="R692" s="3315">
        <v>6826053</v>
      </c>
      <c r="S692" s="3312">
        <v>6</v>
      </c>
      <c r="T692" s="3316">
        <v>12703590</v>
      </c>
      <c r="U692" s="3317">
        <v>3</v>
      </c>
      <c r="V692" s="3316">
        <v>6350011</v>
      </c>
      <c r="W692" s="3318"/>
      <c r="X692" s="3316"/>
      <c r="Y692" s="3314">
        <f t="shared" si="209"/>
        <v>12</v>
      </c>
      <c r="Z692" s="3319">
        <f t="shared" si="209"/>
        <v>25879654</v>
      </c>
      <c r="AA692" s="3320">
        <f t="shared" ref="AA692:AB707" si="210">Y692+M692</f>
        <v>36</v>
      </c>
      <c r="AB692" s="3319">
        <f t="shared" si="210"/>
        <v>139779654</v>
      </c>
      <c r="AC692" s="3320">
        <f t="shared" ref="AC692:AD707" si="211">AA692/K692*100</f>
        <v>50</v>
      </c>
      <c r="AD692" s="3321">
        <f t="shared" si="211"/>
        <v>35.840936923076924</v>
      </c>
      <c r="AE692" s="3309"/>
      <c r="AF692" s="3305"/>
      <c r="AG692" s="3306"/>
      <c r="AH692" s="3306"/>
      <c r="AI692" s="3306"/>
      <c r="AJ692" s="3305"/>
      <c r="AK692" s="3306"/>
      <c r="AL692" s="3306"/>
      <c r="AM692" s="3306"/>
      <c r="AN692" s="3306"/>
      <c r="AO692" s="3306"/>
      <c r="AP692" s="3306"/>
      <c r="AQ692" s="3306"/>
      <c r="AR692" s="3306"/>
      <c r="AS692" s="3306"/>
      <c r="AT692" s="3306"/>
      <c r="AU692" s="3306"/>
      <c r="AV692" s="3306"/>
      <c r="AW692" s="3306"/>
      <c r="AX692" s="3306"/>
      <c r="AY692" s="3306"/>
      <c r="AZ692" s="3306"/>
      <c r="BA692" s="3306"/>
      <c r="BB692" s="3306"/>
      <c r="BC692" s="3306"/>
      <c r="BD692" s="3306"/>
      <c r="BE692" s="3306"/>
      <c r="BF692" s="3306"/>
      <c r="BG692" s="3306"/>
      <c r="BH692" s="3306"/>
      <c r="BI692" s="3306"/>
      <c r="BJ692" s="3306"/>
      <c r="BK692" s="3306"/>
      <c r="BL692" s="3306"/>
      <c r="BM692" s="3306"/>
      <c r="BN692" s="3306"/>
      <c r="BO692" s="3306"/>
      <c r="BP692" s="3306"/>
      <c r="BQ692" s="3306"/>
      <c r="BR692" s="3306"/>
      <c r="BS692" s="3306"/>
      <c r="BT692" s="3306"/>
      <c r="BU692" s="3306"/>
      <c r="BV692" s="3306"/>
      <c r="BW692" s="3306"/>
      <c r="BX692" s="3306"/>
    </row>
    <row r="693" spans="1:76" s="3306" customFormat="1" ht="60.75" customHeight="1">
      <c r="A693" s="3307"/>
      <c r="B693" s="3307"/>
      <c r="C693" s="3308" t="s">
        <v>146</v>
      </c>
      <c r="D693" s="3308" t="s">
        <v>65</v>
      </c>
      <c r="E693" s="3308" t="s">
        <v>66</v>
      </c>
      <c r="F693" s="3308" t="s">
        <v>198</v>
      </c>
      <c r="G693" s="3308"/>
      <c r="H693" s="3309"/>
      <c r="I693" s="3307" t="s">
        <v>148</v>
      </c>
      <c r="J693" s="3310" t="s">
        <v>1186</v>
      </c>
      <c r="K693" s="3311">
        <v>72</v>
      </c>
      <c r="L693" s="3312">
        <f>130000000*3</f>
        <v>390000000</v>
      </c>
      <c r="M693" s="3311">
        <v>24</v>
      </c>
      <c r="N693" s="3312">
        <v>113743000</v>
      </c>
      <c r="O693" s="3313">
        <v>12</v>
      </c>
      <c r="P693" s="3312">
        <v>59400000</v>
      </c>
      <c r="Q693" s="3314">
        <v>3</v>
      </c>
      <c r="R693" s="3315">
        <v>13050000</v>
      </c>
      <c r="S693" s="3312">
        <v>6</v>
      </c>
      <c r="T693" s="3316">
        <v>24450000</v>
      </c>
      <c r="U693" s="3317">
        <v>3</v>
      </c>
      <c r="V693" s="3316">
        <v>14450000</v>
      </c>
      <c r="W693" s="3318"/>
      <c r="X693" s="3316"/>
      <c r="Y693" s="3314">
        <f t="shared" si="209"/>
        <v>12</v>
      </c>
      <c r="Z693" s="3319">
        <f t="shared" si="209"/>
        <v>51950000</v>
      </c>
      <c r="AA693" s="3320">
        <f t="shared" si="210"/>
        <v>36</v>
      </c>
      <c r="AB693" s="3319">
        <f t="shared" si="210"/>
        <v>165693000</v>
      </c>
      <c r="AC693" s="3320">
        <f t="shared" si="211"/>
        <v>50</v>
      </c>
      <c r="AD693" s="3321">
        <f t="shared" si="211"/>
        <v>42.485384615384611</v>
      </c>
      <c r="AE693" s="3309"/>
      <c r="AJ693" s="3305"/>
    </row>
    <row r="694" spans="1:76" s="3322" customFormat="1" ht="55.5" customHeight="1">
      <c r="A694" s="3307"/>
      <c r="B694" s="3307"/>
      <c r="C694" s="3308" t="s">
        <v>146</v>
      </c>
      <c r="D694" s="3308" t="s">
        <v>65</v>
      </c>
      <c r="E694" s="3308" t="s">
        <v>66</v>
      </c>
      <c r="F694" s="3308" t="s">
        <v>93</v>
      </c>
      <c r="G694" s="3308"/>
      <c r="H694" s="3309"/>
      <c r="I694" s="3307" t="s">
        <v>876</v>
      </c>
      <c r="J694" s="3310" t="s">
        <v>1187</v>
      </c>
      <c r="K694" s="3311">
        <v>72</v>
      </c>
      <c r="L694" s="3312">
        <v>300000000</v>
      </c>
      <c r="M694" s="3311">
        <v>24</v>
      </c>
      <c r="N694" s="3312">
        <v>19972000</v>
      </c>
      <c r="O694" s="3313">
        <v>12</v>
      </c>
      <c r="P694" s="3312">
        <v>67945200</v>
      </c>
      <c r="Q694" s="3314">
        <v>3</v>
      </c>
      <c r="R694" s="3315">
        <v>15407000</v>
      </c>
      <c r="S694" s="3312">
        <v>6</v>
      </c>
      <c r="T694" s="3316">
        <v>35903000</v>
      </c>
      <c r="U694" s="3317">
        <v>3</v>
      </c>
      <c r="V694" s="3316">
        <v>10498000</v>
      </c>
      <c r="W694" s="3318"/>
      <c r="X694" s="3316"/>
      <c r="Y694" s="3314">
        <f t="shared" si="209"/>
        <v>12</v>
      </c>
      <c r="Z694" s="3319">
        <f t="shared" si="209"/>
        <v>61808000</v>
      </c>
      <c r="AA694" s="3320">
        <f t="shared" si="210"/>
        <v>36</v>
      </c>
      <c r="AB694" s="3319">
        <f t="shared" si="210"/>
        <v>81780000</v>
      </c>
      <c r="AC694" s="3320">
        <f t="shared" si="211"/>
        <v>50</v>
      </c>
      <c r="AD694" s="3321">
        <f t="shared" si="211"/>
        <v>27.26</v>
      </c>
      <c r="AE694" s="3309"/>
      <c r="AJ694" s="3305"/>
    </row>
    <row r="695" spans="1:76" s="3304" customFormat="1" ht="45.75" customHeight="1">
      <c r="A695" s="3307"/>
      <c r="B695" s="3307"/>
      <c r="C695" s="3308" t="s">
        <v>146</v>
      </c>
      <c r="D695" s="3308" t="s">
        <v>65</v>
      </c>
      <c r="E695" s="3308" t="s">
        <v>66</v>
      </c>
      <c r="F695" s="3308" t="s">
        <v>201</v>
      </c>
      <c r="G695" s="3308"/>
      <c r="H695" s="3309"/>
      <c r="I695" s="3307" t="s">
        <v>528</v>
      </c>
      <c r="J695" s="3310" t="s">
        <v>1188</v>
      </c>
      <c r="K695" s="3311">
        <v>72</v>
      </c>
      <c r="L695" s="3312">
        <v>150000000</v>
      </c>
      <c r="M695" s="3311">
        <v>24</v>
      </c>
      <c r="N695" s="3312">
        <v>55056680</v>
      </c>
      <c r="O695" s="3313">
        <v>12</v>
      </c>
      <c r="P695" s="3312">
        <v>5050000</v>
      </c>
      <c r="Q695" s="3314">
        <v>3</v>
      </c>
      <c r="R695" s="3315">
        <v>1210000</v>
      </c>
      <c r="S695" s="3312">
        <v>6</v>
      </c>
      <c r="T695" s="3316">
        <v>2135000</v>
      </c>
      <c r="U695" s="3317">
        <v>3</v>
      </c>
      <c r="V695" s="3316">
        <v>920000</v>
      </c>
      <c r="W695" s="3318"/>
      <c r="X695" s="3316"/>
      <c r="Y695" s="3314">
        <f t="shared" si="209"/>
        <v>12</v>
      </c>
      <c r="Z695" s="3319">
        <f t="shared" si="209"/>
        <v>4265000</v>
      </c>
      <c r="AA695" s="3320">
        <f t="shared" si="210"/>
        <v>36</v>
      </c>
      <c r="AB695" s="3319">
        <f t="shared" si="210"/>
        <v>59321680</v>
      </c>
      <c r="AC695" s="3320">
        <f t="shared" si="211"/>
        <v>50</v>
      </c>
      <c r="AD695" s="3321">
        <f t="shared" si="211"/>
        <v>39.547786666666667</v>
      </c>
      <c r="AE695" s="3309"/>
      <c r="AF695" s="3306"/>
      <c r="AG695" s="3306"/>
      <c r="AH695" s="3306"/>
      <c r="AI695" s="3306"/>
      <c r="AJ695" s="3305"/>
      <c r="AK695" s="3306"/>
      <c r="AL695" s="3306"/>
      <c r="AM695" s="3306"/>
      <c r="AN695" s="3306"/>
      <c r="AO695" s="3306"/>
      <c r="AP695" s="3306"/>
      <c r="AQ695" s="3306"/>
      <c r="AR695" s="3306"/>
      <c r="AS695" s="3306"/>
      <c r="AT695" s="3306"/>
      <c r="AU695" s="3306"/>
      <c r="AV695" s="3306"/>
      <c r="AW695" s="3306"/>
      <c r="AX695" s="3306"/>
      <c r="AY695" s="3306"/>
      <c r="AZ695" s="3306"/>
      <c r="BA695" s="3306"/>
      <c r="BB695" s="3306"/>
      <c r="BC695" s="3306"/>
      <c r="BD695" s="3306"/>
      <c r="BE695" s="3306"/>
      <c r="BF695" s="3306"/>
      <c r="BG695" s="3306"/>
      <c r="BH695" s="3306"/>
      <c r="BI695" s="3306"/>
      <c r="BJ695" s="3306"/>
      <c r="BK695" s="3306"/>
      <c r="BL695" s="3306"/>
      <c r="BM695" s="3306"/>
      <c r="BN695" s="3306"/>
      <c r="BO695" s="3306"/>
      <c r="BP695" s="3306"/>
      <c r="BQ695" s="3306"/>
      <c r="BR695" s="3306"/>
      <c r="BS695" s="3306"/>
      <c r="BT695" s="3306"/>
      <c r="BU695" s="3306"/>
      <c r="BV695" s="3306"/>
      <c r="BW695" s="3306"/>
      <c r="BX695" s="3306"/>
    </row>
    <row r="696" spans="1:76" s="3324" customFormat="1" ht="45.75" customHeight="1">
      <c r="A696" s="3307"/>
      <c r="B696" s="3307"/>
      <c r="C696" s="3308" t="s">
        <v>146</v>
      </c>
      <c r="D696" s="3308" t="s">
        <v>65</v>
      </c>
      <c r="E696" s="3308" t="s">
        <v>66</v>
      </c>
      <c r="F696" s="3308" t="s">
        <v>202</v>
      </c>
      <c r="G696" s="3308"/>
      <c r="H696" s="3309"/>
      <c r="I696" s="3307" t="s">
        <v>203</v>
      </c>
      <c r="J696" s="3323" t="s">
        <v>1189</v>
      </c>
      <c r="K696" s="3311">
        <v>72</v>
      </c>
      <c r="L696" s="3312">
        <v>150000000</v>
      </c>
      <c r="M696" s="3311">
        <v>24</v>
      </c>
      <c r="N696" s="3312">
        <v>50340400</v>
      </c>
      <c r="O696" s="3313">
        <v>12</v>
      </c>
      <c r="P696" s="3312">
        <v>23852800</v>
      </c>
      <c r="Q696" s="3314">
        <v>3</v>
      </c>
      <c r="R696" s="3315">
        <v>11645000</v>
      </c>
      <c r="S696" s="3312">
        <v>6</v>
      </c>
      <c r="T696" s="3316">
        <v>11645000</v>
      </c>
      <c r="U696" s="3317">
        <v>3</v>
      </c>
      <c r="V696" s="3316">
        <v>10712014</v>
      </c>
      <c r="W696" s="3318"/>
      <c r="X696" s="3316"/>
      <c r="Y696" s="3314">
        <f t="shared" si="209"/>
        <v>12</v>
      </c>
      <c r="Z696" s="3319">
        <f t="shared" si="209"/>
        <v>34002014</v>
      </c>
      <c r="AA696" s="3320">
        <f t="shared" si="210"/>
        <v>36</v>
      </c>
      <c r="AB696" s="3319">
        <f t="shared" si="210"/>
        <v>84342414</v>
      </c>
      <c r="AC696" s="3320">
        <f t="shared" si="211"/>
        <v>50</v>
      </c>
      <c r="AD696" s="3321">
        <f t="shared" si="211"/>
        <v>56.228276000000001</v>
      </c>
      <c r="AE696" s="3309"/>
      <c r="AJ696" s="3305"/>
    </row>
    <row r="697" spans="1:76" s="3324" customFormat="1" ht="61.5" customHeight="1">
      <c r="A697" s="3307"/>
      <c r="B697" s="3307"/>
      <c r="C697" s="3308" t="s">
        <v>146</v>
      </c>
      <c r="D697" s="3308" t="s">
        <v>65</v>
      </c>
      <c r="E697" s="3308" t="s">
        <v>66</v>
      </c>
      <c r="F697" s="3308" t="s">
        <v>417</v>
      </c>
      <c r="G697" s="3308"/>
      <c r="H697" s="3309"/>
      <c r="I697" s="3307" t="s">
        <v>204</v>
      </c>
      <c r="J697" s="3323" t="s">
        <v>1190</v>
      </c>
      <c r="K697" s="3311">
        <v>72</v>
      </c>
      <c r="L697" s="3312">
        <v>150000000</v>
      </c>
      <c r="M697" s="3311">
        <v>24</v>
      </c>
      <c r="N697" s="3312">
        <v>58747200</v>
      </c>
      <c r="O697" s="3313">
        <v>12</v>
      </c>
      <c r="P697" s="3312">
        <v>23790600</v>
      </c>
      <c r="Q697" s="3314">
        <v>3</v>
      </c>
      <c r="R697" s="3315">
        <v>3130000</v>
      </c>
      <c r="S697" s="3312">
        <v>6</v>
      </c>
      <c r="T697" s="3316">
        <v>4944800</v>
      </c>
      <c r="U697" s="3317">
        <v>3</v>
      </c>
      <c r="V697" s="3316">
        <v>5527600</v>
      </c>
      <c r="W697" s="3318"/>
      <c r="X697" s="3316"/>
      <c r="Y697" s="3314">
        <f t="shared" si="209"/>
        <v>12</v>
      </c>
      <c r="Z697" s="3319">
        <f t="shared" si="209"/>
        <v>13602400</v>
      </c>
      <c r="AA697" s="3320">
        <f t="shared" si="210"/>
        <v>36</v>
      </c>
      <c r="AB697" s="3319">
        <f t="shared" si="210"/>
        <v>72349600</v>
      </c>
      <c r="AC697" s="3320">
        <f t="shared" si="211"/>
        <v>50</v>
      </c>
      <c r="AD697" s="3321">
        <f t="shared" si="211"/>
        <v>48.233066666666666</v>
      </c>
      <c r="AE697" s="3309"/>
      <c r="AJ697" s="3305"/>
    </row>
    <row r="698" spans="1:76" s="2266" customFormat="1" ht="45.75" customHeight="1">
      <c r="A698" s="3307"/>
      <c r="B698" s="3307"/>
      <c r="C698" s="3308" t="s">
        <v>146</v>
      </c>
      <c r="D698" s="3308" t="s">
        <v>65</v>
      </c>
      <c r="E698" s="3308" t="s">
        <v>66</v>
      </c>
      <c r="F698" s="3308" t="s">
        <v>417</v>
      </c>
      <c r="G698" s="3308"/>
      <c r="H698" s="3309"/>
      <c r="I698" s="3307" t="s">
        <v>1191</v>
      </c>
      <c r="J698" s="3323" t="s">
        <v>1192</v>
      </c>
      <c r="K698" s="3311">
        <v>72</v>
      </c>
      <c r="L698" s="3312">
        <v>100000000</v>
      </c>
      <c r="M698" s="3311">
        <v>24</v>
      </c>
      <c r="N698" s="3312">
        <v>10728500</v>
      </c>
      <c r="O698" s="3325">
        <v>0</v>
      </c>
      <c r="P698" s="3312">
        <v>10114760</v>
      </c>
      <c r="Q698" s="3314">
        <v>0</v>
      </c>
      <c r="R698" s="3315">
        <v>260600</v>
      </c>
      <c r="S698" s="3312">
        <v>0</v>
      </c>
      <c r="T698" s="3316">
        <v>533350</v>
      </c>
      <c r="U698" s="3326">
        <v>9</v>
      </c>
      <c r="V698" s="3316">
        <v>5014400</v>
      </c>
      <c r="W698" s="3318"/>
      <c r="X698" s="3316"/>
      <c r="Y698" s="3314">
        <f t="shared" si="209"/>
        <v>9</v>
      </c>
      <c r="Z698" s="3319">
        <f t="shared" si="209"/>
        <v>5808350</v>
      </c>
      <c r="AA698" s="3320">
        <f t="shared" si="210"/>
        <v>33</v>
      </c>
      <c r="AB698" s="3319">
        <f t="shared" si="210"/>
        <v>16536850</v>
      </c>
      <c r="AC698" s="3320">
        <f t="shared" si="211"/>
        <v>45.833333333333329</v>
      </c>
      <c r="AD698" s="3321">
        <f t="shared" si="211"/>
        <v>16.536850000000001</v>
      </c>
      <c r="AE698" s="3309"/>
      <c r="AJ698" s="3305"/>
    </row>
    <row r="699" spans="1:76" s="2266" customFormat="1" ht="76.5">
      <c r="A699" s="3307"/>
      <c r="B699" s="3307"/>
      <c r="C699" s="3308" t="s">
        <v>146</v>
      </c>
      <c r="D699" s="3308" t="s">
        <v>65</v>
      </c>
      <c r="E699" s="3308" t="s">
        <v>66</v>
      </c>
      <c r="F699" s="3308" t="s">
        <v>160</v>
      </c>
      <c r="G699" s="3308"/>
      <c r="H699" s="3309"/>
      <c r="I699" s="3307" t="s">
        <v>205</v>
      </c>
      <c r="J699" s="3323" t="s">
        <v>1193</v>
      </c>
      <c r="K699" s="3311">
        <v>72</v>
      </c>
      <c r="L699" s="3312">
        <v>100000000</v>
      </c>
      <c r="M699" s="3311">
        <v>24</v>
      </c>
      <c r="N699" s="3312">
        <v>15745300</v>
      </c>
      <c r="O699" s="3325">
        <v>12</v>
      </c>
      <c r="P699" s="3312">
        <v>6481292</v>
      </c>
      <c r="Q699" s="3314">
        <v>3</v>
      </c>
      <c r="R699" s="3315">
        <v>246000</v>
      </c>
      <c r="S699" s="3312">
        <v>6</v>
      </c>
      <c r="T699" s="3316">
        <v>706000</v>
      </c>
      <c r="U699" s="3317">
        <v>3</v>
      </c>
      <c r="V699" s="3316">
        <v>245000</v>
      </c>
      <c r="W699" s="3318"/>
      <c r="X699" s="3316"/>
      <c r="Y699" s="3314">
        <f t="shared" si="209"/>
        <v>12</v>
      </c>
      <c r="Z699" s="3319">
        <f t="shared" si="209"/>
        <v>1197000</v>
      </c>
      <c r="AA699" s="3320">
        <f t="shared" si="210"/>
        <v>36</v>
      </c>
      <c r="AB699" s="3319">
        <f t="shared" si="210"/>
        <v>16942300</v>
      </c>
      <c r="AC699" s="3320">
        <f t="shared" si="211"/>
        <v>50</v>
      </c>
      <c r="AD699" s="3321">
        <f t="shared" si="211"/>
        <v>16.942299999999999</v>
      </c>
      <c r="AE699" s="3309"/>
      <c r="AJ699" s="3305"/>
    </row>
    <row r="700" spans="1:76" s="2266" customFormat="1" ht="57" customHeight="1">
      <c r="A700" s="3307"/>
      <c r="B700" s="3307"/>
      <c r="C700" s="3308" t="s">
        <v>146</v>
      </c>
      <c r="D700" s="3308" t="s">
        <v>65</v>
      </c>
      <c r="E700" s="3308" t="s">
        <v>66</v>
      </c>
      <c r="F700" s="3308" t="s">
        <v>155</v>
      </c>
      <c r="G700" s="3308"/>
      <c r="H700" s="3309"/>
      <c r="I700" s="3307" t="s">
        <v>533</v>
      </c>
      <c r="J700" s="3323" t="s">
        <v>1194</v>
      </c>
      <c r="K700" s="3311">
        <v>72</v>
      </c>
      <c r="L700" s="3312">
        <v>100000000</v>
      </c>
      <c r="M700" s="3311">
        <v>24</v>
      </c>
      <c r="N700" s="3312">
        <v>45522500</v>
      </c>
      <c r="O700" s="3313">
        <v>12</v>
      </c>
      <c r="P700" s="3312">
        <v>10400000</v>
      </c>
      <c r="Q700" s="3314">
        <v>3</v>
      </c>
      <c r="R700" s="3315">
        <v>1080000</v>
      </c>
      <c r="S700" s="3312">
        <v>6</v>
      </c>
      <c r="T700" s="3316">
        <v>2620000</v>
      </c>
      <c r="U700" s="3317">
        <v>3</v>
      </c>
      <c r="V700" s="3316">
        <v>2645200</v>
      </c>
      <c r="W700" s="3318"/>
      <c r="X700" s="3316"/>
      <c r="Y700" s="3314">
        <f t="shared" si="209"/>
        <v>12</v>
      </c>
      <c r="Z700" s="3319">
        <f t="shared" si="209"/>
        <v>6345200</v>
      </c>
      <c r="AA700" s="3320">
        <f t="shared" si="210"/>
        <v>36</v>
      </c>
      <c r="AB700" s="3319">
        <f t="shared" si="210"/>
        <v>51867700</v>
      </c>
      <c r="AC700" s="3320">
        <f t="shared" si="211"/>
        <v>50</v>
      </c>
      <c r="AD700" s="3321">
        <f t="shared" si="211"/>
        <v>51.867700000000006</v>
      </c>
      <c r="AE700" s="3309"/>
      <c r="AJ700" s="3305"/>
    </row>
    <row r="701" spans="1:76" s="2266" customFormat="1" ht="42" customHeight="1">
      <c r="A701" s="3307"/>
      <c r="B701" s="3307"/>
      <c r="C701" s="3308" t="s">
        <v>146</v>
      </c>
      <c r="D701" s="3308" t="s">
        <v>65</v>
      </c>
      <c r="E701" s="3308" t="s">
        <v>66</v>
      </c>
      <c r="F701" s="3308" t="s">
        <v>448</v>
      </c>
      <c r="G701" s="3308"/>
      <c r="H701" s="3309"/>
      <c r="I701" s="3307" t="s">
        <v>206</v>
      </c>
      <c r="J701" s="3323" t="s">
        <v>1195</v>
      </c>
      <c r="K701" s="3311">
        <v>72</v>
      </c>
      <c r="L701" s="3312">
        <f>3*N701</f>
        <v>78478509</v>
      </c>
      <c r="M701" s="3311">
        <v>24</v>
      </c>
      <c r="N701" s="3312">
        <v>26159503</v>
      </c>
      <c r="O701" s="3313">
        <v>12</v>
      </c>
      <c r="P701" s="3312">
        <v>18565000</v>
      </c>
      <c r="Q701" s="3314">
        <f>R701/P701</f>
        <v>0</v>
      </c>
      <c r="R701" s="3315">
        <v>0</v>
      </c>
      <c r="S701" s="3327">
        <v>0</v>
      </c>
      <c r="T701" s="3316">
        <v>4880000</v>
      </c>
      <c r="U701" s="3326">
        <v>9</v>
      </c>
      <c r="V701" s="3316">
        <v>7920000</v>
      </c>
      <c r="W701" s="3318"/>
      <c r="X701" s="3316"/>
      <c r="Y701" s="3314">
        <f t="shared" si="209"/>
        <v>9</v>
      </c>
      <c r="Z701" s="3319">
        <f t="shared" si="209"/>
        <v>12800000</v>
      </c>
      <c r="AA701" s="3320">
        <f t="shared" si="210"/>
        <v>33</v>
      </c>
      <c r="AB701" s="3319">
        <f t="shared" si="210"/>
        <v>38959503</v>
      </c>
      <c r="AC701" s="3320">
        <f t="shared" si="211"/>
        <v>45.833333333333329</v>
      </c>
      <c r="AD701" s="3321">
        <f t="shared" si="211"/>
        <v>49.643531071672122</v>
      </c>
      <c r="AE701" s="3309"/>
      <c r="AJ701" s="3305"/>
    </row>
    <row r="702" spans="1:76" s="2266" customFormat="1" ht="63.75">
      <c r="A702" s="3307"/>
      <c r="B702" s="3307"/>
      <c r="C702" s="3308" t="s">
        <v>146</v>
      </c>
      <c r="D702" s="3308" t="s">
        <v>65</v>
      </c>
      <c r="E702" s="3308" t="s">
        <v>66</v>
      </c>
      <c r="F702" s="3308" t="s">
        <v>167</v>
      </c>
      <c r="G702" s="3308"/>
      <c r="H702" s="3309"/>
      <c r="I702" s="3307" t="s">
        <v>207</v>
      </c>
      <c r="J702" s="3323" t="s">
        <v>1196</v>
      </c>
      <c r="K702" s="3311">
        <v>72</v>
      </c>
      <c r="L702" s="3312">
        <f>N702*4</f>
        <v>372100000</v>
      </c>
      <c r="M702" s="3311">
        <v>24</v>
      </c>
      <c r="N702" s="3312">
        <v>93025000</v>
      </c>
      <c r="O702" s="3313">
        <v>12</v>
      </c>
      <c r="P702" s="3312">
        <v>109920000</v>
      </c>
      <c r="Q702" s="3314">
        <v>3</v>
      </c>
      <c r="R702" s="3315">
        <v>16490600</v>
      </c>
      <c r="S702" s="3328">
        <f>S700</f>
        <v>6</v>
      </c>
      <c r="T702" s="3316">
        <v>48410588</v>
      </c>
      <c r="U702" s="3317">
        <v>3</v>
      </c>
      <c r="V702" s="3316">
        <v>12176682</v>
      </c>
      <c r="W702" s="3318"/>
      <c r="X702" s="3316"/>
      <c r="Y702" s="3314">
        <f t="shared" si="209"/>
        <v>12</v>
      </c>
      <c r="Z702" s="3319">
        <f t="shared" si="209"/>
        <v>77077870</v>
      </c>
      <c r="AA702" s="3320">
        <f t="shared" si="210"/>
        <v>36</v>
      </c>
      <c r="AB702" s="3319">
        <f t="shared" si="210"/>
        <v>170102870</v>
      </c>
      <c r="AC702" s="3320">
        <f t="shared" si="211"/>
        <v>50</v>
      </c>
      <c r="AD702" s="3321">
        <f t="shared" si="211"/>
        <v>45.714289169578073</v>
      </c>
      <c r="AE702" s="3309"/>
      <c r="AJ702" s="3305"/>
    </row>
    <row r="703" spans="1:76" s="2266" customFormat="1" ht="42.75" customHeight="1">
      <c r="A703" s="3307"/>
      <c r="B703" s="3307"/>
      <c r="C703" s="3308" t="s">
        <v>146</v>
      </c>
      <c r="D703" s="3308" t="s">
        <v>65</v>
      </c>
      <c r="E703" s="3308" t="s">
        <v>66</v>
      </c>
      <c r="F703" s="3308" t="s">
        <v>376</v>
      </c>
      <c r="G703" s="3308"/>
      <c r="H703" s="3309"/>
      <c r="I703" s="3307" t="s">
        <v>208</v>
      </c>
      <c r="J703" s="3323" t="s">
        <v>1197</v>
      </c>
      <c r="K703" s="3311">
        <v>72</v>
      </c>
      <c r="L703" s="3312">
        <f>3*N703</f>
        <v>270938850</v>
      </c>
      <c r="M703" s="3311">
        <v>24</v>
      </c>
      <c r="N703" s="3312">
        <v>90312950</v>
      </c>
      <c r="O703" s="3311">
        <f>O702</f>
        <v>12</v>
      </c>
      <c r="P703" s="3312">
        <v>35000000</v>
      </c>
      <c r="Q703" s="3314">
        <v>3</v>
      </c>
      <c r="R703" s="3315">
        <v>10250000</v>
      </c>
      <c r="S703" s="3328">
        <f>S702</f>
        <v>6</v>
      </c>
      <c r="T703" s="3316">
        <v>27250000</v>
      </c>
      <c r="U703" s="3317">
        <v>3</v>
      </c>
      <c r="V703" s="3316">
        <v>7715000</v>
      </c>
      <c r="W703" s="3318"/>
      <c r="X703" s="3316"/>
      <c r="Y703" s="3314">
        <f t="shared" si="209"/>
        <v>12</v>
      </c>
      <c r="Z703" s="3319">
        <f t="shared" si="209"/>
        <v>45215000</v>
      </c>
      <c r="AA703" s="3320">
        <f t="shared" si="210"/>
        <v>36</v>
      </c>
      <c r="AB703" s="3319">
        <f t="shared" si="210"/>
        <v>135527950</v>
      </c>
      <c r="AC703" s="3320">
        <f t="shared" si="211"/>
        <v>50</v>
      </c>
      <c r="AD703" s="3321">
        <f t="shared" si="211"/>
        <v>50.021600815091674</v>
      </c>
      <c r="AE703" s="3309"/>
      <c r="AJ703" s="3305"/>
    </row>
    <row r="704" spans="1:76" s="2266" customFormat="1" ht="41.25" customHeight="1">
      <c r="A704" s="3307"/>
      <c r="B704" s="3307"/>
      <c r="C704" s="3308" t="s">
        <v>146</v>
      </c>
      <c r="D704" s="3308" t="s">
        <v>65</v>
      </c>
      <c r="E704" s="3308" t="s">
        <v>66</v>
      </c>
      <c r="F704" s="3308" t="s">
        <v>163</v>
      </c>
      <c r="G704" s="3308"/>
      <c r="H704" s="3309"/>
      <c r="I704" s="3307" t="s">
        <v>538</v>
      </c>
      <c r="J704" s="3323" t="s">
        <v>3838</v>
      </c>
      <c r="K704" s="3311">
        <v>114</v>
      </c>
      <c r="L704" s="3312">
        <v>155000000</v>
      </c>
      <c r="M704" s="3311">
        <f>19*2</f>
        <v>38</v>
      </c>
      <c r="N704" s="3312">
        <v>0</v>
      </c>
      <c r="O704" s="3311">
        <v>19</v>
      </c>
      <c r="P704" s="3312">
        <v>37878072</v>
      </c>
      <c r="Q704" s="3314">
        <v>3</v>
      </c>
      <c r="R704" s="3315">
        <v>11784500</v>
      </c>
      <c r="S704" s="3329"/>
      <c r="T704" s="3316">
        <v>14917300</v>
      </c>
      <c r="U704" s="3330">
        <v>0.5</v>
      </c>
      <c r="V704" s="3316">
        <v>15575100</v>
      </c>
      <c r="W704" s="3318"/>
      <c r="X704" s="3316"/>
      <c r="Y704" s="3314">
        <f t="shared" si="209"/>
        <v>3.5</v>
      </c>
      <c r="Z704" s="3319">
        <f t="shared" si="209"/>
        <v>42276900</v>
      </c>
      <c r="AA704" s="3320">
        <f t="shared" si="210"/>
        <v>41.5</v>
      </c>
      <c r="AB704" s="3319">
        <f t="shared" si="210"/>
        <v>42276900</v>
      </c>
      <c r="AC704" s="3320">
        <f t="shared" si="211"/>
        <v>36.403508771929829</v>
      </c>
      <c r="AD704" s="3321">
        <f t="shared" si="211"/>
        <v>27.275419354838711</v>
      </c>
      <c r="AE704" s="3309"/>
      <c r="AJ704" s="3305"/>
    </row>
    <row r="705" spans="1:76" s="2266" customFormat="1" ht="63" customHeight="1">
      <c r="A705" s="4092">
        <v>2</v>
      </c>
      <c r="B705" s="4092"/>
      <c r="C705" s="4093" t="s">
        <v>146</v>
      </c>
      <c r="D705" s="4093" t="s">
        <v>65</v>
      </c>
      <c r="E705" s="4093" t="s">
        <v>65</v>
      </c>
      <c r="F705" s="4094"/>
      <c r="G705" s="4094"/>
      <c r="H705" s="4094"/>
      <c r="I705" s="4092" t="s">
        <v>162</v>
      </c>
      <c r="J705" s="4095" t="s">
        <v>3279</v>
      </c>
      <c r="K705" s="4096">
        <v>72</v>
      </c>
      <c r="L705" s="4097">
        <f>SUM(L706:L708)</f>
        <v>1382728850</v>
      </c>
      <c r="M705" s="4096">
        <v>24</v>
      </c>
      <c r="N705" s="4097">
        <f>SUM(N706:N708)</f>
        <v>466960200</v>
      </c>
      <c r="O705" s="4096">
        <v>12</v>
      </c>
      <c r="P705" s="4097">
        <f>SUM(P706:P708)</f>
        <v>160243036</v>
      </c>
      <c r="Q705" s="4107">
        <v>3</v>
      </c>
      <c r="R705" s="4100">
        <f>SUM(R706:R708)</f>
        <v>47073800</v>
      </c>
      <c r="S705" s="4133">
        <v>3</v>
      </c>
      <c r="T705" s="4100">
        <f>SUM(T706:T710)</f>
        <v>95964648</v>
      </c>
      <c r="U705" s="4133">
        <v>3</v>
      </c>
      <c r="V705" s="4100">
        <f>SUM(V706+V707+V708)</f>
        <v>35221864</v>
      </c>
      <c r="W705" s="4109"/>
      <c r="X705" s="4100"/>
      <c r="Y705" s="4126">
        <f t="shared" si="209"/>
        <v>9</v>
      </c>
      <c r="Z705" s="4104">
        <f t="shared" si="209"/>
        <v>178260312</v>
      </c>
      <c r="AA705" s="4110">
        <f t="shared" si="210"/>
        <v>33</v>
      </c>
      <c r="AB705" s="4104">
        <f t="shared" si="210"/>
        <v>645220512</v>
      </c>
      <c r="AC705" s="4110">
        <f t="shared" si="211"/>
        <v>45.833333333333329</v>
      </c>
      <c r="AD705" s="4106">
        <f t="shared" si="211"/>
        <v>46.662837186046993</v>
      </c>
      <c r="AE705" s="4094" t="s">
        <v>1056</v>
      </c>
      <c r="AJ705" s="3305"/>
    </row>
    <row r="706" spans="1:76" s="2266" customFormat="1" ht="54" customHeight="1">
      <c r="A706" s="3307"/>
      <c r="B706" s="3307"/>
      <c r="C706" s="3308" t="s">
        <v>146</v>
      </c>
      <c r="D706" s="3308" t="s">
        <v>65</v>
      </c>
      <c r="E706" s="3308" t="s">
        <v>65</v>
      </c>
      <c r="F706" s="3308" t="s">
        <v>161</v>
      </c>
      <c r="G706" s="3309"/>
      <c r="H706" s="3309"/>
      <c r="I706" s="3307" t="s">
        <v>3280</v>
      </c>
      <c r="J706" s="3310" t="s">
        <v>3281</v>
      </c>
      <c r="K706" s="3311">
        <v>72</v>
      </c>
      <c r="L706" s="3312">
        <v>1182728850</v>
      </c>
      <c r="M706" s="3311">
        <v>24</v>
      </c>
      <c r="N706" s="3312">
        <v>394242950</v>
      </c>
      <c r="O706" s="3311">
        <v>12</v>
      </c>
      <c r="P706" s="3312">
        <v>71497200</v>
      </c>
      <c r="Q706" s="3314">
        <v>3</v>
      </c>
      <c r="R706" s="3315">
        <v>20239800</v>
      </c>
      <c r="S706" s="3314">
        <v>3</v>
      </c>
      <c r="T706" s="3326">
        <v>39009700</v>
      </c>
      <c r="U706" s="3368">
        <v>3</v>
      </c>
      <c r="V706" s="3326">
        <v>23111864</v>
      </c>
      <c r="W706" s="3331"/>
      <c r="X706" s="3326"/>
      <c r="Y706" s="3314">
        <f t="shared" si="209"/>
        <v>9</v>
      </c>
      <c r="Z706" s="3319">
        <f t="shared" si="209"/>
        <v>82361364</v>
      </c>
      <c r="AA706" s="3311">
        <f t="shared" si="210"/>
        <v>33</v>
      </c>
      <c r="AB706" s="3319">
        <f t="shared" si="210"/>
        <v>476604314</v>
      </c>
      <c r="AC706" s="3332">
        <f t="shared" si="211"/>
        <v>45.833333333333329</v>
      </c>
      <c r="AD706" s="3333">
        <f t="shared" si="211"/>
        <v>40.297005860641683</v>
      </c>
      <c r="AE706" s="3309"/>
      <c r="AJ706" s="3305"/>
    </row>
    <row r="707" spans="1:76" s="2266" customFormat="1" ht="54" customHeight="1">
      <c r="A707" s="3307"/>
      <c r="B707" s="3307"/>
      <c r="C707" s="3308" t="s">
        <v>146</v>
      </c>
      <c r="D707" s="3308" t="s">
        <v>65</v>
      </c>
      <c r="E707" s="3308" t="s">
        <v>65</v>
      </c>
      <c r="F707" s="3308" t="s">
        <v>201</v>
      </c>
      <c r="G707" s="3309"/>
      <c r="H707" s="3309"/>
      <c r="I707" s="3307" t="s">
        <v>1209</v>
      </c>
      <c r="J707" s="3310" t="s">
        <v>3282</v>
      </c>
      <c r="K707" s="3311">
        <v>72</v>
      </c>
      <c r="L707" s="3312">
        <v>100000000</v>
      </c>
      <c r="M707" s="3311">
        <v>24</v>
      </c>
      <c r="N707" s="3334">
        <v>72717250</v>
      </c>
      <c r="O707" s="3335">
        <v>12</v>
      </c>
      <c r="P707" s="3312">
        <v>27302656</v>
      </c>
      <c r="Q707" s="3314">
        <v>3</v>
      </c>
      <c r="R707" s="3315">
        <v>26412000</v>
      </c>
      <c r="S707" s="3314">
        <v>3</v>
      </c>
      <c r="T707" s="3336">
        <v>26412000</v>
      </c>
      <c r="U707" s="3368">
        <v>3</v>
      </c>
      <c r="V707" s="3328">
        <v>0</v>
      </c>
      <c r="W707" s="3318"/>
      <c r="X707" s="3328"/>
      <c r="Y707" s="3314">
        <f t="shared" si="209"/>
        <v>9</v>
      </c>
      <c r="Z707" s="3319">
        <f t="shared" si="209"/>
        <v>52824000</v>
      </c>
      <c r="AA707" s="3337">
        <f t="shared" si="210"/>
        <v>33</v>
      </c>
      <c r="AB707" s="3319">
        <f t="shared" si="210"/>
        <v>125541250</v>
      </c>
      <c r="AC707" s="3332">
        <f t="shared" si="211"/>
        <v>45.833333333333329</v>
      </c>
      <c r="AD707" s="3333">
        <f t="shared" si="211"/>
        <v>125.54125000000001</v>
      </c>
      <c r="AE707" s="3309"/>
      <c r="AJ707" s="3305"/>
    </row>
    <row r="708" spans="1:76" s="353" customFormat="1" ht="45.75" customHeight="1">
      <c r="A708" s="3338"/>
      <c r="B708" s="3338"/>
      <c r="C708" s="3339" t="s">
        <v>146</v>
      </c>
      <c r="D708" s="3339" t="s">
        <v>65</v>
      </c>
      <c r="E708" s="3339" t="s">
        <v>65</v>
      </c>
      <c r="F708" s="3339" t="s">
        <v>164</v>
      </c>
      <c r="G708" s="3340"/>
      <c r="H708" s="3340"/>
      <c r="I708" s="3338" t="s">
        <v>1218</v>
      </c>
      <c r="J708" s="690" t="s">
        <v>3283</v>
      </c>
      <c r="K708" s="3341">
        <v>820</v>
      </c>
      <c r="L708" s="3342">
        <v>100000000</v>
      </c>
      <c r="M708" s="3341"/>
      <c r="N708" s="3343"/>
      <c r="O708" s="3341">
        <v>820</v>
      </c>
      <c r="P708" s="3342">
        <v>61443180</v>
      </c>
      <c r="Q708" s="3314">
        <v>3</v>
      </c>
      <c r="R708" s="3345">
        <v>422000</v>
      </c>
      <c r="S708" s="3314">
        <v>3</v>
      </c>
      <c r="T708" s="3346">
        <v>17594148</v>
      </c>
      <c r="U708" s="3368">
        <v>3</v>
      </c>
      <c r="V708" s="3346">
        <v>12110000</v>
      </c>
      <c r="W708" s="3347"/>
      <c r="X708" s="3338"/>
      <c r="Y708" s="3344">
        <f t="shared" si="209"/>
        <v>9</v>
      </c>
      <c r="Z708" s="3348">
        <f t="shared" si="209"/>
        <v>30126148</v>
      </c>
      <c r="AA708" s="3349">
        <f t="shared" ref="AA708:AB723" si="212">Y708+M708</f>
        <v>9</v>
      </c>
      <c r="AB708" s="3348">
        <f t="shared" si="212"/>
        <v>30126148</v>
      </c>
      <c r="AC708" s="3350">
        <f t="shared" ref="AC708:AD723" si="213">AA708/K708*100</f>
        <v>1.097560975609756</v>
      </c>
      <c r="AD708" s="3351">
        <f t="shared" si="213"/>
        <v>30.126148000000004</v>
      </c>
      <c r="AE708" s="3340"/>
      <c r="AJ708" s="3305"/>
    </row>
    <row r="709" spans="1:76" s="2266" customFormat="1" ht="58.5" customHeight="1">
      <c r="A709" s="4092">
        <v>3</v>
      </c>
      <c r="B709" s="4092"/>
      <c r="C709" s="4122" t="s">
        <v>146</v>
      </c>
      <c r="D709" s="4122" t="s">
        <v>65</v>
      </c>
      <c r="E709" s="4122" t="s">
        <v>197</v>
      </c>
      <c r="F709" s="4123"/>
      <c r="G709" s="4123"/>
      <c r="H709" s="4123"/>
      <c r="I709" s="4092" t="s">
        <v>1226</v>
      </c>
      <c r="J709" s="4095" t="s">
        <v>3285</v>
      </c>
      <c r="K709" s="4096">
        <v>100</v>
      </c>
      <c r="L709" s="4097">
        <f>L710</f>
        <v>80000000</v>
      </c>
      <c r="M709" s="4096">
        <v>80</v>
      </c>
      <c r="N709" s="4097">
        <v>53524450</v>
      </c>
      <c r="O709" s="4096">
        <v>5</v>
      </c>
      <c r="P709" s="4097">
        <f>SUM(P710)</f>
        <v>19369900</v>
      </c>
      <c r="Q709" s="4107">
        <v>0</v>
      </c>
      <c r="R709" s="4098">
        <f>R710</f>
        <v>1577400</v>
      </c>
      <c r="S709" s="4127">
        <v>2</v>
      </c>
      <c r="T709" s="4128">
        <f>SUM(T710)</f>
        <v>6474400</v>
      </c>
      <c r="U709" s="4129">
        <v>2</v>
      </c>
      <c r="V709" s="4128">
        <f>V710</f>
        <v>6838100</v>
      </c>
      <c r="W709" s="4130"/>
      <c r="X709" s="4100"/>
      <c r="Y709" s="4131">
        <f t="shared" si="209"/>
        <v>4</v>
      </c>
      <c r="Z709" s="4104">
        <f t="shared" si="209"/>
        <v>14889900</v>
      </c>
      <c r="AA709" s="4110">
        <f t="shared" si="212"/>
        <v>84</v>
      </c>
      <c r="AB709" s="4104">
        <f t="shared" si="212"/>
        <v>68414350</v>
      </c>
      <c r="AC709" s="4110">
        <f t="shared" si="213"/>
        <v>84</v>
      </c>
      <c r="AD709" s="4132">
        <f t="shared" si="213"/>
        <v>85.517937500000002</v>
      </c>
      <c r="AE709" s="4094"/>
      <c r="AJ709" s="3305"/>
    </row>
    <row r="710" spans="1:76" s="2266" customFormat="1" ht="48.75" customHeight="1">
      <c r="A710" s="3352"/>
      <c r="B710" s="3352"/>
      <c r="C710" s="3353" t="s">
        <v>146</v>
      </c>
      <c r="D710" s="3353" t="s">
        <v>65</v>
      </c>
      <c r="E710" s="3353" t="s">
        <v>197</v>
      </c>
      <c r="F710" s="3353" t="s">
        <v>66</v>
      </c>
      <c r="G710" s="3354"/>
      <c r="H710" s="3354"/>
      <c r="I710" s="3307" t="s">
        <v>1228</v>
      </c>
      <c r="J710" s="3310" t="s">
        <v>3284</v>
      </c>
      <c r="K710" s="3311">
        <v>36</v>
      </c>
      <c r="L710" s="3312">
        <v>80000000</v>
      </c>
      <c r="M710" s="3311">
        <v>12</v>
      </c>
      <c r="N710" s="3312"/>
      <c r="O710" s="3311">
        <v>6</v>
      </c>
      <c r="P710" s="3312">
        <v>19369900</v>
      </c>
      <c r="Q710" s="3314">
        <v>3</v>
      </c>
      <c r="R710" s="3315">
        <v>1577400</v>
      </c>
      <c r="S710" s="3329"/>
      <c r="T710" s="3316">
        <v>6474400</v>
      </c>
      <c r="U710" s="3317">
        <v>3</v>
      </c>
      <c r="V710" s="3316">
        <v>6838100</v>
      </c>
      <c r="W710" s="3318"/>
      <c r="X710" s="3355"/>
      <c r="Y710" s="3314">
        <f t="shared" si="209"/>
        <v>6</v>
      </c>
      <c r="Z710" s="3319">
        <f t="shared" si="209"/>
        <v>14889900</v>
      </c>
      <c r="AA710" s="3311">
        <f t="shared" si="212"/>
        <v>18</v>
      </c>
      <c r="AB710" s="3319">
        <f t="shared" si="212"/>
        <v>14889900</v>
      </c>
      <c r="AC710" s="3332">
        <f t="shared" si="213"/>
        <v>50</v>
      </c>
      <c r="AD710" s="3333">
        <f t="shared" si="213"/>
        <v>18.612375</v>
      </c>
      <c r="AE710" s="3309"/>
      <c r="AJ710" s="3305"/>
    </row>
    <row r="711" spans="1:76" s="353" customFormat="1" ht="69" customHeight="1">
      <c r="A711" s="4092">
        <v>4</v>
      </c>
      <c r="B711" s="4121" t="s">
        <v>1039</v>
      </c>
      <c r="C711" s="4122" t="s">
        <v>146</v>
      </c>
      <c r="D711" s="4122" t="s">
        <v>65</v>
      </c>
      <c r="E711" s="4122" t="s">
        <v>161</v>
      </c>
      <c r="F711" s="4122" t="s">
        <v>155</v>
      </c>
      <c r="G711" s="4123"/>
      <c r="H711" s="4123"/>
      <c r="I711" s="4092" t="s">
        <v>1040</v>
      </c>
      <c r="J711" s="4121" t="s">
        <v>1041</v>
      </c>
      <c r="K711" s="4124">
        <v>100</v>
      </c>
      <c r="L711" s="4097">
        <f>L712*3</f>
        <v>450000000</v>
      </c>
      <c r="M711" s="4125">
        <v>70</v>
      </c>
      <c r="N711" s="4097">
        <v>136371900</v>
      </c>
      <c r="O711" s="4125">
        <v>80</v>
      </c>
      <c r="P711" s="4097">
        <f>SUM(P712)</f>
        <v>66314672</v>
      </c>
      <c r="Q711" s="4107">
        <v>5</v>
      </c>
      <c r="R711" s="4098">
        <f>R712</f>
        <v>6770000</v>
      </c>
      <c r="S711" s="4092">
        <v>27.74</v>
      </c>
      <c r="T711" s="4100">
        <f>SUM(T712)</f>
        <v>18394927</v>
      </c>
      <c r="U711" s="4108">
        <f>V711/P711*100</f>
        <v>40.571715411636205</v>
      </c>
      <c r="V711" s="4100">
        <f>V712</f>
        <v>26905000</v>
      </c>
      <c r="W711" s="4094"/>
      <c r="X711" s="4100"/>
      <c r="Y711" s="4126">
        <f t="shared" si="209"/>
        <v>73.3117154116362</v>
      </c>
      <c r="Z711" s="4104">
        <f t="shared" si="209"/>
        <v>52069927</v>
      </c>
      <c r="AA711" s="4110">
        <f t="shared" si="212"/>
        <v>143.31171541163621</v>
      </c>
      <c r="AB711" s="4104">
        <f t="shared" si="212"/>
        <v>188441827</v>
      </c>
      <c r="AC711" s="4110">
        <f t="shared" si="213"/>
        <v>143.31171541163621</v>
      </c>
      <c r="AD711" s="4106">
        <f t="shared" si="213"/>
        <v>41.875961555555556</v>
      </c>
      <c r="AE711" s="4094" t="s">
        <v>1042</v>
      </c>
      <c r="AJ711" s="3305"/>
    </row>
    <row r="712" spans="1:76" s="2266" customFormat="1" ht="35.25" customHeight="1">
      <c r="A712" s="3307"/>
      <c r="B712" s="3307"/>
      <c r="C712" s="3308" t="s">
        <v>146</v>
      </c>
      <c r="D712" s="3308" t="s">
        <v>65</v>
      </c>
      <c r="E712" s="3308" t="s">
        <v>161</v>
      </c>
      <c r="F712" s="3308" t="s">
        <v>360</v>
      </c>
      <c r="G712" s="3309"/>
      <c r="H712" s="3309"/>
      <c r="I712" s="3307" t="s">
        <v>1050</v>
      </c>
      <c r="J712" s="3310" t="s">
        <v>1051</v>
      </c>
      <c r="K712" s="3311">
        <f>6*15</f>
        <v>90</v>
      </c>
      <c r="L712" s="3312">
        <v>150000000</v>
      </c>
      <c r="M712" s="3311">
        <v>15</v>
      </c>
      <c r="N712" s="3312">
        <v>84519050</v>
      </c>
      <c r="O712" s="3311">
        <f>M712</f>
        <v>15</v>
      </c>
      <c r="P712" s="3312">
        <v>66314672</v>
      </c>
      <c r="Q712" s="3356">
        <v>7</v>
      </c>
      <c r="R712" s="3357">
        <v>6770000</v>
      </c>
      <c r="S712" s="3329"/>
      <c r="T712" s="3326">
        <v>18394927</v>
      </c>
      <c r="U712" s="3358">
        <v>9</v>
      </c>
      <c r="V712" s="3326">
        <v>26905000</v>
      </c>
      <c r="W712" s="3359"/>
      <c r="X712" s="3326"/>
      <c r="Y712" s="3360">
        <f t="shared" si="209"/>
        <v>16</v>
      </c>
      <c r="Z712" s="3361">
        <f t="shared" si="209"/>
        <v>52069927</v>
      </c>
      <c r="AA712" s="3311">
        <f t="shared" si="212"/>
        <v>31</v>
      </c>
      <c r="AB712" s="3319">
        <f t="shared" si="212"/>
        <v>136588977</v>
      </c>
      <c r="AC712" s="3332">
        <f t="shared" si="213"/>
        <v>34.444444444444443</v>
      </c>
      <c r="AD712" s="3333">
        <f t="shared" si="213"/>
        <v>91.059318000000005</v>
      </c>
      <c r="AE712" s="3309"/>
      <c r="AJ712" s="3305"/>
    </row>
    <row r="713" spans="1:76" s="2266" customFormat="1" ht="76.5">
      <c r="A713" s="4092">
        <v>5</v>
      </c>
      <c r="B713" s="4095" t="s">
        <v>1053</v>
      </c>
      <c r="C713" s="4093" t="s">
        <v>146</v>
      </c>
      <c r="D713" s="4093" t="s">
        <v>65</v>
      </c>
      <c r="E713" s="4093" t="s">
        <v>161</v>
      </c>
      <c r="F713" s="4093" t="s">
        <v>166</v>
      </c>
      <c r="G713" s="4094"/>
      <c r="H713" s="4094"/>
      <c r="I713" s="4092" t="s">
        <v>1054</v>
      </c>
      <c r="J713" s="4095" t="s">
        <v>1055</v>
      </c>
      <c r="K713" s="4111">
        <v>1</v>
      </c>
      <c r="L713" s="4097">
        <f>SUM(L714:L721)</f>
        <v>4866116832</v>
      </c>
      <c r="M713" s="4111">
        <f>25%</f>
        <v>0.25</v>
      </c>
      <c r="N713" s="4097">
        <v>2133746478</v>
      </c>
      <c r="O713" s="4117">
        <v>0.3</v>
      </c>
      <c r="P713" s="4097">
        <f>SUM(P714:P721)</f>
        <v>957596210</v>
      </c>
      <c r="Q713" s="4107">
        <v>0</v>
      </c>
      <c r="R713" s="4100">
        <f>SUM(R714:R721)</f>
        <v>295291465</v>
      </c>
      <c r="S713" s="4118">
        <f>T713/P713</f>
        <v>0.47308617063135622</v>
      </c>
      <c r="T713" s="4100">
        <f>SUM(T714:T721)</f>
        <v>453025524</v>
      </c>
      <c r="U713" s="4119">
        <f>V713/P713</f>
        <v>0.18754483583430223</v>
      </c>
      <c r="V713" s="4100">
        <f>SUM(V714+V715+V716+V717+V718+V719+V720+V721)</f>
        <v>179592224</v>
      </c>
      <c r="W713" s="4094"/>
      <c r="X713" s="4100"/>
      <c r="Y713" s="4120">
        <f t="shared" si="209"/>
        <v>0.66063100646565842</v>
      </c>
      <c r="Z713" s="4104">
        <f t="shared" si="209"/>
        <v>927909213</v>
      </c>
      <c r="AA713" s="4120">
        <f t="shared" si="212"/>
        <v>0.91063100646565842</v>
      </c>
      <c r="AB713" s="4104">
        <f t="shared" si="212"/>
        <v>3061655691</v>
      </c>
      <c r="AC713" s="4110">
        <f t="shared" si="213"/>
        <v>91.063100646565843</v>
      </c>
      <c r="AD713" s="4106">
        <f t="shared" si="213"/>
        <v>62.91784181724308</v>
      </c>
      <c r="AE713" s="4094" t="s">
        <v>1056</v>
      </c>
      <c r="AJ713" s="3305"/>
    </row>
    <row r="714" spans="1:76" s="353" customFormat="1" ht="54.75" customHeight="1">
      <c r="A714" s="3338"/>
      <c r="B714" s="3338"/>
      <c r="C714" s="3339" t="s">
        <v>146</v>
      </c>
      <c r="D714" s="3339" t="s">
        <v>65</v>
      </c>
      <c r="E714" s="3339" t="s">
        <v>161</v>
      </c>
      <c r="F714" s="3339" t="s">
        <v>166</v>
      </c>
      <c r="G714" s="3339" t="s">
        <v>66</v>
      </c>
      <c r="H714" s="3340"/>
      <c r="I714" s="3338" t="s">
        <v>1057</v>
      </c>
      <c r="J714" s="690" t="s">
        <v>1058</v>
      </c>
      <c r="K714" s="3341">
        <f>6*13</f>
        <v>78</v>
      </c>
      <c r="L714" s="3342">
        <f>3*N714</f>
        <v>1002259200</v>
      </c>
      <c r="M714" s="3341">
        <v>13</v>
      </c>
      <c r="N714" s="3342">
        <v>334086400</v>
      </c>
      <c r="O714" s="3341"/>
      <c r="P714" s="3342">
        <v>279169350</v>
      </c>
      <c r="Q714" s="3362">
        <v>13</v>
      </c>
      <c r="R714" s="3345">
        <v>154222413</v>
      </c>
      <c r="S714" s="3329">
        <v>0.13</v>
      </c>
      <c r="T714" s="3326">
        <v>207158186</v>
      </c>
      <c r="U714" s="3363"/>
      <c r="V714" s="3346">
        <v>33725500</v>
      </c>
      <c r="W714" s="3364"/>
      <c r="X714" s="3346"/>
      <c r="Y714" s="3365">
        <v>0.01</v>
      </c>
      <c r="Z714" s="3348">
        <f t="shared" si="209"/>
        <v>395106099</v>
      </c>
      <c r="AA714" s="3341">
        <f t="shared" si="212"/>
        <v>13.01</v>
      </c>
      <c r="AB714" s="3348">
        <f t="shared" si="212"/>
        <v>729192499</v>
      </c>
      <c r="AC714" s="3350">
        <f t="shared" si="213"/>
        <v>16.679487179487179</v>
      </c>
      <c r="AD714" s="3351">
        <f t="shared" si="213"/>
        <v>72.75488207042649</v>
      </c>
      <c r="AE714" s="3340"/>
      <c r="AJ714" s="3305"/>
    </row>
    <row r="715" spans="1:76" s="2263" customFormat="1" ht="36.75" customHeight="1">
      <c r="A715" s="3307"/>
      <c r="B715" s="3307"/>
      <c r="C715" s="3308" t="s">
        <v>146</v>
      </c>
      <c r="D715" s="3308" t="s">
        <v>65</v>
      </c>
      <c r="E715" s="3308" t="s">
        <v>161</v>
      </c>
      <c r="F715" s="3308" t="s">
        <v>166</v>
      </c>
      <c r="G715" s="3308" t="s">
        <v>95</v>
      </c>
      <c r="H715" s="3309"/>
      <c r="I715" s="3307" t="s">
        <v>1065</v>
      </c>
      <c r="J715" s="3310" t="s">
        <v>3286</v>
      </c>
      <c r="K715" s="3311">
        <v>6</v>
      </c>
      <c r="L715" s="3312">
        <f>3*N715</f>
        <v>355474728</v>
      </c>
      <c r="M715" s="3311">
        <v>2</v>
      </c>
      <c r="N715" s="3312">
        <v>118491576</v>
      </c>
      <c r="O715" s="3311">
        <v>1</v>
      </c>
      <c r="P715" s="3312">
        <v>109074120</v>
      </c>
      <c r="Q715" s="3356">
        <v>0</v>
      </c>
      <c r="R715" s="3315">
        <v>25075120</v>
      </c>
      <c r="S715" s="3358">
        <v>7</v>
      </c>
      <c r="T715" s="3316">
        <v>63640120</v>
      </c>
      <c r="U715" s="3358">
        <v>7</v>
      </c>
      <c r="V715" s="3316">
        <v>29281750</v>
      </c>
      <c r="W715" s="3359"/>
      <c r="X715" s="3316"/>
      <c r="Y715" s="3360">
        <f t="shared" si="209"/>
        <v>14</v>
      </c>
      <c r="Z715" s="3319">
        <f t="shared" si="209"/>
        <v>117996990</v>
      </c>
      <c r="AA715" s="3320">
        <f t="shared" si="212"/>
        <v>16</v>
      </c>
      <c r="AB715" s="3319">
        <f t="shared" si="212"/>
        <v>236488566</v>
      </c>
      <c r="AC715" s="3332">
        <f t="shared" si="213"/>
        <v>266.66666666666663</v>
      </c>
      <c r="AD715" s="3333">
        <f t="shared" si="213"/>
        <v>66.527532725195584</v>
      </c>
      <c r="AE715" s="3309"/>
      <c r="AF715" s="2266"/>
      <c r="AG715" s="2266"/>
      <c r="AH715" s="2266"/>
      <c r="AI715" s="2266"/>
      <c r="AJ715" s="3305"/>
      <c r="AK715" s="2266"/>
      <c r="AL715" s="2266"/>
      <c r="AM715" s="2266"/>
      <c r="AN715" s="2266"/>
      <c r="AO715" s="2266"/>
      <c r="AP715" s="2266"/>
      <c r="AQ715" s="2266"/>
      <c r="AR715" s="2266"/>
      <c r="AS715" s="2266"/>
      <c r="AT715" s="2266"/>
      <c r="AU715" s="2266"/>
      <c r="AV715" s="2266"/>
      <c r="AW715" s="2266"/>
      <c r="AX715" s="2266"/>
      <c r="AY715" s="2266"/>
      <c r="AZ715" s="2266"/>
      <c r="BA715" s="2266"/>
      <c r="BB715" s="2266"/>
      <c r="BC715" s="2266"/>
      <c r="BD715" s="2266"/>
      <c r="BE715" s="2266"/>
      <c r="BF715" s="2266"/>
      <c r="BG715" s="2266"/>
      <c r="BH715" s="2266"/>
      <c r="BI715" s="2266"/>
      <c r="BJ715" s="2266"/>
      <c r="BK715" s="2266"/>
      <c r="BL715" s="2266"/>
      <c r="BM715" s="2266"/>
      <c r="BN715" s="2266"/>
      <c r="BO715" s="2266"/>
      <c r="BP715" s="2266"/>
      <c r="BQ715" s="2266"/>
      <c r="BR715" s="2266"/>
      <c r="BS715" s="2266"/>
      <c r="BT715" s="2266"/>
      <c r="BU715" s="2266"/>
      <c r="BV715" s="2266"/>
      <c r="BW715" s="2266"/>
      <c r="BX715" s="2266"/>
    </row>
    <row r="716" spans="1:76" s="2264" customFormat="1" ht="51" customHeight="1">
      <c r="A716" s="3307"/>
      <c r="B716" s="3307"/>
      <c r="C716" s="3308" t="s">
        <v>146</v>
      </c>
      <c r="D716" s="3308" t="s">
        <v>65</v>
      </c>
      <c r="E716" s="3308" t="s">
        <v>161</v>
      </c>
      <c r="F716" s="3308" t="s">
        <v>166</v>
      </c>
      <c r="G716" s="3308" t="s">
        <v>163</v>
      </c>
      <c r="H716" s="3309"/>
      <c r="I716" s="3307" t="s">
        <v>1069</v>
      </c>
      <c r="J716" s="3310" t="s">
        <v>1070</v>
      </c>
      <c r="K716" s="3311">
        <v>6</v>
      </c>
      <c r="L716" s="3312">
        <f>3*N716</f>
        <v>210602100</v>
      </c>
      <c r="M716" s="3311">
        <v>2</v>
      </c>
      <c r="N716" s="3312">
        <v>70200700</v>
      </c>
      <c r="O716" s="3311">
        <v>1</v>
      </c>
      <c r="P716" s="3312">
        <v>44589056</v>
      </c>
      <c r="Q716" s="3314">
        <v>0</v>
      </c>
      <c r="R716" s="3357">
        <v>0</v>
      </c>
      <c r="S716" s="3329"/>
      <c r="T716" s="3366"/>
      <c r="U716" s="3358">
        <v>0</v>
      </c>
      <c r="V716" s="3326">
        <v>7334000</v>
      </c>
      <c r="W716" s="3359"/>
      <c r="X716" s="3326"/>
      <c r="Y716" s="3312">
        <f t="shared" si="209"/>
        <v>0</v>
      </c>
      <c r="Z716" s="3361">
        <f t="shared" si="209"/>
        <v>7334000</v>
      </c>
      <c r="AA716" s="3312">
        <f t="shared" si="212"/>
        <v>2</v>
      </c>
      <c r="AB716" s="3319">
        <f t="shared" si="212"/>
        <v>77534700</v>
      </c>
      <c r="AC716" s="3332">
        <f t="shared" si="213"/>
        <v>33.333333333333329</v>
      </c>
      <c r="AD716" s="3333">
        <f t="shared" si="213"/>
        <v>36.815729757680479</v>
      </c>
      <c r="AE716" s="3309"/>
      <c r="AF716" s="2805"/>
      <c r="AG716" s="2805"/>
      <c r="AH716" s="2805"/>
      <c r="AI716" s="2805"/>
      <c r="AJ716" s="3305"/>
      <c r="AK716" s="2805"/>
      <c r="AL716" s="2805"/>
      <c r="AM716" s="2805"/>
      <c r="AN716" s="2805"/>
      <c r="AO716" s="2805"/>
      <c r="AP716" s="2805"/>
      <c r="AQ716" s="2805"/>
      <c r="AR716" s="2805"/>
      <c r="AS716" s="2805"/>
      <c r="AT716" s="2805"/>
      <c r="AU716" s="2805"/>
      <c r="AV716" s="2805"/>
      <c r="AW716" s="2805"/>
      <c r="AX716" s="2805"/>
      <c r="AY716" s="2805"/>
      <c r="AZ716" s="2805"/>
      <c r="BA716" s="2805"/>
      <c r="BB716" s="2805"/>
      <c r="BC716" s="2805"/>
      <c r="BD716" s="2805"/>
      <c r="BE716" s="2805"/>
      <c r="BF716" s="2805"/>
      <c r="BG716" s="2805"/>
      <c r="BH716" s="2805"/>
      <c r="BI716" s="2805"/>
      <c r="BJ716" s="2805"/>
      <c r="BK716" s="2805"/>
      <c r="BL716" s="2805"/>
      <c r="BM716" s="2805"/>
      <c r="BN716" s="2805"/>
      <c r="BO716" s="2805"/>
      <c r="BP716" s="2805"/>
      <c r="BQ716" s="2805"/>
      <c r="BR716" s="2805"/>
      <c r="BS716" s="2805"/>
      <c r="BT716" s="2805"/>
      <c r="BU716" s="2805"/>
      <c r="BV716" s="2805"/>
      <c r="BW716" s="2805"/>
      <c r="BX716" s="2805"/>
    </row>
    <row r="717" spans="1:76" s="2263" customFormat="1" ht="64.5" customHeight="1">
      <c r="A717" s="3307"/>
      <c r="B717" s="3307"/>
      <c r="C717" s="3308" t="s">
        <v>146</v>
      </c>
      <c r="D717" s="3308" t="s">
        <v>65</v>
      </c>
      <c r="E717" s="3308" t="s">
        <v>161</v>
      </c>
      <c r="F717" s="3308" t="s">
        <v>166</v>
      </c>
      <c r="G717" s="3308" t="s">
        <v>360</v>
      </c>
      <c r="H717" s="3309"/>
      <c r="I717" s="3307" t="s">
        <v>1071</v>
      </c>
      <c r="J717" s="3310" t="s">
        <v>1072</v>
      </c>
      <c r="K717" s="3311">
        <v>6</v>
      </c>
      <c r="L717" s="3312">
        <v>250000000</v>
      </c>
      <c r="M717" s="3311">
        <v>2</v>
      </c>
      <c r="N717" s="3312">
        <v>55969000</v>
      </c>
      <c r="O717" s="3311">
        <v>2</v>
      </c>
      <c r="P717" s="3312">
        <v>82895460</v>
      </c>
      <c r="Q717" s="3356">
        <v>0</v>
      </c>
      <c r="R717" s="3357">
        <v>54222000</v>
      </c>
      <c r="S717" s="3358">
        <v>3</v>
      </c>
      <c r="T717" s="3326">
        <v>74507000</v>
      </c>
      <c r="U717" s="3358">
        <v>0</v>
      </c>
      <c r="V717" s="3326">
        <v>2400000</v>
      </c>
      <c r="W717" s="3359"/>
      <c r="X717" s="3326"/>
      <c r="Y717" s="3360">
        <f t="shared" si="209"/>
        <v>3</v>
      </c>
      <c r="Z717" s="3361">
        <f t="shared" si="209"/>
        <v>131129000</v>
      </c>
      <c r="AA717" s="3311">
        <f t="shared" si="212"/>
        <v>5</v>
      </c>
      <c r="AB717" s="3319">
        <f t="shared" si="212"/>
        <v>187098000</v>
      </c>
      <c r="AC717" s="3332">
        <f t="shared" si="213"/>
        <v>83.333333333333343</v>
      </c>
      <c r="AD717" s="3333">
        <f t="shared" si="213"/>
        <v>74.839199999999991</v>
      </c>
      <c r="AE717" s="3309"/>
      <c r="AF717" s="2266"/>
      <c r="AG717" s="2266"/>
      <c r="AH717" s="2266"/>
      <c r="AI717" s="2266"/>
      <c r="AJ717" s="3305"/>
      <c r="AK717" s="2266"/>
      <c r="AL717" s="2266"/>
      <c r="AM717" s="2266"/>
      <c r="AN717" s="2266"/>
      <c r="AO717" s="2266"/>
      <c r="AP717" s="2266"/>
      <c r="AQ717" s="2266"/>
      <c r="AR717" s="2266"/>
      <c r="AS717" s="2266"/>
      <c r="AT717" s="2266"/>
      <c r="AU717" s="2266"/>
      <c r="AV717" s="2266"/>
      <c r="AW717" s="2266"/>
      <c r="AX717" s="2266"/>
      <c r="AY717" s="2266"/>
      <c r="AZ717" s="2266"/>
      <c r="BA717" s="2266"/>
      <c r="BB717" s="2266"/>
      <c r="BC717" s="2266"/>
      <c r="BD717" s="2266"/>
      <c r="BE717" s="2266"/>
      <c r="BF717" s="2266"/>
      <c r="BG717" s="2266"/>
      <c r="BH717" s="2266"/>
      <c r="BI717" s="2266"/>
      <c r="BJ717" s="2266"/>
      <c r="BK717" s="2266"/>
      <c r="BL717" s="2266"/>
      <c r="BM717" s="2266"/>
      <c r="BN717" s="2266"/>
      <c r="BO717" s="2266"/>
      <c r="BP717" s="2266"/>
      <c r="BQ717" s="2266"/>
      <c r="BR717" s="2266"/>
      <c r="BS717" s="2266"/>
      <c r="BT717" s="2266"/>
      <c r="BU717" s="2266"/>
      <c r="BV717" s="2266"/>
      <c r="BW717" s="2266"/>
      <c r="BX717" s="2266"/>
    </row>
    <row r="718" spans="1:76" s="2263" customFormat="1" ht="51" customHeight="1">
      <c r="A718" s="3307"/>
      <c r="B718" s="3307"/>
      <c r="C718" s="3308" t="s">
        <v>146</v>
      </c>
      <c r="D718" s="3308" t="s">
        <v>65</v>
      </c>
      <c r="E718" s="3308" t="s">
        <v>161</v>
      </c>
      <c r="F718" s="3308" t="s">
        <v>166</v>
      </c>
      <c r="G718" s="3308" t="s">
        <v>178</v>
      </c>
      <c r="H718" s="3309"/>
      <c r="I718" s="3307" t="s">
        <v>1077</v>
      </c>
      <c r="J718" s="3310" t="s">
        <v>1078</v>
      </c>
      <c r="K718" s="3311">
        <v>72</v>
      </c>
      <c r="L718" s="3312">
        <v>1500000000</v>
      </c>
      <c r="M718" s="3311">
        <v>24</v>
      </c>
      <c r="N718" s="3312">
        <v>233336900</v>
      </c>
      <c r="O718" s="3311">
        <v>12</v>
      </c>
      <c r="P718" s="3312">
        <v>113861356</v>
      </c>
      <c r="Q718" s="3356">
        <v>3</v>
      </c>
      <c r="R718" s="3315">
        <v>7233958</v>
      </c>
      <c r="S718" s="3307">
        <v>3</v>
      </c>
      <c r="T718" s="3328">
        <v>22112958</v>
      </c>
      <c r="U718" s="3358">
        <v>3</v>
      </c>
      <c r="V718" s="3328">
        <v>34064222</v>
      </c>
      <c r="W718" s="3359"/>
      <c r="X718" s="3328"/>
      <c r="Y718" s="3360">
        <f t="shared" si="209"/>
        <v>9</v>
      </c>
      <c r="Z718" s="3319">
        <f t="shared" si="209"/>
        <v>63411138</v>
      </c>
      <c r="AA718" s="3311">
        <f t="shared" si="212"/>
        <v>33</v>
      </c>
      <c r="AB718" s="3319">
        <f t="shared" si="212"/>
        <v>296748038</v>
      </c>
      <c r="AC718" s="3332">
        <f t="shared" si="213"/>
        <v>45.833333333333329</v>
      </c>
      <c r="AD718" s="3333">
        <f t="shared" si="213"/>
        <v>19.783202533333334</v>
      </c>
      <c r="AE718" s="3309"/>
      <c r="AF718" s="2266"/>
      <c r="AG718" s="2266"/>
      <c r="AH718" s="2266"/>
      <c r="AI718" s="2266"/>
      <c r="AJ718" s="3305"/>
      <c r="AK718" s="2266"/>
      <c r="AL718" s="2266"/>
      <c r="AM718" s="2266"/>
      <c r="AN718" s="2266"/>
      <c r="AO718" s="2266"/>
      <c r="AP718" s="2266"/>
      <c r="AQ718" s="2266"/>
      <c r="AR718" s="2266"/>
      <c r="AS718" s="2266"/>
      <c r="AT718" s="2266"/>
      <c r="AU718" s="2266"/>
      <c r="AV718" s="2266"/>
      <c r="AW718" s="2266"/>
      <c r="AX718" s="2266"/>
      <c r="AY718" s="2266"/>
      <c r="AZ718" s="2266"/>
      <c r="BA718" s="2266"/>
      <c r="BB718" s="2266"/>
      <c r="BC718" s="2266"/>
      <c r="BD718" s="2266"/>
      <c r="BE718" s="2266"/>
      <c r="BF718" s="2266"/>
      <c r="BG718" s="2266"/>
      <c r="BH718" s="2266"/>
      <c r="BI718" s="2266"/>
      <c r="BJ718" s="2266"/>
      <c r="BK718" s="2266"/>
      <c r="BL718" s="2266"/>
      <c r="BM718" s="2266"/>
      <c r="BN718" s="2266"/>
      <c r="BO718" s="2266"/>
      <c r="BP718" s="2266"/>
      <c r="BQ718" s="2266"/>
      <c r="BR718" s="2266"/>
      <c r="BS718" s="2266"/>
      <c r="BT718" s="2266"/>
      <c r="BU718" s="2266"/>
      <c r="BV718" s="2266"/>
      <c r="BW718" s="2266"/>
      <c r="BX718" s="2266"/>
    </row>
    <row r="719" spans="1:76" s="2263" customFormat="1" ht="48.75" customHeight="1">
      <c r="A719" s="3307"/>
      <c r="B719" s="3307"/>
      <c r="C719" s="3308" t="s">
        <v>146</v>
      </c>
      <c r="D719" s="3308" t="s">
        <v>65</v>
      </c>
      <c r="E719" s="3308" t="s">
        <v>161</v>
      </c>
      <c r="F719" s="3308" t="s">
        <v>166</v>
      </c>
      <c r="G719" s="3308" t="s">
        <v>399</v>
      </c>
      <c r="H719" s="3309"/>
      <c r="I719" s="3307" t="s">
        <v>1080</v>
      </c>
      <c r="J719" s="3310" t="s">
        <v>3287</v>
      </c>
      <c r="K719" s="3311">
        <v>6</v>
      </c>
      <c r="L719" s="3312">
        <v>450000000</v>
      </c>
      <c r="M719" s="3311">
        <v>2</v>
      </c>
      <c r="N719" s="3312">
        <v>150206452</v>
      </c>
      <c r="O719" s="3311">
        <v>1</v>
      </c>
      <c r="P719" s="3312">
        <v>71473592</v>
      </c>
      <c r="Q719" s="3356">
        <v>0</v>
      </c>
      <c r="R719" s="3315">
        <v>17555046</v>
      </c>
      <c r="S719" s="3358">
        <v>6</v>
      </c>
      <c r="T719" s="3328">
        <v>22112958</v>
      </c>
      <c r="U719" s="3329"/>
      <c r="V719" s="3328">
        <v>21778088</v>
      </c>
      <c r="W719" s="3359"/>
      <c r="X719" s="3328"/>
      <c r="Y719" s="3360">
        <f t="shared" si="209"/>
        <v>6</v>
      </c>
      <c r="Z719" s="3319">
        <f t="shared" si="209"/>
        <v>61446092</v>
      </c>
      <c r="AA719" s="3311">
        <f t="shared" si="212"/>
        <v>8</v>
      </c>
      <c r="AB719" s="3319">
        <f t="shared" si="212"/>
        <v>211652544</v>
      </c>
      <c r="AC719" s="3332">
        <f t="shared" si="213"/>
        <v>133.33333333333331</v>
      </c>
      <c r="AD719" s="3333">
        <f t="shared" si="213"/>
        <v>47.033898666666666</v>
      </c>
      <c r="AE719" s="3309"/>
      <c r="AF719" s="2266"/>
      <c r="AG719" s="2266"/>
      <c r="AH719" s="2266"/>
      <c r="AI719" s="2266"/>
      <c r="AJ719" s="3305"/>
      <c r="AK719" s="2266"/>
      <c r="AL719" s="2266"/>
      <c r="AM719" s="2266"/>
      <c r="AN719" s="2266"/>
      <c r="AO719" s="2266"/>
      <c r="AP719" s="2266"/>
      <c r="AQ719" s="2266"/>
      <c r="AR719" s="2266"/>
      <c r="AS719" s="2266"/>
      <c r="AT719" s="2266"/>
      <c r="AU719" s="2266"/>
      <c r="AV719" s="2266"/>
      <c r="AW719" s="2266"/>
      <c r="AX719" s="2266"/>
      <c r="AY719" s="2266"/>
      <c r="AZ719" s="2266"/>
      <c r="BA719" s="2266"/>
      <c r="BB719" s="2266"/>
      <c r="BC719" s="2266"/>
      <c r="BD719" s="2266"/>
      <c r="BE719" s="2266"/>
      <c r="BF719" s="2266"/>
      <c r="BG719" s="2266"/>
      <c r="BH719" s="2266"/>
      <c r="BI719" s="2266"/>
      <c r="BJ719" s="2266"/>
      <c r="BK719" s="2266"/>
      <c r="BL719" s="2266"/>
      <c r="BM719" s="2266"/>
      <c r="BN719" s="2266"/>
      <c r="BO719" s="2266"/>
      <c r="BP719" s="2266"/>
      <c r="BQ719" s="2266"/>
      <c r="BR719" s="2266"/>
      <c r="BS719" s="2266"/>
      <c r="BT719" s="2266"/>
      <c r="BU719" s="2266"/>
      <c r="BV719" s="2266"/>
      <c r="BW719" s="2266"/>
      <c r="BX719" s="2266"/>
    </row>
    <row r="720" spans="1:76" s="2265" customFormat="1" ht="38.25">
      <c r="A720" s="3307"/>
      <c r="B720" s="3307"/>
      <c r="C720" s="3308"/>
      <c r="D720" s="3308"/>
      <c r="E720" s="3308"/>
      <c r="F720" s="3308"/>
      <c r="G720" s="3308"/>
      <c r="H720" s="3309"/>
      <c r="I720" s="3307" t="s">
        <v>1101</v>
      </c>
      <c r="J720" s="3310" t="s">
        <v>1102</v>
      </c>
      <c r="K720" s="3311">
        <f>6*6</f>
        <v>36</v>
      </c>
      <c r="L720" s="3312">
        <f>5*P720</f>
        <v>358238500</v>
      </c>
      <c r="M720" s="3311"/>
      <c r="N720" s="3312"/>
      <c r="O720" s="3311">
        <v>6</v>
      </c>
      <c r="P720" s="3312">
        <v>71647700</v>
      </c>
      <c r="Q720" s="3314">
        <v>4</v>
      </c>
      <c r="R720" s="3315">
        <v>24619372</v>
      </c>
      <c r="S720" s="3358">
        <v>0</v>
      </c>
      <c r="T720" s="3328">
        <v>34431746</v>
      </c>
      <c r="U720" s="3307">
        <v>0</v>
      </c>
      <c r="V720" s="3326">
        <v>10783164</v>
      </c>
      <c r="W720" s="3309"/>
      <c r="X720" s="3326"/>
      <c r="Y720" s="3321">
        <f t="shared" si="209"/>
        <v>4</v>
      </c>
      <c r="Z720" s="3319">
        <f t="shared" si="209"/>
        <v>69834282</v>
      </c>
      <c r="AA720" s="3311">
        <f t="shared" si="212"/>
        <v>4</v>
      </c>
      <c r="AB720" s="3319">
        <f t="shared" si="212"/>
        <v>69834282</v>
      </c>
      <c r="AC720" s="3332">
        <f t="shared" si="213"/>
        <v>11.111111111111111</v>
      </c>
      <c r="AD720" s="3333">
        <f t="shared" si="213"/>
        <v>19.493795892959579</v>
      </c>
      <c r="AE720" s="3309"/>
      <c r="AF720" s="2806"/>
      <c r="AG720" s="2806"/>
      <c r="AH720" s="2806"/>
      <c r="AI720" s="2806"/>
      <c r="AJ720" s="3305"/>
      <c r="AK720" s="2806"/>
      <c r="AL720" s="2806"/>
      <c r="AM720" s="2806"/>
      <c r="AN720" s="2806"/>
      <c r="AO720" s="2806"/>
      <c r="AP720" s="2806"/>
      <c r="AQ720" s="2806"/>
      <c r="AR720" s="2806"/>
      <c r="AS720" s="2806"/>
      <c r="AT720" s="2806"/>
      <c r="AU720" s="2806"/>
      <c r="AV720" s="2806"/>
      <c r="AW720" s="2806"/>
      <c r="AX720" s="2806"/>
      <c r="AY720" s="2806"/>
      <c r="AZ720" s="2806"/>
      <c r="BA720" s="2806"/>
      <c r="BB720" s="2806"/>
      <c r="BC720" s="2806"/>
      <c r="BD720" s="2806"/>
      <c r="BE720" s="2806"/>
      <c r="BF720" s="2806"/>
      <c r="BG720" s="2806"/>
      <c r="BH720" s="2806"/>
      <c r="BI720" s="2806"/>
      <c r="BJ720" s="2806"/>
      <c r="BK720" s="2806"/>
      <c r="BL720" s="2806"/>
      <c r="BM720" s="2806"/>
      <c r="BN720" s="2806"/>
      <c r="BO720" s="2806"/>
      <c r="BP720" s="2806"/>
      <c r="BQ720" s="2806"/>
      <c r="BR720" s="2806"/>
      <c r="BS720" s="2806"/>
      <c r="BT720" s="2806"/>
      <c r="BU720" s="2806"/>
      <c r="BV720" s="2806"/>
      <c r="BW720" s="2806"/>
      <c r="BX720" s="2806"/>
    </row>
    <row r="721" spans="1:76" s="2263" customFormat="1" ht="48.75" customHeight="1">
      <c r="A721" s="3307"/>
      <c r="B721" s="3307"/>
      <c r="C721" s="3308"/>
      <c r="D721" s="3308"/>
      <c r="E721" s="3308"/>
      <c r="F721" s="3308"/>
      <c r="G721" s="3308"/>
      <c r="H721" s="3309"/>
      <c r="I721" s="3307" t="s">
        <v>1105</v>
      </c>
      <c r="J721" s="3310" t="s">
        <v>3288</v>
      </c>
      <c r="K721" s="3311">
        <v>125</v>
      </c>
      <c r="L721" s="3312">
        <f>4*P721</f>
        <v>739542304</v>
      </c>
      <c r="M721" s="3311"/>
      <c r="N721" s="3312"/>
      <c r="O721" s="3311">
        <v>25</v>
      </c>
      <c r="P721" s="3312">
        <v>184885576</v>
      </c>
      <c r="Q721" s="3314"/>
      <c r="R721" s="3315">
        <v>12363556</v>
      </c>
      <c r="S721" s="3307"/>
      <c r="T721" s="3326">
        <v>29062556</v>
      </c>
      <c r="U721" s="3307">
        <v>25</v>
      </c>
      <c r="V721" s="3326">
        <v>40225500</v>
      </c>
      <c r="W721" s="3309"/>
      <c r="X721" s="3326"/>
      <c r="Y721" s="3321">
        <f t="shared" si="209"/>
        <v>25</v>
      </c>
      <c r="Z721" s="3319">
        <f t="shared" si="209"/>
        <v>81651612</v>
      </c>
      <c r="AA721" s="3311">
        <f t="shared" si="212"/>
        <v>25</v>
      </c>
      <c r="AB721" s="3319">
        <f t="shared" si="212"/>
        <v>81651612</v>
      </c>
      <c r="AC721" s="3332">
        <f t="shared" si="213"/>
        <v>20</v>
      </c>
      <c r="AD721" s="3333">
        <f t="shared" si="213"/>
        <v>11.040830464784337</v>
      </c>
      <c r="AE721" s="3309"/>
      <c r="AF721" s="2266"/>
      <c r="AG721" s="2266"/>
      <c r="AH721" s="2266"/>
      <c r="AI721" s="2266"/>
      <c r="AJ721" s="3305"/>
      <c r="AK721" s="2266"/>
      <c r="AL721" s="2266"/>
      <c r="AM721" s="2266"/>
      <c r="AN721" s="2266"/>
      <c r="AO721" s="2266"/>
      <c r="AP721" s="2266"/>
      <c r="AQ721" s="2266"/>
      <c r="AR721" s="2266"/>
      <c r="AS721" s="2266"/>
      <c r="AT721" s="2266"/>
      <c r="AU721" s="2266"/>
      <c r="AV721" s="2266"/>
      <c r="AW721" s="2266"/>
      <c r="AX721" s="2266"/>
      <c r="AY721" s="2266"/>
      <c r="AZ721" s="2266"/>
      <c r="BA721" s="2266"/>
      <c r="BB721" s="2266"/>
      <c r="BC721" s="2266"/>
      <c r="BD721" s="2266"/>
      <c r="BE721" s="2266"/>
      <c r="BF721" s="2266"/>
      <c r="BG721" s="2266"/>
      <c r="BH721" s="2266"/>
      <c r="BI721" s="2266"/>
      <c r="BJ721" s="2266"/>
      <c r="BK721" s="2266"/>
      <c r="BL721" s="2266"/>
      <c r="BM721" s="2266"/>
      <c r="BN721" s="2266"/>
      <c r="BO721" s="2266"/>
      <c r="BP721" s="2266"/>
      <c r="BQ721" s="2266"/>
      <c r="BR721" s="2266"/>
      <c r="BS721" s="2266"/>
      <c r="BT721" s="2266"/>
      <c r="BU721" s="2266"/>
      <c r="BV721" s="2266"/>
      <c r="BW721" s="2266"/>
      <c r="BX721" s="2266"/>
    </row>
    <row r="722" spans="1:76" s="2263" customFormat="1" ht="84.75" customHeight="1">
      <c r="A722" s="4096">
        <v>6</v>
      </c>
      <c r="B722" s="4095" t="s">
        <v>1053</v>
      </c>
      <c r="C722" s="4093" t="s">
        <v>146</v>
      </c>
      <c r="D722" s="4094" t="s">
        <v>228</v>
      </c>
      <c r="E722" s="4093" t="s">
        <v>161</v>
      </c>
      <c r="F722" s="4093" t="s">
        <v>357</v>
      </c>
      <c r="G722" s="4094"/>
      <c r="H722" s="4094"/>
      <c r="I722" s="4095" t="s">
        <v>1111</v>
      </c>
      <c r="J722" s="4095" t="s">
        <v>1112</v>
      </c>
      <c r="K722" s="4111">
        <v>1</v>
      </c>
      <c r="L722" s="4112">
        <f>SUM(L723:L728)</f>
        <v>3755400000</v>
      </c>
      <c r="M722" s="4113">
        <v>0.25</v>
      </c>
      <c r="N722" s="4112">
        <v>1318608040</v>
      </c>
      <c r="O722" s="4113">
        <v>0.3</v>
      </c>
      <c r="P722" s="4112">
        <f>SUM(P723:P728)</f>
        <v>973554382</v>
      </c>
      <c r="Q722" s="4114">
        <f>R722/P722</f>
        <v>6.9417050808364605E-2</v>
      </c>
      <c r="R722" s="4115">
        <f>R723+R724+R725+R726+R727+R728</f>
        <v>67581274</v>
      </c>
      <c r="S722" s="4116">
        <v>0.20630000000000001</v>
      </c>
      <c r="T722" s="4115">
        <f>SUM(T723:T728)</f>
        <v>200755947</v>
      </c>
      <c r="U722" s="4092"/>
      <c r="V722" s="4115">
        <f>SUM(V723+V724+V725+V726+V727+V728)</f>
        <v>125662474</v>
      </c>
      <c r="W722" s="4094"/>
      <c r="X722" s="4115"/>
      <c r="Y722" s="4114">
        <f t="shared" si="209"/>
        <v>0.27571705080836462</v>
      </c>
      <c r="Z722" s="2763">
        <f t="shared" si="209"/>
        <v>393999695</v>
      </c>
      <c r="AA722" s="4114">
        <f t="shared" si="212"/>
        <v>0.52571705080836462</v>
      </c>
      <c r="AB722" s="4104">
        <f t="shared" si="212"/>
        <v>1712607735</v>
      </c>
      <c r="AC722" s="4110">
        <f t="shared" si="213"/>
        <v>52.571705080836459</v>
      </c>
      <c r="AD722" s="4106">
        <f t="shared" si="213"/>
        <v>45.603870027160887</v>
      </c>
      <c r="AE722" s="4094" t="s">
        <v>1056</v>
      </c>
      <c r="AF722" s="2266"/>
      <c r="AG722" s="2266"/>
      <c r="AH722" s="2266"/>
      <c r="AI722" s="2266"/>
      <c r="AJ722" s="3305"/>
      <c r="AK722" s="2266"/>
      <c r="AL722" s="2266"/>
      <c r="AM722" s="2266"/>
      <c r="AN722" s="2266"/>
      <c r="AO722" s="2266"/>
      <c r="AP722" s="2266"/>
      <c r="AQ722" s="2266"/>
      <c r="AR722" s="2266"/>
      <c r="AS722" s="2266"/>
      <c r="AT722" s="2266"/>
      <c r="AU722" s="2266"/>
      <c r="AV722" s="2266"/>
      <c r="AW722" s="2266"/>
      <c r="AX722" s="2266"/>
      <c r="AY722" s="2266"/>
      <c r="AZ722" s="2266"/>
      <c r="BA722" s="2266"/>
      <c r="BB722" s="2266"/>
      <c r="BC722" s="2266"/>
      <c r="BD722" s="2266"/>
      <c r="BE722" s="2266"/>
      <c r="BF722" s="2266"/>
      <c r="BG722" s="2266"/>
      <c r="BH722" s="2266"/>
      <c r="BI722" s="2266"/>
      <c r="BJ722" s="2266"/>
      <c r="BK722" s="2266"/>
      <c r="BL722" s="2266"/>
      <c r="BM722" s="2266"/>
      <c r="BN722" s="2266"/>
      <c r="BO722" s="2266"/>
      <c r="BP722" s="2266"/>
      <c r="BQ722" s="2266"/>
      <c r="BR722" s="2266"/>
      <c r="BS722" s="2266"/>
      <c r="BT722" s="2266"/>
      <c r="BU722" s="2266"/>
      <c r="BV722" s="2266"/>
      <c r="BW722" s="2266"/>
      <c r="BX722" s="2266"/>
    </row>
    <row r="723" spans="1:76" s="2265" customFormat="1" ht="39.75" customHeight="1">
      <c r="A723" s="3307"/>
      <c r="B723" s="3307"/>
      <c r="C723" s="3309"/>
      <c r="D723" s="3308" t="s">
        <v>65</v>
      </c>
      <c r="E723" s="3308" t="s">
        <v>161</v>
      </c>
      <c r="F723" s="3308" t="s">
        <v>357</v>
      </c>
      <c r="G723" s="3308" t="s">
        <v>198</v>
      </c>
      <c r="H723" s="3309"/>
      <c r="I723" s="3307" t="s">
        <v>1113</v>
      </c>
      <c r="J723" s="3310" t="s">
        <v>1114</v>
      </c>
      <c r="K723" s="3311">
        <v>6</v>
      </c>
      <c r="L723" s="3312">
        <v>600000000</v>
      </c>
      <c r="M723" s="3311">
        <v>2</v>
      </c>
      <c r="N723" s="3312">
        <v>240811791</v>
      </c>
      <c r="O723" s="3311">
        <v>1</v>
      </c>
      <c r="P723" s="3312">
        <v>112597526</v>
      </c>
      <c r="Q723" s="3312">
        <v>0</v>
      </c>
      <c r="R723" s="3315">
        <v>4011400</v>
      </c>
      <c r="S723" s="3329"/>
      <c r="T723" s="3326">
        <v>67655040</v>
      </c>
      <c r="U723" s="3358">
        <v>1</v>
      </c>
      <c r="V723" s="3326">
        <v>9599000</v>
      </c>
      <c r="W723" s="3359"/>
      <c r="X723" s="3326"/>
      <c r="Y723" s="3312">
        <f t="shared" si="209"/>
        <v>1</v>
      </c>
      <c r="Z723" s="3319">
        <f t="shared" si="209"/>
        <v>81265440</v>
      </c>
      <c r="AA723" s="3320">
        <f t="shared" si="212"/>
        <v>3</v>
      </c>
      <c r="AB723" s="3319">
        <f t="shared" si="212"/>
        <v>322077231</v>
      </c>
      <c r="AC723" s="3332">
        <f t="shared" si="213"/>
        <v>50</v>
      </c>
      <c r="AD723" s="3333">
        <f t="shared" si="213"/>
        <v>53.6795385</v>
      </c>
      <c r="AE723" s="3309"/>
      <c r="AF723" s="2806"/>
      <c r="AG723" s="2806"/>
      <c r="AH723" s="2806"/>
      <c r="AI723" s="2806"/>
      <c r="AJ723" s="3305"/>
      <c r="AK723" s="2806"/>
      <c r="AL723" s="2806"/>
      <c r="AM723" s="2806"/>
      <c r="AN723" s="2806"/>
      <c r="AO723" s="2806"/>
      <c r="AP723" s="2806"/>
      <c r="AQ723" s="2806"/>
      <c r="AR723" s="2806"/>
      <c r="AS723" s="2806"/>
      <c r="AT723" s="2806"/>
      <c r="AU723" s="2806"/>
      <c r="AV723" s="2806"/>
      <c r="AW723" s="2806"/>
      <c r="AX723" s="2806"/>
      <c r="AY723" s="2806"/>
      <c r="AZ723" s="2806"/>
      <c r="BA723" s="2806"/>
      <c r="BB723" s="2806"/>
      <c r="BC723" s="2806"/>
      <c r="BD723" s="2806"/>
      <c r="BE723" s="2806"/>
      <c r="BF723" s="2806"/>
      <c r="BG723" s="2806"/>
      <c r="BH723" s="2806"/>
      <c r="BI723" s="2806"/>
      <c r="BJ723" s="2806"/>
      <c r="BK723" s="2806"/>
      <c r="BL723" s="2806"/>
      <c r="BM723" s="2806"/>
      <c r="BN723" s="2806"/>
      <c r="BO723" s="2806"/>
      <c r="BP723" s="2806"/>
      <c r="BQ723" s="2806"/>
      <c r="BR723" s="2806"/>
      <c r="BS723" s="2806"/>
      <c r="BT723" s="2806"/>
      <c r="BU723" s="2806"/>
      <c r="BV723" s="2806"/>
      <c r="BW723" s="2806"/>
      <c r="BX723" s="2806"/>
    </row>
    <row r="724" spans="1:76" s="2263" customFormat="1" ht="51" customHeight="1">
      <c r="A724" s="3307"/>
      <c r="B724" s="3307"/>
      <c r="C724" s="3308" t="s">
        <v>146</v>
      </c>
      <c r="D724" s="3308" t="s">
        <v>65</v>
      </c>
      <c r="E724" s="3308" t="s">
        <v>161</v>
      </c>
      <c r="F724" s="3308" t="s">
        <v>357</v>
      </c>
      <c r="G724" s="3308" t="s">
        <v>396</v>
      </c>
      <c r="H724" s="3309"/>
      <c r="I724" s="3307" t="s">
        <v>1116</v>
      </c>
      <c r="J724" s="3310" t="s">
        <v>3289</v>
      </c>
      <c r="K724" s="3311">
        <f>5*30</f>
        <v>150</v>
      </c>
      <c r="L724" s="3312">
        <v>1000000000</v>
      </c>
      <c r="M724" s="3311">
        <v>60</v>
      </c>
      <c r="N724" s="3312">
        <v>209331150</v>
      </c>
      <c r="O724" s="3311">
        <v>30</v>
      </c>
      <c r="P724" s="3312">
        <v>106853436</v>
      </c>
      <c r="Q724" s="3312">
        <v>5</v>
      </c>
      <c r="R724" s="3315">
        <v>16138174</v>
      </c>
      <c r="S724" s="3606">
        <v>10</v>
      </c>
      <c r="T724" s="3316">
        <v>45755410</v>
      </c>
      <c r="U724" s="3358">
        <v>10</v>
      </c>
      <c r="V724" s="3316">
        <v>24891324</v>
      </c>
      <c r="W724" s="3359"/>
      <c r="X724" s="3352"/>
      <c r="Y724" s="3312">
        <f t="shared" si="209"/>
        <v>25</v>
      </c>
      <c r="Z724" s="3319">
        <f t="shared" si="209"/>
        <v>86784908</v>
      </c>
      <c r="AA724" s="3320">
        <f t="shared" ref="AA724:AB728" si="214">Y724+M724</f>
        <v>85</v>
      </c>
      <c r="AB724" s="3319">
        <f t="shared" si="214"/>
        <v>296116058</v>
      </c>
      <c r="AC724" s="3332">
        <f t="shared" ref="AC724:AD728" si="215">AA724/K724*100</f>
        <v>56.666666666666664</v>
      </c>
      <c r="AD724" s="3333">
        <f t="shared" si="215"/>
        <v>29.611605800000003</v>
      </c>
      <c r="AE724" s="3309"/>
      <c r="AF724" s="2266"/>
      <c r="AG724" s="2266"/>
      <c r="AH724" s="2266"/>
      <c r="AI724" s="2266"/>
      <c r="AJ724" s="3305"/>
      <c r="AK724" s="2266"/>
      <c r="AL724" s="2266"/>
      <c r="AM724" s="2266"/>
      <c r="AN724" s="2266"/>
      <c r="AO724" s="2266"/>
      <c r="AP724" s="2266"/>
      <c r="AQ724" s="2266"/>
      <c r="AR724" s="2266"/>
      <c r="AS724" s="2266"/>
      <c r="AT724" s="2266"/>
      <c r="AU724" s="2266"/>
      <c r="AV724" s="2266"/>
      <c r="AW724" s="2266"/>
      <c r="AX724" s="2266"/>
      <c r="AY724" s="2266"/>
      <c r="AZ724" s="2266"/>
      <c r="BA724" s="2266"/>
      <c r="BB724" s="2266"/>
      <c r="BC724" s="2266"/>
      <c r="BD724" s="2266"/>
      <c r="BE724" s="2266"/>
      <c r="BF724" s="2266"/>
      <c r="BG724" s="2266"/>
      <c r="BH724" s="2266"/>
      <c r="BI724" s="2266"/>
      <c r="BJ724" s="2266"/>
      <c r="BK724" s="2266"/>
      <c r="BL724" s="2266"/>
      <c r="BM724" s="2266"/>
      <c r="BN724" s="2266"/>
      <c r="BO724" s="2266"/>
      <c r="BP724" s="2266"/>
      <c r="BQ724" s="2266"/>
      <c r="BR724" s="2266"/>
      <c r="BS724" s="2266"/>
      <c r="BT724" s="2266"/>
      <c r="BU724" s="2266"/>
      <c r="BV724" s="2266"/>
      <c r="BW724" s="2266"/>
      <c r="BX724" s="2266"/>
    </row>
    <row r="725" spans="1:76" s="2263" customFormat="1" ht="63" customHeight="1">
      <c r="A725" s="3307"/>
      <c r="B725" s="3307"/>
      <c r="C725" s="3308" t="s">
        <v>146</v>
      </c>
      <c r="D725" s="3308" t="s">
        <v>65</v>
      </c>
      <c r="E725" s="3308" t="s">
        <v>161</v>
      </c>
      <c r="F725" s="3308" t="s">
        <v>357</v>
      </c>
      <c r="G725" s="3308" t="s">
        <v>448</v>
      </c>
      <c r="H725" s="3309"/>
      <c r="I725" s="3307" t="s">
        <v>1121</v>
      </c>
      <c r="J725" s="3310" t="s">
        <v>1122</v>
      </c>
      <c r="K725" s="3311">
        <f>8*5</f>
        <v>40</v>
      </c>
      <c r="L725" s="3312">
        <v>250000000</v>
      </c>
      <c r="M725" s="3311">
        <v>8</v>
      </c>
      <c r="N725" s="3312">
        <v>216313700</v>
      </c>
      <c r="O725" s="3311">
        <f>M725</f>
        <v>8</v>
      </c>
      <c r="P725" s="3312">
        <v>177075240</v>
      </c>
      <c r="Q725" s="3312">
        <v>3</v>
      </c>
      <c r="R725" s="3315">
        <v>26368100</v>
      </c>
      <c r="S725" s="3329"/>
      <c r="T725" s="3326">
        <v>43805494</v>
      </c>
      <c r="U725" s="3358">
        <v>2</v>
      </c>
      <c r="V725" s="3326">
        <v>21622000</v>
      </c>
      <c r="W725" s="3359"/>
      <c r="X725" s="3326"/>
      <c r="Y725" s="3312">
        <f t="shared" si="209"/>
        <v>5</v>
      </c>
      <c r="Z725" s="3319">
        <f t="shared" si="209"/>
        <v>91795594</v>
      </c>
      <c r="AA725" s="3320">
        <f t="shared" si="214"/>
        <v>13</v>
      </c>
      <c r="AB725" s="3319">
        <f t="shared" si="214"/>
        <v>308109294</v>
      </c>
      <c r="AC725" s="3332">
        <f t="shared" si="215"/>
        <v>32.5</v>
      </c>
      <c r="AD725" s="3333">
        <f t="shared" si="215"/>
        <v>123.2437176</v>
      </c>
      <c r="AE725" s="3309"/>
      <c r="AF725" s="2266"/>
      <c r="AG725" s="2266"/>
      <c r="AH725" s="2266"/>
      <c r="AI725" s="2266"/>
      <c r="AJ725" s="3305"/>
      <c r="AK725" s="2266"/>
      <c r="AL725" s="2266"/>
      <c r="AM725" s="2266"/>
      <c r="AN725" s="2266"/>
      <c r="AO725" s="2266"/>
      <c r="AP725" s="2266"/>
      <c r="AQ725" s="2266"/>
      <c r="AR725" s="2266"/>
      <c r="AS725" s="2266"/>
      <c r="AT725" s="2266"/>
      <c r="AU725" s="2266"/>
      <c r="AV725" s="2266"/>
      <c r="AW725" s="2266"/>
      <c r="AX725" s="2266"/>
      <c r="AY725" s="2266"/>
      <c r="AZ725" s="2266"/>
      <c r="BA725" s="2266"/>
      <c r="BB725" s="2266"/>
      <c r="BC725" s="2266"/>
      <c r="BD725" s="2266"/>
      <c r="BE725" s="2266"/>
      <c r="BF725" s="2266"/>
      <c r="BG725" s="2266"/>
      <c r="BH725" s="2266"/>
      <c r="BI725" s="2266"/>
      <c r="BJ725" s="2266"/>
      <c r="BK725" s="2266"/>
      <c r="BL725" s="2266"/>
      <c r="BM725" s="2266"/>
      <c r="BN725" s="2266"/>
      <c r="BO725" s="2266"/>
      <c r="BP725" s="2266"/>
      <c r="BQ725" s="2266"/>
      <c r="BR725" s="2266"/>
      <c r="BS725" s="2266"/>
      <c r="BT725" s="2266"/>
      <c r="BU725" s="2266"/>
      <c r="BV725" s="2266"/>
      <c r="BW725" s="2266"/>
      <c r="BX725" s="2266"/>
    </row>
    <row r="726" spans="1:76" s="2263" customFormat="1" ht="38.25">
      <c r="A726" s="3307"/>
      <c r="B726" s="3307"/>
      <c r="C726" s="3308" t="s">
        <v>146</v>
      </c>
      <c r="D726" s="3308" t="s">
        <v>65</v>
      </c>
      <c r="E726" s="3308" t="s">
        <v>161</v>
      </c>
      <c r="F726" s="3308" t="s">
        <v>357</v>
      </c>
      <c r="G726" s="3308" t="s">
        <v>1133</v>
      </c>
      <c r="H726" s="3309"/>
      <c r="I726" s="3307" t="s">
        <v>1134</v>
      </c>
      <c r="J726" s="3310" t="s">
        <v>1135</v>
      </c>
      <c r="K726" s="3311">
        <v>5</v>
      </c>
      <c r="L726" s="3312">
        <v>120000000</v>
      </c>
      <c r="M726" s="3311">
        <v>1</v>
      </c>
      <c r="N726" s="3312">
        <v>0</v>
      </c>
      <c r="O726" s="3311">
        <v>1</v>
      </c>
      <c r="P726" s="3327">
        <v>121250000</v>
      </c>
      <c r="Q726" s="3311"/>
      <c r="R726" s="3366">
        <v>0</v>
      </c>
      <c r="S726" s="3307"/>
      <c r="T726" s="3366"/>
      <c r="U726" s="3307"/>
      <c r="V726" s="3366">
        <v>0</v>
      </c>
      <c r="W726" s="3309"/>
      <c r="X726" s="3326"/>
      <c r="Y726" s="3311">
        <f t="shared" si="209"/>
        <v>0</v>
      </c>
      <c r="Z726" s="3361">
        <f t="shared" si="209"/>
        <v>0</v>
      </c>
      <c r="AA726" s="3311">
        <f t="shared" si="214"/>
        <v>1</v>
      </c>
      <c r="AB726" s="3319">
        <f t="shared" si="214"/>
        <v>0</v>
      </c>
      <c r="AC726" s="3332">
        <f t="shared" si="215"/>
        <v>20</v>
      </c>
      <c r="AD726" s="3333">
        <f t="shared" si="215"/>
        <v>0</v>
      </c>
      <c r="AE726" s="3309"/>
      <c r="AF726" s="2266"/>
      <c r="AG726" s="2266"/>
      <c r="AH726" s="2266"/>
      <c r="AI726" s="2266"/>
      <c r="AJ726" s="3305"/>
      <c r="AK726" s="2266"/>
      <c r="AL726" s="2266"/>
      <c r="AM726" s="2266"/>
      <c r="AN726" s="2266"/>
      <c r="AO726" s="2266"/>
      <c r="AP726" s="2266"/>
      <c r="AQ726" s="2266"/>
      <c r="AR726" s="2266"/>
      <c r="AS726" s="2266"/>
      <c r="AT726" s="2266"/>
      <c r="AU726" s="2266"/>
      <c r="AV726" s="2266"/>
      <c r="AW726" s="2266"/>
      <c r="AX726" s="2266"/>
      <c r="AY726" s="2266"/>
      <c r="AZ726" s="2266"/>
      <c r="BA726" s="2266"/>
      <c r="BB726" s="2266"/>
      <c r="BC726" s="2266"/>
      <c r="BD726" s="2266"/>
      <c r="BE726" s="2266"/>
      <c r="BF726" s="2266"/>
      <c r="BG726" s="2266"/>
      <c r="BH726" s="2266"/>
      <c r="BI726" s="2266"/>
      <c r="BJ726" s="2266"/>
      <c r="BK726" s="2266"/>
      <c r="BL726" s="2266"/>
      <c r="BM726" s="2266"/>
      <c r="BN726" s="2266"/>
      <c r="BO726" s="2266"/>
      <c r="BP726" s="2266"/>
      <c r="BQ726" s="2266"/>
      <c r="BR726" s="2266"/>
      <c r="BS726" s="2266"/>
      <c r="BT726" s="2266"/>
      <c r="BU726" s="2266"/>
      <c r="BV726" s="2266"/>
      <c r="BW726" s="2266"/>
      <c r="BX726" s="2266"/>
    </row>
    <row r="727" spans="1:76" s="2263" customFormat="1" ht="36" customHeight="1">
      <c r="A727" s="3307"/>
      <c r="B727" s="3307"/>
      <c r="C727" s="3308"/>
      <c r="D727" s="3308"/>
      <c r="E727" s="3308"/>
      <c r="F727" s="3308"/>
      <c r="G727" s="3308"/>
      <c r="H727" s="3309"/>
      <c r="I727" s="3307" t="s">
        <v>1137</v>
      </c>
      <c r="J727" s="3310" t="s">
        <v>3290</v>
      </c>
      <c r="K727" s="3311">
        <v>4</v>
      </c>
      <c r="L727" s="3312">
        <f>P727*4</f>
        <v>1710400000</v>
      </c>
      <c r="M727" s="3311"/>
      <c r="N727" s="3312"/>
      <c r="O727" s="3311">
        <v>1</v>
      </c>
      <c r="P727" s="3327">
        <v>427600000</v>
      </c>
      <c r="Q727" s="3311">
        <v>0</v>
      </c>
      <c r="R727" s="3357">
        <v>15934600</v>
      </c>
      <c r="S727" s="3307">
        <v>1</v>
      </c>
      <c r="T727" s="3366">
        <v>32009999</v>
      </c>
      <c r="U727" s="3307"/>
      <c r="V727" s="3366">
        <v>64621150</v>
      </c>
      <c r="W727" s="3309"/>
      <c r="X727" s="3326"/>
      <c r="Y727" s="3311">
        <f t="shared" si="209"/>
        <v>1</v>
      </c>
      <c r="Z727" s="3361">
        <f t="shared" si="209"/>
        <v>112565749</v>
      </c>
      <c r="AA727" s="3311">
        <f t="shared" si="214"/>
        <v>1</v>
      </c>
      <c r="AB727" s="3319">
        <f t="shared" si="214"/>
        <v>112565749</v>
      </c>
      <c r="AC727" s="3332">
        <f t="shared" si="215"/>
        <v>25</v>
      </c>
      <c r="AD727" s="3333">
        <f t="shared" si="215"/>
        <v>6.5812528648269408</v>
      </c>
      <c r="AE727" s="3309"/>
      <c r="AF727" s="2266"/>
      <c r="AG727" s="2266"/>
      <c r="AH727" s="2266"/>
      <c r="AI727" s="2266"/>
      <c r="AJ727" s="3305"/>
      <c r="AK727" s="2266"/>
      <c r="AL727" s="2266"/>
      <c r="AM727" s="2266"/>
      <c r="AN727" s="2266"/>
      <c r="AO727" s="2266"/>
      <c r="AP727" s="2266"/>
      <c r="AQ727" s="2266"/>
      <c r="AR727" s="2266"/>
      <c r="AS727" s="2266"/>
      <c r="AT727" s="2266"/>
      <c r="AU727" s="2266"/>
      <c r="AV727" s="2266"/>
      <c r="AW727" s="2266"/>
      <c r="AX727" s="2266"/>
      <c r="AY727" s="2266"/>
      <c r="AZ727" s="2266"/>
      <c r="BA727" s="2266"/>
      <c r="BB727" s="2266"/>
      <c r="BC727" s="2266"/>
      <c r="BD727" s="2266"/>
      <c r="BE727" s="2266"/>
      <c r="BF727" s="2266"/>
      <c r="BG727" s="2266"/>
      <c r="BH727" s="2266"/>
      <c r="BI727" s="2266"/>
      <c r="BJ727" s="2266"/>
      <c r="BK727" s="2266"/>
      <c r="BL727" s="2266"/>
      <c r="BM727" s="2266"/>
      <c r="BN727" s="2266"/>
      <c r="BO727" s="2266"/>
      <c r="BP727" s="2266"/>
      <c r="BQ727" s="2266"/>
      <c r="BR727" s="2266"/>
      <c r="BS727" s="2266"/>
      <c r="BT727" s="2266"/>
      <c r="BU727" s="2266"/>
      <c r="BV727" s="2266"/>
      <c r="BW727" s="2266"/>
      <c r="BX727" s="2266"/>
    </row>
    <row r="728" spans="1:76" s="2265" customFormat="1" ht="37.5" customHeight="1">
      <c r="A728" s="3307"/>
      <c r="B728" s="3307"/>
      <c r="C728" s="3308" t="s">
        <v>146</v>
      </c>
      <c r="D728" s="3308" t="s">
        <v>65</v>
      </c>
      <c r="E728" s="3308" t="s">
        <v>161</v>
      </c>
      <c r="F728" s="3308" t="s">
        <v>357</v>
      </c>
      <c r="G728" s="3308" t="s">
        <v>1148</v>
      </c>
      <c r="H728" s="3309"/>
      <c r="I728" s="3307" t="s">
        <v>1149</v>
      </c>
      <c r="J728" s="3310" t="s">
        <v>3291</v>
      </c>
      <c r="K728" s="3311">
        <v>5</v>
      </c>
      <c r="L728" s="3312">
        <v>75000000</v>
      </c>
      <c r="M728" s="3311">
        <v>1</v>
      </c>
      <c r="N728" s="3312">
        <v>38725200</v>
      </c>
      <c r="O728" s="3311">
        <v>1</v>
      </c>
      <c r="P728" s="3312">
        <v>28178180</v>
      </c>
      <c r="Q728" s="3312">
        <v>0</v>
      </c>
      <c r="R728" s="3315">
        <v>5129000</v>
      </c>
      <c r="S728" s="3358">
        <v>0</v>
      </c>
      <c r="T728" s="3326">
        <v>11530004</v>
      </c>
      <c r="U728" s="3329">
        <v>0</v>
      </c>
      <c r="V728" s="3326">
        <v>4929000</v>
      </c>
      <c r="W728" s="3359"/>
      <c r="X728" s="3326"/>
      <c r="Y728" s="3312">
        <f t="shared" si="209"/>
        <v>0</v>
      </c>
      <c r="Z728" s="3319">
        <f t="shared" si="209"/>
        <v>21588004</v>
      </c>
      <c r="AA728" s="3311">
        <f t="shared" si="214"/>
        <v>1</v>
      </c>
      <c r="AB728" s="3319">
        <f t="shared" si="214"/>
        <v>60313204</v>
      </c>
      <c r="AC728" s="3332">
        <f t="shared" si="215"/>
        <v>20</v>
      </c>
      <c r="AD728" s="3333">
        <f t="shared" si="215"/>
        <v>80.417605333333327</v>
      </c>
      <c r="AE728" s="3309"/>
      <c r="AF728" s="2806"/>
      <c r="AG728" s="2806"/>
      <c r="AH728" s="2806"/>
      <c r="AI728" s="2806"/>
      <c r="AJ728" s="3305"/>
      <c r="AK728" s="2806"/>
      <c r="AL728" s="2806"/>
      <c r="AM728" s="2806"/>
      <c r="AN728" s="2806"/>
      <c r="AO728" s="2806"/>
      <c r="AP728" s="2806"/>
      <c r="AQ728" s="2806"/>
      <c r="AR728" s="2806"/>
      <c r="AS728" s="2806"/>
      <c r="AT728" s="2806"/>
      <c r="AU728" s="2806"/>
      <c r="AV728" s="2806"/>
      <c r="AW728" s="2806"/>
      <c r="AX728" s="2806"/>
      <c r="AY728" s="2806"/>
      <c r="AZ728" s="2806"/>
      <c r="BA728" s="2806"/>
      <c r="BB728" s="2806"/>
      <c r="BC728" s="2806"/>
      <c r="BD728" s="2806"/>
      <c r="BE728" s="2806"/>
      <c r="BF728" s="2806"/>
      <c r="BG728" s="2806"/>
      <c r="BH728" s="2806"/>
      <c r="BI728" s="2806"/>
      <c r="BJ728" s="2806"/>
      <c r="BK728" s="2806"/>
      <c r="BL728" s="2806"/>
      <c r="BM728" s="2806"/>
      <c r="BN728" s="2806"/>
      <c r="BO728" s="2806"/>
      <c r="BP728" s="2806"/>
      <c r="BQ728" s="2806"/>
      <c r="BR728" s="2806"/>
      <c r="BS728" s="2806"/>
      <c r="BT728" s="2806"/>
      <c r="BU728" s="2806"/>
      <c r="BV728" s="2806"/>
      <c r="BW728" s="2806"/>
      <c r="BX728" s="2806"/>
    </row>
    <row r="729" spans="1:76" s="2263" customFormat="1" ht="76.5">
      <c r="A729" s="4092">
        <v>7</v>
      </c>
      <c r="B729" s="4095" t="s">
        <v>1039</v>
      </c>
      <c r="C729" s="4093" t="s">
        <v>146</v>
      </c>
      <c r="D729" s="4093" t="s">
        <v>65</v>
      </c>
      <c r="E729" s="4093" t="s">
        <v>161</v>
      </c>
      <c r="F729" s="4093" t="s">
        <v>376</v>
      </c>
      <c r="G729" s="4094"/>
      <c r="H729" s="4094"/>
      <c r="I729" s="4092" t="s">
        <v>1156</v>
      </c>
      <c r="J729" s="4095" t="s">
        <v>3293</v>
      </c>
      <c r="K729" s="4096">
        <v>90</v>
      </c>
      <c r="L729" s="4097">
        <f>L730</f>
        <v>417000000</v>
      </c>
      <c r="M729" s="4096">
        <v>70</v>
      </c>
      <c r="N729" s="4097"/>
      <c r="O729" s="4096">
        <v>5</v>
      </c>
      <c r="P729" s="4097">
        <f>SUM(P730)</f>
        <v>58931380</v>
      </c>
      <c r="Q729" s="4107">
        <v>0</v>
      </c>
      <c r="R729" s="4098">
        <f>R730</f>
        <v>5513200</v>
      </c>
      <c r="S729" s="4108">
        <v>5</v>
      </c>
      <c r="T729" s="4100">
        <f>SUM(T730)</f>
        <v>26103820</v>
      </c>
      <c r="U729" s="4092"/>
      <c r="V729" s="4109">
        <f>V730</f>
        <v>4500534</v>
      </c>
      <c r="W729" s="4094"/>
      <c r="X729" s="4100"/>
      <c r="Y729" s="4107">
        <f t="shared" si="209"/>
        <v>5</v>
      </c>
      <c r="Z729" s="4104">
        <f t="shared" si="209"/>
        <v>36117554</v>
      </c>
      <c r="AA729" s="4110">
        <f>M729+Y729</f>
        <v>75</v>
      </c>
      <c r="AB729" s="4104">
        <f>Z729+N729</f>
        <v>36117554</v>
      </c>
      <c r="AC729" s="4110">
        <f t="shared" ref="AC729:AD732" si="216">AA729/K729*100</f>
        <v>83.333333333333343</v>
      </c>
      <c r="AD729" s="4106">
        <f t="shared" si="216"/>
        <v>8.661283932853717</v>
      </c>
      <c r="AE729" s="4094" t="s">
        <v>1056</v>
      </c>
      <c r="AF729" s="2266"/>
      <c r="AG729" s="2266"/>
      <c r="AH729" s="2266"/>
      <c r="AI729" s="2266"/>
      <c r="AJ729" s="3305"/>
      <c r="AK729" s="2266"/>
      <c r="AL729" s="2266"/>
      <c r="AM729" s="2266"/>
      <c r="AN729" s="2266"/>
      <c r="AO729" s="2266"/>
      <c r="AP729" s="2266"/>
      <c r="AQ729" s="2266"/>
      <c r="AR729" s="2266"/>
      <c r="AS729" s="2266"/>
      <c r="AT729" s="2266"/>
      <c r="AU729" s="2266"/>
      <c r="AV729" s="2266"/>
      <c r="AW729" s="2266"/>
      <c r="AX729" s="2266"/>
      <c r="AY729" s="2266"/>
      <c r="AZ729" s="2266"/>
      <c r="BA729" s="2266"/>
      <c r="BB729" s="2266"/>
      <c r="BC729" s="2266"/>
      <c r="BD729" s="2266"/>
      <c r="BE729" s="2266"/>
      <c r="BF729" s="2266"/>
      <c r="BG729" s="2266"/>
      <c r="BH729" s="2266"/>
      <c r="BI729" s="2266"/>
      <c r="BJ729" s="2266"/>
      <c r="BK729" s="2266"/>
      <c r="BL729" s="2266"/>
      <c r="BM729" s="2266"/>
      <c r="BN729" s="2266"/>
      <c r="BO729" s="2266"/>
      <c r="BP729" s="2266"/>
      <c r="BQ729" s="2266"/>
      <c r="BR729" s="2266"/>
      <c r="BS729" s="2266"/>
      <c r="BT729" s="2266"/>
      <c r="BU729" s="2266"/>
      <c r="BV729" s="2266"/>
      <c r="BW729" s="2266"/>
      <c r="BX729" s="2266"/>
    </row>
    <row r="730" spans="1:76" s="2263" customFormat="1" ht="39" customHeight="1">
      <c r="A730" s="3338"/>
      <c r="B730" s="3338"/>
      <c r="C730" s="3339" t="s">
        <v>146</v>
      </c>
      <c r="D730" s="3339" t="s">
        <v>65</v>
      </c>
      <c r="E730" s="3339" t="s">
        <v>161</v>
      </c>
      <c r="F730" s="3339" t="s">
        <v>376</v>
      </c>
      <c r="G730" s="3339" t="s">
        <v>202</v>
      </c>
      <c r="H730" s="3340"/>
      <c r="I730" s="3338" t="s">
        <v>1157</v>
      </c>
      <c r="J730" s="690" t="s">
        <v>3292</v>
      </c>
      <c r="K730" s="3341">
        <v>5</v>
      </c>
      <c r="L730" s="3342">
        <v>417000000</v>
      </c>
      <c r="M730" s="3341"/>
      <c r="N730" s="3342"/>
      <c r="O730" s="3341">
        <v>1</v>
      </c>
      <c r="P730" s="3342">
        <v>58931380</v>
      </c>
      <c r="Q730" s="3342">
        <v>0</v>
      </c>
      <c r="R730" s="3345">
        <v>5513200</v>
      </c>
      <c r="S730" s="3363">
        <v>1</v>
      </c>
      <c r="T730" s="3346">
        <v>26103820</v>
      </c>
      <c r="U730" s="3363">
        <v>0</v>
      </c>
      <c r="V730" s="3367">
        <v>4500534</v>
      </c>
      <c r="W730" s="3364"/>
      <c r="X730" s="3346"/>
      <c r="Y730" s="3342">
        <f t="shared" si="209"/>
        <v>1</v>
      </c>
      <c r="Z730" s="3348">
        <f t="shared" si="209"/>
        <v>36117554</v>
      </c>
      <c r="AA730" s="3341">
        <f>Y730+M730</f>
        <v>1</v>
      </c>
      <c r="AB730" s="3348">
        <f>Z730+N730</f>
        <v>36117554</v>
      </c>
      <c r="AC730" s="3350">
        <f t="shared" si="216"/>
        <v>20</v>
      </c>
      <c r="AD730" s="3351">
        <f t="shared" si="216"/>
        <v>8.661283932853717</v>
      </c>
      <c r="AE730" s="3340"/>
      <c r="AF730" s="2266"/>
      <c r="AG730" s="2266"/>
      <c r="AH730" s="2266"/>
      <c r="AI730" s="2266"/>
      <c r="AJ730" s="3305"/>
      <c r="AK730" s="2266"/>
      <c r="AL730" s="2266"/>
      <c r="AM730" s="2266"/>
      <c r="AN730" s="2266"/>
      <c r="AO730" s="2266"/>
      <c r="AP730" s="2266"/>
      <c r="AQ730" s="2266"/>
      <c r="AR730" s="2266"/>
      <c r="AS730" s="2266"/>
      <c r="AT730" s="2266"/>
      <c r="AU730" s="2266"/>
      <c r="AV730" s="2266"/>
      <c r="AW730" s="2266"/>
      <c r="AX730" s="2266"/>
      <c r="AY730" s="2266"/>
      <c r="AZ730" s="2266"/>
      <c r="BA730" s="2266"/>
      <c r="BB730" s="2266"/>
      <c r="BC730" s="2266"/>
      <c r="BD730" s="2266"/>
      <c r="BE730" s="2266"/>
      <c r="BF730" s="2266"/>
      <c r="BG730" s="2266"/>
      <c r="BH730" s="2266"/>
      <c r="BI730" s="2266"/>
      <c r="BJ730" s="2266"/>
      <c r="BK730" s="2266"/>
      <c r="BL730" s="2266"/>
      <c r="BM730" s="2266"/>
      <c r="BN730" s="2266"/>
      <c r="BO730" s="2266"/>
      <c r="BP730" s="2266"/>
      <c r="BQ730" s="2266"/>
      <c r="BR730" s="2266"/>
      <c r="BS730" s="2266"/>
      <c r="BT730" s="2266"/>
      <c r="BU730" s="2266"/>
      <c r="BV730" s="2266"/>
      <c r="BW730" s="2266"/>
      <c r="BX730" s="2266"/>
    </row>
    <row r="731" spans="1:76" s="2263" customFormat="1" ht="54" customHeight="1">
      <c r="A731" s="4092">
        <v>8</v>
      </c>
      <c r="B731" s="4092"/>
      <c r="C731" s="4093" t="s">
        <v>146</v>
      </c>
      <c r="D731" s="4093" t="s">
        <v>65</v>
      </c>
      <c r="E731" s="4093" t="s">
        <v>161</v>
      </c>
      <c r="F731" s="4093" t="s">
        <v>67</v>
      </c>
      <c r="G731" s="4094"/>
      <c r="H731" s="4094"/>
      <c r="I731" s="4092" t="s">
        <v>3879</v>
      </c>
      <c r="J731" s="4095" t="s">
        <v>3907</v>
      </c>
      <c r="K731" s="4096">
        <v>10</v>
      </c>
      <c r="L731" s="4097">
        <f>L732</f>
        <v>200000000</v>
      </c>
      <c r="M731" s="4096"/>
      <c r="N731" s="4097">
        <f>N732</f>
        <v>0</v>
      </c>
      <c r="O731" s="4096">
        <v>10</v>
      </c>
      <c r="P731" s="4097">
        <f>SUM(P732)</f>
        <v>101630660</v>
      </c>
      <c r="Q731" s="4097">
        <v>0</v>
      </c>
      <c r="R731" s="4098">
        <f>R732</f>
        <v>1056720</v>
      </c>
      <c r="S731" s="4099">
        <v>0</v>
      </c>
      <c r="T731" s="4100">
        <f>T732</f>
        <v>4433920</v>
      </c>
      <c r="U731" s="4101">
        <v>5</v>
      </c>
      <c r="V731" s="4102">
        <f>V732</f>
        <v>4768983</v>
      </c>
      <c r="W731" s="4103"/>
      <c r="X731" s="4100"/>
      <c r="Y731" s="4097">
        <f t="shared" si="209"/>
        <v>5</v>
      </c>
      <c r="Z731" s="4104">
        <f>R731+T731+V731+X731</f>
        <v>10259623</v>
      </c>
      <c r="AA731" s="4096">
        <f>Y731+M731</f>
        <v>5</v>
      </c>
      <c r="AB731" s="4104">
        <f>Z731+N731</f>
        <v>10259623</v>
      </c>
      <c r="AC731" s="4105">
        <f t="shared" si="216"/>
        <v>50</v>
      </c>
      <c r="AD731" s="4106">
        <f t="shared" si="216"/>
        <v>5.1298114999999997</v>
      </c>
      <c r="AE731" s="4094" t="s">
        <v>3908</v>
      </c>
      <c r="AF731" s="2266"/>
      <c r="AG731" s="2266"/>
      <c r="AH731" s="2266"/>
      <c r="AI731" s="2266"/>
      <c r="AJ731" s="3305"/>
      <c r="AK731" s="2266"/>
      <c r="AL731" s="2266"/>
      <c r="AM731" s="2266"/>
      <c r="AN731" s="2266"/>
      <c r="AO731" s="2266"/>
      <c r="AP731" s="2266"/>
      <c r="AQ731" s="2266"/>
      <c r="AR731" s="2266"/>
      <c r="AS731" s="2266"/>
      <c r="AT731" s="2266"/>
      <c r="AU731" s="2266"/>
      <c r="AV731" s="2266"/>
      <c r="AW731" s="2266"/>
      <c r="AX731" s="2266"/>
      <c r="AY731" s="2266"/>
      <c r="AZ731" s="2266"/>
      <c r="BA731" s="2266"/>
      <c r="BB731" s="2266"/>
      <c r="BC731" s="2266"/>
      <c r="BD731" s="2266"/>
      <c r="BE731" s="2266"/>
      <c r="BF731" s="2266"/>
      <c r="BG731" s="2266"/>
      <c r="BH731" s="2266"/>
      <c r="BI731" s="2266"/>
      <c r="BJ731" s="2266"/>
      <c r="BK731" s="2266"/>
      <c r="BL731" s="2266"/>
      <c r="BM731" s="2266"/>
      <c r="BN731" s="2266"/>
      <c r="BO731" s="2266"/>
      <c r="BP731" s="2266"/>
      <c r="BQ731" s="2266"/>
      <c r="BR731" s="2266"/>
      <c r="BS731" s="2266"/>
      <c r="BT731" s="2266"/>
      <c r="BU731" s="2266"/>
      <c r="BV731" s="2266"/>
      <c r="BW731" s="2266"/>
      <c r="BX731" s="2266"/>
    </row>
    <row r="732" spans="1:76" s="2263" customFormat="1" ht="39" customHeight="1">
      <c r="A732" s="3338"/>
      <c r="B732" s="3338"/>
      <c r="C732" s="3339" t="s">
        <v>146</v>
      </c>
      <c r="D732" s="3339" t="s">
        <v>65</v>
      </c>
      <c r="E732" s="3339" t="s">
        <v>161</v>
      </c>
      <c r="F732" s="3339" t="s">
        <v>376</v>
      </c>
      <c r="G732" s="3339" t="s">
        <v>146</v>
      </c>
      <c r="H732" s="3340"/>
      <c r="I732" s="3338" t="s">
        <v>3880</v>
      </c>
      <c r="J732" s="690" t="s">
        <v>3881</v>
      </c>
      <c r="K732" s="3341">
        <v>1</v>
      </c>
      <c r="L732" s="3342">
        <v>200000000</v>
      </c>
      <c r="M732" s="3341"/>
      <c r="N732" s="3342">
        <v>0</v>
      </c>
      <c r="O732" s="3341">
        <v>1</v>
      </c>
      <c r="P732" s="3342">
        <v>101630660</v>
      </c>
      <c r="Q732" s="3342">
        <v>0</v>
      </c>
      <c r="R732" s="3345">
        <v>1056720</v>
      </c>
      <c r="S732" s="3605">
        <v>0</v>
      </c>
      <c r="T732" s="3346">
        <v>4433920</v>
      </c>
      <c r="U732" s="3605">
        <v>0.2</v>
      </c>
      <c r="V732" s="3367">
        <v>4768983</v>
      </c>
      <c r="W732" s="3364"/>
      <c r="X732" s="3346"/>
      <c r="Y732" s="4091">
        <f t="shared" si="209"/>
        <v>0.2</v>
      </c>
      <c r="Z732" s="3348">
        <f>R732+T732+V732+X732</f>
        <v>10259623</v>
      </c>
      <c r="AA732" s="3341">
        <f>Y732+M732</f>
        <v>0.2</v>
      </c>
      <c r="AB732" s="3348">
        <f>Z732+N732</f>
        <v>10259623</v>
      </c>
      <c r="AC732" s="3350">
        <f t="shared" si="216"/>
        <v>20</v>
      </c>
      <c r="AD732" s="3351">
        <f t="shared" si="216"/>
        <v>5.1298114999999997</v>
      </c>
      <c r="AE732" s="3340"/>
      <c r="AF732" s="2266"/>
      <c r="AG732" s="2266"/>
      <c r="AH732" s="2266"/>
      <c r="AI732" s="2266"/>
      <c r="AJ732" s="3305"/>
      <c r="AK732" s="2266"/>
      <c r="AL732" s="2266"/>
      <c r="AM732" s="2266"/>
      <c r="AN732" s="2266"/>
      <c r="AO732" s="2266"/>
      <c r="AP732" s="2266"/>
      <c r="AQ732" s="2266"/>
      <c r="AR732" s="2266"/>
      <c r="AS732" s="2266"/>
      <c r="AT732" s="2266"/>
      <c r="AU732" s="2266"/>
      <c r="AV732" s="2266"/>
      <c r="AW732" s="2266"/>
      <c r="AX732" s="2266"/>
      <c r="AY732" s="2266"/>
      <c r="AZ732" s="2266"/>
      <c r="BA732" s="2266"/>
      <c r="BB732" s="2266"/>
      <c r="BC732" s="2266"/>
      <c r="BD732" s="2266"/>
      <c r="BE732" s="2266"/>
      <c r="BF732" s="2266"/>
      <c r="BG732" s="2266"/>
      <c r="BH732" s="2266"/>
      <c r="BI732" s="2266"/>
      <c r="BJ732" s="2266"/>
      <c r="BK732" s="2266"/>
      <c r="BL732" s="2266"/>
      <c r="BM732" s="2266"/>
      <c r="BN732" s="2266"/>
      <c r="BO732" s="2266"/>
      <c r="BP732" s="2266"/>
      <c r="BQ732" s="2266"/>
      <c r="BR732" s="2266"/>
      <c r="BS732" s="2266"/>
      <c r="BT732" s="2266"/>
      <c r="BU732" s="2266"/>
      <c r="BV732" s="2266"/>
      <c r="BW732" s="2266"/>
      <c r="BX732" s="2266"/>
    </row>
    <row r="733" spans="1:76" s="2263" customFormat="1">
      <c r="A733" s="4244" t="s">
        <v>89</v>
      </c>
      <c r="B733" s="4244"/>
      <c r="C733" s="4245"/>
      <c r="D733" s="4245"/>
      <c r="E733" s="4245"/>
      <c r="F733" s="4245"/>
      <c r="G733" s="4245"/>
      <c r="H733" s="4245"/>
      <c r="I733" s="4245"/>
      <c r="J733" s="4245"/>
      <c r="K733" s="4245"/>
      <c r="L733" s="4245"/>
      <c r="M733" s="4245"/>
      <c r="N733" s="4245"/>
      <c r="O733" s="4245"/>
      <c r="P733" s="4245"/>
      <c r="Q733" s="4245"/>
      <c r="R733" s="4245"/>
      <c r="S733" s="4245"/>
      <c r="T733" s="4245"/>
      <c r="U733" s="4245"/>
      <c r="V733" s="4245"/>
      <c r="W733" s="4245"/>
      <c r="X733" s="4245"/>
      <c r="Y733" s="4245"/>
      <c r="Z733" s="4245"/>
      <c r="AA733" s="4245"/>
      <c r="AB733" s="4245"/>
      <c r="AC733" s="2030">
        <f>(AC691+AC705+AC709+AC711+AC713+AC722+AC729)/7</f>
        <v>77.992360162719791</v>
      </c>
      <c r="AD733" s="2030">
        <f>(AD691+AD705+AD709+AD711+AD713+AD722+AD729)/7</f>
        <v>43.864076756168721</v>
      </c>
      <c r="AE733" s="390"/>
      <c r="AF733" s="2266"/>
      <c r="AG733" s="2266"/>
      <c r="AH733" s="2266"/>
      <c r="AI733" s="2266"/>
      <c r="AJ733" s="2266"/>
      <c r="AK733" s="2266"/>
      <c r="AL733" s="2266"/>
      <c r="AM733" s="2266"/>
      <c r="AN733" s="2266"/>
      <c r="AO733" s="2266"/>
      <c r="AP733" s="2266"/>
      <c r="AQ733" s="2266"/>
      <c r="AR733" s="2266"/>
      <c r="AS733" s="2266"/>
      <c r="AT733" s="2266"/>
      <c r="AU733" s="2266"/>
      <c r="AV733" s="2266"/>
      <c r="AW733" s="2266"/>
      <c r="AX733" s="2266"/>
      <c r="AY733" s="2266"/>
      <c r="AZ733" s="2266"/>
      <c r="BA733" s="2266"/>
      <c r="BB733" s="2266"/>
      <c r="BC733" s="2266"/>
      <c r="BD733" s="2266"/>
      <c r="BE733" s="2266"/>
      <c r="BF733" s="2266"/>
      <c r="BG733" s="2266"/>
      <c r="BH733" s="2266"/>
      <c r="BI733" s="2266"/>
      <c r="BJ733" s="2266"/>
      <c r="BK733" s="2266"/>
      <c r="BL733" s="2266"/>
      <c r="BM733" s="2266"/>
      <c r="BN733" s="2266"/>
      <c r="BO733" s="2266"/>
      <c r="BP733" s="2266"/>
      <c r="BQ733" s="2266"/>
      <c r="BR733" s="2266"/>
      <c r="BS733" s="2266"/>
      <c r="BT733" s="2266"/>
      <c r="BU733" s="2266"/>
      <c r="BV733" s="2266"/>
      <c r="BW733" s="2266"/>
      <c r="BX733" s="2266"/>
    </row>
    <row r="734" spans="1:76" s="2265" customFormat="1">
      <c r="A734" s="4244" t="s">
        <v>90</v>
      </c>
      <c r="B734" s="4244"/>
      <c r="C734" s="4245"/>
      <c r="D734" s="4245"/>
      <c r="E734" s="4245"/>
      <c r="F734" s="4245"/>
      <c r="G734" s="4245"/>
      <c r="H734" s="4245"/>
      <c r="I734" s="4245"/>
      <c r="J734" s="4245"/>
      <c r="K734" s="4245"/>
      <c r="L734" s="4245"/>
      <c r="M734" s="4245"/>
      <c r="N734" s="4245"/>
      <c r="O734" s="4245"/>
      <c r="P734" s="4245"/>
      <c r="Q734" s="4245"/>
      <c r="R734" s="4245"/>
      <c r="S734" s="4245"/>
      <c r="T734" s="4245"/>
      <c r="U734" s="4245"/>
      <c r="V734" s="4245"/>
      <c r="W734" s="4245"/>
      <c r="X734" s="4245"/>
      <c r="Y734" s="4245"/>
      <c r="Z734" s="4245"/>
      <c r="AA734" s="4245"/>
      <c r="AB734" s="4245"/>
      <c r="AC734" s="3152" t="str">
        <f>IF(AC733&gt;=91,"ST",IF(AC733&gt;=76,"T",IF(AC733&gt;=66,"S",IF(AC733&gt;=51,"R","SR"))))</f>
        <v>T</v>
      </c>
      <c r="AD734" s="3152" t="str">
        <f>IF(AD733&gt;=91,"ST",IF(AD733&gt;=76,"T",IF(AD733&gt;=66,"S",IF(AD733&gt;=51,"R","SR"))))</f>
        <v>SR</v>
      </c>
      <c r="AE734" s="390"/>
      <c r="AF734" s="2806"/>
      <c r="AG734" s="2806"/>
      <c r="AH734" s="2806"/>
      <c r="AI734" s="2806"/>
      <c r="AJ734" s="2806"/>
      <c r="AK734" s="2806"/>
      <c r="AL734" s="2806"/>
      <c r="AM734" s="2806"/>
      <c r="AN734" s="2806"/>
      <c r="AO734" s="2806"/>
      <c r="AP734" s="2806"/>
      <c r="AQ734" s="2806"/>
      <c r="AR734" s="2806"/>
      <c r="AS734" s="2806"/>
      <c r="AT734" s="2806"/>
      <c r="AU734" s="2806"/>
      <c r="AV734" s="2806"/>
      <c r="AW734" s="2806"/>
      <c r="AX734" s="2806"/>
      <c r="AY734" s="2806"/>
      <c r="AZ734" s="2806"/>
      <c r="BA734" s="2806"/>
      <c r="BB734" s="2806"/>
      <c r="BC734" s="2806"/>
      <c r="BD734" s="2806"/>
      <c r="BE734" s="2806"/>
      <c r="BF734" s="2806"/>
      <c r="BG734" s="2806"/>
      <c r="BH734" s="2806"/>
      <c r="BI734" s="2806"/>
      <c r="BJ734" s="2806"/>
      <c r="BK734" s="2806"/>
      <c r="BL734" s="2806"/>
      <c r="BM734" s="2806"/>
      <c r="BN734" s="2806"/>
      <c r="BO734" s="2806"/>
      <c r="BP734" s="2806"/>
      <c r="BQ734" s="2806"/>
      <c r="BR734" s="2806"/>
      <c r="BS734" s="2806"/>
      <c r="BT734" s="2806"/>
      <c r="BU734" s="2806"/>
      <c r="BV734" s="2806"/>
      <c r="BW734" s="2806"/>
      <c r="BX734" s="2806"/>
    </row>
    <row r="735" spans="1:76" s="353" customFormat="1" ht="38.25">
      <c r="A735" s="2546" t="s">
        <v>3253</v>
      </c>
      <c r="B735" s="2918"/>
      <c r="C735" s="2546"/>
      <c r="D735" s="2546"/>
      <c r="E735" s="2546"/>
      <c r="F735" s="2546"/>
      <c r="G735" s="2546"/>
      <c r="H735" s="2546"/>
      <c r="I735" s="2515" t="s">
        <v>139</v>
      </c>
      <c r="J735" s="2918"/>
      <c r="K735" s="3210"/>
      <c r="L735" s="3194">
        <f>L736+L749+L752+L754</f>
        <v>27532500000</v>
      </c>
      <c r="M735" s="3210"/>
      <c r="N735" s="3222">
        <f>N736+N749+N752+N754</f>
        <v>4305519450</v>
      </c>
      <c r="O735" s="3210"/>
      <c r="P735" s="3222">
        <f>SUM(P736+P749+P752+P754)</f>
        <v>7422219464</v>
      </c>
      <c r="Q735" s="3210">
        <v>3</v>
      </c>
      <c r="R735" s="2916">
        <f>SUM(R736+R749+R752+R754)</f>
        <v>371373863.60000002</v>
      </c>
      <c r="S735" s="2918"/>
      <c r="T735" s="2916">
        <f>SUM(T736+T749+T752+T754)</f>
        <v>1755135275.9200001</v>
      </c>
      <c r="U735" s="2918"/>
      <c r="V735" s="2916">
        <f>SUM(V736+V749+V752+V754)</f>
        <v>2259565550</v>
      </c>
      <c r="W735" s="2918"/>
      <c r="X735" s="2918"/>
      <c r="Y735" s="3210"/>
      <c r="Z735" s="2916">
        <f>R735+T735+V735</f>
        <v>4386074689.5200005</v>
      </c>
      <c r="AA735" s="3210"/>
      <c r="AB735" s="2916">
        <f>AB736+AB749+AB752+AB754</f>
        <v>8677382139.5200005</v>
      </c>
      <c r="AC735" s="3210"/>
      <c r="AD735" s="3210"/>
      <c r="AE735" s="3211"/>
    </row>
    <row r="736" spans="1:76" s="2266" customFormat="1" ht="57.75" customHeight="1">
      <c r="A736" s="2575">
        <v>1</v>
      </c>
      <c r="B736" s="3153" t="s">
        <v>693</v>
      </c>
      <c r="C736" s="2579">
        <v>3</v>
      </c>
      <c r="D736" s="2579" t="s">
        <v>107</v>
      </c>
      <c r="E736" s="2579" t="s">
        <v>65</v>
      </c>
      <c r="F736" s="2579" t="s">
        <v>66</v>
      </c>
      <c r="G736" s="2579">
        <v>26</v>
      </c>
      <c r="H736" s="2575"/>
      <c r="I736" s="2501" t="s">
        <v>221</v>
      </c>
      <c r="J736" s="2501" t="s">
        <v>2225</v>
      </c>
      <c r="K736" s="2577">
        <v>100</v>
      </c>
      <c r="L736" s="2545">
        <f>SUM(L737:L748)</f>
        <v>4990000000</v>
      </c>
      <c r="M736" s="2577">
        <v>80</v>
      </c>
      <c r="N736" s="3105">
        <f>SUM(N737:N748)</f>
        <v>1038145700</v>
      </c>
      <c r="O736" s="2545">
        <v>85</v>
      </c>
      <c r="P736" s="2545">
        <f>SUM(P737:P748)</f>
        <v>519072850</v>
      </c>
      <c r="Q736" s="2543">
        <v>3</v>
      </c>
      <c r="R736" s="2757">
        <f>SUM(R737:R748)</f>
        <v>87155553.600000009</v>
      </c>
      <c r="S736" s="2545">
        <v>3</v>
      </c>
      <c r="T736" s="2852">
        <f>SUM(T737:T748)</f>
        <v>120604925.92</v>
      </c>
      <c r="U736" s="2578">
        <v>3</v>
      </c>
      <c r="V736" s="2852">
        <f>SUM(V737:V748)</f>
        <v>84247730</v>
      </c>
      <c r="W736" s="2578"/>
      <c r="X736" s="2578"/>
      <c r="Y736" s="2545">
        <f t="shared" ref="Y736:Y754" si="217">Q736+S736+U736+W736</f>
        <v>9</v>
      </c>
      <c r="Z736" s="2581">
        <f>SUM(Z737:Z748)</f>
        <v>277796209.52000004</v>
      </c>
      <c r="AA736" s="2545">
        <f t="shared" ref="AA736:AA753" si="218">M736+Y736</f>
        <v>89</v>
      </c>
      <c r="AB736" s="2581">
        <f t="shared" ref="AB736:AB753" si="219">N736+Z736</f>
        <v>1315941909.52</v>
      </c>
      <c r="AC736" s="2584">
        <f t="shared" ref="AC736:AC753" si="220">(AA736/K736)*100</f>
        <v>89</v>
      </c>
      <c r="AD736" s="2584">
        <f t="shared" ref="AD736:AD753" si="221">(AB736/L736)*100</f>
        <v>26.371581353106212</v>
      </c>
      <c r="AE736" s="3135" t="s">
        <v>2187</v>
      </c>
      <c r="AF736" s="3223"/>
    </row>
    <row r="737" spans="1:33" s="2266" customFormat="1" ht="50.25" customHeight="1">
      <c r="A737" s="1484"/>
      <c r="B737" s="1484"/>
      <c r="C737" s="1416"/>
      <c r="D737" s="1416"/>
      <c r="E737" s="1416"/>
      <c r="F737" s="1416"/>
      <c r="G737" s="1416"/>
      <c r="H737" s="1484"/>
      <c r="I737" s="3169" t="s">
        <v>147</v>
      </c>
      <c r="J737" s="3169" t="s">
        <v>2226</v>
      </c>
      <c r="K737" s="2334">
        <v>72</v>
      </c>
      <c r="L737" s="2853">
        <v>350000000</v>
      </c>
      <c r="M737" s="2334">
        <v>24</v>
      </c>
      <c r="N737" s="2853">
        <v>122400000</v>
      </c>
      <c r="O737" s="2853">
        <v>12</v>
      </c>
      <c r="P737" s="2853">
        <v>61200000</v>
      </c>
      <c r="Q737" s="3273">
        <v>3</v>
      </c>
      <c r="R737" s="2980">
        <v>17197410</v>
      </c>
      <c r="S737" s="2421">
        <v>3</v>
      </c>
      <c r="T737" s="3116">
        <v>19525.8</v>
      </c>
      <c r="U737" s="1486">
        <v>3</v>
      </c>
      <c r="V737" s="2119">
        <v>13362230</v>
      </c>
      <c r="W737" s="1486"/>
      <c r="X737" s="1486"/>
      <c r="Y737" s="2421">
        <f t="shared" si="217"/>
        <v>9</v>
      </c>
      <c r="Z737" s="3106">
        <f>R737+T737+V737</f>
        <v>30579165.800000001</v>
      </c>
      <c r="AA737" s="2421">
        <f t="shared" si="218"/>
        <v>33</v>
      </c>
      <c r="AB737" s="1938">
        <f t="shared" si="219"/>
        <v>152979165.80000001</v>
      </c>
      <c r="AC737" s="2586">
        <f t="shared" si="220"/>
        <v>45.833333333333329</v>
      </c>
      <c r="AD737" s="2586">
        <f t="shared" si="221"/>
        <v>43.708333085714287</v>
      </c>
      <c r="AE737" s="2783"/>
      <c r="AG737" s="3369"/>
    </row>
    <row r="738" spans="1:33" s="2266" customFormat="1" ht="42" customHeight="1">
      <c r="A738" s="1484"/>
      <c r="B738" s="1484"/>
      <c r="C738" s="1416"/>
      <c r="D738" s="1416"/>
      <c r="E738" s="1416"/>
      <c r="F738" s="1416"/>
      <c r="G738" s="1416"/>
      <c r="H738" s="1484"/>
      <c r="I738" s="3169" t="s">
        <v>1287</v>
      </c>
      <c r="J738" s="3169" t="s">
        <v>2227</v>
      </c>
      <c r="K738" s="2334">
        <v>72</v>
      </c>
      <c r="L738" s="2853">
        <v>750000000</v>
      </c>
      <c r="M738" s="2334">
        <v>24</v>
      </c>
      <c r="N738" s="2853">
        <v>253600000</v>
      </c>
      <c r="O738" s="2853">
        <v>12</v>
      </c>
      <c r="P738" s="2853">
        <v>126800000</v>
      </c>
      <c r="Q738" s="3273">
        <v>3</v>
      </c>
      <c r="R738" s="2980">
        <v>25700000</v>
      </c>
      <c r="S738" s="2383">
        <v>3</v>
      </c>
      <c r="T738" s="2854">
        <v>15100000</v>
      </c>
      <c r="U738" s="1486">
        <v>3</v>
      </c>
      <c r="V738" s="2119">
        <v>45100000</v>
      </c>
      <c r="W738" s="1486"/>
      <c r="X738" s="1486"/>
      <c r="Y738" s="2421">
        <f t="shared" si="217"/>
        <v>9</v>
      </c>
      <c r="Z738" s="1938">
        <f>R738+T738+V738</f>
        <v>85900000</v>
      </c>
      <c r="AA738" s="2421">
        <f t="shared" si="218"/>
        <v>33</v>
      </c>
      <c r="AB738" s="1938">
        <f t="shared" si="219"/>
        <v>339500000</v>
      </c>
      <c r="AC738" s="2586">
        <f t="shared" si="220"/>
        <v>45.833333333333329</v>
      </c>
      <c r="AD738" s="2586">
        <f t="shared" si="221"/>
        <v>45.266666666666666</v>
      </c>
      <c r="AE738" s="2783"/>
      <c r="AG738" s="3369"/>
    </row>
    <row r="739" spans="1:33" s="2266" customFormat="1" ht="42" customHeight="1">
      <c r="A739" s="1484"/>
      <c r="B739" s="1484"/>
      <c r="C739" s="1416"/>
      <c r="D739" s="1416"/>
      <c r="E739" s="1416"/>
      <c r="F739" s="1416"/>
      <c r="G739" s="1416"/>
      <c r="H739" s="1484"/>
      <c r="I739" s="3169" t="s">
        <v>149</v>
      </c>
      <c r="J739" s="3169" t="s">
        <v>2228</v>
      </c>
      <c r="K739" s="2334">
        <v>72</v>
      </c>
      <c r="L739" s="2853">
        <v>225000000</v>
      </c>
      <c r="M739" s="2334">
        <v>24</v>
      </c>
      <c r="N739" s="2853">
        <v>63470400</v>
      </c>
      <c r="O739" s="2853">
        <v>12</v>
      </c>
      <c r="P739" s="2853">
        <v>31735200</v>
      </c>
      <c r="Q739" s="3273">
        <v>3</v>
      </c>
      <c r="R739" s="1487">
        <v>32076000</v>
      </c>
      <c r="S739" s="2383">
        <v>3</v>
      </c>
      <c r="T739" s="1457">
        <v>56615000</v>
      </c>
      <c r="U739" s="1486">
        <v>3</v>
      </c>
      <c r="V739" s="2119">
        <v>2241000</v>
      </c>
      <c r="W739" s="1486"/>
      <c r="X739" s="1486"/>
      <c r="Y739" s="2421">
        <f t="shared" si="217"/>
        <v>9</v>
      </c>
      <c r="Z739" s="3106">
        <f>R739+T739+V739</f>
        <v>90932000</v>
      </c>
      <c r="AA739" s="2421">
        <f t="shared" si="218"/>
        <v>33</v>
      </c>
      <c r="AB739" s="1938">
        <f t="shared" si="219"/>
        <v>154402400</v>
      </c>
      <c r="AC739" s="2586">
        <f t="shared" si="220"/>
        <v>45.833333333333329</v>
      </c>
      <c r="AD739" s="2586">
        <f t="shared" si="221"/>
        <v>68.623288888888894</v>
      </c>
      <c r="AE739" s="2783"/>
      <c r="AG739" s="3369"/>
    </row>
    <row r="740" spans="1:33" s="63" customFormat="1" ht="42" customHeight="1">
      <c r="A740" s="1484"/>
      <c r="B740" s="1484"/>
      <c r="C740" s="1416"/>
      <c r="D740" s="1416"/>
      <c r="E740" s="1416"/>
      <c r="F740" s="1416"/>
      <c r="G740" s="1416"/>
      <c r="H740" s="1484"/>
      <c r="I740" s="3169" t="s">
        <v>1410</v>
      </c>
      <c r="J740" s="3169" t="s">
        <v>2229</v>
      </c>
      <c r="K740" s="2334">
        <v>72</v>
      </c>
      <c r="L740" s="2853">
        <v>125000000</v>
      </c>
      <c r="M740" s="2334">
        <v>24</v>
      </c>
      <c r="N740" s="2853">
        <v>9000000</v>
      </c>
      <c r="O740" s="2853">
        <v>12</v>
      </c>
      <c r="P740" s="2853">
        <v>4500000</v>
      </c>
      <c r="Q740" s="3273">
        <v>3</v>
      </c>
      <c r="R740" s="2980">
        <v>1060000</v>
      </c>
      <c r="S740" s="2383">
        <v>3</v>
      </c>
      <c r="T740" s="2854">
        <v>531000</v>
      </c>
      <c r="U740" s="1486">
        <v>3</v>
      </c>
      <c r="V740" s="2119">
        <v>745000</v>
      </c>
      <c r="W740" s="1486"/>
      <c r="X740" s="1486"/>
      <c r="Y740" s="2421">
        <f t="shared" si="217"/>
        <v>9</v>
      </c>
      <c r="Z740" s="1938">
        <f t="shared" ref="Z740:Z749" si="222">R740+T740+V740+X740</f>
        <v>2336000</v>
      </c>
      <c r="AA740" s="2421">
        <f t="shared" si="218"/>
        <v>33</v>
      </c>
      <c r="AB740" s="1938">
        <f t="shared" si="219"/>
        <v>11336000</v>
      </c>
      <c r="AC740" s="2586">
        <f t="shared" si="220"/>
        <v>45.833333333333329</v>
      </c>
      <c r="AD740" s="2586">
        <f t="shared" si="221"/>
        <v>9.0688000000000013</v>
      </c>
      <c r="AE740" s="2783"/>
      <c r="AG740" s="3369"/>
    </row>
    <row r="741" spans="1:33" s="145" customFormat="1" ht="42" customHeight="1">
      <c r="A741" s="1484"/>
      <c r="B741" s="1484"/>
      <c r="C741" s="1416"/>
      <c r="D741" s="1416"/>
      <c r="E741" s="1416"/>
      <c r="F741" s="1416"/>
      <c r="G741" s="1416"/>
      <c r="H741" s="1484"/>
      <c r="I741" s="3169" t="s">
        <v>150</v>
      </c>
      <c r="J741" s="3169" t="s">
        <v>2230</v>
      </c>
      <c r="K741" s="2334">
        <v>72</v>
      </c>
      <c r="L741" s="2853">
        <v>220000000</v>
      </c>
      <c r="M741" s="2334">
        <v>24</v>
      </c>
      <c r="N741" s="2853">
        <v>63600000</v>
      </c>
      <c r="O741" s="2853">
        <v>12</v>
      </c>
      <c r="P741" s="2853">
        <v>31800000</v>
      </c>
      <c r="Q741" s="3273">
        <v>3</v>
      </c>
      <c r="R741" s="3104">
        <v>2082.5</v>
      </c>
      <c r="S741" s="2383">
        <v>3</v>
      </c>
      <c r="T741" s="1457">
        <v>28697450</v>
      </c>
      <c r="U741" s="1486">
        <v>3</v>
      </c>
      <c r="V741" s="2119">
        <v>210000</v>
      </c>
      <c r="W741" s="1486"/>
      <c r="X741" s="1486"/>
      <c r="Y741" s="2421">
        <f t="shared" si="217"/>
        <v>9</v>
      </c>
      <c r="Z741" s="3106">
        <f>R741+T741</f>
        <v>28699532.5</v>
      </c>
      <c r="AA741" s="2421">
        <f t="shared" si="218"/>
        <v>33</v>
      </c>
      <c r="AB741" s="1938">
        <f t="shared" si="219"/>
        <v>92299532.5</v>
      </c>
      <c r="AC741" s="2586">
        <f t="shared" si="220"/>
        <v>45.833333333333329</v>
      </c>
      <c r="AD741" s="2586">
        <f t="shared" si="221"/>
        <v>41.954332954545457</v>
      </c>
      <c r="AE741" s="2783"/>
      <c r="AG741" s="3369"/>
    </row>
    <row r="742" spans="1:33" s="63" customFormat="1" ht="53.25" customHeight="1">
      <c r="A742" s="1484"/>
      <c r="B742" s="1484"/>
      <c r="C742" s="1416"/>
      <c r="D742" s="1416"/>
      <c r="E742" s="1416"/>
      <c r="F742" s="1416"/>
      <c r="G742" s="1416"/>
      <c r="H742" s="1484"/>
      <c r="I742" s="3169" t="s">
        <v>151</v>
      </c>
      <c r="J742" s="3169" t="s">
        <v>2231</v>
      </c>
      <c r="K742" s="2334">
        <v>72</v>
      </c>
      <c r="L742" s="2406">
        <v>120000000</v>
      </c>
      <c r="M742" s="2334">
        <v>150</v>
      </c>
      <c r="N742" s="2853">
        <v>40400000</v>
      </c>
      <c r="O742" s="2853">
        <v>12</v>
      </c>
      <c r="P742" s="2853">
        <v>20200000</v>
      </c>
      <c r="Q742" s="3273">
        <v>3</v>
      </c>
      <c r="R742" s="3104">
        <v>0</v>
      </c>
      <c r="S742" s="1457">
        <v>3</v>
      </c>
      <c r="T742" s="2854">
        <v>8366000</v>
      </c>
      <c r="U742" s="1486">
        <v>3</v>
      </c>
      <c r="V742" s="2119">
        <v>1520000</v>
      </c>
      <c r="W742" s="1486"/>
      <c r="X742" s="1486"/>
      <c r="Y742" s="2421">
        <f t="shared" si="217"/>
        <v>9</v>
      </c>
      <c r="Z742" s="1938">
        <f t="shared" si="222"/>
        <v>9886000</v>
      </c>
      <c r="AA742" s="2421">
        <f t="shared" si="218"/>
        <v>159</v>
      </c>
      <c r="AB742" s="1938">
        <f t="shared" si="219"/>
        <v>50286000</v>
      </c>
      <c r="AC742" s="2586">
        <f t="shared" si="220"/>
        <v>220.83333333333334</v>
      </c>
      <c r="AD742" s="2586">
        <f t="shared" si="221"/>
        <v>41.905000000000001</v>
      </c>
      <c r="AE742" s="2783"/>
      <c r="AG742" s="3369"/>
    </row>
    <row r="743" spans="1:33" s="63" customFormat="1" ht="46.5" customHeight="1">
      <c r="A743" s="1484"/>
      <c r="B743" s="1484"/>
      <c r="C743" s="1416"/>
      <c r="D743" s="1416"/>
      <c r="E743" s="1416"/>
      <c r="F743" s="1416"/>
      <c r="G743" s="1416"/>
      <c r="H743" s="1484"/>
      <c r="I743" s="3169" t="s">
        <v>152</v>
      </c>
      <c r="J743" s="3169" t="s">
        <v>2232</v>
      </c>
      <c r="K743" s="2334">
        <v>72</v>
      </c>
      <c r="L743" s="2406">
        <v>100000000</v>
      </c>
      <c r="M743" s="2334">
        <v>24</v>
      </c>
      <c r="N743" s="2853">
        <v>15820300</v>
      </c>
      <c r="O743" s="2853">
        <v>12</v>
      </c>
      <c r="P743" s="2853">
        <v>7910150</v>
      </c>
      <c r="Q743" s="3273">
        <v>3</v>
      </c>
      <c r="R743" s="3104">
        <v>553000</v>
      </c>
      <c r="S743" s="1486">
        <v>3</v>
      </c>
      <c r="T743" s="1487">
        <v>217000</v>
      </c>
      <c r="U743" s="1486">
        <v>3</v>
      </c>
      <c r="V743" s="2119">
        <v>1210000</v>
      </c>
      <c r="W743" s="1486"/>
      <c r="X743" s="1486"/>
      <c r="Y743" s="2421">
        <f t="shared" si="217"/>
        <v>9</v>
      </c>
      <c r="Z743" s="1938">
        <f t="shared" si="222"/>
        <v>1980000</v>
      </c>
      <c r="AA743" s="2421">
        <f t="shared" si="218"/>
        <v>33</v>
      </c>
      <c r="AB743" s="1938">
        <f t="shared" si="219"/>
        <v>17800300</v>
      </c>
      <c r="AC743" s="2586">
        <f t="shared" si="220"/>
        <v>45.833333333333329</v>
      </c>
      <c r="AD743" s="2586">
        <f t="shared" si="221"/>
        <v>17.8003</v>
      </c>
      <c r="AE743" s="2783"/>
      <c r="AG743" s="3369"/>
    </row>
    <row r="744" spans="1:33" s="63" customFormat="1" ht="46.5" customHeight="1">
      <c r="A744" s="1484"/>
      <c r="B744" s="1484"/>
      <c r="C744" s="1416"/>
      <c r="D744" s="1416"/>
      <c r="E744" s="1416"/>
      <c r="F744" s="1416"/>
      <c r="G744" s="1416"/>
      <c r="H744" s="1484"/>
      <c r="I744" s="3169" t="s">
        <v>238</v>
      </c>
      <c r="J744" s="3169" t="s">
        <v>2233</v>
      </c>
      <c r="K744" s="2334">
        <v>72</v>
      </c>
      <c r="L744" s="2406">
        <v>750000000</v>
      </c>
      <c r="M744" s="2334">
        <v>24</v>
      </c>
      <c r="N744" s="2853">
        <v>111900000</v>
      </c>
      <c r="O744" s="2853">
        <v>12</v>
      </c>
      <c r="P744" s="2853">
        <v>55950000</v>
      </c>
      <c r="Q744" s="3273">
        <v>3</v>
      </c>
      <c r="R744" s="2980">
        <v>6900000</v>
      </c>
      <c r="S744" s="1486">
        <v>3</v>
      </c>
      <c r="T744" s="1487">
        <v>6125000</v>
      </c>
      <c r="U744" s="1486">
        <v>3</v>
      </c>
      <c r="V744" s="2119">
        <v>0</v>
      </c>
      <c r="W744" s="1486"/>
      <c r="X744" s="1486"/>
      <c r="Y744" s="2421">
        <f t="shared" si="217"/>
        <v>9</v>
      </c>
      <c r="Z744" s="1938">
        <f t="shared" si="222"/>
        <v>13025000</v>
      </c>
      <c r="AA744" s="2421">
        <f t="shared" si="218"/>
        <v>33</v>
      </c>
      <c r="AB744" s="1938">
        <f t="shared" si="219"/>
        <v>124925000</v>
      </c>
      <c r="AC744" s="2586">
        <f t="shared" si="220"/>
        <v>45.833333333333329</v>
      </c>
      <c r="AD744" s="2586">
        <f t="shared" si="221"/>
        <v>16.656666666666666</v>
      </c>
      <c r="AE744" s="2783"/>
      <c r="AG744" s="3369"/>
    </row>
    <row r="745" spans="1:33" s="63" customFormat="1" ht="67.5" customHeight="1">
      <c r="A745" s="1484"/>
      <c r="B745" s="1484"/>
      <c r="C745" s="1416"/>
      <c r="D745" s="1416"/>
      <c r="E745" s="1416"/>
      <c r="F745" s="1416"/>
      <c r="G745" s="1416"/>
      <c r="H745" s="1484"/>
      <c r="I745" s="3169" t="s">
        <v>2234</v>
      </c>
      <c r="J745" s="3169" t="s">
        <v>2235</v>
      </c>
      <c r="K745" s="2334">
        <v>72</v>
      </c>
      <c r="L745" s="2406">
        <v>75000000</v>
      </c>
      <c r="M745" s="2334">
        <v>24</v>
      </c>
      <c r="N745" s="2853">
        <v>17800000</v>
      </c>
      <c r="O745" s="2853">
        <v>12</v>
      </c>
      <c r="P745" s="2853">
        <v>8900000</v>
      </c>
      <c r="Q745" s="3273">
        <v>3</v>
      </c>
      <c r="R745" s="2980">
        <v>750000</v>
      </c>
      <c r="S745" s="1486">
        <v>3</v>
      </c>
      <c r="T745" s="1487">
        <v>2460000</v>
      </c>
      <c r="U745" s="1486">
        <v>3</v>
      </c>
      <c r="V745" s="2119">
        <v>2200000</v>
      </c>
      <c r="W745" s="1486"/>
      <c r="X745" s="1486"/>
      <c r="Y745" s="2421">
        <f t="shared" si="217"/>
        <v>9</v>
      </c>
      <c r="Z745" s="1938">
        <f t="shared" si="222"/>
        <v>5410000</v>
      </c>
      <c r="AA745" s="2421">
        <f t="shared" si="218"/>
        <v>33</v>
      </c>
      <c r="AB745" s="1938">
        <f t="shared" si="219"/>
        <v>23210000</v>
      </c>
      <c r="AC745" s="2586">
        <f t="shared" si="220"/>
        <v>45.833333333333329</v>
      </c>
      <c r="AD745" s="2586">
        <f t="shared" si="221"/>
        <v>30.946666666666665</v>
      </c>
      <c r="AE745" s="2783"/>
      <c r="AG745" s="3369"/>
    </row>
    <row r="746" spans="1:33" s="63" customFormat="1" ht="46.5" customHeight="1">
      <c r="A746" s="1484"/>
      <c r="B746" s="1484"/>
      <c r="C746" s="1416"/>
      <c r="D746" s="1416"/>
      <c r="E746" s="1416"/>
      <c r="F746" s="1416"/>
      <c r="G746" s="1416"/>
      <c r="H746" s="1484"/>
      <c r="I746" s="3169" t="s">
        <v>157</v>
      </c>
      <c r="J746" s="3169" t="s">
        <v>2969</v>
      </c>
      <c r="K746" s="2334">
        <v>72</v>
      </c>
      <c r="L746" s="2406">
        <v>125000000</v>
      </c>
      <c r="M746" s="2334">
        <v>24</v>
      </c>
      <c r="N746" s="2853">
        <v>18260000</v>
      </c>
      <c r="O746" s="2853">
        <v>12</v>
      </c>
      <c r="P746" s="2853">
        <v>9130000</v>
      </c>
      <c r="Q746" s="3273">
        <v>3</v>
      </c>
      <c r="R746" s="2980">
        <v>2837000</v>
      </c>
      <c r="S746" s="1486">
        <v>3</v>
      </c>
      <c r="T746" s="1487">
        <v>2420000</v>
      </c>
      <c r="U746" s="1486">
        <v>3</v>
      </c>
      <c r="V746" s="2119">
        <v>3657500</v>
      </c>
      <c r="W746" s="1486"/>
      <c r="X746" s="1486"/>
      <c r="Y746" s="2421">
        <f t="shared" si="217"/>
        <v>9</v>
      </c>
      <c r="Z746" s="1938">
        <f t="shared" si="222"/>
        <v>8914500</v>
      </c>
      <c r="AA746" s="2421">
        <f t="shared" si="218"/>
        <v>33</v>
      </c>
      <c r="AB746" s="1938">
        <f t="shared" si="219"/>
        <v>27174500</v>
      </c>
      <c r="AC746" s="2586">
        <f t="shared" si="220"/>
        <v>45.833333333333329</v>
      </c>
      <c r="AD746" s="2586">
        <f t="shared" si="221"/>
        <v>21.739599999999999</v>
      </c>
      <c r="AE746" s="2783"/>
      <c r="AG746" s="3369"/>
    </row>
    <row r="747" spans="1:33" s="63" customFormat="1" ht="46.5" customHeight="1">
      <c r="A747" s="1484"/>
      <c r="B747" s="1484"/>
      <c r="C747" s="1416"/>
      <c r="D747" s="1416"/>
      <c r="E747" s="1416"/>
      <c r="F747" s="1416"/>
      <c r="G747" s="1416"/>
      <c r="H747" s="1484"/>
      <c r="I747" s="3169" t="s">
        <v>2237</v>
      </c>
      <c r="J747" s="3169" t="s">
        <v>2238</v>
      </c>
      <c r="K747" s="2334">
        <v>72</v>
      </c>
      <c r="L747" s="2406">
        <v>1250000000</v>
      </c>
      <c r="M747" s="2334">
        <v>24</v>
      </c>
      <c r="N747" s="2853">
        <v>205900000</v>
      </c>
      <c r="O747" s="2853">
        <v>12</v>
      </c>
      <c r="P747" s="2853">
        <v>102950000</v>
      </c>
      <c r="Q747" s="3273">
        <v>3</v>
      </c>
      <c r="R747" s="3104">
        <v>61568.9</v>
      </c>
      <c r="S747" s="1486">
        <v>3</v>
      </c>
      <c r="T747" s="1463">
        <v>29502.720000000001</v>
      </c>
      <c r="U747" s="1486">
        <v>3</v>
      </c>
      <c r="V747" s="2119">
        <v>7565000</v>
      </c>
      <c r="W747" s="1486"/>
      <c r="X747" s="1486"/>
      <c r="Y747" s="2421">
        <f t="shared" si="217"/>
        <v>9</v>
      </c>
      <c r="Z747" s="3106">
        <f>R747+T747</f>
        <v>91071.62</v>
      </c>
      <c r="AA747" s="2421">
        <f t="shared" si="218"/>
        <v>33</v>
      </c>
      <c r="AB747" s="1938">
        <f t="shared" si="219"/>
        <v>205991071.62</v>
      </c>
      <c r="AC747" s="2586">
        <f t="shared" si="220"/>
        <v>45.833333333333329</v>
      </c>
      <c r="AD747" s="2586">
        <f t="shared" si="221"/>
        <v>16.479285729600001</v>
      </c>
      <c r="AE747" s="2783"/>
      <c r="AG747" s="3369"/>
    </row>
    <row r="748" spans="1:33" s="63" customFormat="1" ht="46.5" customHeight="1">
      <c r="A748" s="1484"/>
      <c r="B748" s="1484"/>
      <c r="C748" s="1416"/>
      <c r="D748" s="1416"/>
      <c r="E748" s="1416"/>
      <c r="F748" s="1416"/>
      <c r="G748" s="1416"/>
      <c r="H748" s="1484"/>
      <c r="I748" s="3169" t="s">
        <v>2239</v>
      </c>
      <c r="J748" s="3169" t="s">
        <v>2240</v>
      </c>
      <c r="K748" s="2334">
        <v>72</v>
      </c>
      <c r="L748" s="2406">
        <v>900000000</v>
      </c>
      <c r="M748" s="2334">
        <v>24</v>
      </c>
      <c r="N748" s="2853">
        <v>115995000</v>
      </c>
      <c r="O748" s="2853">
        <v>12</v>
      </c>
      <c r="P748" s="2853">
        <v>57997500</v>
      </c>
      <c r="Q748" s="3273">
        <v>3</v>
      </c>
      <c r="R748" s="3104">
        <v>18492.2</v>
      </c>
      <c r="S748" s="1486">
        <v>3</v>
      </c>
      <c r="T748" s="3086">
        <v>24447.4</v>
      </c>
      <c r="U748" s="1486">
        <v>3</v>
      </c>
      <c r="V748" s="2119">
        <v>6437000</v>
      </c>
      <c r="W748" s="1486"/>
      <c r="X748" s="1486"/>
      <c r="Y748" s="2421">
        <f t="shared" si="217"/>
        <v>9</v>
      </c>
      <c r="Z748" s="3106">
        <f>R748+T748</f>
        <v>42939.600000000006</v>
      </c>
      <c r="AA748" s="2421">
        <f t="shared" si="218"/>
        <v>33</v>
      </c>
      <c r="AB748" s="1938">
        <f t="shared" si="219"/>
        <v>116037939.59999999</v>
      </c>
      <c r="AC748" s="2586">
        <f t="shared" si="220"/>
        <v>45.833333333333329</v>
      </c>
      <c r="AD748" s="2586">
        <f t="shared" si="221"/>
        <v>12.893104399999999</v>
      </c>
      <c r="AE748" s="2783"/>
      <c r="AG748" s="3369"/>
    </row>
    <row r="749" spans="1:33" s="63" customFormat="1" ht="63.75" customHeight="1">
      <c r="A749" s="2575">
        <v>2</v>
      </c>
      <c r="B749" s="3153" t="s">
        <v>2970</v>
      </c>
      <c r="C749" s="2579">
        <v>3</v>
      </c>
      <c r="D749" s="2579" t="s">
        <v>107</v>
      </c>
      <c r="E749" s="2579" t="s">
        <v>65</v>
      </c>
      <c r="F749" s="2579" t="s">
        <v>66</v>
      </c>
      <c r="G749" s="2579">
        <v>26</v>
      </c>
      <c r="H749" s="2575"/>
      <c r="I749" s="2501" t="s">
        <v>257</v>
      </c>
      <c r="J749" s="2501" t="s">
        <v>2241</v>
      </c>
      <c r="K749" s="2577">
        <f t="shared" ref="K749:Q749" si="223">SUM(K750:K751)</f>
        <v>95</v>
      </c>
      <c r="L749" s="2580">
        <f>SUM(L750:L751)</f>
        <v>1323000000</v>
      </c>
      <c r="M749" s="2577">
        <f t="shared" si="223"/>
        <v>9</v>
      </c>
      <c r="N749" s="3105">
        <f>SUM(N750:N751)</f>
        <v>181624000</v>
      </c>
      <c r="O749" s="2545">
        <f t="shared" si="223"/>
        <v>9</v>
      </c>
      <c r="P749" s="2718">
        <f>SUM(P750:P751)</f>
        <v>90812000</v>
      </c>
      <c r="Q749" s="2577">
        <f t="shared" si="223"/>
        <v>3</v>
      </c>
      <c r="R749" s="2757">
        <f>SUM(R750:R751)</f>
        <v>8952500</v>
      </c>
      <c r="S749" s="2578">
        <v>3</v>
      </c>
      <c r="T749" s="2757">
        <f>SUM(T750:T751)</f>
        <v>32429100</v>
      </c>
      <c r="U749" s="2578"/>
      <c r="V749" s="2581"/>
      <c r="W749" s="2578"/>
      <c r="X749" s="2578"/>
      <c r="Y749" s="2545">
        <f t="shared" si="217"/>
        <v>6</v>
      </c>
      <c r="Z749" s="2581">
        <f t="shared" si="222"/>
        <v>41381600</v>
      </c>
      <c r="AA749" s="2545">
        <f t="shared" si="218"/>
        <v>15</v>
      </c>
      <c r="AB749" s="2581">
        <f t="shared" si="219"/>
        <v>223005600</v>
      </c>
      <c r="AC749" s="2584">
        <f t="shared" si="220"/>
        <v>15.789473684210526</v>
      </c>
      <c r="AD749" s="2584">
        <f t="shared" si="221"/>
        <v>16.856054421768707</v>
      </c>
      <c r="AE749" s="3135" t="s">
        <v>2187</v>
      </c>
      <c r="AG749" s="3369"/>
    </row>
    <row r="750" spans="1:33" s="63" customFormat="1" ht="50.25" customHeight="1">
      <c r="A750" s="1484"/>
      <c r="B750" s="1484"/>
      <c r="C750" s="1416"/>
      <c r="D750" s="1416"/>
      <c r="E750" s="1416"/>
      <c r="F750" s="1416"/>
      <c r="G750" s="1416"/>
      <c r="H750" s="1484"/>
      <c r="I750" s="3169" t="s">
        <v>258</v>
      </c>
      <c r="J750" s="3169" t="s">
        <v>2242</v>
      </c>
      <c r="K750" s="2334">
        <v>10</v>
      </c>
      <c r="L750" s="2853">
        <v>500000000</v>
      </c>
      <c r="M750" s="2334">
        <v>2</v>
      </c>
      <c r="N750" s="2853">
        <v>50470000</v>
      </c>
      <c r="O750" s="2406">
        <v>2</v>
      </c>
      <c r="P750" s="2853">
        <v>25235000</v>
      </c>
      <c r="Q750" s="2334">
        <v>0</v>
      </c>
      <c r="R750" s="2980">
        <v>0</v>
      </c>
      <c r="S750" s="1486">
        <v>2</v>
      </c>
      <c r="T750" s="1487">
        <v>24996000</v>
      </c>
      <c r="U750" s="1486"/>
      <c r="V750" s="2119"/>
      <c r="W750" s="1486"/>
      <c r="X750" s="1486"/>
      <c r="Y750" s="2421">
        <f t="shared" si="217"/>
        <v>2</v>
      </c>
      <c r="Z750" s="1938">
        <f>T750</f>
        <v>24996000</v>
      </c>
      <c r="AA750" s="2421">
        <f t="shared" si="218"/>
        <v>4</v>
      </c>
      <c r="AB750" s="1938">
        <f t="shared" si="219"/>
        <v>75466000</v>
      </c>
      <c r="AC750" s="2586">
        <f t="shared" si="220"/>
        <v>40</v>
      </c>
      <c r="AD750" s="2586">
        <f t="shared" si="221"/>
        <v>15.093200000000001</v>
      </c>
      <c r="AE750" s="2783"/>
      <c r="AG750" s="3369"/>
    </row>
    <row r="751" spans="1:33" s="63" customFormat="1" ht="50.25" customHeight="1">
      <c r="A751" s="1484"/>
      <c r="B751" s="1484"/>
      <c r="C751" s="1416"/>
      <c r="D751" s="1416"/>
      <c r="E751" s="1416"/>
      <c r="F751" s="1416"/>
      <c r="G751" s="1416"/>
      <c r="H751" s="1484"/>
      <c r="I751" s="3169" t="s">
        <v>224</v>
      </c>
      <c r="J751" s="3169" t="s">
        <v>2243</v>
      </c>
      <c r="K751" s="2334">
        <v>85</v>
      </c>
      <c r="L751" s="2853">
        <v>823000000</v>
      </c>
      <c r="M751" s="2334">
        <v>7</v>
      </c>
      <c r="N751" s="2853">
        <v>131154000</v>
      </c>
      <c r="O751" s="2406">
        <v>7</v>
      </c>
      <c r="P751" s="2853">
        <v>65577000</v>
      </c>
      <c r="Q751" s="2334">
        <v>3</v>
      </c>
      <c r="R751" s="2980">
        <v>8952500</v>
      </c>
      <c r="S751" s="1486">
        <v>1</v>
      </c>
      <c r="T751" s="1487">
        <v>7433100</v>
      </c>
      <c r="U751" s="1486">
        <v>2</v>
      </c>
      <c r="V751" s="2119">
        <v>9604010</v>
      </c>
      <c r="W751" s="1486"/>
      <c r="X751" s="1486"/>
      <c r="Y751" s="2421">
        <f t="shared" si="217"/>
        <v>6</v>
      </c>
      <c r="Z751" s="1938">
        <f>R751+T751+V751</f>
        <v>25989610</v>
      </c>
      <c r="AA751" s="2421">
        <f t="shared" si="218"/>
        <v>13</v>
      </c>
      <c r="AB751" s="1938">
        <f t="shared" si="219"/>
        <v>157143610</v>
      </c>
      <c r="AC751" s="2586">
        <f t="shared" si="220"/>
        <v>15.294117647058824</v>
      </c>
      <c r="AD751" s="2586">
        <f t="shared" si="221"/>
        <v>19.093998784933174</v>
      </c>
      <c r="AE751" s="2783"/>
      <c r="AG751" s="3369"/>
    </row>
    <row r="752" spans="1:33" s="63" customFormat="1" ht="62.25" customHeight="1">
      <c r="A752" s="2575">
        <v>3</v>
      </c>
      <c r="B752" s="3153" t="s">
        <v>2971</v>
      </c>
      <c r="C752" s="2579">
        <v>3</v>
      </c>
      <c r="D752" s="2579" t="s">
        <v>107</v>
      </c>
      <c r="E752" s="2579" t="s">
        <v>65</v>
      </c>
      <c r="F752" s="2579" t="s">
        <v>66</v>
      </c>
      <c r="G752" s="2579">
        <v>26</v>
      </c>
      <c r="H752" s="2575"/>
      <c r="I752" s="2501" t="s">
        <v>73</v>
      </c>
      <c r="J752" s="2501" t="s">
        <v>2244</v>
      </c>
      <c r="K752" s="2577">
        <f>K753</f>
        <v>40</v>
      </c>
      <c r="L752" s="2718">
        <f>L753</f>
        <v>280000000</v>
      </c>
      <c r="M752" s="2545">
        <v>0</v>
      </c>
      <c r="N752" s="2580">
        <f>N753</f>
        <v>0</v>
      </c>
      <c r="O752" s="2545">
        <v>10</v>
      </c>
      <c r="P752" s="2718">
        <f>SUM(P753)</f>
        <v>66091700</v>
      </c>
      <c r="Q752" s="2577">
        <f>Q753</f>
        <v>5</v>
      </c>
      <c r="R752" s="2757">
        <f>R753</f>
        <v>5960000</v>
      </c>
      <c r="S752" s="2578">
        <v>1</v>
      </c>
      <c r="T752" s="2582">
        <v>9397600</v>
      </c>
      <c r="U752" s="2578"/>
      <c r="V752" s="2581"/>
      <c r="W752" s="2578"/>
      <c r="X752" s="2578"/>
      <c r="Y752" s="2545">
        <f t="shared" si="217"/>
        <v>6</v>
      </c>
      <c r="Z752" s="2581">
        <f>R752+T752</f>
        <v>15357600</v>
      </c>
      <c r="AA752" s="2545">
        <f t="shared" si="218"/>
        <v>6</v>
      </c>
      <c r="AB752" s="2581">
        <f t="shared" si="219"/>
        <v>15357600</v>
      </c>
      <c r="AC752" s="2584">
        <f t="shared" si="220"/>
        <v>15</v>
      </c>
      <c r="AD752" s="2584">
        <f t="shared" si="221"/>
        <v>5.4848571428571429</v>
      </c>
      <c r="AE752" s="3135" t="s">
        <v>2187</v>
      </c>
      <c r="AG752" s="3369"/>
    </row>
    <row r="753" spans="1:33" s="63" customFormat="1" ht="59.25" customHeight="1">
      <c r="A753" s="1484"/>
      <c r="B753" s="1484"/>
      <c r="C753" s="1416"/>
      <c r="D753" s="1416"/>
      <c r="E753" s="1416"/>
      <c r="F753" s="1416"/>
      <c r="G753" s="1416"/>
      <c r="H753" s="1484"/>
      <c r="I753" s="3169" t="s">
        <v>2245</v>
      </c>
      <c r="J753" s="3169" t="s">
        <v>2246</v>
      </c>
      <c r="K753" s="2334">
        <v>40</v>
      </c>
      <c r="L753" s="2853">
        <v>280000000</v>
      </c>
      <c r="M753" s="2406">
        <v>0</v>
      </c>
      <c r="N753" s="2526">
        <v>0</v>
      </c>
      <c r="O753" s="2406">
        <v>10</v>
      </c>
      <c r="P753" s="2853">
        <v>66091700</v>
      </c>
      <c r="Q753" s="2334">
        <v>5</v>
      </c>
      <c r="R753" s="2980">
        <v>5960000</v>
      </c>
      <c r="S753" s="1486">
        <v>1</v>
      </c>
      <c r="T753" s="1487">
        <v>9397600</v>
      </c>
      <c r="U753" s="1486"/>
      <c r="V753" s="2119">
        <v>19604000</v>
      </c>
      <c r="W753" s="1486"/>
      <c r="X753" s="1486"/>
      <c r="Y753" s="2406">
        <f t="shared" si="217"/>
        <v>6</v>
      </c>
      <c r="Z753" s="2119">
        <f>R753+T753+V753</f>
        <v>34961600</v>
      </c>
      <c r="AA753" s="2406">
        <f t="shared" si="218"/>
        <v>6</v>
      </c>
      <c r="AB753" s="2119">
        <f t="shared" si="219"/>
        <v>34961600</v>
      </c>
      <c r="AC753" s="2585">
        <f t="shared" si="220"/>
        <v>15</v>
      </c>
      <c r="AD753" s="2585">
        <f t="shared" si="221"/>
        <v>12.486285714285714</v>
      </c>
      <c r="AE753" s="2783"/>
      <c r="AG753" s="3369"/>
    </row>
    <row r="754" spans="1:33" s="63" customFormat="1" ht="76.5" customHeight="1">
      <c r="A754" s="2575">
        <v>4</v>
      </c>
      <c r="B754" s="3153" t="s">
        <v>2968</v>
      </c>
      <c r="C754" s="2579">
        <v>3</v>
      </c>
      <c r="D754" s="2579" t="s">
        <v>107</v>
      </c>
      <c r="E754" s="2579" t="s">
        <v>65</v>
      </c>
      <c r="F754" s="2579" t="s">
        <v>66</v>
      </c>
      <c r="G754" s="2579" t="s">
        <v>67</v>
      </c>
      <c r="H754" s="2575"/>
      <c r="I754" s="2501" t="s">
        <v>4197</v>
      </c>
      <c r="J754" s="2501" t="s">
        <v>2180</v>
      </c>
      <c r="K754" s="2577" t="s">
        <v>2181</v>
      </c>
      <c r="L754" s="2545">
        <f>SUM(L755:L780)</f>
        <v>20939500000</v>
      </c>
      <c r="M754" s="2577" t="s">
        <v>2182</v>
      </c>
      <c r="N754" s="2545">
        <f>SUM(N755:N780)</f>
        <v>3085749750</v>
      </c>
      <c r="O754" s="2545" t="s">
        <v>2183</v>
      </c>
      <c r="P754" s="2545">
        <f>SUM(P755:P780)</f>
        <v>6746242914</v>
      </c>
      <c r="Q754" s="2577"/>
      <c r="R754" s="2757">
        <f>SUM(R755:R780)</f>
        <v>269305810</v>
      </c>
      <c r="S754" s="2578"/>
      <c r="T754" s="2582">
        <f>SUM(T755:T780)</f>
        <v>1592703650</v>
      </c>
      <c r="U754" s="2578"/>
      <c r="V754" s="2581">
        <f>SUM(V755:V780)</f>
        <v>2175317820</v>
      </c>
      <c r="W754" s="2578"/>
      <c r="X754" s="2582">
        <f>SUM(X755:X780)</f>
        <v>0</v>
      </c>
      <c r="Y754" s="2577">
        <f t="shared" si="217"/>
        <v>0</v>
      </c>
      <c r="Z754" s="2581">
        <f>SUM(Z755:Z780)</f>
        <v>4037327280</v>
      </c>
      <c r="AA754" s="2577"/>
      <c r="AB754" s="2581">
        <f>SUM(AB755:AB780)</f>
        <v>7123077030</v>
      </c>
      <c r="AC754" s="2580"/>
      <c r="AD754" s="2580">
        <f>(AB754/L754)*100</f>
        <v>34.017416987034075</v>
      </c>
      <c r="AE754" s="3135" t="s">
        <v>2187</v>
      </c>
    </row>
    <row r="755" spans="1:33" s="63" customFormat="1" ht="42" customHeight="1">
      <c r="A755" s="1486"/>
      <c r="B755" s="3382"/>
      <c r="C755" s="1431">
        <v>3</v>
      </c>
      <c r="D755" s="1431" t="s">
        <v>107</v>
      </c>
      <c r="E755" s="1431" t="s">
        <v>65</v>
      </c>
      <c r="F755" s="1431" t="s">
        <v>66</v>
      </c>
      <c r="G755" s="1431" t="s">
        <v>67</v>
      </c>
      <c r="H755" s="1431" t="s">
        <v>68</v>
      </c>
      <c r="I755" s="375" t="s">
        <v>2185</v>
      </c>
      <c r="J755" s="3382" t="s">
        <v>4198</v>
      </c>
      <c r="K755" s="2537">
        <v>16</v>
      </c>
      <c r="L755" s="2853">
        <v>1500000000</v>
      </c>
      <c r="M755" s="3445">
        <v>2</v>
      </c>
      <c r="N755" s="3445">
        <v>343143500</v>
      </c>
      <c r="O755" s="2406">
        <v>3</v>
      </c>
      <c r="P755" s="3103">
        <v>257284700</v>
      </c>
      <c r="Q755" s="3446">
        <v>2</v>
      </c>
      <c r="R755" s="3085">
        <v>14579000</v>
      </c>
      <c r="S755" s="1486">
        <v>0</v>
      </c>
      <c r="T755" s="3085">
        <v>120616200</v>
      </c>
      <c r="U755" s="1486">
        <v>1</v>
      </c>
      <c r="V755" s="3085">
        <v>37325850</v>
      </c>
      <c r="W755" s="1486"/>
      <c r="X755" s="1487"/>
      <c r="Y755" s="2406">
        <f>Q755+S755+U755+W755</f>
        <v>3</v>
      </c>
      <c r="Z755" s="2119">
        <f>R755+T755+V755</f>
        <v>172521050</v>
      </c>
      <c r="AA755" s="2406">
        <f>M755+Y755</f>
        <v>5</v>
      </c>
      <c r="AB755" s="2119">
        <f>N755+Z755</f>
        <v>515664550</v>
      </c>
      <c r="AC755" s="2585">
        <f>(AA755/K755)*100</f>
        <v>31.25</v>
      </c>
      <c r="AD755" s="2585">
        <f>AB755/L755*100</f>
        <v>34.377636666666668</v>
      </c>
      <c r="AE755" s="2783"/>
    </row>
    <row r="756" spans="1:33" s="63" customFormat="1" ht="42.75" customHeight="1">
      <c r="A756" s="1486"/>
      <c r="B756" s="375"/>
      <c r="C756" s="1446"/>
      <c r="D756" s="1446"/>
      <c r="E756" s="1446"/>
      <c r="F756" s="1446"/>
      <c r="G756" s="1446"/>
      <c r="H756" s="1446"/>
      <c r="I756" s="732"/>
      <c r="J756" s="3382" t="s">
        <v>4199</v>
      </c>
      <c r="K756" s="2537">
        <v>58</v>
      </c>
      <c r="L756" s="2853"/>
      <c r="M756" s="3445">
        <v>25</v>
      </c>
      <c r="N756" s="3445"/>
      <c r="O756" s="2406">
        <v>32</v>
      </c>
      <c r="P756" s="3103"/>
      <c r="Q756" s="3446">
        <v>30</v>
      </c>
      <c r="R756" s="3085"/>
      <c r="S756" s="1486">
        <v>0</v>
      </c>
      <c r="T756" s="3085"/>
      <c r="U756" s="1486">
        <v>1</v>
      </c>
      <c r="V756" s="1463"/>
      <c r="W756" s="1486"/>
      <c r="X756" s="1487"/>
      <c r="Y756" s="2406">
        <f>Q756+S756+U756+W756</f>
        <v>31</v>
      </c>
      <c r="Z756" s="3447"/>
      <c r="AA756" s="2406">
        <f>M756+Y756</f>
        <v>56</v>
      </c>
      <c r="AB756" s="3447"/>
      <c r="AC756" s="2585">
        <f>(AA756/K756)*100</f>
        <v>96.551724137931032</v>
      </c>
      <c r="AD756" s="2585"/>
      <c r="AE756" s="2783"/>
    </row>
    <row r="757" spans="1:33" s="63" customFormat="1" ht="42.75" customHeight="1">
      <c r="A757" s="3382"/>
      <c r="B757" s="375"/>
      <c r="C757" s="1431">
        <v>3</v>
      </c>
      <c r="D757" s="1431" t="s">
        <v>107</v>
      </c>
      <c r="E757" s="1431" t="s">
        <v>65</v>
      </c>
      <c r="F757" s="1431" t="s">
        <v>66</v>
      </c>
      <c r="G757" s="1431" t="s">
        <v>67</v>
      </c>
      <c r="H757" s="1431">
        <v>42</v>
      </c>
      <c r="I757" s="375" t="s">
        <v>2188</v>
      </c>
      <c r="J757" s="3382" t="s">
        <v>2189</v>
      </c>
      <c r="K757" s="3448">
        <v>514624</v>
      </c>
      <c r="L757" s="745">
        <v>500000000</v>
      </c>
      <c r="M757" s="745">
        <v>38717</v>
      </c>
      <c r="N757" s="745">
        <v>120659000</v>
      </c>
      <c r="O757" s="2648">
        <v>102200</v>
      </c>
      <c r="P757" s="2853">
        <v>72259000</v>
      </c>
      <c r="Q757" s="2786">
        <v>1507</v>
      </c>
      <c r="R757" s="3449">
        <v>7510000</v>
      </c>
      <c r="S757" s="3382">
        <v>1322</v>
      </c>
      <c r="T757" s="3449">
        <v>12538500</v>
      </c>
      <c r="U757" s="2115">
        <v>3221</v>
      </c>
      <c r="V757" s="3449">
        <v>3300000</v>
      </c>
      <c r="W757" s="3382"/>
      <c r="X757" s="2115"/>
      <c r="Y757" s="2406">
        <f t="shared" ref="Y757:Z780" si="224">Q757+S757+U757+W757</f>
        <v>6050</v>
      </c>
      <c r="Z757" s="2119">
        <f>R757+T757+V757</f>
        <v>23348500</v>
      </c>
      <c r="AA757" s="2406">
        <f t="shared" ref="AA757:AB780" si="225">M757+Y757</f>
        <v>44767</v>
      </c>
      <c r="AB757" s="3447">
        <f t="shared" si="225"/>
        <v>144007500</v>
      </c>
      <c r="AC757" s="2585">
        <f t="shared" ref="AC757:AC780" si="226">(AA757/K757)*100</f>
        <v>8.6989724536749158</v>
      </c>
      <c r="AD757" s="2585">
        <f>AB757/L757*100</f>
        <v>28.801500000000001</v>
      </c>
      <c r="AE757" s="2783"/>
    </row>
    <row r="758" spans="1:33" s="145" customFormat="1" ht="33.75" customHeight="1">
      <c r="A758" s="3382"/>
      <c r="B758" s="3382"/>
      <c r="C758" s="1431"/>
      <c r="D758" s="1431"/>
      <c r="E758" s="1431"/>
      <c r="F758" s="1431"/>
      <c r="G758" s="1431"/>
      <c r="H758" s="1431"/>
      <c r="I758" s="375"/>
      <c r="J758" s="3382" t="s">
        <v>2190</v>
      </c>
      <c r="K758" s="3448">
        <v>61363</v>
      </c>
      <c r="L758" s="745"/>
      <c r="M758" s="745">
        <v>12382</v>
      </c>
      <c r="N758" s="745"/>
      <c r="O758" s="745">
        <v>5792</v>
      </c>
      <c r="P758" s="3103"/>
      <c r="Q758" s="2786">
        <v>320</v>
      </c>
      <c r="R758" s="3449"/>
      <c r="S758" s="3382">
        <v>211</v>
      </c>
      <c r="T758" s="2115"/>
      <c r="U758" s="3382">
        <v>841</v>
      </c>
      <c r="V758" s="3450"/>
      <c r="W758" s="3382"/>
      <c r="X758" s="2115"/>
      <c r="Y758" s="2406">
        <f t="shared" si="224"/>
        <v>1372</v>
      </c>
      <c r="Z758" s="2119">
        <f t="shared" si="224"/>
        <v>0</v>
      </c>
      <c r="AA758" s="2406">
        <f t="shared" si="225"/>
        <v>13754</v>
      </c>
      <c r="AB758" s="2119">
        <f t="shared" si="225"/>
        <v>0</v>
      </c>
      <c r="AC758" s="2585">
        <f t="shared" si="226"/>
        <v>22.414158369049751</v>
      </c>
      <c r="AD758" s="2585"/>
      <c r="AE758" s="2783"/>
    </row>
    <row r="759" spans="1:33" s="145" customFormat="1" ht="33" customHeight="1">
      <c r="A759" s="3382"/>
      <c r="B759" s="3382"/>
      <c r="C759" s="1446"/>
      <c r="D759" s="1446"/>
      <c r="E759" s="1446"/>
      <c r="F759" s="1446"/>
      <c r="G759" s="1446"/>
      <c r="H759" s="1446"/>
      <c r="I759" s="732"/>
      <c r="J759" s="3382" t="s">
        <v>2186</v>
      </c>
      <c r="K759" s="3448">
        <v>733000</v>
      </c>
      <c r="L759" s="745"/>
      <c r="M759" s="745">
        <v>99719</v>
      </c>
      <c r="N759" s="745"/>
      <c r="O759" s="2707">
        <v>123000</v>
      </c>
      <c r="P759" s="3103"/>
      <c r="Q759" s="2786">
        <v>64006</v>
      </c>
      <c r="R759" s="3449"/>
      <c r="S759" s="2115">
        <v>33780</v>
      </c>
      <c r="T759" s="2115"/>
      <c r="U759" s="2115">
        <v>367454</v>
      </c>
      <c r="V759" s="3450"/>
      <c r="W759" s="3382"/>
      <c r="X759" s="2115"/>
      <c r="Y759" s="2406">
        <f t="shared" si="224"/>
        <v>465240</v>
      </c>
      <c r="Z759" s="2119"/>
      <c r="AA759" s="2406">
        <f t="shared" si="225"/>
        <v>564959</v>
      </c>
      <c r="AB759" s="2119"/>
      <c r="AC759" s="2585">
        <f t="shared" si="226"/>
        <v>77.074897680763982</v>
      </c>
      <c r="AD759" s="2585"/>
      <c r="AE759" s="2783"/>
    </row>
    <row r="760" spans="1:33" s="145" customFormat="1" ht="45.75" customHeight="1">
      <c r="A760" s="3382"/>
      <c r="B760" s="3382"/>
      <c r="C760" s="1446"/>
      <c r="D760" s="1446"/>
      <c r="E760" s="1446"/>
      <c r="F760" s="1446"/>
      <c r="G760" s="1446"/>
      <c r="H760" s="1446"/>
      <c r="I760" s="732"/>
      <c r="J760" s="3382" t="s">
        <v>4200</v>
      </c>
      <c r="K760" s="3448">
        <v>500</v>
      </c>
      <c r="L760" s="745"/>
      <c r="M760" s="745">
        <v>100</v>
      </c>
      <c r="N760" s="745"/>
      <c r="O760" s="745">
        <v>100</v>
      </c>
      <c r="P760" s="3103"/>
      <c r="Q760" s="2786">
        <v>0</v>
      </c>
      <c r="R760" s="3449"/>
      <c r="S760" s="3382">
        <v>0</v>
      </c>
      <c r="T760" s="2115"/>
      <c r="U760" s="3382">
        <v>0</v>
      </c>
      <c r="V760" s="3450"/>
      <c r="W760" s="3382"/>
      <c r="X760" s="2115"/>
      <c r="Y760" s="2406">
        <f t="shared" si="224"/>
        <v>0</v>
      </c>
      <c r="Z760" s="2119"/>
      <c r="AA760" s="2406">
        <f t="shared" si="225"/>
        <v>100</v>
      </c>
      <c r="AB760" s="2119"/>
      <c r="AC760" s="2585">
        <f t="shared" si="226"/>
        <v>20</v>
      </c>
      <c r="AD760" s="2585"/>
      <c r="AE760" s="2783"/>
    </row>
    <row r="761" spans="1:33" s="145" customFormat="1" ht="61.5" customHeight="1">
      <c r="A761" s="1486"/>
      <c r="B761" s="3382"/>
      <c r="C761" s="1416">
        <v>3</v>
      </c>
      <c r="D761" s="1416" t="s">
        <v>107</v>
      </c>
      <c r="E761" s="1416" t="s">
        <v>65</v>
      </c>
      <c r="F761" s="1416" t="s">
        <v>66</v>
      </c>
      <c r="G761" s="1416" t="s">
        <v>67</v>
      </c>
      <c r="H761" s="1416">
        <v>13</v>
      </c>
      <c r="I761" s="3382" t="s">
        <v>2192</v>
      </c>
      <c r="J761" s="3382" t="s">
        <v>4201</v>
      </c>
      <c r="K761" s="3448">
        <v>19</v>
      </c>
      <c r="L761" s="745">
        <v>650000000</v>
      </c>
      <c r="M761" s="2736">
        <v>3</v>
      </c>
      <c r="N761" s="745">
        <v>123146500</v>
      </c>
      <c r="O761" s="2648">
        <v>4</v>
      </c>
      <c r="P761" s="3103">
        <v>67165800</v>
      </c>
      <c r="Q761" s="2736">
        <v>1</v>
      </c>
      <c r="R761" s="3449">
        <v>4836000</v>
      </c>
      <c r="S761" s="3382">
        <v>1</v>
      </c>
      <c r="T761" s="3449">
        <v>9873250</v>
      </c>
      <c r="U761" s="3382">
        <v>1</v>
      </c>
      <c r="V761" s="3449">
        <v>24546700</v>
      </c>
      <c r="W761" s="3382"/>
      <c r="X761" s="2115"/>
      <c r="Y761" s="2406">
        <f t="shared" si="224"/>
        <v>3</v>
      </c>
      <c r="Z761" s="2119">
        <f>R761+T761+V761</f>
        <v>39255950</v>
      </c>
      <c r="AA761" s="2406">
        <f t="shared" si="225"/>
        <v>6</v>
      </c>
      <c r="AB761" s="3447">
        <f t="shared" si="225"/>
        <v>162402450</v>
      </c>
      <c r="AC761" s="2585">
        <f t="shared" si="226"/>
        <v>31.578947368421051</v>
      </c>
      <c r="AD761" s="2585">
        <f>AB761/L761*100</f>
        <v>24.984992307692309</v>
      </c>
      <c r="AE761" s="2783"/>
    </row>
    <row r="762" spans="1:33" s="63" customFormat="1" ht="45.75" customHeight="1">
      <c r="A762" s="1486"/>
      <c r="B762" s="3382"/>
      <c r="C762" s="1416"/>
      <c r="D762" s="1416"/>
      <c r="E762" s="1416"/>
      <c r="F762" s="1416"/>
      <c r="G762" s="1416"/>
      <c r="H762" s="1416"/>
      <c r="I762" s="3382" t="s">
        <v>2194</v>
      </c>
      <c r="J762" s="3382" t="s">
        <v>4202</v>
      </c>
      <c r="K762" s="3448">
        <v>159000</v>
      </c>
      <c r="L762" s="745">
        <v>600000000</v>
      </c>
      <c r="M762" s="2648">
        <v>72804</v>
      </c>
      <c r="N762" s="745">
        <v>188191100</v>
      </c>
      <c r="O762" s="2648">
        <v>40000</v>
      </c>
      <c r="P762" s="2853">
        <v>147598900</v>
      </c>
      <c r="Q762" s="2648">
        <v>26306</v>
      </c>
      <c r="R762" s="3449">
        <v>22860750</v>
      </c>
      <c r="S762" s="3382">
        <v>18265</v>
      </c>
      <c r="T762" s="3449">
        <v>45049250</v>
      </c>
      <c r="U762" s="2115">
        <v>24472</v>
      </c>
      <c r="V762" s="3449">
        <v>42615000</v>
      </c>
      <c r="W762" s="3382"/>
      <c r="X762" s="2115"/>
      <c r="Y762" s="2406">
        <f t="shared" si="224"/>
        <v>69043</v>
      </c>
      <c r="Z762" s="2119">
        <f>R762+T762+V762</f>
        <v>110525000</v>
      </c>
      <c r="AA762" s="2406">
        <f t="shared" si="225"/>
        <v>141847</v>
      </c>
      <c r="AB762" s="3447">
        <f t="shared" si="225"/>
        <v>298716100</v>
      </c>
      <c r="AC762" s="2585">
        <f t="shared" si="226"/>
        <v>89.211949685534591</v>
      </c>
      <c r="AD762" s="2585">
        <f>AB762/L762*100</f>
        <v>49.786016666666669</v>
      </c>
      <c r="AE762" s="2783"/>
    </row>
    <row r="763" spans="1:33" s="63" customFormat="1" ht="61.5" customHeight="1">
      <c r="A763" s="1486"/>
      <c r="B763" s="3382"/>
      <c r="C763" s="1416"/>
      <c r="D763" s="1416"/>
      <c r="E763" s="1416"/>
      <c r="F763" s="1416"/>
      <c r="G763" s="1416"/>
      <c r="H763" s="1416"/>
      <c r="I763" s="3382" t="s">
        <v>2197</v>
      </c>
      <c r="J763" s="3382" t="s">
        <v>4203</v>
      </c>
      <c r="K763" s="3448">
        <v>240</v>
      </c>
      <c r="L763" s="745">
        <v>175000000</v>
      </c>
      <c r="M763" s="2648">
        <v>0</v>
      </c>
      <c r="N763" s="745">
        <v>844100</v>
      </c>
      <c r="O763" s="2648">
        <v>60</v>
      </c>
      <c r="P763" s="3103">
        <v>32095964</v>
      </c>
      <c r="Q763" s="2648">
        <v>0</v>
      </c>
      <c r="R763" s="3449">
        <v>0</v>
      </c>
      <c r="S763" s="3382">
        <v>0</v>
      </c>
      <c r="T763" s="2115">
        <v>0</v>
      </c>
      <c r="U763" s="3382">
        <v>60</v>
      </c>
      <c r="V763" s="3449">
        <v>27023000</v>
      </c>
      <c r="W763" s="3382"/>
      <c r="X763" s="2115"/>
      <c r="Y763" s="2406">
        <f t="shared" si="224"/>
        <v>60</v>
      </c>
      <c r="Z763" s="2119">
        <f>R763+T763+V763</f>
        <v>27023000</v>
      </c>
      <c r="AA763" s="2406">
        <f t="shared" si="225"/>
        <v>60</v>
      </c>
      <c r="AB763" s="3447">
        <f t="shared" si="225"/>
        <v>27867100</v>
      </c>
      <c r="AC763" s="2585">
        <f t="shared" si="226"/>
        <v>25</v>
      </c>
      <c r="AD763" s="2585">
        <f>AB763/L763*100</f>
        <v>15.924057142857142</v>
      </c>
      <c r="AE763" s="2783"/>
    </row>
    <row r="764" spans="1:33" s="63" customFormat="1" ht="54.75" customHeight="1">
      <c r="A764" s="1486"/>
      <c r="B764" s="3382"/>
      <c r="C764" s="1431"/>
      <c r="D764" s="1431"/>
      <c r="E764" s="1431"/>
      <c r="F764" s="1431"/>
      <c r="G764" s="1431"/>
      <c r="H764" s="1431"/>
      <c r="I764" s="375" t="s">
        <v>2199</v>
      </c>
      <c r="J764" s="3382" t="s">
        <v>4204</v>
      </c>
      <c r="K764" s="3448">
        <v>37</v>
      </c>
      <c r="L764" s="745">
        <v>422500000</v>
      </c>
      <c r="M764" s="2648">
        <v>0</v>
      </c>
      <c r="N764" s="745">
        <v>84430200</v>
      </c>
      <c r="O764" s="2648">
        <v>7</v>
      </c>
      <c r="P764" s="2853">
        <v>70811300</v>
      </c>
      <c r="Q764" s="2648">
        <v>0</v>
      </c>
      <c r="R764" s="3449">
        <v>1491000</v>
      </c>
      <c r="S764" s="3382">
        <v>0</v>
      </c>
      <c r="T764" s="2115">
        <v>0</v>
      </c>
      <c r="U764" s="3382">
        <v>0</v>
      </c>
      <c r="V764" s="3450">
        <v>0</v>
      </c>
      <c r="W764" s="3382"/>
      <c r="X764" s="2115"/>
      <c r="Y764" s="2406">
        <f t="shared" si="224"/>
        <v>0</v>
      </c>
      <c r="Z764" s="2119">
        <f>R764+T764+V764</f>
        <v>1491000</v>
      </c>
      <c r="AA764" s="2406">
        <f t="shared" si="225"/>
        <v>0</v>
      </c>
      <c r="AB764" s="3447">
        <f t="shared" si="225"/>
        <v>85921200</v>
      </c>
      <c r="AC764" s="2585">
        <f t="shared" si="226"/>
        <v>0</v>
      </c>
      <c r="AD764" s="2585">
        <f>AB764/L764*100</f>
        <v>20.336378698224852</v>
      </c>
      <c r="AE764" s="2783"/>
    </row>
    <row r="765" spans="1:33" s="63" customFormat="1" ht="58.5" customHeight="1">
      <c r="A765" s="1486"/>
      <c r="B765" s="3382"/>
      <c r="C765" s="1416"/>
      <c r="D765" s="1416"/>
      <c r="E765" s="1416"/>
      <c r="F765" s="1416"/>
      <c r="G765" s="1416"/>
      <c r="H765" s="1416"/>
      <c r="I765" s="3597"/>
      <c r="J765" s="3382" t="s">
        <v>4205</v>
      </c>
      <c r="K765" s="3448">
        <v>490</v>
      </c>
      <c r="L765" s="745"/>
      <c r="M765" s="2648">
        <v>0</v>
      </c>
      <c r="N765" s="745">
        <v>0</v>
      </c>
      <c r="O765" s="2648">
        <v>0</v>
      </c>
      <c r="P765" s="3103">
        <v>0</v>
      </c>
      <c r="Q765" s="2648">
        <v>0</v>
      </c>
      <c r="R765" s="3451">
        <v>0</v>
      </c>
      <c r="S765" s="3382">
        <v>0</v>
      </c>
      <c r="T765" s="2115">
        <v>0</v>
      </c>
      <c r="U765" s="3382">
        <v>0</v>
      </c>
      <c r="V765" s="3450">
        <v>0</v>
      </c>
      <c r="W765" s="3382"/>
      <c r="X765" s="2115"/>
      <c r="Y765" s="2406">
        <f t="shared" si="224"/>
        <v>0</v>
      </c>
      <c r="Z765" s="3447">
        <f t="shared" si="224"/>
        <v>0</v>
      </c>
      <c r="AA765" s="2406">
        <f t="shared" si="225"/>
        <v>0</v>
      </c>
      <c r="AB765" s="3447">
        <f t="shared" si="225"/>
        <v>0</v>
      </c>
      <c r="AC765" s="2585">
        <f t="shared" si="226"/>
        <v>0</v>
      </c>
      <c r="AD765" s="2585"/>
      <c r="AE765" s="2783"/>
    </row>
    <row r="766" spans="1:33" s="639" customFormat="1" ht="36" customHeight="1">
      <c r="A766" s="1486"/>
      <c r="B766" s="3382"/>
      <c r="C766" s="1416"/>
      <c r="D766" s="1416"/>
      <c r="E766" s="1416"/>
      <c r="F766" s="1416"/>
      <c r="G766" s="1416"/>
      <c r="H766" s="1416"/>
      <c r="I766" s="3382" t="s">
        <v>2202</v>
      </c>
      <c r="J766" s="3382" t="s">
        <v>4206</v>
      </c>
      <c r="K766" s="3448">
        <v>57685</v>
      </c>
      <c r="L766" s="745">
        <v>230000000</v>
      </c>
      <c r="M766" s="2648">
        <v>1024</v>
      </c>
      <c r="N766" s="745">
        <v>20559000</v>
      </c>
      <c r="O766" s="2648">
        <v>9289</v>
      </c>
      <c r="P766" s="2853">
        <v>52150750</v>
      </c>
      <c r="Q766" s="2648">
        <v>2571</v>
      </c>
      <c r="R766" s="3449">
        <v>8650000</v>
      </c>
      <c r="S766" s="2115">
        <v>1597</v>
      </c>
      <c r="T766" s="3449">
        <v>17886830</v>
      </c>
      <c r="U766" s="3382">
        <v>554</v>
      </c>
      <c r="V766" s="3449">
        <v>4379400</v>
      </c>
      <c r="W766" s="3382"/>
      <c r="X766" s="2115"/>
      <c r="Y766" s="2406">
        <f t="shared" si="224"/>
        <v>4722</v>
      </c>
      <c r="Z766" s="2119">
        <f t="shared" ref="Z766:Z772" si="227">R766+T766+V766</f>
        <v>30916230</v>
      </c>
      <c r="AA766" s="2406">
        <f t="shared" si="225"/>
        <v>5746</v>
      </c>
      <c r="AB766" s="2119">
        <f t="shared" si="225"/>
        <v>51475230</v>
      </c>
      <c r="AC766" s="2585">
        <f t="shared" si="226"/>
        <v>9.9609950593741878</v>
      </c>
      <c r="AD766" s="2585">
        <f t="shared" ref="AD766:AD772" si="228">AB766/L766*100</f>
        <v>22.380534782608695</v>
      </c>
      <c r="AE766" s="2783"/>
    </row>
    <row r="767" spans="1:33" s="639" customFormat="1" ht="54.75" customHeight="1">
      <c r="A767" s="1486"/>
      <c r="B767" s="3382"/>
      <c r="C767" s="1416"/>
      <c r="D767" s="1416"/>
      <c r="E767" s="1416"/>
      <c r="F767" s="1416"/>
      <c r="G767" s="1416"/>
      <c r="H767" s="1416"/>
      <c r="I767" s="3382" t="s">
        <v>2204</v>
      </c>
      <c r="J767" s="3382" t="s">
        <v>4207</v>
      </c>
      <c r="K767" s="3448">
        <v>260000</v>
      </c>
      <c r="L767" s="745">
        <v>505000000</v>
      </c>
      <c r="M767" s="2648">
        <v>62979</v>
      </c>
      <c r="N767" s="745">
        <v>130170800</v>
      </c>
      <c r="O767" s="2648">
        <v>51000</v>
      </c>
      <c r="P767" s="2853">
        <v>101274500</v>
      </c>
      <c r="Q767" s="2786">
        <v>34725</v>
      </c>
      <c r="R767" s="3451">
        <v>14371800</v>
      </c>
      <c r="S767" s="2115">
        <v>28420</v>
      </c>
      <c r="T767" s="3451">
        <v>34123500</v>
      </c>
      <c r="U767" s="2115">
        <v>50328</v>
      </c>
      <c r="V767" s="3449">
        <v>17998000</v>
      </c>
      <c r="W767" s="3382"/>
      <c r="X767" s="2115"/>
      <c r="Y767" s="2406">
        <f t="shared" si="224"/>
        <v>113473</v>
      </c>
      <c r="Z767" s="2119">
        <f t="shared" si="227"/>
        <v>66493300</v>
      </c>
      <c r="AA767" s="2406">
        <f t="shared" si="225"/>
        <v>176452</v>
      </c>
      <c r="AB767" s="3447">
        <f t="shared" si="225"/>
        <v>196664100</v>
      </c>
      <c r="AC767" s="2585">
        <f t="shared" si="226"/>
        <v>67.86615384615385</v>
      </c>
      <c r="AD767" s="2585">
        <f t="shared" si="228"/>
        <v>38.94338613861386</v>
      </c>
      <c r="AE767" s="2783"/>
    </row>
    <row r="768" spans="1:33" s="639" customFormat="1" ht="54.75" customHeight="1">
      <c r="A768" s="1486"/>
      <c r="B768" s="3382"/>
      <c r="C768" s="1416"/>
      <c r="D768" s="1416"/>
      <c r="E768" s="1416"/>
      <c r="F768" s="1416"/>
      <c r="G768" s="1416"/>
      <c r="H768" s="1416"/>
      <c r="I768" s="3382" t="s">
        <v>2207</v>
      </c>
      <c r="J768" s="3382" t="s">
        <v>4208</v>
      </c>
      <c r="K768" s="3448">
        <v>170000</v>
      </c>
      <c r="L768" s="2648">
        <v>1500000000</v>
      </c>
      <c r="M768" s="2648">
        <v>31126</v>
      </c>
      <c r="N768" s="745">
        <v>528586700</v>
      </c>
      <c r="O768" s="2648">
        <v>33000</v>
      </c>
      <c r="P768" s="2853">
        <v>138576200</v>
      </c>
      <c r="Q768" s="2786">
        <v>24636</v>
      </c>
      <c r="R768" s="3449">
        <v>22331910</v>
      </c>
      <c r="S768" s="2115">
        <v>10160</v>
      </c>
      <c r="T768" s="3449">
        <v>64541800</v>
      </c>
      <c r="U768" s="2115">
        <v>9167</v>
      </c>
      <c r="V768" s="3449">
        <v>22001390</v>
      </c>
      <c r="W768" s="3382"/>
      <c r="X768" s="2115"/>
      <c r="Y768" s="2406">
        <f t="shared" si="224"/>
        <v>43963</v>
      </c>
      <c r="Z768" s="2119">
        <f t="shared" si="227"/>
        <v>108875100</v>
      </c>
      <c r="AA768" s="2406">
        <f t="shared" si="225"/>
        <v>75089</v>
      </c>
      <c r="AB768" s="2119">
        <f t="shared" si="225"/>
        <v>637461800</v>
      </c>
      <c r="AC768" s="2585">
        <f t="shared" si="226"/>
        <v>44.17</v>
      </c>
      <c r="AD768" s="2585">
        <f t="shared" si="228"/>
        <v>42.497453333333333</v>
      </c>
      <c r="AE768" s="2783"/>
    </row>
    <row r="769" spans="1:32" s="63" customFormat="1" ht="54.75" customHeight="1">
      <c r="A769" s="1486"/>
      <c r="B769" s="3382"/>
      <c r="C769" s="1416"/>
      <c r="D769" s="1416"/>
      <c r="E769" s="1416"/>
      <c r="F769" s="1416"/>
      <c r="G769" s="1416"/>
      <c r="H769" s="1416"/>
      <c r="I769" s="3382" t="s">
        <v>2209</v>
      </c>
      <c r="J769" s="3382" t="s">
        <v>4209</v>
      </c>
      <c r="K769" s="3448">
        <v>205</v>
      </c>
      <c r="L769" s="2648">
        <v>1750000000</v>
      </c>
      <c r="M769" s="2736">
        <v>50</v>
      </c>
      <c r="N769" s="745">
        <v>296856950</v>
      </c>
      <c r="O769" s="2648">
        <v>50</v>
      </c>
      <c r="P769" s="2853">
        <v>168925000</v>
      </c>
      <c r="Q769" s="2736">
        <v>15</v>
      </c>
      <c r="R769" s="3449">
        <v>57235250</v>
      </c>
      <c r="S769" s="2115">
        <v>15</v>
      </c>
      <c r="T769" s="2115">
        <v>100862100</v>
      </c>
      <c r="U769" s="2115">
        <v>10</v>
      </c>
      <c r="V769" s="3449">
        <v>7796500</v>
      </c>
      <c r="W769" s="3382"/>
      <c r="X769" s="2115"/>
      <c r="Y769" s="2406">
        <f t="shared" si="224"/>
        <v>40</v>
      </c>
      <c r="Z769" s="2119">
        <f t="shared" si="227"/>
        <v>165893850</v>
      </c>
      <c r="AA769" s="2406">
        <f t="shared" si="225"/>
        <v>90</v>
      </c>
      <c r="AB769" s="2119">
        <f t="shared" si="225"/>
        <v>462750800</v>
      </c>
      <c r="AC769" s="2585">
        <f t="shared" si="226"/>
        <v>43.902439024390247</v>
      </c>
      <c r="AD769" s="2585">
        <f t="shared" si="228"/>
        <v>26.442902857142858</v>
      </c>
      <c r="AE769" s="2783"/>
    </row>
    <row r="770" spans="1:32" s="63" customFormat="1" ht="52.5" customHeight="1">
      <c r="A770" s="1486"/>
      <c r="B770" s="3382"/>
      <c r="C770" s="1416"/>
      <c r="D770" s="1416"/>
      <c r="E770" s="1416"/>
      <c r="F770" s="1416"/>
      <c r="G770" s="1416"/>
      <c r="H770" s="1416"/>
      <c r="I770" s="3382" t="s">
        <v>2211</v>
      </c>
      <c r="J770" s="3382" t="s">
        <v>4210</v>
      </c>
      <c r="K770" s="3448">
        <v>4580</v>
      </c>
      <c r="L770" s="2648">
        <v>300000000</v>
      </c>
      <c r="M770" s="2648">
        <v>842</v>
      </c>
      <c r="N770" s="745">
        <v>0</v>
      </c>
      <c r="O770" s="2648">
        <v>800</v>
      </c>
      <c r="P770" s="2853">
        <v>35790200</v>
      </c>
      <c r="Q770" s="2736">
        <v>371</v>
      </c>
      <c r="R770" s="3449">
        <v>3015500</v>
      </c>
      <c r="S770" s="2115">
        <v>324</v>
      </c>
      <c r="T770" s="2115">
        <v>19783900</v>
      </c>
      <c r="U770" s="2115">
        <v>606</v>
      </c>
      <c r="V770" s="3449">
        <v>3662000</v>
      </c>
      <c r="W770" s="3382"/>
      <c r="X770" s="2115"/>
      <c r="Y770" s="2406">
        <f t="shared" si="224"/>
        <v>1301</v>
      </c>
      <c r="Z770" s="2119">
        <f t="shared" si="227"/>
        <v>26461400</v>
      </c>
      <c r="AA770" s="2406">
        <f t="shared" si="225"/>
        <v>2143</v>
      </c>
      <c r="AB770" s="2119">
        <f t="shared" si="225"/>
        <v>26461400</v>
      </c>
      <c r="AC770" s="2585">
        <f t="shared" si="226"/>
        <v>46.790393013100434</v>
      </c>
      <c r="AD770" s="2585">
        <f t="shared" si="228"/>
        <v>8.8204666666666665</v>
      </c>
      <c r="AE770" s="2783"/>
    </row>
    <row r="771" spans="1:32" s="145" customFormat="1" ht="61.5" customHeight="1">
      <c r="A771" s="1486"/>
      <c r="B771" s="3382"/>
      <c r="C771" s="1416"/>
      <c r="D771" s="1416"/>
      <c r="E771" s="1416"/>
      <c r="F771" s="1416"/>
      <c r="G771" s="1416"/>
      <c r="H771" s="1416"/>
      <c r="I771" s="3382" t="s">
        <v>2213</v>
      </c>
      <c r="J771" s="3382" t="s">
        <v>2214</v>
      </c>
      <c r="K771" s="3448">
        <v>48</v>
      </c>
      <c r="L771" s="2648">
        <v>300000000</v>
      </c>
      <c r="M771" s="2648">
        <v>0</v>
      </c>
      <c r="N771" s="745">
        <v>0</v>
      </c>
      <c r="O771" s="2648">
        <v>12</v>
      </c>
      <c r="P771" s="2853">
        <v>26568500</v>
      </c>
      <c r="Q771" s="2648">
        <v>2</v>
      </c>
      <c r="R771" s="3449">
        <v>2685500</v>
      </c>
      <c r="S771" s="3382">
        <v>4</v>
      </c>
      <c r="T771" s="2115">
        <v>14345400</v>
      </c>
      <c r="U771" s="3382">
        <v>3</v>
      </c>
      <c r="V771" s="3449">
        <v>3931400</v>
      </c>
      <c r="W771" s="3382"/>
      <c r="X771" s="2115"/>
      <c r="Y771" s="2406">
        <f t="shared" si="224"/>
        <v>9</v>
      </c>
      <c r="Z771" s="2119">
        <f t="shared" si="227"/>
        <v>20962300</v>
      </c>
      <c r="AA771" s="2406">
        <f t="shared" si="225"/>
        <v>9</v>
      </c>
      <c r="AB771" s="2119">
        <f t="shared" si="225"/>
        <v>20962300</v>
      </c>
      <c r="AC771" s="2585">
        <f t="shared" si="226"/>
        <v>18.75</v>
      </c>
      <c r="AD771" s="2585">
        <f t="shared" si="228"/>
        <v>6.9874333333333327</v>
      </c>
      <c r="AE771" s="2783"/>
    </row>
    <row r="772" spans="1:32" s="63" customFormat="1" ht="48" customHeight="1">
      <c r="A772" s="1486"/>
      <c r="B772" s="3382"/>
      <c r="C772" s="1431"/>
      <c r="D772" s="1431"/>
      <c r="E772" s="1431"/>
      <c r="F772" s="1431"/>
      <c r="G772" s="1431"/>
      <c r="H772" s="1431"/>
      <c r="I772" s="375" t="s">
        <v>2215</v>
      </c>
      <c r="J772" s="3382" t="s">
        <v>4211</v>
      </c>
      <c r="K772" s="3448">
        <v>16</v>
      </c>
      <c r="L772" s="2648">
        <v>350000000</v>
      </c>
      <c r="M772" s="2648">
        <v>0</v>
      </c>
      <c r="N772" s="745">
        <v>0</v>
      </c>
      <c r="O772" s="2648">
        <v>3</v>
      </c>
      <c r="P772" s="3103">
        <v>89849700</v>
      </c>
      <c r="Q772" s="2648">
        <v>3</v>
      </c>
      <c r="R772" s="3449">
        <v>5000000</v>
      </c>
      <c r="S772" s="3382">
        <v>0</v>
      </c>
      <c r="T772" s="2115">
        <v>12485000</v>
      </c>
      <c r="U772" s="3382">
        <v>0</v>
      </c>
      <c r="V772" s="3449">
        <v>6040000</v>
      </c>
      <c r="W772" s="3382"/>
      <c r="X772" s="2115"/>
      <c r="Y772" s="2406">
        <f t="shared" si="224"/>
        <v>3</v>
      </c>
      <c r="Z772" s="2119">
        <f t="shared" si="227"/>
        <v>23525000</v>
      </c>
      <c r="AA772" s="2406">
        <f t="shared" si="225"/>
        <v>3</v>
      </c>
      <c r="AB772" s="2119">
        <f t="shared" si="225"/>
        <v>23525000</v>
      </c>
      <c r="AC772" s="2585">
        <f t="shared" si="226"/>
        <v>18.75</v>
      </c>
      <c r="AD772" s="2585">
        <f t="shared" si="228"/>
        <v>6.7214285714285715</v>
      </c>
      <c r="AE772" s="2783"/>
    </row>
    <row r="773" spans="1:32" s="63" customFormat="1" ht="71.25" customHeight="1">
      <c r="A773" s="1486"/>
      <c r="B773" s="3382"/>
      <c r="C773" s="1416"/>
      <c r="D773" s="1416"/>
      <c r="E773" s="1416"/>
      <c r="F773" s="1416"/>
      <c r="G773" s="1416"/>
      <c r="H773" s="1416"/>
      <c r="I773" s="3597"/>
      <c r="J773" s="3382" t="s">
        <v>2217</v>
      </c>
      <c r="K773" s="3448">
        <v>102000</v>
      </c>
      <c r="L773" s="2648">
        <v>0</v>
      </c>
      <c r="M773" s="2648">
        <v>0</v>
      </c>
      <c r="N773" s="745">
        <v>0</v>
      </c>
      <c r="O773" s="2648">
        <v>20000</v>
      </c>
      <c r="P773" s="3103">
        <v>0</v>
      </c>
      <c r="Q773" s="2648">
        <v>0</v>
      </c>
      <c r="R773" s="3449">
        <v>0</v>
      </c>
      <c r="S773" s="2115">
        <v>6011</v>
      </c>
      <c r="T773" s="2115">
        <v>0</v>
      </c>
      <c r="U773" s="2115">
        <v>8367</v>
      </c>
      <c r="V773" s="3450">
        <v>0</v>
      </c>
      <c r="W773" s="3382"/>
      <c r="X773" s="2115"/>
      <c r="Y773" s="2406">
        <f t="shared" si="224"/>
        <v>14378</v>
      </c>
      <c r="Z773" s="2119">
        <f t="shared" si="224"/>
        <v>0</v>
      </c>
      <c r="AA773" s="2406">
        <f t="shared" si="225"/>
        <v>14378</v>
      </c>
      <c r="AB773" s="2119">
        <f t="shared" si="225"/>
        <v>0</v>
      </c>
      <c r="AC773" s="2585">
        <f t="shared" si="226"/>
        <v>14.09607843137255</v>
      </c>
      <c r="AD773" s="2585"/>
      <c r="AE773" s="2783"/>
    </row>
    <row r="774" spans="1:32" s="63" customFormat="1" ht="48" customHeight="1">
      <c r="A774" s="1486"/>
      <c r="B774" s="3382"/>
      <c r="C774" s="1446"/>
      <c r="D774" s="1446"/>
      <c r="E774" s="1446"/>
      <c r="F774" s="1446"/>
      <c r="G774" s="1446"/>
      <c r="H774" s="1446"/>
      <c r="I774" s="732"/>
      <c r="J774" s="3382" t="s">
        <v>4212</v>
      </c>
      <c r="K774" s="3448">
        <v>14</v>
      </c>
      <c r="L774" s="2648">
        <v>0</v>
      </c>
      <c r="M774" s="2648">
        <v>0</v>
      </c>
      <c r="N774" s="745">
        <v>0</v>
      </c>
      <c r="O774" s="2648">
        <v>3</v>
      </c>
      <c r="P774" s="3103">
        <v>0</v>
      </c>
      <c r="Q774" s="2648">
        <v>0</v>
      </c>
      <c r="R774" s="3449">
        <v>0</v>
      </c>
      <c r="S774" s="3382">
        <v>1</v>
      </c>
      <c r="T774" s="2115">
        <v>0</v>
      </c>
      <c r="U774" s="3382">
        <v>0</v>
      </c>
      <c r="V774" s="3450">
        <v>0</v>
      </c>
      <c r="W774" s="3382"/>
      <c r="X774" s="2115"/>
      <c r="Y774" s="2406">
        <f t="shared" si="224"/>
        <v>1</v>
      </c>
      <c r="Z774" s="2119">
        <f t="shared" si="224"/>
        <v>0</v>
      </c>
      <c r="AA774" s="2406">
        <f t="shared" si="225"/>
        <v>1</v>
      </c>
      <c r="AB774" s="2119">
        <f t="shared" si="225"/>
        <v>0</v>
      </c>
      <c r="AC774" s="2585">
        <f t="shared" si="226"/>
        <v>7.1428571428571423</v>
      </c>
      <c r="AD774" s="2585"/>
      <c r="AE774" s="2783"/>
    </row>
    <row r="775" spans="1:32" s="145" customFormat="1" ht="48" customHeight="1">
      <c r="A775" s="1486"/>
      <c r="B775" s="3382"/>
      <c r="C775" s="1416"/>
      <c r="D775" s="1416"/>
      <c r="E775" s="1416"/>
      <c r="F775" s="1416"/>
      <c r="G775" s="1416"/>
      <c r="H775" s="1416"/>
      <c r="I775" s="3382" t="s">
        <v>2218</v>
      </c>
      <c r="J775" s="3382" t="s">
        <v>4213</v>
      </c>
      <c r="K775" s="3448">
        <v>300000</v>
      </c>
      <c r="L775" s="2648">
        <v>357000000</v>
      </c>
      <c r="M775" s="2648">
        <v>0</v>
      </c>
      <c r="N775" s="745">
        <v>0</v>
      </c>
      <c r="O775" s="2648">
        <v>70000</v>
      </c>
      <c r="P775" s="2853">
        <v>71520100</v>
      </c>
      <c r="Q775" s="2648">
        <v>13628</v>
      </c>
      <c r="R775" s="3449">
        <v>4526500</v>
      </c>
      <c r="S775" s="2115">
        <v>14464</v>
      </c>
      <c r="T775" s="2115">
        <v>14535400</v>
      </c>
      <c r="U775" s="2115">
        <v>3828</v>
      </c>
      <c r="V775" s="3449">
        <v>18912000</v>
      </c>
      <c r="W775" s="3382"/>
      <c r="X775" s="2115"/>
      <c r="Y775" s="2406">
        <f t="shared" si="224"/>
        <v>31920</v>
      </c>
      <c r="Z775" s="2119">
        <f>R775+T775+V775</f>
        <v>37973900</v>
      </c>
      <c r="AA775" s="2406">
        <f t="shared" si="225"/>
        <v>31920</v>
      </c>
      <c r="AB775" s="2119">
        <f t="shared" si="225"/>
        <v>37973900</v>
      </c>
      <c r="AC775" s="2585">
        <f t="shared" si="226"/>
        <v>10.639999999999999</v>
      </c>
      <c r="AD775" s="2585">
        <f>AB775/L775*100</f>
        <v>10.636946778711485</v>
      </c>
      <c r="AE775" s="2783"/>
    </row>
    <row r="776" spans="1:32" s="63" customFormat="1" ht="59.25" customHeight="1">
      <c r="A776" s="1486"/>
      <c r="B776" s="1936"/>
      <c r="C776" s="1431"/>
      <c r="D776" s="1431"/>
      <c r="E776" s="1431"/>
      <c r="F776" s="1431"/>
      <c r="G776" s="1431"/>
      <c r="H776" s="1431"/>
      <c r="I776" s="375" t="s">
        <v>2220</v>
      </c>
      <c r="J776" s="3382" t="s">
        <v>2221</v>
      </c>
      <c r="K776" s="3448">
        <v>1183000</v>
      </c>
      <c r="L776" s="2648">
        <v>6500000000</v>
      </c>
      <c r="M776" s="2648">
        <v>236600</v>
      </c>
      <c r="N776" s="745">
        <v>1249161900</v>
      </c>
      <c r="O776" s="2648">
        <v>236600</v>
      </c>
      <c r="P776" s="2853">
        <v>1353364000</v>
      </c>
      <c r="Q776" s="2648">
        <v>0</v>
      </c>
      <c r="R776" s="3449">
        <v>14737600</v>
      </c>
      <c r="S776" s="2115">
        <v>236600</v>
      </c>
      <c r="T776" s="2115">
        <v>995425800</v>
      </c>
      <c r="U776" s="3382">
        <v>0</v>
      </c>
      <c r="V776" s="3449">
        <v>182984920</v>
      </c>
      <c r="W776" s="3382"/>
      <c r="X776" s="2115"/>
      <c r="Y776" s="2406">
        <f t="shared" si="224"/>
        <v>236600</v>
      </c>
      <c r="Z776" s="2119">
        <f>R776+T776+V776</f>
        <v>1193148320</v>
      </c>
      <c r="AA776" s="2406">
        <f t="shared" si="225"/>
        <v>473200</v>
      </c>
      <c r="AB776" s="2119">
        <f t="shared" si="225"/>
        <v>2442310220</v>
      </c>
      <c r="AC776" s="2585">
        <f t="shared" si="226"/>
        <v>40</v>
      </c>
      <c r="AD776" s="2585">
        <f>AB776/L776*100</f>
        <v>37.574003384615381</v>
      </c>
      <c r="AE776" s="2783"/>
    </row>
    <row r="777" spans="1:32" s="63" customFormat="1" ht="33.75" customHeight="1">
      <c r="A777" s="1486"/>
      <c r="B777" s="1936"/>
      <c r="C777" s="1416"/>
      <c r="D777" s="1416"/>
      <c r="E777" s="1416"/>
      <c r="F777" s="1416"/>
      <c r="G777" s="1416"/>
      <c r="H777" s="1416"/>
      <c r="I777" s="3597"/>
      <c r="J777" s="3382" t="s">
        <v>3379</v>
      </c>
      <c r="K777" s="3448">
        <v>5400</v>
      </c>
      <c r="L777" s="2648"/>
      <c r="M777" s="2648">
        <v>900</v>
      </c>
      <c r="N777" s="745"/>
      <c r="O777" s="2648">
        <v>900</v>
      </c>
      <c r="P777" s="2853"/>
      <c r="Q777" s="2648"/>
      <c r="R777" s="3449"/>
      <c r="S777" s="3382">
        <v>900</v>
      </c>
      <c r="T777" s="2115"/>
      <c r="U777" s="3382">
        <v>0</v>
      </c>
      <c r="V777" s="3450"/>
      <c r="W777" s="3382"/>
      <c r="X777" s="2115"/>
      <c r="Y777" s="2406">
        <f t="shared" si="224"/>
        <v>900</v>
      </c>
      <c r="Z777" s="2119"/>
      <c r="AA777" s="2406">
        <f t="shared" si="225"/>
        <v>1800</v>
      </c>
      <c r="AB777" s="2119"/>
      <c r="AC777" s="2585">
        <f t="shared" si="226"/>
        <v>33.333333333333329</v>
      </c>
      <c r="AD777" s="2585"/>
      <c r="AE777" s="2783"/>
    </row>
    <row r="778" spans="1:32" s="63" customFormat="1" ht="47.25" customHeight="1">
      <c r="A778" s="1486"/>
      <c r="B778" s="1936"/>
      <c r="C778" s="1446"/>
      <c r="D778" s="1446"/>
      <c r="E778" s="1446"/>
      <c r="F778" s="1446"/>
      <c r="G778" s="1446"/>
      <c r="H778" s="1446"/>
      <c r="I778" s="732"/>
      <c r="J778" s="3382" t="s">
        <v>4214</v>
      </c>
      <c r="K778" s="3448">
        <v>10</v>
      </c>
      <c r="L778" s="2648"/>
      <c r="M778" s="2648">
        <v>2</v>
      </c>
      <c r="N778" s="745"/>
      <c r="O778" s="2648">
        <v>2</v>
      </c>
      <c r="P778" s="2853"/>
      <c r="Q778" s="2648">
        <v>0</v>
      </c>
      <c r="R778" s="3449"/>
      <c r="S778" s="3382">
        <v>2</v>
      </c>
      <c r="T778" s="2115"/>
      <c r="U778" s="3382">
        <v>1</v>
      </c>
      <c r="V778" s="3450"/>
      <c r="W778" s="3382"/>
      <c r="X778" s="2115"/>
      <c r="Y778" s="2406">
        <f t="shared" si="224"/>
        <v>3</v>
      </c>
      <c r="Z778" s="2119"/>
      <c r="AA778" s="2406">
        <f t="shared" si="225"/>
        <v>5</v>
      </c>
      <c r="AB778" s="2119"/>
      <c r="AC778" s="2585">
        <f t="shared" si="226"/>
        <v>50</v>
      </c>
      <c r="AD778" s="2585"/>
      <c r="AE778" s="2783"/>
    </row>
    <row r="779" spans="1:32" s="63" customFormat="1" ht="57" customHeight="1">
      <c r="A779" s="1486"/>
      <c r="B779" s="3382"/>
      <c r="C779" s="1431"/>
      <c r="D779" s="1431"/>
      <c r="E779" s="1431"/>
      <c r="F779" s="1431"/>
      <c r="G779" s="1431"/>
      <c r="H779" s="1431"/>
      <c r="I779" s="375" t="s">
        <v>2222</v>
      </c>
      <c r="J779" s="3382" t="s">
        <v>4215</v>
      </c>
      <c r="K779" s="3448">
        <v>130220</v>
      </c>
      <c r="L779" s="2648">
        <v>5300000000</v>
      </c>
      <c r="M779" s="2648">
        <v>0</v>
      </c>
      <c r="N779" s="745">
        <v>0</v>
      </c>
      <c r="O779" s="2648">
        <v>10220</v>
      </c>
      <c r="P779" s="2853">
        <v>4061008300</v>
      </c>
      <c r="Q779" s="2736">
        <v>0</v>
      </c>
      <c r="R779" s="3449">
        <v>85475000</v>
      </c>
      <c r="S779" s="3382">
        <v>0</v>
      </c>
      <c r="T779" s="2115">
        <v>130636720</v>
      </c>
      <c r="U779" s="2115">
        <v>13369</v>
      </c>
      <c r="V779" s="3449">
        <v>1772801660</v>
      </c>
      <c r="W779" s="3382"/>
      <c r="X779" s="2115"/>
      <c r="Y779" s="2406">
        <f t="shared" si="224"/>
        <v>13369</v>
      </c>
      <c r="Z779" s="2119">
        <f>R779+T779+V779</f>
        <v>1988913380</v>
      </c>
      <c r="AA779" s="2406">
        <f t="shared" si="225"/>
        <v>13369</v>
      </c>
      <c r="AB779" s="2119">
        <f t="shared" si="225"/>
        <v>1988913380</v>
      </c>
      <c r="AC779" s="2585">
        <f t="shared" si="226"/>
        <v>10.266472124097682</v>
      </c>
      <c r="AD779" s="2585">
        <f>AB779/L779*100</f>
        <v>37.526667547169815</v>
      </c>
      <c r="AE779" s="2783"/>
    </row>
    <row r="780" spans="1:32" s="63" customFormat="1" ht="51" customHeight="1">
      <c r="A780" s="3452" t="s">
        <v>89</v>
      </c>
      <c r="B780" s="3452"/>
      <c r="C780" s="1484"/>
      <c r="D780" s="1484"/>
      <c r="E780" s="1484"/>
      <c r="F780" s="1484"/>
      <c r="G780" s="1484"/>
      <c r="H780" s="1484"/>
      <c r="I780" s="2334"/>
      <c r="J780" s="1936" t="s">
        <v>4216</v>
      </c>
      <c r="K780" s="2406">
        <v>165768</v>
      </c>
      <c r="L780" s="2334"/>
      <c r="M780" s="2334"/>
      <c r="N780" s="3045"/>
      <c r="O780" s="2406">
        <v>15692</v>
      </c>
      <c r="P780" s="2334"/>
      <c r="Q780" s="2334">
        <v>0</v>
      </c>
      <c r="R780" s="2334"/>
      <c r="S780" s="2334">
        <v>0</v>
      </c>
      <c r="T780" s="2334"/>
      <c r="U780" s="2406">
        <v>11876</v>
      </c>
      <c r="V780" s="3453"/>
      <c r="W780" s="2334"/>
      <c r="X780" s="2334"/>
      <c r="Y780" s="2406">
        <f t="shared" si="224"/>
        <v>11876</v>
      </c>
      <c r="Z780" s="2334"/>
      <c r="AA780" s="2406">
        <f t="shared" si="225"/>
        <v>11876</v>
      </c>
      <c r="AB780" s="2334"/>
      <c r="AC780" s="2585">
        <f t="shared" si="226"/>
        <v>7.1642295256020461</v>
      </c>
      <c r="AD780" s="2585"/>
      <c r="AE780" s="2783"/>
    </row>
    <row r="781" spans="1:32" s="63" customFormat="1">
      <c r="A781" s="4293" t="s">
        <v>89</v>
      </c>
      <c r="B781" s="4294"/>
      <c r="C781" s="4294"/>
      <c r="D781" s="4294"/>
      <c r="E781" s="4294"/>
      <c r="F781" s="4294"/>
      <c r="G781" s="4294"/>
      <c r="H781" s="4294"/>
      <c r="I781" s="4294"/>
      <c r="J781" s="4294"/>
      <c r="K781" s="4294"/>
      <c r="L781" s="4294"/>
      <c r="M781" s="4294"/>
      <c r="N781" s="4294"/>
      <c r="O781" s="4294"/>
      <c r="P781" s="4294"/>
      <c r="Q781" s="4294"/>
      <c r="R781" s="4294"/>
      <c r="S781" s="4294"/>
      <c r="T781" s="4294"/>
      <c r="U781" s="4294"/>
      <c r="V781" s="4294"/>
      <c r="W781" s="4294"/>
      <c r="X781" s="4294"/>
      <c r="Y781" s="4294"/>
      <c r="Z781" s="4294"/>
      <c r="AA781" s="4294"/>
      <c r="AB781" s="4295"/>
      <c r="AC781" s="2422">
        <f>(AC736+AC749+AC752+AC754)/4</f>
        <v>29.94736842105263</v>
      </c>
      <c r="AD781" s="2422">
        <f>(AD736+AD749+AD752+AD754)/4</f>
        <v>20.682477476191536</v>
      </c>
      <c r="AE781" s="2783"/>
    </row>
    <row r="782" spans="1:32" s="145" customFormat="1">
      <c r="A782" s="4293" t="s">
        <v>90</v>
      </c>
      <c r="B782" s="4294"/>
      <c r="C782" s="4294"/>
      <c r="D782" s="4294"/>
      <c r="E782" s="4294"/>
      <c r="F782" s="4294"/>
      <c r="G782" s="4294"/>
      <c r="H782" s="4294"/>
      <c r="I782" s="4294"/>
      <c r="J782" s="4294"/>
      <c r="K782" s="4294"/>
      <c r="L782" s="4294"/>
      <c r="M782" s="4294"/>
      <c r="N782" s="4294"/>
      <c r="O782" s="4294"/>
      <c r="P782" s="4294"/>
      <c r="Q782" s="4294"/>
      <c r="R782" s="4294"/>
      <c r="S782" s="4294"/>
      <c r="T782" s="4294"/>
      <c r="U782" s="4294"/>
      <c r="V782" s="4294"/>
      <c r="W782" s="4294"/>
      <c r="X782" s="4294"/>
      <c r="Y782" s="4294"/>
      <c r="Z782" s="4294"/>
      <c r="AA782" s="4294"/>
      <c r="AB782" s="4295"/>
      <c r="AC782" s="3378" t="str">
        <f>IF(AC781&gt;=91,"ST",IF(AC781&gt;=76,"T",IF(AC781&gt;=66,"S",IF(AC781&gt;=51,"R","SR"))))</f>
        <v>SR</v>
      </c>
      <c r="AD782" s="3378" t="str">
        <f>IF(AD781&gt;=91,"ST",IF(AD781&gt;=76,"T",IF(AD781&gt;=66,"S",IF(AD781&gt;=51,"R","SR"))))</f>
        <v>SR</v>
      </c>
      <c r="AE782" s="2783"/>
    </row>
    <row r="783" spans="1:32" s="642" customFormat="1" ht="55.5" customHeight="1">
      <c r="A783" s="2546" t="s">
        <v>3294</v>
      </c>
      <c r="B783" s="2918"/>
      <c r="C783" s="2546"/>
      <c r="D783" s="2546"/>
      <c r="E783" s="2546"/>
      <c r="F783" s="2546"/>
      <c r="G783" s="2546"/>
      <c r="H783" s="2546"/>
      <c r="I783" s="2515" t="s">
        <v>140</v>
      </c>
      <c r="J783" s="2918"/>
      <c r="K783" s="3210"/>
      <c r="L783" s="3194">
        <f>L784+L804+L808+L812+L814+L816+L821+L829</f>
        <v>17530858828</v>
      </c>
      <c r="M783" s="3210"/>
      <c r="N783" s="3195">
        <f>N784+N804+N808+N812+N814+N816+N821+N829</f>
        <v>3143406285</v>
      </c>
      <c r="O783" s="3210"/>
      <c r="P783" s="3195">
        <f>SUM(P784+P804+P808+P812+P814+P816+P821+P829)</f>
        <v>4137968405</v>
      </c>
      <c r="Q783" s="3210"/>
      <c r="R783" s="2916">
        <f>R784+R804+R808+R812+R814+R816+R821+R829</f>
        <v>374406234</v>
      </c>
      <c r="S783" s="2918"/>
      <c r="T783" s="2916">
        <f>T784+T804+T808+T812+T814+T816+T821+T829</f>
        <v>1121097215</v>
      </c>
      <c r="U783" s="2918"/>
      <c r="V783" s="2916">
        <f>V784+V808+V812+V814+V816</f>
        <v>1277405887</v>
      </c>
      <c r="W783" s="2918"/>
      <c r="X783" s="2918"/>
      <c r="Y783" s="3210"/>
      <c r="Z783" s="2916">
        <f t="shared" ref="Z783:Z831" si="229">R783+T783+V783+X783</f>
        <v>2772909336</v>
      </c>
      <c r="AA783" s="3210"/>
      <c r="AB783" s="2916">
        <f>AB784+AB804+AB808+AB812+AB814+AB816+AB821+AB829</f>
        <v>5767306869</v>
      </c>
      <c r="AC783" s="3210"/>
      <c r="AD783" s="3210"/>
      <c r="AE783" s="3211"/>
    </row>
    <row r="784" spans="1:32" s="639" customFormat="1" ht="59.25" customHeight="1">
      <c r="A784" s="3379">
        <v>1</v>
      </c>
      <c r="B784" s="3379"/>
      <c r="C784" s="2567">
        <v>1</v>
      </c>
      <c r="D784" s="2567" t="s">
        <v>65</v>
      </c>
      <c r="E784" s="2567" t="s">
        <v>198</v>
      </c>
      <c r="F784" s="2567" t="s">
        <v>66</v>
      </c>
      <c r="G784" s="2567" t="s">
        <v>66</v>
      </c>
      <c r="H784" s="3796"/>
      <c r="I784" s="2335" t="s">
        <v>221</v>
      </c>
      <c r="J784" s="2335" t="s">
        <v>3295</v>
      </c>
      <c r="K784" s="2381">
        <v>72</v>
      </c>
      <c r="L784" s="2568">
        <f>SUM(L785:L792)</f>
        <v>3163267560</v>
      </c>
      <c r="M784" s="2381">
        <v>24</v>
      </c>
      <c r="N784" s="2568">
        <f>SUM(N785:N792)</f>
        <v>1038562276</v>
      </c>
      <c r="O784" s="2381">
        <v>12</v>
      </c>
      <c r="P784" s="2568">
        <f>SUM(P785+P786+P788+P789+P790+P793+P794+P795+P796+P798+P799+P801+P803)</f>
        <v>865423668</v>
      </c>
      <c r="Q784" s="2381">
        <v>3</v>
      </c>
      <c r="R784" s="2569">
        <f>SUM(R785:R792)</f>
        <v>150657052</v>
      </c>
      <c r="S784" s="2570"/>
      <c r="T784" s="2569">
        <f>SUM(T785:T803)</f>
        <v>241760141</v>
      </c>
      <c r="U784" s="2570"/>
      <c r="V784" s="2571">
        <f>SUM(V785:V803)</f>
        <v>207962473</v>
      </c>
      <c r="W784" s="2570"/>
      <c r="X784" s="2570"/>
      <c r="Y784" s="2543">
        <f t="shared" ref="Y784:Y831" si="230">Q784+S784+U784+W784</f>
        <v>3</v>
      </c>
      <c r="Z784" s="2571">
        <f t="shared" si="229"/>
        <v>600379666</v>
      </c>
      <c r="AA784" s="2543">
        <f>M784+Y784</f>
        <v>27</v>
      </c>
      <c r="AB784" s="2571">
        <f>SUM(AB785:AB792)</f>
        <v>1489933190</v>
      </c>
      <c r="AC784" s="2544">
        <f t="shared" ref="AC784:AD786" si="231">(AA784/K784)*100</f>
        <v>37.5</v>
      </c>
      <c r="AD784" s="2544">
        <f t="shared" si="231"/>
        <v>47.101080188107773</v>
      </c>
      <c r="AE784" s="3377" t="s">
        <v>694</v>
      </c>
      <c r="AF784" s="2765"/>
    </row>
    <row r="785" spans="1:76" s="639" customFormat="1" ht="43.5" customHeight="1">
      <c r="A785" s="385"/>
      <c r="B785" s="384" t="s">
        <v>695</v>
      </c>
      <c r="C785" s="3792">
        <v>1</v>
      </c>
      <c r="D785" s="3792" t="s">
        <v>65</v>
      </c>
      <c r="E785" s="3792" t="s">
        <v>198</v>
      </c>
      <c r="F785" s="3792" t="s">
        <v>66</v>
      </c>
      <c r="G785" s="3792" t="s">
        <v>66</v>
      </c>
      <c r="H785" s="3792" t="s">
        <v>65</v>
      </c>
      <c r="I785" s="384" t="s">
        <v>696</v>
      </c>
      <c r="J785" s="384" t="s">
        <v>697</v>
      </c>
      <c r="K785" s="3374">
        <f>12*6</f>
        <v>72</v>
      </c>
      <c r="L785" s="3375">
        <v>213000000</v>
      </c>
      <c r="M785" s="3376">
        <f>12*2</f>
        <v>24</v>
      </c>
      <c r="N785" s="2416">
        <v>69698004</v>
      </c>
      <c r="O785" s="3374">
        <v>12</v>
      </c>
      <c r="P785" s="3375">
        <v>38280000</v>
      </c>
      <c r="Q785" s="3376">
        <v>3</v>
      </c>
      <c r="R785" s="597">
        <v>8522202</v>
      </c>
      <c r="S785" s="385">
        <v>3</v>
      </c>
      <c r="T785" s="386">
        <v>9676441</v>
      </c>
      <c r="U785" s="3434">
        <v>3</v>
      </c>
      <c r="V785" s="3619">
        <v>8245943</v>
      </c>
      <c r="W785" s="385"/>
      <c r="X785" s="385"/>
      <c r="Y785" s="3374">
        <f t="shared" si="230"/>
        <v>9</v>
      </c>
      <c r="Z785" s="597">
        <f t="shared" si="229"/>
        <v>26444586</v>
      </c>
      <c r="AA785" s="3374">
        <f>M785+Y785</f>
        <v>33</v>
      </c>
      <c r="AB785" s="597">
        <f>N785+Z785</f>
        <v>96142590</v>
      </c>
      <c r="AC785" s="3372">
        <f t="shared" si="231"/>
        <v>45.833333333333329</v>
      </c>
      <c r="AD785" s="3372">
        <f t="shared" si="231"/>
        <v>45.137366197183098</v>
      </c>
      <c r="AE785" s="3373"/>
    </row>
    <row r="786" spans="1:76" s="639" customFormat="1" ht="57" customHeight="1">
      <c r="A786" s="4296"/>
      <c r="B786" s="4238"/>
      <c r="C786" s="4246">
        <v>1</v>
      </c>
      <c r="D786" s="4246" t="s">
        <v>65</v>
      </c>
      <c r="E786" s="4246" t="s">
        <v>198</v>
      </c>
      <c r="F786" s="4246" t="s">
        <v>66</v>
      </c>
      <c r="G786" s="4246" t="s">
        <v>66</v>
      </c>
      <c r="H786" s="4246" t="s">
        <v>197</v>
      </c>
      <c r="I786" s="4248" t="s">
        <v>698</v>
      </c>
      <c r="J786" s="384" t="s">
        <v>699</v>
      </c>
      <c r="K786" s="3374">
        <f>6*6</f>
        <v>36</v>
      </c>
      <c r="L786" s="4250">
        <v>1784588860</v>
      </c>
      <c r="M786" s="3376">
        <f>6*2</f>
        <v>12</v>
      </c>
      <c r="N786" s="3375">
        <v>664811922</v>
      </c>
      <c r="O786" s="3374">
        <v>12</v>
      </c>
      <c r="P786" s="3375">
        <v>265419210</v>
      </c>
      <c r="Q786" s="3376">
        <v>2</v>
      </c>
      <c r="R786" s="386">
        <v>110784850</v>
      </c>
      <c r="S786" s="385">
        <v>2</v>
      </c>
      <c r="T786" s="386">
        <v>80023828</v>
      </c>
      <c r="U786" s="3434">
        <v>1</v>
      </c>
      <c r="V786" s="3620">
        <v>37817600</v>
      </c>
      <c r="W786" s="385"/>
      <c r="X786" s="385"/>
      <c r="Y786" s="3374">
        <f t="shared" si="230"/>
        <v>5</v>
      </c>
      <c r="Z786" s="597">
        <f t="shared" si="229"/>
        <v>228626278</v>
      </c>
      <c r="AA786" s="3374">
        <f>M786+Y786</f>
        <v>17</v>
      </c>
      <c r="AB786" s="597">
        <f>N786+Z786</f>
        <v>893438200</v>
      </c>
      <c r="AC786" s="3372">
        <f t="shared" si="231"/>
        <v>47.222222222222221</v>
      </c>
      <c r="AD786" s="3372">
        <f t="shared" si="231"/>
        <v>50.064091512932563</v>
      </c>
      <c r="AE786" s="4238"/>
    </row>
    <row r="787" spans="1:76" s="63" customFormat="1" ht="25.5">
      <c r="A787" s="4297"/>
      <c r="B787" s="4239"/>
      <c r="C787" s="4247"/>
      <c r="D787" s="4247"/>
      <c r="E787" s="4247"/>
      <c r="F787" s="4247"/>
      <c r="G787" s="4247"/>
      <c r="H787" s="4247"/>
      <c r="I787" s="4249"/>
      <c r="J787" s="384" t="s">
        <v>700</v>
      </c>
      <c r="K787" s="3374">
        <f>70*6</f>
        <v>420</v>
      </c>
      <c r="L787" s="4251"/>
      <c r="M787" s="3376">
        <f>70*2</f>
        <v>140</v>
      </c>
      <c r="N787" s="3375"/>
      <c r="O787" s="3374"/>
      <c r="P787" s="3375"/>
      <c r="Q787" s="3376">
        <v>0</v>
      </c>
      <c r="R787" s="386"/>
      <c r="S787" s="385"/>
      <c r="T787" s="386"/>
      <c r="U787" s="3434">
        <v>40</v>
      </c>
      <c r="V787" s="3434"/>
      <c r="W787" s="385"/>
      <c r="X787" s="385"/>
      <c r="Y787" s="3374">
        <f t="shared" si="230"/>
        <v>40</v>
      </c>
      <c r="Z787" s="597">
        <f t="shared" si="229"/>
        <v>0</v>
      </c>
      <c r="AA787" s="3374"/>
      <c r="AB787" s="597"/>
      <c r="AC787" s="3372"/>
      <c r="AD787" s="3372"/>
      <c r="AE787" s="4239"/>
    </row>
    <row r="788" spans="1:76" s="63" customFormat="1" ht="63.75">
      <c r="A788" s="385"/>
      <c r="B788" s="384"/>
      <c r="C788" s="3792">
        <v>1</v>
      </c>
      <c r="D788" s="3792" t="s">
        <v>65</v>
      </c>
      <c r="E788" s="3792" t="s">
        <v>198</v>
      </c>
      <c r="F788" s="3792" t="s">
        <v>66</v>
      </c>
      <c r="G788" s="3792" t="s">
        <v>66</v>
      </c>
      <c r="H788" s="3792" t="s">
        <v>198</v>
      </c>
      <c r="I788" s="384" t="s">
        <v>701</v>
      </c>
      <c r="J788" s="384" t="s">
        <v>702</v>
      </c>
      <c r="K788" s="3374">
        <f>12*6</f>
        <v>72</v>
      </c>
      <c r="L788" s="3375">
        <v>480000000</v>
      </c>
      <c r="M788" s="3376">
        <f>12*2</f>
        <v>24</v>
      </c>
      <c r="N788" s="3375">
        <v>105100000</v>
      </c>
      <c r="O788" s="3374">
        <v>12</v>
      </c>
      <c r="P788" s="3375">
        <v>101100000</v>
      </c>
      <c r="Q788" s="3376">
        <v>0</v>
      </c>
      <c r="R788" s="386">
        <v>0</v>
      </c>
      <c r="S788" s="385">
        <v>4</v>
      </c>
      <c r="T788" s="386">
        <v>42850000</v>
      </c>
      <c r="U788" s="3434">
        <v>5</v>
      </c>
      <c r="V788" s="3623">
        <v>34650000</v>
      </c>
      <c r="W788" s="385"/>
      <c r="X788" s="385"/>
      <c r="Y788" s="3374">
        <f t="shared" si="230"/>
        <v>9</v>
      </c>
      <c r="Z788" s="597">
        <f t="shared" si="229"/>
        <v>77500000</v>
      </c>
      <c r="AA788" s="3374">
        <f t="shared" ref="AA788:AB792" si="232">M788+Y788</f>
        <v>33</v>
      </c>
      <c r="AB788" s="597">
        <f t="shared" si="232"/>
        <v>182600000</v>
      </c>
      <c r="AC788" s="3372">
        <f t="shared" ref="AC788:AD803" si="233">(AA788/K788)*100</f>
        <v>45.833333333333329</v>
      </c>
      <c r="AD788" s="3372">
        <f t="shared" si="233"/>
        <v>38.041666666666671</v>
      </c>
      <c r="AE788" s="3373"/>
    </row>
    <row r="789" spans="1:76" s="145" customFormat="1" ht="33.75" customHeight="1">
      <c r="A789" s="385"/>
      <c r="B789" s="384"/>
      <c r="C789" s="3792">
        <v>1</v>
      </c>
      <c r="D789" s="3792" t="s">
        <v>65</v>
      </c>
      <c r="E789" s="3792" t="s">
        <v>198</v>
      </c>
      <c r="F789" s="3792" t="s">
        <v>66</v>
      </c>
      <c r="G789" s="3792" t="s">
        <v>66</v>
      </c>
      <c r="H789" s="3792" t="s">
        <v>93</v>
      </c>
      <c r="I789" s="384" t="s">
        <v>703</v>
      </c>
      <c r="J789" s="384" t="s">
        <v>704</v>
      </c>
      <c r="K789" s="3374">
        <f>12*6</f>
        <v>72</v>
      </c>
      <c r="L789" s="3375">
        <v>625678700</v>
      </c>
      <c r="M789" s="3376">
        <f>12*2</f>
        <v>24</v>
      </c>
      <c r="N789" s="3375">
        <v>179652350</v>
      </c>
      <c r="O789" s="3374">
        <v>12</v>
      </c>
      <c r="P789" s="3375">
        <v>121717400</v>
      </c>
      <c r="Q789" s="3376">
        <v>3</v>
      </c>
      <c r="R789" s="386">
        <v>29250000</v>
      </c>
      <c r="S789" s="385">
        <v>3</v>
      </c>
      <c r="T789" s="386">
        <v>13600000</v>
      </c>
      <c r="U789" s="3434">
        <v>6</v>
      </c>
      <c r="V789" s="3623">
        <v>71600050</v>
      </c>
      <c r="W789" s="385"/>
      <c r="X789" s="385"/>
      <c r="Y789" s="3374">
        <f t="shared" si="230"/>
        <v>12</v>
      </c>
      <c r="Z789" s="597">
        <f t="shared" si="229"/>
        <v>114450050</v>
      </c>
      <c r="AA789" s="3374">
        <f t="shared" si="232"/>
        <v>36</v>
      </c>
      <c r="AB789" s="597">
        <f t="shared" si="232"/>
        <v>294102400</v>
      </c>
      <c r="AC789" s="3372">
        <f t="shared" si="233"/>
        <v>50</v>
      </c>
      <c r="AD789" s="3372">
        <f t="shared" si="233"/>
        <v>47.005339961229303</v>
      </c>
      <c r="AE789" s="3373"/>
    </row>
    <row r="790" spans="1:76" s="63" customFormat="1" ht="25.5">
      <c r="A790" s="385"/>
      <c r="B790" s="384"/>
      <c r="C790" s="3792">
        <v>1</v>
      </c>
      <c r="D790" s="3792" t="s">
        <v>65</v>
      </c>
      <c r="E790" s="3792" t="s">
        <v>198</v>
      </c>
      <c r="F790" s="3792" t="s">
        <v>66</v>
      </c>
      <c r="G790" s="3792" t="s">
        <v>66</v>
      </c>
      <c r="H790" s="4246" t="s">
        <v>201</v>
      </c>
      <c r="I790" s="384" t="s">
        <v>705</v>
      </c>
      <c r="J790" s="384" t="s">
        <v>706</v>
      </c>
      <c r="K790" s="3143">
        <f>1*6</f>
        <v>6</v>
      </c>
      <c r="L790" s="3141">
        <v>60000000</v>
      </c>
      <c r="M790" s="3144">
        <v>2</v>
      </c>
      <c r="N790" s="3141">
        <v>19300000</v>
      </c>
      <c r="O790" s="3143">
        <v>1</v>
      </c>
      <c r="P790" s="3141">
        <v>9950000</v>
      </c>
      <c r="Q790" s="3144">
        <v>0</v>
      </c>
      <c r="R790" s="386">
        <v>2100000</v>
      </c>
      <c r="S790" s="385"/>
      <c r="T790" s="386">
        <v>2250000</v>
      </c>
      <c r="U790" s="3434">
        <v>0</v>
      </c>
      <c r="V790" s="3434">
        <v>0</v>
      </c>
      <c r="W790" s="385"/>
      <c r="X790" s="385"/>
      <c r="Y790" s="3143">
        <f t="shared" si="230"/>
        <v>0</v>
      </c>
      <c r="Z790" s="597">
        <f t="shared" si="229"/>
        <v>4350000</v>
      </c>
      <c r="AA790" s="3143">
        <f t="shared" si="232"/>
        <v>2</v>
      </c>
      <c r="AB790" s="597">
        <f>N790+Z790</f>
        <v>23650000</v>
      </c>
      <c r="AC790" s="3142">
        <f t="shared" si="233"/>
        <v>33.333333333333329</v>
      </c>
      <c r="AD790" s="3142">
        <f>(AB790/L790)*100</f>
        <v>39.416666666666664</v>
      </c>
      <c r="AE790" s="390"/>
    </row>
    <row r="791" spans="1:76" s="63" customFormat="1" ht="22.5" customHeight="1">
      <c r="A791" s="385"/>
      <c r="B791" s="384"/>
      <c r="C791" s="3792"/>
      <c r="D791" s="3792"/>
      <c r="E791" s="3792"/>
      <c r="F791" s="3792"/>
      <c r="G791" s="3792"/>
      <c r="H791" s="4285"/>
      <c r="I791" s="384"/>
      <c r="J791" s="384" t="s">
        <v>707</v>
      </c>
      <c r="K791" s="3143">
        <f>15*6</f>
        <v>90</v>
      </c>
      <c r="L791" s="3141"/>
      <c r="M791" s="3144">
        <v>30</v>
      </c>
      <c r="N791" s="3141"/>
      <c r="O791" s="3143">
        <v>15</v>
      </c>
      <c r="P791" s="3141"/>
      <c r="Q791" s="3144">
        <v>8</v>
      </c>
      <c r="R791" s="386"/>
      <c r="S791" s="385"/>
      <c r="T791" s="385"/>
      <c r="U791" s="3434"/>
      <c r="V791" s="3434"/>
      <c r="W791" s="385"/>
      <c r="X791" s="385"/>
      <c r="Y791" s="3143">
        <f t="shared" si="230"/>
        <v>8</v>
      </c>
      <c r="Z791" s="597">
        <f t="shared" si="229"/>
        <v>0</v>
      </c>
      <c r="AA791" s="3143">
        <f t="shared" si="232"/>
        <v>38</v>
      </c>
      <c r="AB791" s="597"/>
      <c r="AC791" s="3142">
        <f t="shared" si="233"/>
        <v>42.222222222222221</v>
      </c>
      <c r="AD791" s="3142"/>
      <c r="AE791" s="390"/>
    </row>
    <row r="792" spans="1:76" s="2321" customFormat="1" ht="42.75" customHeight="1">
      <c r="A792" s="385"/>
      <c r="B792" s="384"/>
      <c r="C792" s="3792"/>
      <c r="D792" s="3792"/>
      <c r="E792" s="3792"/>
      <c r="F792" s="3792"/>
      <c r="G792" s="3792"/>
      <c r="H792" s="4247"/>
      <c r="I792" s="384"/>
      <c r="J792" s="384" t="s">
        <v>708</v>
      </c>
      <c r="K792" s="3143">
        <f>9*6</f>
        <v>54</v>
      </c>
      <c r="L792" s="3141"/>
      <c r="M792" s="3144">
        <f>9*2</f>
        <v>18</v>
      </c>
      <c r="N792" s="3141"/>
      <c r="O792" s="3143">
        <v>9</v>
      </c>
      <c r="P792" s="3141"/>
      <c r="Q792" s="3144">
        <v>2</v>
      </c>
      <c r="R792" s="386"/>
      <c r="S792" s="385"/>
      <c r="T792" s="385"/>
      <c r="U792" s="3434"/>
      <c r="V792" s="3434"/>
      <c r="W792" s="385"/>
      <c r="X792" s="385"/>
      <c r="Y792" s="3143">
        <f t="shared" si="230"/>
        <v>2</v>
      </c>
      <c r="Z792" s="597">
        <f t="shared" si="229"/>
        <v>0</v>
      </c>
      <c r="AA792" s="3143">
        <f t="shared" si="232"/>
        <v>20</v>
      </c>
      <c r="AB792" s="597"/>
      <c r="AC792" s="3142">
        <f t="shared" si="233"/>
        <v>37.037037037037038</v>
      </c>
      <c r="AD792" s="3142"/>
      <c r="AE792" s="390"/>
      <c r="AF792" s="2320"/>
      <c r="AG792" s="2320"/>
      <c r="AH792" s="2320"/>
      <c r="AI792" s="2320"/>
      <c r="AJ792" s="2320"/>
      <c r="AK792" s="2320"/>
      <c r="AL792" s="2320"/>
      <c r="AM792" s="2320"/>
      <c r="AN792" s="2320"/>
      <c r="AO792" s="2320"/>
      <c r="AP792" s="2320"/>
      <c r="AQ792" s="2320"/>
      <c r="AR792" s="2320"/>
      <c r="AS792" s="2320"/>
      <c r="AT792" s="2320"/>
      <c r="AU792" s="2320"/>
      <c r="AV792" s="2320"/>
      <c r="AW792" s="2320"/>
      <c r="AX792" s="2320"/>
      <c r="AY792" s="2320"/>
      <c r="AZ792" s="2320"/>
      <c r="BA792" s="2320"/>
      <c r="BB792" s="2320"/>
      <c r="BC792" s="2320"/>
      <c r="BD792" s="2320"/>
      <c r="BE792" s="2320"/>
      <c r="BF792" s="2320"/>
      <c r="BG792" s="2320"/>
      <c r="BH792" s="2320"/>
      <c r="BI792" s="2320"/>
      <c r="BJ792" s="2320"/>
      <c r="BK792" s="2320"/>
      <c r="BL792" s="2320"/>
      <c r="BM792" s="2320"/>
      <c r="BN792" s="2320"/>
      <c r="BO792" s="2320"/>
      <c r="BP792" s="2320"/>
      <c r="BQ792" s="2320"/>
      <c r="BR792" s="2320"/>
      <c r="BS792" s="2320"/>
      <c r="BT792" s="2320"/>
      <c r="BU792" s="2320"/>
      <c r="BV792" s="2320"/>
      <c r="BW792" s="2320"/>
      <c r="BX792" s="2320"/>
    </row>
    <row r="793" spans="1:76" s="2321" customFormat="1" ht="22.5" customHeight="1">
      <c r="A793" s="3134"/>
      <c r="B793" s="3134"/>
      <c r="C793" s="3792">
        <v>1</v>
      </c>
      <c r="D793" s="3792" t="s">
        <v>65</v>
      </c>
      <c r="E793" s="3792" t="s">
        <v>198</v>
      </c>
      <c r="F793" s="3792" t="s">
        <v>66</v>
      </c>
      <c r="G793" s="3792" t="s">
        <v>66</v>
      </c>
      <c r="H793" s="3792" t="s">
        <v>202</v>
      </c>
      <c r="I793" s="384" t="s">
        <v>709</v>
      </c>
      <c r="J793" s="384" t="s">
        <v>710</v>
      </c>
      <c r="K793" s="3143">
        <f t="shared" ref="K793:K803" si="234">12*6</f>
        <v>72</v>
      </c>
      <c r="L793" s="3141">
        <v>210000000</v>
      </c>
      <c r="M793" s="3144">
        <f t="shared" ref="M793:M803" si="235">12*2</f>
        <v>24</v>
      </c>
      <c r="N793" s="3141">
        <v>51226494</v>
      </c>
      <c r="O793" s="3143">
        <v>12</v>
      </c>
      <c r="P793" s="3141">
        <v>48621019</v>
      </c>
      <c r="Q793" s="3144">
        <v>3</v>
      </c>
      <c r="R793" s="386">
        <v>11280075</v>
      </c>
      <c r="S793" s="385">
        <v>3</v>
      </c>
      <c r="T793" s="386">
        <v>8285382</v>
      </c>
      <c r="U793" s="3434">
        <v>3</v>
      </c>
      <c r="V793" s="3621">
        <v>13687192</v>
      </c>
      <c r="W793" s="385"/>
      <c r="X793" s="385"/>
      <c r="Y793" s="3143">
        <f t="shared" si="230"/>
        <v>9</v>
      </c>
      <c r="Z793" s="597">
        <f t="shared" si="229"/>
        <v>33252649</v>
      </c>
      <c r="AA793" s="3143">
        <f t="shared" ref="AA793:AA799" si="236">M793+Y793</f>
        <v>33</v>
      </c>
      <c r="AB793" s="597">
        <f t="shared" ref="AB793:AB803" si="237">N793+Z793</f>
        <v>84479143</v>
      </c>
      <c r="AC793" s="3142">
        <f t="shared" si="233"/>
        <v>45.833333333333329</v>
      </c>
      <c r="AD793" s="3142">
        <f t="shared" si="233"/>
        <v>40.228163333333335</v>
      </c>
      <c r="AE793" s="390"/>
      <c r="AF793" s="2320"/>
      <c r="AG793" s="2320"/>
      <c r="AH793" s="2320"/>
      <c r="AI793" s="2320"/>
      <c r="AJ793" s="2320"/>
      <c r="AK793" s="2320"/>
      <c r="AL793" s="2320"/>
      <c r="AM793" s="2320"/>
      <c r="AN793" s="2320"/>
      <c r="AO793" s="2320"/>
      <c r="AP793" s="2320"/>
      <c r="AQ793" s="2320"/>
      <c r="AR793" s="2320"/>
      <c r="AS793" s="2320"/>
      <c r="AT793" s="2320"/>
      <c r="AU793" s="2320"/>
      <c r="AV793" s="2320"/>
      <c r="AW793" s="2320"/>
      <c r="AX793" s="2320"/>
      <c r="AY793" s="2320"/>
      <c r="AZ793" s="2320"/>
      <c r="BA793" s="2320"/>
      <c r="BB793" s="2320"/>
      <c r="BC793" s="2320"/>
      <c r="BD793" s="2320"/>
      <c r="BE793" s="2320"/>
      <c r="BF793" s="2320"/>
      <c r="BG793" s="2320"/>
      <c r="BH793" s="2320"/>
      <c r="BI793" s="2320"/>
      <c r="BJ793" s="2320"/>
      <c r="BK793" s="2320"/>
      <c r="BL793" s="2320"/>
      <c r="BM793" s="2320"/>
      <c r="BN793" s="2320"/>
      <c r="BO793" s="2320"/>
      <c r="BP793" s="2320"/>
      <c r="BQ793" s="2320"/>
      <c r="BR793" s="2320"/>
      <c r="BS793" s="2320"/>
      <c r="BT793" s="2320"/>
      <c r="BU793" s="2320"/>
      <c r="BV793" s="2320"/>
      <c r="BW793" s="2320"/>
      <c r="BX793" s="2320"/>
    </row>
    <row r="794" spans="1:76" s="2320" customFormat="1" ht="33.75" customHeight="1">
      <c r="A794" s="3134"/>
      <c r="B794" s="3134"/>
      <c r="C794" s="3792">
        <v>1</v>
      </c>
      <c r="D794" s="3792" t="s">
        <v>65</v>
      </c>
      <c r="E794" s="3792" t="s">
        <v>198</v>
      </c>
      <c r="F794" s="3792" t="s">
        <v>66</v>
      </c>
      <c r="G794" s="3792" t="s">
        <v>66</v>
      </c>
      <c r="H794" s="3792" t="s">
        <v>417</v>
      </c>
      <c r="I794" s="384" t="s">
        <v>711</v>
      </c>
      <c r="J794" s="384" t="s">
        <v>712</v>
      </c>
      <c r="K794" s="3143">
        <f t="shared" si="234"/>
        <v>72</v>
      </c>
      <c r="L794" s="3141">
        <v>180000000</v>
      </c>
      <c r="M794" s="3144">
        <f t="shared" si="235"/>
        <v>24</v>
      </c>
      <c r="N794" s="3141">
        <v>56615200</v>
      </c>
      <c r="O794" s="3143">
        <v>12</v>
      </c>
      <c r="P794" s="3141">
        <v>41343954</v>
      </c>
      <c r="Q794" s="3144">
        <v>3</v>
      </c>
      <c r="R794" s="386">
        <v>15107783</v>
      </c>
      <c r="S794" s="385">
        <v>3</v>
      </c>
      <c r="T794" s="386">
        <v>2123866</v>
      </c>
      <c r="U794" s="3434">
        <v>3</v>
      </c>
      <c r="V794" s="3621">
        <v>10050000</v>
      </c>
      <c r="W794" s="385"/>
      <c r="X794" s="385"/>
      <c r="Y794" s="3143">
        <f t="shared" si="230"/>
        <v>9</v>
      </c>
      <c r="Z794" s="597">
        <f t="shared" si="229"/>
        <v>27281649</v>
      </c>
      <c r="AA794" s="3143">
        <f t="shared" si="236"/>
        <v>33</v>
      </c>
      <c r="AB794" s="597">
        <f t="shared" si="237"/>
        <v>83896849</v>
      </c>
      <c r="AC794" s="3142">
        <f t="shared" si="233"/>
        <v>45.833333333333329</v>
      </c>
      <c r="AD794" s="3142">
        <f t="shared" si="233"/>
        <v>46.609360555555554</v>
      </c>
      <c r="AE794" s="390"/>
    </row>
    <row r="795" spans="1:76" s="2320" customFormat="1" ht="41.25" customHeight="1">
      <c r="A795" s="3134"/>
      <c r="B795" s="3134"/>
      <c r="C795" s="3792">
        <v>1</v>
      </c>
      <c r="D795" s="3792" t="s">
        <v>65</v>
      </c>
      <c r="E795" s="3792" t="s">
        <v>198</v>
      </c>
      <c r="F795" s="3792" t="s">
        <v>66</v>
      </c>
      <c r="G795" s="3792" t="s">
        <v>66</v>
      </c>
      <c r="H795" s="3792" t="s">
        <v>160</v>
      </c>
      <c r="I795" s="384" t="s">
        <v>713</v>
      </c>
      <c r="J795" s="384" t="s">
        <v>714</v>
      </c>
      <c r="K795" s="3143">
        <f t="shared" si="234"/>
        <v>72</v>
      </c>
      <c r="L795" s="3141">
        <v>111630000</v>
      </c>
      <c r="M795" s="3144">
        <f t="shared" si="235"/>
        <v>24</v>
      </c>
      <c r="N795" s="3141">
        <v>21850500</v>
      </c>
      <c r="O795" s="3143">
        <v>12</v>
      </c>
      <c r="P795" s="3141">
        <v>8152085</v>
      </c>
      <c r="Q795" s="3144">
        <v>3</v>
      </c>
      <c r="R795" s="386">
        <v>3000000</v>
      </c>
      <c r="S795" s="385">
        <v>3</v>
      </c>
      <c r="T795" s="386">
        <v>1200000</v>
      </c>
      <c r="U795" s="3434">
        <v>0</v>
      </c>
      <c r="V795" s="3622">
        <v>0</v>
      </c>
      <c r="W795" s="385"/>
      <c r="X795" s="385"/>
      <c r="Y795" s="3143">
        <f t="shared" si="230"/>
        <v>6</v>
      </c>
      <c r="Z795" s="597">
        <f t="shared" si="229"/>
        <v>4200000</v>
      </c>
      <c r="AA795" s="3143">
        <f t="shared" si="236"/>
        <v>30</v>
      </c>
      <c r="AB795" s="597">
        <f t="shared" si="237"/>
        <v>26050500</v>
      </c>
      <c r="AC795" s="3142">
        <f t="shared" si="233"/>
        <v>41.666666666666671</v>
      </c>
      <c r="AD795" s="3142">
        <f t="shared" si="233"/>
        <v>23.33646869121204</v>
      </c>
      <c r="AE795" s="390"/>
    </row>
    <row r="796" spans="1:76" s="2321" customFormat="1" ht="41.25" customHeight="1">
      <c r="A796" s="4253"/>
      <c r="B796" s="4253"/>
      <c r="C796" s="4252">
        <v>1</v>
      </c>
      <c r="D796" s="4252" t="s">
        <v>65</v>
      </c>
      <c r="E796" s="4252" t="s">
        <v>198</v>
      </c>
      <c r="F796" s="4252" t="s">
        <v>66</v>
      </c>
      <c r="G796" s="4252" t="s">
        <v>66</v>
      </c>
      <c r="H796" s="4252" t="s">
        <v>391</v>
      </c>
      <c r="I796" s="384" t="s">
        <v>153</v>
      </c>
      <c r="J796" s="384" t="s">
        <v>715</v>
      </c>
      <c r="K796" s="3143">
        <f>8*6</f>
        <v>48</v>
      </c>
      <c r="L796" s="3141">
        <v>300000000</v>
      </c>
      <c r="M796" s="3144">
        <f>8*2</f>
        <v>16</v>
      </c>
      <c r="N796" s="3141">
        <v>95050000</v>
      </c>
      <c r="O796" s="3143">
        <v>8</v>
      </c>
      <c r="P796" s="3141">
        <v>28700000</v>
      </c>
      <c r="Q796" s="3144">
        <v>0</v>
      </c>
      <c r="R796" s="386">
        <v>0</v>
      </c>
      <c r="S796" s="385">
        <v>2</v>
      </c>
      <c r="T796" s="386">
        <v>22900000</v>
      </c>
      <c r="U796" s="3434">
        <v>0</v>
      </c>
      <c r="V796" s="3622">
        <v>0</v>
      </c>
      <c r="W796" s="385"/>
      <c r="X796" s="385"/>
      <c r="Y796" s="3143">
        <f t="shared" si="230"/>
        <v>2</v>
      </c>
      <c r="Z796" s="597">
        <f t="shared" si="229"/>
        <v>22900000</v>
      </c>
      <c r="AA796" s="3143">
        <f t="shared" si="236"/>
        <v>18</v>
      </c>
      <c r="AB796" s="597">
        <f>N796+Z796</f>
        <v>117950000</v>
      </c>
      <c r="AC796" s="3142">
        <f>(AA796/K796)*100</f>
        <v>37.5</v>
      </c>
      <c r="AD796" s="3142">
        <f>(AB796/L796)*100</f>
        <v>39.316666666666663</v>
      </c>
      <c r="AE796" s="4255"/>
      <c r="AF796" s="2320"/>
      <c r="AG796" s="2320"/>
      <c r="AH796" s="2320"/>
      <c r="AI796" s="2320"/>
      <c r="AJ796" s="2320"/>
      <c r="AK796" s="2320"/>
      <c r="AL796" s="2320"/>
      <c r="AM796" s="2320"/>
      <c r="AN796" s="2320"/>
      <c r="AO796" s="2320"/>
      <c r="AP796" s="2320"/>
      <c r="AQ796" s="2320"/>
      <c r="AR796" s="2320"/>
      <c r="AS796" s="2320"/>
      <c r="AT796" s="2320"/>
      <c r="AU796" s="2320"/>
      <c r="AV796" s="2320"/>
      <c r="AW796" s="2320"/>
      <c r="AX796" s="2320"/>
      <c r="AY796" s="2320"/>
      <c r="AZ796" s="2320"/>
      <c r="BA796" s="2320"/>
      <c r="BB796" s="2320"/>
      <c r="BC796" s="2320"/>
      <c r="BD796" s="2320"/>
      <c r="BE796" s="2320"/>
      <c r="BF796" s="2320"/>
      <c r="BG796" s="2320"/>
      <c r="BH796" s="2320"/>
      <c r="BI796" s="2320"/>
      <c r="BJ796" s="2320"/>
      <c r="BK796" s="2320"/>
      <c r="BL796" s="2320"/>
      <c r="BM796" s="2320"/>
      <c r="BN796" s="2320"/>
      <c r="BO796" s="2320"/>
      <c r="BP796" s="2320"/>
      <c r="BQ796" s="2320"/>
      <c r="BR796" s="2320"/>
      <c r="BS796" s="2320"/>
      <c r="BT796" s="2320"/>
      <c r="BU796" s="2320"/>
      <c r="BV796" s="2320"/>
      <c r="BW796" s="2320"/>
      <c r="BX796" s="2320"/>
    </row>
    <row r="797" spans="1:76" s="2266" customFormat="1" ht="26.25" customHeight="1">
      <c r="A797" s="4253"/>
      <c r="B797" s="4253"/>
      <c r="C797" s="4252"/>
      <c r="D797" s="4252"/>
      <c r="E797" s="4252"/>
      <c r="F797" s="4252"/>
      <c r="G797" s="4252"/>
      <c r="H797" s="4252"/>
      <c r="I797" s="384"/>
      <c r="J797" s="384" t="s">
        <v>716</v>
      </c>
      <c r="K797" s="3143">
        <f>5*6</f>
        <v>30</v>
      </c>
      <c r="L797" s="3141"/>
      <c r="M797" s="3144">
        <v>5</v>
      </c>
      <c r="N797" s="3141"/>
      <c r="O797" s="3143">
        <v>5</v>
      </c>
      <c r="P797" s="3141"/>
      <c r="Q797" s="3144">
        <v>0</v>
      </c>
      <c r="R797" s="386"/>
      <c r="S797" s="385">
        <v>5</v>
      </c>
      <c r="T797" s="386"/>
      <c r="U797" s="3434"/>
      <c r="V797" s="3622"/>
      <c r="W797" s="385"/>
      <c r="X797" s="385"/>
      <c r="Y797" s="3143">
        <f t="shared" si="230"/>
        <v>5</v>
      </c>
      <c r="Z797" s="597">
        <f t="shared" si="229"/>
        <v>0</v>
      </c>
      <c r="AA797" s="3143">
        <f t="shared" si="236"/>
        <v>10</v>
      </c>
      <c r="AB797" s="597"/>
      <c r="AC797" s="3142"/>
      <c r="AD797" s="3142"/>
      <c r="AE797" s="4255"/>
    </row>
    <row r="798" spans="1:76" s="2266" customFormat="1" ht="33.75" customHeight="1">
      <c r="A798" s="3134"/>
      <c r="B798" s="3134"/>
      <c r="C798" s="3792">
        <v>1</v>
      </c>
      <c r="D798" s="3792" t="s">
        <v>65</v>
      </c>
      <c r="E798" s="3792" t="s">
        <v>198</v>
      </c>
      <c r="F798" s="3792" t="s">
        <v>66</v>
      </c>
      <c r="G798" s="3792" t="s">
        <v>66</v>
      </c>
      <c r="H798" s="3792" t="s">
        <v>155</v>
      </c>
      <c r="I798" s="384" t="s">
        <v>717</v>
      </c>
      <c r="J798" s="384" t="s">
        <v>718</v>
      </c>
      <c r="K798" s="3143">
        <f t="shared" si="234"/>
        <v>72</v>
      </c>
      <c r="L798" s="3141">
        <v>18000000</v>
      </c>
      <c r="M798" s="3144">
        <f t="shared" si="235"/>
        <v>24</v>
      </c>
      <c r="N798" s="3141">
        <v>5360000</v>
      </c>
      <c r="O798" s="3143">
        <v>12</v>
      </c>
      <c r="P798" s="3141">
        <v>4140000</v>
      </c>
      <c r="Q798" s="3144">
        <v>0</v>
      </c>
      <c r="R798" s="386">
        <v>0</v>
      </c>
      <c r="S798" s="385">
        <v>3</v>
      </c>
      <c r="T798" s="386">
        <v>1380000</v>
      </c>
      <c r="U798" s="3434">
        <v>3</v>
      </c>
      <c r="V798" s="3621">
        <v>690000</v>
      </c>
      <c r="W798" s="385"/>
      <c r="X798" s="385"/>
      <c r="Y798" s="3143">
        <f t="shared" si="230"/>
        <v>6</v>
      </c>
      <c r="Z798" s="597">
        <f t="shared" si="229"/>
        <v>2070000</v>
      </c>
      <c r="AA798" s="3143">
        <f t="shared" si="236"/>
        <v>30</v>
      </c>
      <c r="AB798" s="597">
        <f t="shared" si="237"/>
        <v>7430000</v>
      </c>
      <c r="AC798" s="3142">
        <f>(AA798/K798)*100</f>
        <v>41.666666666666671</v>
      </c>
      <c r="AD798" s="3142">
        <f t="shared" si="233"/>
        <v>41.277777777777779</v>
      </c>
      <c r="AE798" s="390"/>
    </row>
    <row r="799" spans="1:76" s="639" customFormat="1" ht="27" customHeight="1">
      <c r="A799" s="4253"/>
      <c r="B799" s="4253"/>
      <c r="C799" s="4252">
        <v>1</v>
      </c>
      <c r="D799" s="4252" t="s">
        <v>65</v>
      </c>
      <c r="E799" s="4252" t="s">
        <v>198</v>
      </c>
      <c r="F799" s="4252" t="s">
        <v>66</v>
      </c>
      <c r="G799" s="4252" t="s">
        <v>66</v>
      </c>
      <c r="H799" s="4252" t="s">
        <v>448</v>
      </c>
      <c r="I799" s="4300" t="s">
        <v>3624</v>
      </c>
      <c r="J799" s="384" t="s">
        <v>720</v>
      </c>
      <c r="K799" s="4256">
        <f t="shared" si="234"/>
        <v>72</v>
      </c>
      <c r="L799" s="4257">
        <v>120000000</v>
      </c>
      <c r="M799" s="4258">
        <f t="shared" si="235"/>
        <v>24</v>
      </c>
      <c r="N799" s="4257">
        <v>52540000</v>
      </c>
      <c r="O799" s="4256">
        <v>12</v>
      </c>
      <c r="P799" s="4257">
        <v>25900000</v>
      </c>
      <c r="Q799" s="4258">
        <v>3</v>
      </c>
      <c r="R799" s="4257">
        <v>3850000</v>
      </c>
      <c r="S799" s="4256">
        <v>3</v>
      </c>
      <c r="T799" s="4257">
        <v>10500000</v>
      </c>
      <c r="U799" s="4260">
        <v>3</v>
      </c>
      <c r="V799" s="4301">
        <v>6050000</v>
      </c>
      <c r="W799" s="4256"/>
      <c r="X799" s="4256"/>
      <c r="Y799" s="4256">
        <f t="shared" si="230"/>
        <v>9</v>
      </c>
      <c r="Z799" s="4259">
        <f t="shared" si="229"/>
        <v>20400000</v>
      </c>
      <c r="AA799" s="4256">
        <f t="shared" si="236"/>
        <v>33</v>
      </c>
      <c r="AB799" s="4259">
        <f>N799+Z799</f>
        <v>72940000</v>
      </c>
      <c r="AC799" s="4254">
        <f>(AA799/K799)*100</f>
        <v>45.833333333333329</v>
      </c>
      <c r="AD799" s="4254">
        <f>(AB799/L799)*100</f>
        <v>60.783333333333331</v>
      </c>
      <c r="AE799" s="4255"/>
    </row>
    <row r="800" spans="1:76" s="639" customFormat="1" ht="27" customHeight="1">
      <c r="A800" s="4253"/>
      <c r="B800" s="4253"/>
      <c r="C800" s="4252"/>
      <c r="D800" s="4252"/>
      <c r="E800" s="4252"/>
      <c r="F800" s="4252"/>
      <c r="G800" s="4252"/>
      <c r="H800" s="4252"/>
      <c r="I800" s="4300"/>
      <c r="J800" s="384" t="s">
        <v>721</v>
      </c>
      <c r="K800" s="4256"/>
      <c r="L800" s="4257"/>
      <c r="M800" s="4258"/>
      <c r="N800" s="4257"/>
      <c r="O800" s="4256"/>
      <c r="P800" s="4257"/>
      <c r="Q800" s="4258"/>
      <c r="R800" s="4257"/>
      <c r="S800" s="4256"/>
      <c r="T800" s="4257"/>
      <c r="U800" s="4260"/>
      <c r="V800" s="4301"/>
      <c r="W800" s="4256"/>
      <c r="X800" s="4256"/>
      <c r="Y800" s="4256">
        <f t="shared" si="230"/>
        <v>0</v>
      </c>
      <c r="Z800" s="4259">
        <f t="shared" si="229"/>
        <v>0</v>
      </c>
      <c r="AA800" s="4256"/>
      <c r="AB800" s="4259"/>
      <c r="AC800" s="4254"/>
      <c r="AD800" s="4254"/>
      <c r="AE800" s="4255"/>
    </row>
    <row r="801" spans="1:31" s="639" customFormat="1" ht="31.5" customHeight="1">
      <c r="A801" s="4253"/>
      <c r="B801" s="4253"/>
      <c r="C801" s="4252">
        <v>1</v>
      </c>
      <c r="D801" s="4252" t="s">
        <v>65</v>
      </c>
      <c r="E801" s="4252" t="s">
        <v>198</v>
      </c>
      <c r="F801" s="4252" t="s">
        <v>66</v>
      </c>
      <c r="G801" s="4252" t="s">
        <v>66</v>
      </c>
      <c r="H801" s="4252" t="s">
        <v>167</v>
      </c>
      <c r="I801" s="4302" t="s">
        <v>722</v>
      </c>
      <c r="J801" s="384" t="s">
        <v>723</v>
      </c>
      <c r="K801" s="4256">
        <f t="shared" si="234"/>
        <v>72</v>
      </c>
      <c r="L801" s="4257">
        <v>913950000</v>
      </c>
      <c r="M801" s="4258">
        <f t="shared" si="235"/>
        <v>24</v>
      </c>
      <c r="N801" s="4257">
        <v>323125825</v>
      </c>
      <c r="O801" s="4256">
        <v>12</v>
      </c>
      <c r="P801" s="4257">
        <v>114200000</v>
      </c>
      <c r="Q801" s="4258">
        <v>3</v>
      </c>
      <c r="R801" s="4257">
        <v>21088000</v>
      </c>
      <c r="S801" s="4256">
        <v>6</v>
      </c>
      <c r="T801" s="4257">
        <v>23485312</v>
      </c>
      <c r="U801" s="4260">
        <v>1</v>
      </c>
      <c r="V801" s="4301">
        <v>20087000</v>
      </c>
      <c r="W801" s="4256"/>
      <c r="X801" s="4256"/>
      <c r="Y801" s="4256">
        <f t="shared" si="230"/>
        <v>10</v>
      </c>
      <c r="Z801" s="4259">
        <f t="shared" si="229"/>
        <v>64660312</v>
      </c>
      <c r="AA801" s="4256">
        <f>M801+Y801</f>
        <v>34</v>
      </c>
      <c r="AB801" s="4259">
        <f>N801+Z801</f>
        <v>387786137</v>
      </c>
      <c r="AC801" s="4254">
        <f>(AA801/K801)*100</f>
        <v>47.222222222222221</v>
      </c>
      <c r="AD801" s="4254">
        <f>(AB801/L801)*100</f>
        <v>42.429688385579077</v>
      </c>
      <c r="AE801" s="4255"/>
    </row>
    <row r="802" spans="1:31" s="639" customFormat="1" ht="31.5" customHeight="1">
      <c r="A802" s="4253"/>
      <c r="B802" s="4253"/>
      <c r="C802" s="4252"/>
      <c r="D802" s="4252"/>
      <c r="E802" s="4252"/>
      <c r="F802" s="4252"/>
      <c r="G802" s="4252"/>
      <c r="H802" s="4252"/>
      <c r="I802" s="4302"/>
      <c r="J802" s="384" t="s">
        <v>724</v>
      </c>
      <c r="K802" s="4256"/>
      <c r="L802" s="4257"/>
      <c r="M802" s="4258"/>
      <c r="N802" s="4257"/>
      <c r="O802" s="4256"/>
      <c r="P802" s="4257"/>
      <c r="Q802" s="4258"/>
      <c r="R802" s="4257"/>
      <c r="S802" s="4256"/>
      <c r="T802" s="4257"/>
      <c r="U802" s="4260"/>
      <c r="V802" s="4301"/>
      <c r="W802" s="4256"/>
      <c r="X802" s="4256"/>
      <c r="Y802" s="4256">
        <f t="shared" si="230"/>
        <v>0</v>
      </c>
      <c r="Z802" s="4259">
        <f t="shared" si="229"/>
        <v>0</v>
      </c>
      <c r="AA802" s="4256"/>
      <c r="AB802" s="4259"/>
      <c r="AC802" s="4254"/>
      <c r="AD802" s="4254"/>
      <c r="AE802" s="4255"/>
    </row>
    <row r="803" spans="1:31" s="639" customFormat="1" ht="41.25" customHeight="1">
      <c r="A803" s="3134"/>
      <c r="B803" s="3134"/>
      <c r="C803" s="3792">
        <v>1</v>
      </c>
      <c r="D803" s="3792" t="s">
        <v>65</v>
      </c>
      <c r="E803" s="3792" t="s">
        <v>198</v>
      </c>
      <c r="F803" s="3792" t="s">
        <v>66</v>
      </c>
      <c r="G803" s="3792" t="s">
        <v>66</v>
      </c>
      <c r="H803" s="3792" t="s">
        <v>376</v>
      </c>
      <c r="I803" s="384" t="s">
        <v>725</v>
      </c>
      <c r="J803" s="384" t="s">
        <v>726</v>
      </c>
      <c r="K803" s="3143">
        <f t="shared" si="234"/>
        <v>72</v>
      </c>
      <c r="L803" s="3141">
        <v>332100000</v>
      </c>
      <c r="M803" s="3144">
        <f t="shared" si="235"/>
        <v>24</v>
      </c>
      <c r="N803" s="2416">
        <v>77460000</v>
      </c>
      <c r="O803" s="3143">
        <v>12</v>
      </c>
      <c r="P803" s="3141">
        <v>57900000</v>
      </c>
      <c r="Q803" s="3144">
        <v>3</v>
      </c>
      <c r="R803" s="3141">
        <v>9300000</v>
      </c>
      <c r="S803" s="3143">
        <v>6</v>
      </c>
      <c r="T803" s="3141">
        <v>23485312</v>
      </c>
      <c r="U803" s="2122">
        <v>1</v>
      </c>
      <c r="V803" s="3621">
        <v>5084688</v>
      </c>
      <c r="W803" s="3143"/>
      <c r="X803" s="3143"/>
      <c r="Y803" s="3143">
        <f t="shared" si="230"/>
        <v>10</v>
      </c>
      <c r="Z803" s="3145">
        <f t="shared" si="229"/>
        <v>37870000</v>
      </c>
      <c r="AA803" s="3143">
        <f>M803+Y803</f>
        <v>34</v>
      </c>
      <c r="AB803" s="3145">
        <f t="shared" si="237"/>
        <v>115330000</v>
      </c>
      <c r="AC803" s="3142">
        <f t="shared" si="233"/>
        <v>47.222222222222221</v>
      </c>
      <c r="AD803" s="3142">
        <f t="shared" si="233"/>
        <v>34.727491719361637</v>
      </c>
      <c r="AE803" s="390"/>
    </row>
    <row r="804" spans="1:31" s="639" customFormat="1" ht="67.5" customHeight="1">
      <c r="A804" s="3155">
        <v>2</v>
      </c>
      <c r="B804" s="3155"/>
      <c r="C804" s="2352">
        <v>1</v>
      </c>
      <c r="D804" s="2352" t="s">
        <v>65</v>
      </c>
      <c r="E804" s="2352" t="s">
        <v>198</v>
      </c>
      <c r="F804" s="2352" t="s">
        <v>66</v>
      </c>
      <c r="G804" s="2352" t="s">
        <v>65</v>
      </c>
      <c r="H804" s="2352"/>
      <c r="I804" s="2335" t="s">
        <v>770</v>
      </c>
      <c r="J804" s="2335" t="s">
        <v>3296</v>
      </c>
      <c r="K804" s="2543">
        <v>72</v>
      </c>
      <c r="L804" s="2568">
        <f>SUM(L805:L807)</f>
        <v>1000000000</v>
      </c>
      <c r="M804" s="2588">
        <v>24</v>
      </c>
      <c r="N804" s="2589">
        <f>SUM(N805:N807)</f>
        <v>38300000</v>
      </c>
      <c r="O804" s="2543">
        <v>12</v>
      </c>
      <c r="P804" s="2568">
        <f>SUM(P805:P807)</f>
        <v>34525000</v>
      </c>
      <c r="Q804" s="2588">
        <v>3</v>
      </c>
      <c r="R804" s="2568">
        <f>SUM(R805:R807)</f>
        <v>1500000</v>
      </c>
      <c r="S804" s="2543">
        <f t="shared" ref="S804:X804" si="238">S807</f>
        <v>0</v>
      </c>
      <c r="T804" s="2587">
        <f>SUM(T805:T807)</f>
        <v>30138899</v>
      </c>
      <c r="U804" s="2543">
        <f t="shared" si="238"/>
        <v>0</v>
      </c>
      <c r="V804" s="2467">
        <f t="shared" si="238"/>
        <v>0</v>
      </c>
      <c r="W804" s="2543">
        <f t="shared" si="238"/>
        <v>0</v>
      </c>
      <c r="X804" s="2543">
        <f t="shared" si="238"/>
        <v>0</v>
      </c>
      <c r="Y804" s="2543">
        <f t="shared" si="230"/>
        <v>3</v>
      </c>
      <c r="Z804" s="2467">
        <f t="shared" si="229"/>
        <v>31638899</v>
      </c>
      <c r="AA804" s="2543">
        <f>M804+Y804</f>
        <v>27</v>
      </c>
      <c r="AB804" s="2467">
        <f>N804+Z804</f>
        <v>69938899</v>
      </c>
      <c r="AC804" s="2544">
        <f>(AA804/K804)*100</f>
        <v>37.5</v>
      </c>
      <c r="AD804" s="2544">
        <f>(AB804/L804)*100</f>
        <v>6.9938899000000001</v>
      </c>
      <c r="AE804" s="3138" t="s">
        <v>694</v>
      </c>
    </row>
    <row r="805" spans="1:31" s="642" customFormat="1" ht="35.25" customHeight="1">
      <c r="A805" s="4286"/>
      <c r="B805" s="4286"/>
      <c r="C805" s="4252">
        <v>1</v>
      </c>
      <c r="D805" s="4252" t="s">
        <v>65</v>
      </c>
      <c r="E805" s="4252" t="s">
        <v>198</v>
      </c>
      <c r="F805" s="4252" t="s">
        <v>66</v>
      </c>
      <c r="G805" s="4252" t="s">
        <v>65</v>
      </c>
      <c r="H805" s="4252">
        <v>22</v>
      </c>
      <c r="I805" s="4302" t="s">
        <v>727</v>
      </c>
      <c r="J805" s="384" t="s">
        <v>728</v>
      </c>
      <c r="K805" s="3164">
        <v>1</v>
      </c>
      <c r="L805" s="3141">
        <f>1000000000</f>
        <v>1000000000</v>
      </c>
      <c r="M805" s="644">
        <v>0</v>
      </c>
      <c r="N805" s="2416">
        <v>38300000</v>
      </c>
      <c r="O805" s="3164">
        <v>1</v>
      </c>
      <c r="P805" s="3141">
        <v>34525000</v>
      </c>
      <c r="Q805" s="644">
        <v>1</v>
      </c>
      <c r="R805" s="3141">
        <v>1500000</v>
      </c>
      <c r="S805" s="3164">
        <v>1</v>
      </c>
      <c r="T805" s="3141">
        <v>30138899</v>
      </c>
      <c r="U805" s="3164"/>
      <c r="V805" s="619"/>
      <c r="W805" s="3164"/>
      <c r="X805" s="3164"/>
      <c r="Y805" s="3143">
        <f t="shared" si="230"/>
        <v>2</v>
      </c>
      <c r="Z805" s="3145">
        <f t="shared" si="229"/>
        <v>31638899</v>
      </c>
      <c r="AA805" s="3143">
        <f>M805+Y805</f>
        <v>2</v>
      </c>
      <c r="AB805" s="3145">
        <f>N805+Z805</f>
        <v>69938899</v>
      </c>
      <c r="AC805" s="3142">
        <f>(AA805/K805)*100</f>
        <v>200</v>
      </c>
      <c r="AD805" s="3142">
        <f>(AB805/L805)*100</f>
        <v>6.9938899000000001</v>
      </c>
      <c r="AE805" s="4255"/>
    </row>
    <row r="806" spans="1:31" s="639" customFormat="1" ht="27.75" customHeight="1">
      <c r="A806" s="4286"/>
      <c r="B806" s="4286"/>
      <c r="C806" s="4252"/>
      <c r="D806" s="4252"/>
      <c r="E806" s="4252"/>
      <c r="F806" s="4252"/>
      <c r="G806" s="4252"/>
      <c r="H806" s="4252"/>
      <c r="I806" s="4302"/>
      <c r="J806" s="384" t="s">
        <v>729</v>
      </c>
      <c r="K806" s="3143">
        <v>2</v>
      </c>
      <c r="L806" s="3141"/>
      <c r="M806" s="3144">
        <v>0</v>
      </c>
      <c r="N806" s="2416"/>
      <c r="O806" s="3143">
        <v>2</v>
      </c>
      <c r="P806" s="3141"/>
      <c r="Q806" s="3144">
        <v>0</v>
      </c>
      <c r="R806" s="3141"/>
      <c r="S806" s="3143"/>
      <c r="T806" s="3143"/>
      <c r="U806" s="3143"/>
      <c r="V806" s="619"/>
      <c r="W806" s="3143"/>
      <c r="X806" s="3164"/>
      <c r="Y806" s="3143">
        <f t="shared" si="230"/>
        <v>0</v>
      </c>
      <c r="Z806" s="3145">
        <f t="shared" si="229"/>
        <v>0</v>
      </c>
      <c r="AA806" s="3143">
        <f>M806+Y806</f>
        <v>0</v>
      </c>
      <c r="AB806" s="3145">
        <f>N806+Z806</f>
        <v>0</v>
      </c>
      <c r="AC806" s="3142">
        <f t="shared" ref="AC806:AC811" si="239">(AA806/K806)*100</f>
        <v>0</v>
      </c>
      <c r="AD806" s="3142"/>
      <c r="AE806" s="4255"/>
    </row>
    <row r="807" spans="1:31" s="639" customFormat="1" ht="27.75" customHeight="1">
      <c r="A807" s="4286"/>
      <c r="B807" s="4286"/>
      <c r="C807" s="4252"/>
      <c r="D807" s="4252"/>
      <c r="E807" s="4252"/>
      <c r="F807" s="4252"/>
      <c r="G807" s="4252"/>
      <c r="H807" s="4252"/>
      <c r="I807" s="4302"/>
      <c r="J807" s="384" t="s">
        <v>730</v>
      </c>
      <c r="K807" s="3143">
        <v>1</v>
      </c>
      <c r="L807" s="3141"/>
      <c r="M807" s="3144">
        <v>0</v>
      </c>
      <c r="N807" s="2416"/>
      <c r="O807" s="3143">
        <v>1</v>
      </c>
      <c r="P807" s="3141"/>
      <c r="Q807" s="3144">
        <v>0</v>
      </c>
      <c r="R807" s="3141"/>
      <c r="S807" s="3143"/>
      <c r="T807" s="3143"/>
      <c r="U807" s="3143"/>
      <c r="V807" s="619"/>
      <c r="W807" s="3143"/>
      <c r="X807" s="3164"/>
      <c r="Y807" s="3143">
        <f t="shared" si="230"/>
        <v>0</v>
      </c>
      <c r="Z807" s="3145">
        <f t="shared" si="229"/>
        <v>0</v>
      </c>
      <c r="AA807" s="3143">
        <f>M807+Y807</f>
        <v>0</v>
      </c>
      <c r="AB807" s="3145">
        <f>N807+Z807</f>
        <v>0</v>
      </c>
      <c r="AC807" s="3142">
        <f t="shared" si="239"/>
        <v>0</v>
      </c>
      <c r="AD807" s="3142"/>
      <c r="AE807" s="4255"/>
    </row>
    <row r="808" spans="1:31" s="639" customFormat="1" ht="45.75" customHeight="1">
      <c r="A808" s="2543">
        <v>3</v>
      </c>
      <c r="B808" s="2543"/>
      <c r="C808" s="2352">
        <v>1</v>
      </c>
      <c r="D808" s="2352" t="s">
        <v>65</v>
      </c>
      <c r="E808" s="2352" t="s">
        <v>198</v>
      </c>
      <c r="F808" s="2352" t="s">
        <v>66</v>
      </c>
      <c r="G808" s="2352" t="s">
        <v>155</v>
      </c>
      <c r="H808" s="2873"/>
      <c r="I808" s="3156" t="s">
        <v>731</v>
      </c>
      <c r="J808" s="2543"/>
      <c r="K808" s="2543">
        <f>SUM(K809+K810+K811)</f>
        <v>740</v>
      </c>
      <c r="L808" s="2587">
        <f>SUM(L809:L811)</f>
        <v>1570294000</v>
      </c>
      <c r="M808" s="2543">
        <f>SUM(M809+M810+M811)</f>
        <v>4</v>
      </c>
      <c r="N808" s="2568">
        <f t="shared" ref="N808:AB808" si="240">SUM(N809+N810+N811)</f>
        <v>272600404</v>
      </c>
      <c r="O808" s="2543">
        <f>SUM(O809+O810+O811)</f>
        <v>184</v>
      </c>
      <c r="P808" s="2568">
        <f t="shared" si="240"/>
        <v>366564859</v>
      </c>
      <c r="Q808" s="2543">
        <f t="shared" si="240"/>
        <v>0</v>
      </c>
      <c r="R808" s="2568">
        <f t="shared" si="240"/>
        <v>13577110</v>
      </c>
      <c r="S808" s="2543">
        <f t="shared" si="240"/>
        <v>0</v>
      </c>
      <c r="T808" s="2568">
        <f>SUM(T809:T811)</f>
        <v>111680520</v>
      </c>
      <c r="U808" s="2543">
        <v>184</v>
      </c>
      <c r="V808" s="2467">
        <f>SUM(V809:V811)</f>
        <v>764422893</v>
      </c>
      <c r="W808" s="2543">
        <f t="shared" si="240"/>
        <v>0</v>
      </c>
      <c r="X808" s="2543">
        <f t="shared" si="240"/>
        <v>0</v>
      </c>
      <c r="Y808" s="2543">
        <f t="shared" si="230"/>
        <v>184</v>
      </c>
      <c r="Z808" s="2467">
        <f t="shared" si="229"/>
        <v>889680523</v>
      </c>
      <c r="AA808" s="2543">
        <f t="shared" si="240"/>
        <v>190</v>
      </c>
      <c r="AB808" s="2467">
        <f t="shared" si="240"/>
        <v>1162280927</v>
      </c>
      <c r="AC808" s="2544">
        <f t="shared" si="239"/>
        <v>25.675675675675674</v>
      </c>
      <c r="AD808" s="2544">
        <f>(AB808/L808)*100</f>
        <v>74.016771827441232</v>
      </c>
      <c r="AE808" s="3138" t="s">
        <v>694</v>
      </c>
    </row>
    <row r="809" spans="1:31" s="639" customFormat="1" ht="61.5" customHeight="1">
      <c r="A809" s="3164"/>
      <c r="B809" s="3140" t="s">
        <v>732</v>
      </c>
      <c r="C809" s="3792">
        <v>1</v>
      </c>
      <c r="D809" s="3792" t="s">
        <v>65</v>
      </c>
      <c r="E809" s="3792" t="s">
        <v>198</v>
      </c>
      <c r="F809" s="3792" t="s">
        <v>66</v>
      </c>
      <c r="G809" s="3792" t="s">
        <v>155</v>
      </c>
      <c r="H809" s="3792" t="s">
        <v>95</v>
      </c>
      <c r="I809" s="3140" t="s">
        <v>733</v>
      </c>
      <c r="J809" s="3140" t="s">
        <v>734</v>
      </c>
      <c r="K809" s="3143">
        <f>1*6</f>
        <v>6</v>
      </c>
      <c r="L809" s="3141">
        <v>445294000</v>
      </c>
      <c r="M809" s="3144">
        <v>2</v>
      </c>
      <c r="N809" s="2416">
        <v>95024299</v>
      </c>
      <c r="O809" s="3143">
        <v>1</v>
      </c>
      <c r="P809" s="3141">
        <v>200000000</v>
      </c>
      <c r="Q809" s="3144">
        <v>0</v>
      </c>
      <c r="R809" s="3141">
        <v>80200</v>
      </c>
      <c r="S809" s="3144" t="s">
        <v>2034</v>
      </c>
      <c r="T809" s="3141">
        <v>10356800</v>
      </c>
      <c r="U809" s="2122">
        <v>1</v>
      </c>
      <c r="V809" s="3624">
        <f t="shared" ref="U809:V811" si="241">N809+P809+R809+T809</f>
        <v>305461299</v>
      </c>
      <c r="W809" s="3143"/>
      <c r="X809" s="3143"/>
      <c r="Y809" s="3143">
        <f t="shared" si="230"/>
        <v>1</v>
      </c>
      <c r="Z809" s="3145">
        <f t="shared" si="229"/>
        <v>315898299</v>
      </c>
      <c r="AA809" s="3143">
        <f t="shared" ref="AA809:AB811" si="242">M809+Y809</f>
        <v>3</v>
      </c>
      <c r="AB809" s="3145">
        <f t="shared" si="242"/>
        <v>410922598</v>
      </c>
      <c r="AC809" s="3142">
        <f t="shared" si="239"/>
        <v>50</v>
      </c>
      <c r="AD809" s="3142">
        <f>(AB809/L809)*100</f>
        <v>92.281189057117317</v>
      </c>
      <c r="AE809" s="390"/>
    </row>
    <row r="810" spans="1:31" s="145" customFormat="1" ht="45.75" customHeight="1">
      <c r="A810" s="3164"/>
      <c r="B810" s="3140" t="s">
        <v>735</v>
      </c>
      <c r="C810" s="3792">
        <v>1</v>
      </c>
      <c r="D810" s="3792" t="s">
        <v>65</v>
      </c>
      <c r="E810" s="3792" t="s">
        <v>198</v>
      </c>
      <c r="F810" s="3792" t="s">
        <v>66</v>
      </c>
      <c r="G810" s="3792" t="s">
        <v>155</v>
      </c>
      <c r="H810" s="3792" t="s">
        <v>161</v>
      </c>
      <c r="I810" s="3140" t="s">
        <v>736</v>
      </c>
      <c r="J810" s="3143" t="s">
        <v>737</v>
      </c>
      <c r="K810" s="3143">
        <f>182*4</f>
        <v>728</v>
      </c>
      <c r="L810" s="3141">
        <v>345000000</v>
      </c>
      <c r="M810" s="3144">
        <v>0</v>
      </c>
      <c r="N810" s="2416">
        <v>0</v>
      </c>
      <c r="O810" s="3143">
        <v>182</v>
      </c>
      <c r="P810" s="3141">
        <v>72803055</v>
      </c>
      <c r="Q810" s="3144">
        <v>0</v>
      </c>
      <c r="R810" s="3141">
        <v>12704810</v>
      </c>
      <c r="S810" s="3144">
        <v>0</v>
      </c>
      <c r="T810" s="3141">
        <v>25980000</v>
      </c>
      <c r="U810" s="2122">
        <f t="shared" si="241"/>
        <v>182</v>
      </c>
      <c r="V810" s="3624">
        <f t="shared" si="241"/>
        <v>111487865</v>
      </c>
      <c r="W810" s="3143"/>
      <c r="X810" s="3143"/>
      <c r="Y810" s="3143">
        <f t="shared" si="230"/>
        <v>182</v>
      </c>
      <c r="Z810" s="3145">
        <f t="shared" si="229"/>
        <v>150172675</v>
      </c>
      <c r="AA810" s="3143">
        <f t="shared" si="242"/>
        <v>182</v>
      </c>
      <c r="AB810" s="3145">
        <f t="shared" si="242"/>
        <v>150172675</v>
      </c>
      <c r="AC810" s="3142">
        <f t="shared" si="239"/>
        <v>25</v>
      </c>
      <c r="AD810" s="3142">
        <f>(AB810/L810)*100</f>
        <v>43.528311594202904</v>
      </c>
      <c r="AE810" s="390"/>
    </row>
    <row r="811" spans="1:31" s="63" customFormat="1" ht="45.75" customHeight="1">
      <c r="A811" s="3164"/>
      <c r="B811" s="3140" t="s">
        <v>732</v>
      </c>
      <c r="C811" s="3792">
        <v>1</v>
      </c>
      <c r="D811" s="3792" t="s">
        <v>65</v>
      </c>
      <c r="E811" s="3792" t="s">
        <v>198</v>
      </c>
      <c r="F811" s="3792" t="s">
        <v>66</v>
      </c>
      <c r="G811" s="3792" t="s">
        <v>155</v>
      </c>
      <c r="H811" s="3792" t="s">
        <v>160</v>
      </c>
      <c r="I811" s="3140" t="s">
        <v>738</v>
      </c>
      <c r="J811" s="3140" t="s">
        <v>739</v>
      </c>
      <c r="K811" s="3143">
        <v>6</v>
      </c>
      <c r="L811" s="3141">
        <v>780000000</v>
      </c>
      <c r="M811" s="3144">
        <v>2</v>
      </c>
      <c r="N811" s="2416">
        <v>177576105</v>
      </c>
      <c r="O811" s="3143">
        <v>1</v>
      </c>
      <c r="P811" s="3141">
        <v>93761804</v>
      </c>
      <c r="Q811" s="3144">
        <v>0</v>
      </c>
      <c r="R811" s="3141">
        <v>792100</v>
      </c>
      <c r="S811" s="3143"/>
      <c r="T811" s="3141">
        <v>75343720</v>
      </c>
      <c r="U811" s="2122">
        <f t="shared" si="241"/>
        <v>3</v>
      </c>
      <c r="V811" s="3624">
        <f t="shared" si="241"/>
        <v>347473729</v>
      </c>
      <c r="W811" s="3143"/>
      <c r="X811" s="3143"/>
      <c r="Y811" s="3143">
        <f t="shared" si="230"/>
        <v>3</v>
      </c>
      <c r="Z811" s="3145">
        <f t="shared" si="229"/>
        <v>423609549</v>
      </c>
      <c r="AA811" s="3143">
        <f t="shared" si="242"/>
        <v>5</v>
      </c>
      <c r="AB811" s="3145">
        <f>N811+Z811</f>
        <v>601185654</v>
      </c>
      <c r="AC811" s="3142">
        <f t="shared" si="239"/>
        <v>83.333333333333343</v>
      </c>
      <c r="AD811" s="3142">
        <f t="shared" ref="AD811:AD820" si="243">(AB811/L811)*100</f>
        <v>77.075083846153845</v>
      </c>
      <c r="AE811" s="390"/>
    </row>
    <row r="812" spans="1:31" s="63" customFormat="1" ht="56.25" customHeight="1">
      <c r="A812" s="2543">
        <v>4</v>
      </c>
      <c r="B812" s="2543"/>
      <c r="C812" s="2352">
        <v>1</v>
      </c>
      <c r="D812" s="2352" t="s">
        <v>65</v>
      </c>
      <c r="E812" s="2352" t="s">
        <v>198</v>
      </c>
      <c r="F812" s="2352" t="s">
        <v>66</v>
      </c>
      <c r="G812" s="2352" t="s">
        <v>166</v>
      </c>
      <c r="H812" s="2873"/>
      <c r="I812" s="3156" t="s">
        <v>740</v>
      </c>
      <c r="J812" s="3156" t="s">
        <v>3297</v>
      </c>
      <c r="K812" s="2543">
        <v>52.5</v>
      </c>
      <c r="L812" s="2587">
        <f>L813</f>
        <v>818882800</v>
      </c>
      <c r="M812" s="2543">
        <v>40</v>
      </c>
      <c r="N812" s="2568">
        <f>N813</f>
        <v>81421392</v>
      </c>
      <c r="O812" s="2543">
        <v>1.5</v>
      </c>
      <c r="P812" s="2568">
        <f>P813</f>
        <v>163776560</v>
      </c>
      <c r="Q812" s="2543">
        <v>0</v>
      </c>
      <c r="R812" s="2587">
        <f>R813</f>
        <v>20207072</v>
      </c>
      <c r="S812" s="2543"/>
      <c r="T812" s="2587">
        <f>SUM(T813)</f>
        <v>20711168</v>
      </c>
      <c r="U812" s="2543"/>
      <c r="V812" s="2467">
        <f>SUM(V813)</f>
        <v>63590121</v>
      </c>
      <c r="W812" s="2543"/>
      <c r="X812" s="2543"/>
      <c r="Y812" s="2543">
        <f t="shared" si="230"/>
        <v>0</v>
      </c>
      <c r="Z812" s="2467">
        <f t="shared" si="229"/>
        <v>104508361</v>
      </c>
      <c r="AA812" s="2543">
        <f t="shared" ref="AA812:AA820" si="244">M812+Y812</f>
        <v>40</v>
      </c>
      <c r="AB812" s="2467">
        <f t="shared" ref="AB812:AB820" si="245">N812+Z812</f>
        <v>185929753</v>
      </c>
      <c r="AC812" s="2544">
        <f t="shared" ref="AC812:AC820" si="246">(AA812/K812)*100</f>
        <v>76.19047619047619</v>
      </c>
      <c r="AD812" s="2544">
        <f t="shared" si="243"/>
        <v>22.705294701512841</v>
      </c>
      <c r="AE812" s="3138" t="s">
        <v>694</v>
      </c>
    </row>
    <row r="813" spans="1:31" s="63" customFormat="1" ht="45.75" customHeight="1">
      <c r="A813" s="3134"/>
      <c r="B813" s="3134"/>
      <c r="C813" s="3792">
        <v>1</v>
      </c>
      <c r="D813" s="3792" t="s">
        <v>65</v>
      </c>
      <c r="E813" s="3792" t="s">
        <v>198</v>
      </c>
      <c r="F813" s="3792" t="s">
        <v>66</v>
      </c>
      <c r="G813" s="3792" t="s">
        <v>166</v>
      </c>
      <c r="H813" s="3792" t="s">
        <v>65</v>
      </c>
      <c r="I813" s="384" t="s">
        <v>741</v>
      </c>
      <c r="J813" s="384" t="s">
        <v>742</v>
      </c>
      <c r="K813" s="3143">
        <v>60</v>
      </c>
      <c r="L813" s="3141">
        <f>P813*5</f>
        <v>818882800</v>
      </c>
      <c r="M813" s="3144">
        <v>1</v>
      </c>
      <c r="N813" s="2416">
        <v>81421392</v>
      </c>
      <c r="O813" s="3143">
        <v>12</v>
      </c>
      <c r="P813" s="3141">
        <v>163776560</v>
      </c>
      <c r="Q813" s="3144">
        <v>0</v>
      </c>
      <c r="R813" s="3141">
        <v>20207072</v>
      </c>
      <c r="S813" s="3143">
        <v>2</v>
      </c>
      <c r="T813" s="3141">
        <v>20711168</v>
      </c>
      <c r="U813" s="2122">
        <v>3</v>
      </c>
      <c r="V813" s="3620">
        <v>63590121</v>
      </c>
      <c r="W813" s="3143"/>
      <c r="X813" s="3143"/>
      <c r="Y813" s="3143">
        <f t="shared" si="230"/>
        <v>5</v>
      </c>
      <c r="Z813" s="3145">
        <f t="shared" si="229"/>
        <v>104508361</v>
      </c>
      <c r="AA813" s="3143">
        <f t="shared" si="244"/>
        <v>6</v>
      </c>
      <c r="AB813" s="3145">
        <f t="shared" si="245"/>
        <v>185929753</v>
      </c>
      <c r="AC813" s="3142">
        <f t="shared" si="246"/>
        <v>10</v>
      </c>
      <c r="AD813" s="3142">
        <f t="shared" si="243"/>
        <v>22.705294701512841</v>
      </c>
      <c r="AE813" s="390"/>
    </row>
    <row r="814" spans="1:31" s="63" customFormat="1" ht="73.5" customHeight="1">
      <c r="A814" s="2543">
        <v>5</v>
      </c>
      <c r="B814" s="3155"/>
      <c r="C814" s="2352">
        <v>1</v>
      </c>
      <c r="D814" s="2352" t="s">
        <v>65</v>
      </c>
      <c r="E814" s="2352" t="s">
        <v>198</v>
      </c>
      <c r="F814" s="2352" t="s">
        <v>66</v>
      </c>
      <c r="G814" s="2352" t="s">
        <v>448</v>
      </c>
      <c r="H814" s="2352"/>
      <c r="I814" s="2335" t="s">
        <v>743</v>
      </c>
      <c r="J814" s="2335" t="s">
        <v>3298</v>
      </c>
      <c r="K814" s="2543">
        <v>90</v>
      </c>
      <c r="L814" s="2568">
        <f>SUM(L815)</f>
        <v>800000000</v>
      </c>
      <c r="M814" s="2588">
        <v>50</v>
      </c>
      <c r="N814" s="2568">
        <f>SUM(N815)</f>
        <v>120000000</v>
      </c>
      <c r="O814" s="2543">
        <v>5</v>
      </c>
      <c r="P814" s="2568">
        <f>SUM(P815)</f>
        <v>234014830</v>
      </c>
      <c r="Q814" s="2588">
        <v>1</v>
      </c>
      <c r="R814" s="2568">
        <f>SUM(R815)</f>
        <v>852000</v>
      </c>
      <c r="S814" s="2543"/>
      <c r="T814" s="2587">
        <f>SUM(T815)</f>
        <v>4135552</v>
      </c>
      <c r="U814" s="2543"/>
      <c r="V814" s="2467">
        <f>SUM(V815)</f>
        <v>29066400</v>
      </c>
      <c r="W814" s="2543"/>
      <c r="X814" s="2543"/>
      <c r="Y814" s="2543">
        <f t="shared" si="230"/>
        <v>1</v>
      </c>
      <c r="Z814" s="2467">
        <f t="shared" si="229"/>
        <v>34053952</v>
      </c>
      <c r="AA814" s="2543">
        <f t="shared" si="244"/>
        <v>51</v>
      </c>
      <c r="AB814" s="2467">
        <f t="shared" si="245"/>
        <v>154053952</v>
      </c>
      <c r="AC814" s="2544">
        <f t="shared" si="246"/>
        <v>56.666666666666664</v>
      </c>
      <c r="AD814" s="2544">
        <f t="shared" si="243"/>
        <v>19.256744000000001</v>
      </c>
      <c r="AE814" s="3138" t="s">
        <v>694</v>
      </c>
    </row>
    <row r="815" spans="1:31" s="63" customFormat="1" ht="45.75" customHeight="1">
      <c r="A815" s="3134"/>
      <c r="B815" s="3134"/>
      <c r="C815" s="3792">
        <v>1</v>
      </c>
      <c r="D815" s="3792" t="s">
        <v>65</v>
      </c>
      <c r="E815" s="3792" t="s">
        <v>198</v>
      </c>
      <c r="F815" s="3792" t="s">
        <v>66</v>
      </c>
      <c r="G815" s="3792" t="s">
        <v>448</v>
      </c>
      <c r="H815" s="3792" t="s">
        <v>65</v>
      </c>
      <c r="I815" s="384" t="s">
        <v>744</v>
      </c>
      <c r="J815" s="384" t="s">
        <v>745</v>
      </c>
      <c r="K815" s="3143">
        <v>12</v>
      </c>
      <c r="L815" s="3141">
        <v>800000000</v>
      </c>
      <c r="M815" s="3144">
        <v>1</v>
      </c>
      <c r="N815" s="2416">
        <v>120000000</v>
      </c>
      <c r="O815" s="3143">
        <v>1</v>
      </c>
      <c r="P815" s="3141">
        <v>234014830</v>
      </c>
      <c r="Q815" s="3144">
        <v>0</v>
      </c>
      <c r="R815" s="3141">
        <v>852000</v>
      </c>
      <c r="S815" s="3143">
        <v>0</v>
      </c>
      <c r="T815" s="3141">
        <v>4135552</v>
      </c>
      <c r="U815" s="2122">
        <v>0</v>
      </c>
      <c r="V815" s="3620">
        <v>29066400</v>
      </c>
      <c r="W815" s="3143"/>
      <c r="X815" s="3143"/>
      <c r="Y815" s="3143">
        <f t="shared" si="230"/>
        <v>0</v>
      </c>
      <c r="Z815" s="3145">
        <f t="shared" si="229"/>
        <v>34053952</v>
      </c>
      <c r="AA815" s="3143">
        <f t="shared" si="244"/>
        <v>1</v>
      </c>
      <c r="AB815" s="3145">
        <f t="shared" si="245"/>
        <v>154053952</v>
      </c>
      <c r="AC815" s="3142">
        <f t="shared" si="246"/>
        <v>8.3333333333333321</v>
      </c>
      <c r="AD815" s="3142">
        <f t="shared" si="243"/>
        <v>19.256744000000001</v>
      </c>
      <c r="AE815" s="390"/>
    </row>
    <row r="816" spans="1:31" s="63" customFormat="1" ht="45.75" customHeight="1">
      <c r="A816" s="2543">
        <v>6</v>
      </c>
      <c r="B816" s="3155"/>
      <c r="C816" s="2352">
        <v>1</v>
      </c>
      <c r="D816" s="2352" t="s">
        <v>65</v>
      </c>
      <c r="E816" s="2352" t="s">
        <v>198</v>
      </c>
      <c r="F816" s="2352" t="s">
        <v>66</v>
      </c>
      <c r="G816" s="2352" t="s">
        <v>515</v>
      </c>
      <c r="H816" s="2352"/>
      <c r="I816" s="2335" t="s">
        <v>746</v>
      </c>
      <c r="J816" s="2335" t="s">
        <v>3299</v>
      </c>
      <c r="K816" s="2543">
        <v>100</v>
      </c>
      <c r="L816" s="2568">
        <f>SUM(L817+L818+L819+L820)</f>
        <v>4443226668</v>
      </c>
      <c r="M816" s="2588">
        <v>60</v>
      </c>
      <c r="N816" s="2568">
        <f>SUM(N817+N818+N819+N820)</f>
        <v>212987662</v>
      </c>
      <c r="O816" s="2543">
        <v>12</v>
      </c>
      <c r="P816" s="2568">
        <f>SUM(P817:P820)</f>
        <v>1043000678</v>
      </c>
      <c r="Q816" s="2588">
        <v>4.5</v>
      </c>
      <c r="R816" s="2568">
        <f>SUM(R817+R818+R819+R820)</f>
        <v>83203350</v>
      </c>
      <c r="S816" s="2543"/>
      <c r="T816" s="2587">
        <f>SUM(T817:T820)</f>
        <v>435634721</v>
      </c>
      <c r="U816" s="2543"/>
      <c r="V816" s="2467">
        <f>SUM(V817:V820)</f>
        <v>212364000</v>
      </c>
      <c r="W816" s="2543"/>
      <c r="X816" s="2543"/>
      <c r="Y816" s="2543">
        <f t="shared" si="230"/>
        <v>4.5</v>
      </c>
      <c r="Z816" s="2467">
        <f t="shared" si="229"/>
        <v>731202071</v>
      </c>
      <c r="AA816" s="2543">
        <f t="shared" si="244"/>
        <v>64.5</v>
      </c>
      <c r="AB816" s="2467">
        <f t="shared" si="245"/>
        <v>944189733</v>
      </c>
      <c r="AC816" s="2544">
        <f t="shared" si="246"/>
        <v>64.5</v>
      </c>
      <c r="AD816" s="2544">
        <f t="shared" si="243"/>
        <v>21.250091511199042</v>
      </c>
      <c r="AE816" s="3138" t="s">
        <v>694</v>
      </c>
    </row>
    <row r="817" spans="1:76" s="63" customFormat="1" ht="45.75" customHeight="1">
      <c r="A817" s="3134"/>
      <c r="B817" s="3134"/>
      <c r="C817" s="3792">
        <v>1</v>
      </c>
      <c r="D817" s="3792" t="s">
        <v>65</v>
      </c>
      <c r="E817" s="3792" t="s">
        <v>198</v>
      </c>
      <c r="F817" s="3792" t="s">
        <v>66</v>
      </c>
      <c r="G817" s="3792" t="s">
        <v>515</v>
      </c>
      <c r="H817" s="3792" t="s">
        <v>196</v>
      </c>
      <c r="I817" s="384" t="s">
        <v>747</v>
      </c>
      <c r="J817" s="384" t="s">
        <v>748</v>
      </c>
      <c r="K817" s="3143">
        <v>182</v>
      </c>
      <c r="L817" s="3141">
        <v>3000000000</v>
      </c>
      <c r="M817" s="3144">
        <v>40</v>
      </c>
      <c r="N817" s="2416">
        <v>84435815</v>
      </c>
      <c r="O817" s="3143">
        <v>105</v>
      </c>
      <c r="P817" s="3141">
        <v>815298700</v>
      </c>
      <c r="Q817" s="3144">
        <v>0</v>
      </c>
      <c r="R817" s="3141">
        <v>56429300</v>
      </c>
      <c r="S817" s="3143">
        <v>105</v>
      </c>
      <c r="T817" s="3141">
        <v>369617900</v>
      </c>
      <c r="U817" s="2122"/>
      <c r="V817" s="3621">
        <v>173198100</v>
      </c>
      <c r="W817" s="3143"/>
      <c r="X817" s="3143"/>
      <c r="Y817" s="3143">
        <f t="shared" si="230"/>
        <v>105</v>
      </c>
      <c r="Z817" s="3145">
        <f t="shared" si="229"/>
        <v>599245300</v>
      </c>
      <c r="AA817" s="3143">
        <f t="shared" si="244"/>
        <v>145</v>
      </c>
      <c r="AB817" s="3145">
        <f t="shared" si="245"/>
        <v>683681115</v>
      </c>
      <c r="AC817" s="3142">
        <f t="shared" si="246"/>
        <v>79.670329670329664</v>
      </c>
      <c r="AD817" s="3142">
        <f t="shared" si="243"/>
        <v>22.7893705</v>
      </c>
      <c r="AE817" s="390"/>
    </row>
    <row r="818" spans="1:76" s="145" customFormat="1" ht="45.75" customHeight="1">
      <c r="A818" s="3134"/>
      <c r="B818" s="3134"/>
      <c r="C818" s="3792">
        <v>1</v>
      </c>
      <c r="D818" s="3792" t="s">
        <v>65</v>
      </c>
      <c r="E818" s="3792" t="s">
        <v>198</v>
      </c>
      <c r="F818" s="3792" t="s">
        <v>66</v>
      </c>
      <c r="G818" s="3792" t="s">
        <v>515</v>
      </c>
      <c r="H818" s="3792" t="s">
        <v>95</v>
      </c>
      <c r="I818" s="384" t="s">
        <v>749</v>
      </c>
      <c r="J818" s="384" t="s">
        <v>750</v>
      </c>
      <c r="K818" s="3143">
        <v>182</v>
      </c>
      <c r="L818" s="3141">
        <v>658577400</v>
      </c>
      <c r="M818" s="3144">
        <v>54</v>
      </c>
      <c r="N818" s="2416">
        <v>128551847</v>
      </c>
      <c r="O818" s="3143">
        <v>90</v>
      </c>
      <c r="P818" s="3141">
        <v>151979000</v>
      </c>
      <c r="Q818" s="3144">
        <v>12</v>
      </c>
      <c r="R818" s="3141">
        <v>23457050</v>
      </c>
      <c r="S818" s="3143">
        <v>33</v>
      </c>
      <c r="T818" s="3141">
        <v>48474821</v>
      </c>
      <c r="U818" s="2122">
        <v>20</v>
      </c>
      <c r="V818" s="3621">
        <v>22718900</v>
      </c>
      <c r="W818" s="3143"/>
      <c r="X818" s="3143"/>
      <c r="Y818" s="3143">
        <f t="shared" si="230"/>
        <v>65</v>
      </c>
      <c r="Z818" s="3145">
        <f t="shared" si="229"/>
        <v>94650771</v>
      </c>
      <c r="AA818" s="3143">
        <f t="shared" si="244"/>
        <v>119</v>
      </c>
      <c r="AB818" s="3145">
        <f t="shared" si="245"/>
        <v>223202618</v>
      </c>
      <c r="AC818" s="3142">
        <f t="shared" si="246"/>
        <v>65.384615384615387</v>
      </c>
      <c r="AD818" s="3142">
        <f t="shared" si="243"/>
        <v>33.891630353546901</v>
      </c>
      <c r="AE818" s="390"/>
    </row>
    <row r="819" spans="1:76" s="145" customFormat="1" ht="54" customHeight="1">
      <c r="A819" s="3134"/>
      <c r="B819" s="3134"/>
      <c r="C819" s="3792">
        <v>1</v>
      </c>
      <c r="D819" s="3792" t="s">
        <v>65</v>
      </c>
      <c r="E819" s="3792" t="s">
        <v>198</v>
      </c>
      <c r="F819" s="3792" t="s">
        <v>66</v>
      </c>
      <c r="G819" s="3792" t="s">
        <v>515</v>
      </c>
      <c r="H819" s="3792" t="s">
        <v>391</v>
      </c>
      <c r="I819" s="384" t="s">
        <v>751</v>
      </c>
      <c r="J819" s="384" t="s">
        <v>752</v>
      </c>
      <c r="K819" s="3143">
        <v>24</v>
      </c>
      <c r="L819" s="3141">
        <f>P819*6</f>
        <v>244649268</v>
      </c>
      <c r="M819" s="3144">
        <v>2</v>
      </c>
      <c r="N819" s="2416">
        <v>0</v>
      </c>
      <c r="O819" s="3143">
        <v>12</v>
      </c>
      <c r="P819" s="3141">
        <v>40774878</v>
      </c>
      <c r="Q819" s="3144">
        <v>0</v>
      </c>
      <c r="R819" s="3141">
        <v>0</v>
      </c>
      <c r="S819" s="3143">
        <v>1</v>
      </c>
      <c r="T819" s="3141">
        <v>10497000</v>
      </c>
      <c r="U819" s="2122">
        <v>1</v>
      </c>
      <c r="V819" s="3620">
        <v>9398000</v>
      </c>
      <c r="W819" s="3143"/>
      <c r="X819" s="3143"/>
      <c r="Y819" s="3143">
        <f t="shared" si="230"/>
        <v>2</v>
      </c>
      <c r="Z819" s="3145">
        <f t="shared" si="229"/>
        <v>19895000</v>
      </c>
      <c r="AA819" s="3143">
        <f t="shared" si="244"/>
        <v>4</v>
      </c>
      <c r="AB819" s="3145">
        <f t="shared" si="245"/>
        <v>19895000</v>
      </c>
      <c r="AC819" s="3142">
        <f t="shared" si="246"/>
        <v>16.666666666666664</v>
      </c>
      <c r="AD819" s="3142">
        <f t="shared" si="243"/>
        <v>8.1320496736577201</v>
      </c>
      <c r="AE819" s="390"/>
    </row>
    <row r="820" spans="1:76" s="63" customFormat="1" ht="45.75" customHeight="1">
      <c r="A820" s="3134"/>
      <c r="B820" s="3134"/>
      <c r="C820" s="3792">
        <v>1</v>
      </c>
      <c r="D820" s="3792" t="s">
        <v>65</v>
      </c>
      <c r="E820" s="3792" t="s">
        <v>198</v>
      </c>
      <c r="F820" s="3792" t="s">
        <v>66</v>
      </c>
      <c r="G820" s="3792" t="s">
        <v>515</v>
      </c>
      <c r="H820" s="3792">
        <v>14</v>
      </c>
      <c r="I820" s="384" t="s">
        <v>753</v>
      </c>
      <c r="J820" s="384" t="s">
        <v>3300</v>
      </c>
      <c r="K820" s="3143">
        <f>25*4</f>
        <v>100</v>
      </c>
      <c r="L820" s="3141">
        <f>90000000*6</f>
        <v>540000000</v>
      </c>
      <c r="M820" s="3144">
        <f>12*2</f>
        <v>24</v>
      </c>
      <c r="N820" s="2416">
        <v>0</v>
      </c>
      <c r="O820" s="3143">
        <v>12</v>
      </c>
      <c r="P820" s="3141">
        <v>34948100</v>
      </c>
      <c r="Q820" s="3144">
        <v>2</v>
      </c>
      <c r="R820" s="3141">
        <v>3317000</v>
      </c>
      <c r="S820" s="3143">
        <v>5</v>
      </c>
      <c r="T820" s="3141">
        <v>7045000</v>
      </c>
      <c r="U820" s="2122">
        <v>1</v>
      </c>
      <c r="V820" s="3621">
        <v>7049000</v>
      </c>
      <c r="W820" s="3143"/>
      <c r="X820" s="3143"/>
      <c r="Y820" s="3143">
        <f t="shared" si="230"/>
        <v>8</v>
      </c>
      <c r="Z820" s="3145">
        <f t="shared" si="229"/>
        <v>17411000</v>
      </c>
      <c r="AA820" s="3143">
        <f t="shared" si="244"/>
        <v>32</v>
      </c>
      <c r="AB820" s="3145">
        <f t="shared" si="245"/>
        <v>17411000</v>
      </c>
      <c r="AC820" s="3142">
        <f t="shared" si="246"/>
        <v>32</v>
      </c>
      <c r="AD820" s="3142">
        <f t="shared" si="243"/>
        <v>3.2242592592592594</v>
      </c>
      <c r="AE820" s="390"/>
    </row>
    <row r="821" spans="1:76" s="63" customFormat="1" ht="45.75" customHeight="1">
      <c r="A821" s="2543">
        <v>7</v>
      </c>
      <c r="B821" s="3155"/>
      <c r="C821" s="2352">
        <v>1</v>
      </c>
      <c r="D821" s="2352" t="s">
        <v>65</v>
      </c>
      <c r="E821" s="2352" t="s">
        <v>198</v>
      </c>
      <c r="F821" s="2352" t="s">
        <v>66</v>
      </c>
      <c r="G821" s="2352" t="s">
        <v>459</v>
      </c>
      <c r="H821" s="2352"/>
      <c r="I821" s="2335" t="s">
        <v>755</v>
      </c>
      <c r="J821" s="2335" t="s">
        <v>3301</v>
      </c>
      <c r="K821" s="2543">
        <v>70.430000000000007</v>
      </c>
      <c r="L821" s="2568">
        <f>SUM(L822:L828)</f>
        <v>5385962000</v>
      </c>
      <c r="M821" s="2588">
        <v>63</v>
      </c>
      <c r="N821" s="2589">
        <f>SUM(N822:N828)</f>
        <v>1297021003</v>
      </c>
      <c r="O821" s="2543">
        <f>70-M821</f>
        <v>7</v>
      </c>
      <c r="P821" s="2568">
        <f>SUM(P822:P828)</f>
        <v>1320564762</v>
      </c>
      <c r="Q821" s="2588">
        <v>2</v>
      </c>
      <c r="R821" s="2568">
        <f>SUM(R822:R828)</f>
        <v>79216850</v>
      </c>
      <c r="S821" s="2543"/>
      <c r="T821" s="2568">
        <f>SUM(T822:T828)</f>
        <v>255324500</v>
      </c>
      <c r="U821" s="2543"/>
      <c r="V821" s="2467"/>
      <c r="W821" s="2543"/>
      <c r="X821" s="2543"/>
      <c r="Y821" s="2543">
        <f t="shared" si="230"/>
        <v>2</v>
      </c>
      <c r="Z821" s="2467">
        <f t="shared" si="229"/>
        <v>334541350</v>
      </c>
      <c r="AA821" s="2543">
        <f t="shared" ref="AA821:AA828" si="247">M821+Y821</f>
        <v>65</v>
      </c>
      <c r="AB821" s="2467">
        <f t="shared" ref="AB821:AB828" si="248">N821+Z821</f>
        <v>1631562353</v>
      </c>
      <c r="AC821" s="2544">
        <f t="shared" ref="AC821:AC828" si="249">(AA821/K821)*100</f>
        <v>92.290217236972865</v>
      </c>
      <c r="AD821" s="2544">
        <f t="shared" ref="AD821:AD828" si="250">(AB821/L821)*100</f>
        <v>30.292867885068631</v>
      </c>
      <c r="AE821" s="3138" t="s">
        <v>694</v>
      </c>
    </row>
    <row r="822" spans="1:76" s="2321" customFormat="1" ht="71.25" customHeight="1">
      <c r="A822" s="3134"/>
      <c r="B822" s="3134"/>
      <c r="C822" s="3792">
        <v>1</v>
      </c>
      <c r="D822" s="3792" t="s">
        <v>65</v>
      </c>
      <c r="E822" s="3792" t="s">
        <v>198</v>
      </c>
      <c r="F822" s="3792" t="s">
        <v>66</v>
      </c>
      <c r="G822" s="3792" t="s">
        <v>459</v>
      </c>
      <c r="H822" s="3792" t="s">
        <v>93</v>
      </c>
      <c r="I822" s="384" t="s">
        <v>756</v>
      </c>
      <c r="J822" s="384" t="s">
        <v>757</v>
      </c>
      <c r="K822" s="3143">
        <f t="shared" ref="K822:K827" si="251">6*6</f>
        <v>36</v>
      </c>
      <c r="L822" s="3141">
        <v>1000000000</v>
      </c>
      <c r="M822" s="3144">
        <v>8</v>
      </c>
      <c r="N822" s="2416">
        <v>161131599</v>
      </c>
      <c r="O822" s="3143">
        <v>4</v>
      </c>
      <c r="P822" s="3141">
        <v>65297631</v>
      </c>
      <c r="Q822" s="3144">
        <v>1</v>
      </c>
      <c r="R822" s="3141">
        <v>8883900</v>
      </c>
      <c r="S822" s="3143">
        <v>1</v>
      </c>
      <c r="T822" s="3141">
        <v>22722000</v>
      </c>
      <c r="U822" s="3143"/>
      <c r="V822" s="3246"/>
      <c r="W822" s="3143"/>
      <c r="X822" s="3143"/>
      <c r="Y822" s="3143">
        <f t="shared" si="230"/>
        <v>2</v>
      </c>
      <c r="Z822" s="3145">
        <f t="shared" si="229"/>
        <v>31605900</v>
      </c>
      <c r="AA822" s="3143">
        <f t="shared" si="247"/>
        <v>10</v>
      </c>
      <c r="AB822" s="3145">
        <f t="shared" si="248"/>
        <v>192737499</v>
      </c>
      <c r="AC822" s="3142">
        <f t="shared" si="249"/>
        <v>27.777777777777779</v>
      </c>
      <c r="AD822" s="3142">
        <f t="shared" si="250"/>
        <v>19.273749900000002</v>
      </c>
      <c r="AE822" s="390"/>
      <c r="AF822" s="2320"/>
      <c r="AG822" s="2320"/>
      <c r="AH822" s="2320"/>
      <c r="AI822" s="2320"/>
      <c r="AJ822" s="2320"/>
      <c r="AK822" s="2320"/>
      <c r="AL822" s="2320"/>
      <c r="AM822" s="2320"/>
      <c r="AN822" s="2320"/>
      <c r="AO822" s="2320"/>
      <c r="AP822" s="2320"/>
      <c r="AQ822" s="2320"/>
      <c r="AR822" s="2320"/>
      <c r="AS822" s="2320"/>
      <c r="AT822" s="2320"/>
      <c r="AU822" s="2320"/>
      <c r="AV822" s="2320"/>
      <c r="AW822" s="2320"/>
      <c r="AX822" s="2320"/>
      <c r="AY822" s="2320"/>
      <c r="AZ822" s="2320"/>
      <c r="BA822" s="2320"/>
      <c r="BB822" s="2320"/>
      <c r="BC822" s="2320"/>
      <c r="BD822" s="2320"/>
      <c r="BE822" s="2320"/>
      <c r="BF822" s="2320"/>
      <c r="BG822" s="2320"/>
      <c r="BH822" s="2320"/>
      <c r="BI822" s="2320"/>
      <c r="BJ822" s="2320"/>
      <c r="BK822" s="2320"/>
      <c r="BL822" s="2320"/>
      <c r="BM822" s="2320"/>
      <c r="BN822" s="2320"/>
      <c r="BO822" s="2320"/>
      <c r="BP822" s="2320"/>
      <c r="BQ822" s="2320"/>
      <c r="BR822" s="2320"/>
      <c r="BS822" s="2320"/>
      <c r="BT822" s="2320"/>
      <c r="BU822" s="2320"/>
      <c r="BV822" s="2320"/>
      <c r="BW822" s="2320"/>
      <c r="BX822" s="2320"/>
    </row>
    <row r="823" spans="1:76" s="2321" customFormat="1" ht="25.5">
      <c r="A823" s="385"/>
      <c r="B823" s="385"/>
      <c r="C823" s="3792">
        <v>1</v>
      </c>
      <c r="D823" s="3792" t="s">
        <v>65</v>
      </c>
      <c r="E823" s="3792" t="s">
        <v>198</v>
      </c>
      <c r="F823" s="3792" t="s">
        <v>66</v>
      </c>
      <c r="G823" s="3792" t="s">
        <v>459</v>
      </c>
      <c r="H823" s="3792" t="s">
        <v>202</v>
      </c>
      <c r="I823" s="384" t="s">
        <v>758</v>
      </c>
      <c r="J823" s="384" t="s">
        <v>759</v>
      </c>
      <c r="K823" s="3143">
        <f t="shared" si="251"/>
        <v>36</v>
      </c>
      <c r="L823" s="3141">
        <v>4085962000</v>
      </c>
      <c r="M823" s="3144">
        <v>12</v>
      </c>
      <c r="N823" s="2416">
        <v>1073930254</v>
      </c>
      <c r="O823" s="3143">
        <v>6</v>
      </c>
      <c r="P823" s="3141">
        <v>1199999866</v>
      </c>
      <c r="Q823" s="3144">
        <v>1</v>
      </c>
      <c r="R823" s="3141">
        <v>66895450</v>
      </c>
      <c r="S823" s="3143">
        <v>4</v>
      </c>
      <c r="T823" s="3141">
        <v>218766000</v>
      </c>
      <c r="U823" s="3143"/>
      <c r="V823" s="3246"/>
      <c r="W823" s="3143"/>
      <c r="X823" s="3143"/>
      <c r="Y823" s="3143">
        <f t="shared" si="230"/>
        <v>5</v>
      </c>
      <c r="Z823" s="3145">
        <f t="shared" si="229"/>
        <v>285661450</v>
      </c>
      <c r="AA823" s="3143">
        <f t="shared" si="247"/>
        <v>17</v>
      </c>
      <c r="AB823" s="3145">
        <f t="shared" si="248"/>
        <v>1359591704</v>
      </c>
      <c r="AC823" s="3142">
        <f t="shared" si="249"/>
        <v>47.222222222222221</v>
      </c>
      <c r="AD823" s="3142">
        <f t="shared" si="250"/>
        <v>33.274702603695289</v>
      </c>
      <c r="AE823" s="390"/>
      <c r="AF823" s="2320"/>
      <c r="AG823" s="2320"/>
      <c r="AH823" s="2320"/>
      <c r="AI823" s="2320"/>
      <c r="AJ823" s="2320"/>
      <c r="AK823" s="2320"/>
      <c r="AL823" s="2320"/>
      <c r="AM823" s="2320"/>
      <c r="AN823" s="2320"/>
      <c r="AO823" s="2320"/>
      <c r="AP823" s="2320"/>
      <c r="AQ823" s="2320"/>
      <c r="AR823" s="2320"/>
      <c r="AS823" s="2320"/>
      <c r="AT823" s="2320"/>
      <c r="AU823" s="2320"/>
      <c r="AV823" s="2320"/>
      <c r="AW823" s="2320"/>
      <c r="AX823" s="2320"/>
      <c r="AY823" s="2320"/>
      <c r="AZ823" s="2320"/>
      <c r="BA823" s="2320"/>
      <c r="BB823" s="2320"/>
      <c r="BC823" s="2320"/>
      <c r="BD823" s="2320"/>
      <c r="BE823" s="2320"/>
      <c r="BF823" s="2320"/>
      <c r="BG823" s="2320"/>
      <c r="BH823" s="2320"/>
      <c r="BI823" s="2320"/>
      <c r="BJ823" s="2320"/>
      <c r="BK823" s="2320"/>
      <c r="BL823" s="2320"/>
      <c r="BM823" s="2320"/>
      <c r="BN823" s="2320"/>
      <c r="BO823" s="2320"/>
      <c r="BP823" s="2320"/>
      <c r="BQ823" s="2320"/>
      <c r="BR823" s="2320"/>
      <c r="BS823" s="2320"/>
      <c r="BT823" s="2320"/>
      <c r="BU823" s="2320"/>
      <c r="BV823" s="2320"/>
      <c r="BW823" s="2320"/>
      <c r="BX823" s="2320"/>
    </row>
    <row r="824" spans="1:76" s="2320" customFormat="1">
      <c r="A824" s="385"/>
      <c r="B824" s="385"/>
      <c r="C824" s="3792"/>
      <c r="D824" s="3792"/>
      <c r="E824" s="3792"/>
      <c r="F824" s="3792"/>
      <c r="G824" s="3792"/>
      <c r="H824" s="3792"/>
      <c r="I824" s="384"/>
      <c r="J824" s="384" t="s">
        <v>760</v>
      </c>
      <c r="K824" s="3143">
        <f t="shared" si="251"/>
        <v>36</v>
      </c>
      <c r="L824" s="3141"/>
      <c r="M824" s="3144">
        <v>12</v>
      </c>
      <c r="N824" s="2416"/>
      <c r="O824" s="3143">
        <v>6</v>
      </c>
      <c r="P824" s="3141"/>
      <c r="Q824" s="3144">
        <v>1</v>
      </c>
      <c r="R824" s="3141"/>
      <c r="S824" s="3143"/>
      <c r="T824" s="3141"/>
      <c r="U824" s="3143"/>
      <c r="V824" s="3246"/>
      <c r="W824" s="3143"/>
      <c r="X824" s="3143"/>
      <c r="Y824" s="3143">
        <f t="shared" si="230"/>
        <v>1</v>
      </c>
      <c r="Z824" s="3145">
        <f t="shared" si="229"/>
        <v>0</v>
      </c>
      <c r="AA824" s="3143">
        <f t="shared" si="247"/>
        <v>13</v>
      </c>
      <c r="AB824" s="3145">
        <f t="shared" si="248"/>
        <v>0</v>
      </c>
      <c r="AC824" s="3142">
        <f t="shared" si="249"/>
        <v>36.111111111111107</v>
      </c>
      <c r="AD824" s="3142"/>
      <c r="AE824" s="390"/>
    </row>
    <row r="825" spans="1:76" s="2320" customFormat="1">
      <c r="A825" s="385"/>
      <c r="B825" s="385"/>
      <c r="C825" s="3792"/>
      <c r="D825" s="3792"/>
      <c r="E825" s="3792"/>
      <c r="F825" s="3792"/>
      <c r="G825" s="3792"/>
      <c r="H825" s="3792"/>
      <c r="I825" s="384"/>
      <c r="J825" s="384" t="s">
        <v>761</v>
      </c>
      <c r="K825" s="3143">
        <f t="shared" si="251"/>
        <v>36</v>
      </c>
      <c r="L825" s="3141"/>
      <c r="M825" s="3144">
        <v>12</v>
      </c>
      <c r="N825" s="2416"/>
      <c r="O825" s="3143">
        <v>6</v>
      </c>
      <c r="P825" s="3141"/>
      <c r="Q825" s="3144">
        <v>1</v>
      </c>
      <c r="R825" s="3141"/>
      <c r="S825" s="3143"/>
      <c r="T825" s="3143"/>
      <c r="U825" s="3143"/>
      <c r="V825" s="3246"/>
      <c r="W825" s="3143"/>
      <c r="X825" s="3143"/>
      <c r="Y825" s="3143">
        <f t="shared" si="230"/>
        <v>1</v>
      </c>
      <c r="Z825" s="3145">
        <f t="shared" si="229"/>
        <v>0</v>
      </c>
      <c r="AA825" s="3143">
        <f t="shared" si="247"/>
        <v>13</v>
      </c>
      <c r="AB825" s="3145">
        <f t="shared" si="248"/>
        <v>0</v>
      </c>
      <c r="AC825" s="3142">
        <f t="shared" si="249"/>
        <v>36.111111111111107</v>
      </c>
      <c r="AD825" s="3142"/>
      <c r="AE825" s="390"/>
    </row>
    <row r="826" spans="1:76" s="2320" customFormat="1">
      <c r="A826" s="385"/>
      <c r="B826" s="385"/>
      <c r="C826" s="3792"/>
      <c r="D826" s="3792"/>
      <c r="E826" s="3792"/>
      <c r="F826" s="3792"/>
      <c r="G826" s="3792"/>
      <c r="H826" s="3792"/>
      <c r="I826" s="384"/>
      <c r="J826" s="384" t="s">
        <v>762</v>
      </c>
      <c r="K826" s="3143">
        <f t="shared" si="251"/>
        <v>36</v>
      </c>
      <c r="L826" s="3141"/>
      <c r="M826" s="3144">
        <v>12</v>
      </c>
      <c r="N826" s="2416"/>
      <c r="O826" s="3143">
        <v>6</v>
      </c>
      <c r="P826" s="3141"/>
      <c r="Q826" s="3144">
        <v>1</v>
      </c>
      <c r="R826" s="3141"/>
      <c r="S826" s="3143"/>
      <c r="T826" s="3143"/>
      <c r="U826" s="3143"/>
      <c r="V826" s="3246"/>
      <c r="W826" s="3143"/>
      <c r="X826" s="3143"/>
      <c r="Y826" s="3143">
        <f t="shared" si="230"/>
        <v>1</v>
      </c>
      <c r="Z826" s="3145">
        <f t="shared" si="229"/>
        <v>0</v>
      </c>
      <c r="AA826" s="3143">
        <f t="shared" si="247"/>
        <v>13</v>
      </c>
      <c r="AB826" s="3145">
        <f t="shared" si="248"/>
        <v>0</v>
      </c>
      <c r="AC826" s="3142">
        <f t="shared" si="249"/>
        <v>36.111111111111107</v>
      </c>
      <c r="AD826" s="3142"/>
      <c r="AE826" s="390"/>
    </row>
    <row r="827" spans="1:76" s="2320" customFormat="1" ht="22.5" customHeight="1">
      <c r="A827" s="385"/>
      <c r="B827" s="385"/>
      <c r="C827" s="3792"/>
      <c r="D827" s="3792"/>
      <c r="E827" s="3792"/>
      <c r="F827" s="3792"/>
      <c r="G827" s="3792"/>
      <c r="H827" s="3792"/>
      <c r="I827" s="384"/>
      <c r="J827" s="384" t="s">
        <v>763</v>
      </c>
      <c r="K827" s="3143">
        <f t="shared" si="251"/>
        <v>36</v>
      </c>
      <c r="L827" s="3141"/>
      <c r="M827" s="3144">
        <v>12</v>
      </c>
      <c r="N827" s="2416"/>
      <c r="O827" s="3143">
        <v>6</v>
      </c>
      <c r="P827" s="3141"/>
      <c r="Q827" s="3144">
        <v>0</v>
      </c>
      <c r="R827" s="3141"/>
      <c r="S827" s="3143"/>
      <c r="T827" s="3143"/>
      <c r="U827" s="3143"/>
      <c r="V827" s="3246"/>
      <c r="W827" s="3143"/>
      <c r="X827" s="3143"/>
      <c r="Y827" s="3143">
        <f t="shared" si="230"/>
        <v>0</v>
      </c>
      <c r="Z827" s="3145">
        <f t="shared" si="229"/>
        <v>0</v>
      </c>
      <c r="AA827" s="3143">
        <f t="shared" si="247"/>
        <v>12</v>
      </c>
      <c r="AB827" s="3145">
        <f t="shared" si="248"/>
        <v>0</v>
      </c>
      <c r="AC827" s="3142">
        <f t="shared" si="249"/>
        <v>33.333333333333329</v>
      </c>
      <c r="AD827" s="3142"/>
      <c r="AE827" s="390"/>
    </row>
    <row r="828" spans="1:76" s="2320" customFormat="1" ht="58.5" customHeight="1">
      <c r="A828" s="3134"/>
      <c r="B828" s="3134"/>
      <c r="C828" s="3792">
        <v>1</v>
      </c>
      <c r="D828" s="3792" t="s">
        <v>65</v>
      </c>
      <c r="E828" s="3792" t="s">
        <v>198</v>
      </c>
      <c r="F828" s="3792" t="s">
        <v>66</v>
      </c>
      <c r="G828" s="3792" t="s">
        <v>459</v>
      </c>
      <c r="H828" s="3792" t="s">
        <v>93</v>
      </c>
      <c r="I828" s="384" t="s">
        <v>764</v>
      </c>
      <c r="J828" s="384" t="s">
        <v>765</v>
      </c>
      <c r="K828" s="3143">
        <f>142</f>
        <v>142</v>
      </c>
      <c r="L828" s="3141">
        <v>300000000</v>
      </c>
      <c r="M828" s="3144">
        <v>77</v>
      </c>
      <c r="N828" s="3141">
        <v>61959150</v>
      </c>
      <c r="O828" s="3143">
        <v>12</v>
      </c>
      <c r="P828" s="3141">
        <v>55267265</v>
      </c>
      <c r="Q828" s="3144">
        <v>5</v>
      </c>
      <c r="R828" s="3141">
        <v>3437500</v>
      </c>
      <c r="S828" s="3143">
        <v>10</v>
      </c>
      <c r="T828" s="3143">
        <v>13836500</v>
      </c>
      <c r="U828" s="3143"/>
      <c r="V828" s="3246"/>
      <c r="W828" s="3143"/>
      <c r="X828" s="3143"/>
      <c r="Y828" s="3143">
        <f t="shared" si="230"/>
        <v>15</v>
      </c>
      <c r="Z828" s="3145">
        <f t="shared" si="229"/>
        <v>17274000</v>
      </c>
      <c r="AA828" s="3143">
        <f t="shared" si="247"/>
        <v>92</v>
      </c>
      <c r="AB828" s="3145">
        <f t="shared" si="248"/>
        <v>79233150</v>
      </c>
      <c r="AC828" s="3142">
        <f t="shared" si="249"/>
        <v>64.788732394366207</v>
      </c>
      <c r="AD828" s="3142">
        <f t="shared" si="250"/>
        <v>26.411050000000003</v>
      </c>
      <c r="AE828" s="390"/>
    </row>
    <row r="829" spans="1:76" s="2320" customFormat="1" ht="70.5" customHeight="1">
      <c r="A829" s="3155">
        <v>8</v>
      </c>
      <c r="B829" s="3155"/>
      <c r="C829" s="2352">
        <v>1</v>
      </c>
      <c r="D829" s="2352" t="s">
        <v>65</v>
      </c>
      <c r="E829" s="2352" t="s">
        <v>198</v>
      </c>
      <c r="F829" s="2352" t="s">
        <v>66</v>
      </c>
      <c r="G829" s="2352" t="s">
        <v>363</v>
      </c>
      <c r="H829" s="2352"/>
      <c r="I829" s="2335" t="s">
        <v>766</v>
      </c>
      <c r="J829" s="2335" t="s">
        <v>3302</v>
      </c>
      <c r="K829" s="2543">
        <v>40</v>
      </c>
      <c r="L829" s="2568">
        <f>SUM(L830)</f>
        <v>349225800</v>
      </c>
      <c r="M829" s="2588">
        <v>20</v>
      </c>
      <c r="N829" s="2568">
        <f>SUM(N830)</f>
        <v>82513548</v>
      </c>
      <c r="O829" s="2543">
        <v>5</v>
      </c>
      <c r="P829" s="2568">
        <f>SUM(P830)</f>
        <v>110098048</v>
      </c>
      <c r="Q829" s="2588">
        <f>SUM(Q831)</f>
        <v>0</v>
      </c>
      <c r="R829" s="2568">
        <f>SUM(R830)</f>
        <v>25192800</v>
      </c>
      <c r="S829" s="2543">
        <f>SUM(S830)</f>
        <v>1</v>
      </c>
      <c r="T829" s="2587">
        <f>SUM(T830)</f>
        <v>21711714</v>
      </c>
      <c r="U829" s="2543"/>
      <c r="V829" s="2467"/>
      <c r="W829" s="2543"/>
      <c r="X829" s="2543"/>
      <c r="Y829" s="2543">
        <f t="shared" si="230"/>
        <v>1</v>
      </c>
      <c r="Z829" s="2467">
        <f t="shared" si="229"/>
        <v>46904514</v>
      </c>
      <c r="AA829" s="2543">
        <f t="shared" ref="AA829:AB831" si="252">M829+Y829</f>
        <v>21</v>
      </c>
      <c r="AB829" s="2467">
        <f t="shared" si="252"/>
        <v>129418062</v>
      </c>
      <c r="AC829" s="2544">
        <f>(AA829/K829)*100</f>
        <v>52.5</v>
      </c>
      <c r="AD829" s="2544">
        <f>(AB829/L829)*100</f>
        <v>37.058562683513074</v>
      </c>
      <c r="AE829" s="3138" t="s">
        <v>694</v>
      </c>
    </row>
    <row r="830" spans="1:76" s="2548" customFormat="1" ht="37.5" customHeight="1">
      <c r="A830" s="385"/>
      <c r="B830" s="385"/>
      <c r="C830" s="3792">
        <v>1</v>
      </c>
      <c r="D830" s="3792" t="s">
        <v>65</v>
      </c>
      <c r="E830" s="3792" t="s">
        <v>198</v>
      </c>
      <c r="F830" s="3792" t="s">
        <v>66</v>
      </c>
      <c r="G830" s="3792" t="s">
        <v>363</v>
      </c>
      <c r="H830" s="3792" t="s">
        <v>95</v>
      </c>
      <c r="I830" s="384" t="s">
        <v>767</v>
      </c>
      <c r="J830" s="384" t="s">
        <v>768</v>
      </c>
      <c r="K830" s="3143">
        <v>5</v>
      </c>
      <c r="L830" s="3141">
        <v>349225800</v>
      </c>
      <c r="M830" s="3144">
        <v>3</v>
      </c>
      <c r="N830" s="2416">
        <v>82513548</v>
      </c>
      <c r="O830" s="3143">
        <v>3</v>
      </c>
      <c r="P830" s="3141">
        <v>110098048</v>
      </c>
      <c r="Q830" s="3144">
        <v>1</v>
      </c>
      <c r="R830" s="3141">
        <v>25192800</v>
      </c>
      <c r="S830" s="3143">
        <v>1</v>
      </c>
      <c r="T830" s="3141">
        <v>21711714</v>
      </c>
      <c r="U830" s="3143"/>
      <c r="V830" s="3246"/>
      <c r="W830" s="3143"/>
      <c r="X830" s="3143"/>
      <c r="Y830" s="3143">
        <f t="shared" si="230"/>
        <v>2</v>
      </c>
      <c r="Z830" s="3145">
        <f t="shared" si="229"/>
        <v>46904514</v>
      </c>
      <c r="AA830" s="3143">
        <f t="shared" si="252"/>
        <v>5</v>
      </c>
      <c r="AB830" s="3145">
        <f t="shared" si="252"/>
        <v>129418062</v>
      </c>
      <c r="AC830" s="3142">
        <f>(AA830/K830)*100</f>
        <v>100</v>
      </c>
      <c r="AD830" s="3142">
        <f>(AB830/L830)*100</f>
        <v>37.058562683513074</v>
      </c>
      <c r="AE830" s="390"/>
      <c r="AF830" s="639"/>
      <c r="AG830" s="639"/>
      <c r="AH830" s="639"/>
      <c r="AI830" s="639"/>
      <c r="AJ830" s="639"/>
      <c r="AK830" s="639"/>
      <c r="AL830" s="639"/>
      <c r="AM830" s="639"/>
      <c r="AN830" s="639"/>
      <c r="AO830" s="639"/>
      <c r="AP830" s="639"/>
      <c r="AQ830" s="639"/>
      <c r="AR830" s="639"/>
      <c r="AS830" s="639"/>
      <c r="AT830" s="639"/>
      <c r="AU830" s="639"/>
      <c r="AV830" s="639"/>
      <c r="AW830" s="639"/>
      <c r="AX830" s="639"/>
      <c r="AY830" s="639"/>
      <c r="AZ830" s="639"/>
      <c r="BA830" s="639"/>
      <c r="BB830" s="639"/>
      <c r="BC830" s="639"/>
      <c r="BD830" s="639"/>
      <c r="BE830" s="639"/>
      <c r="BF830" s="639"/>
      <c r="BG830" s="639"/>
      <c r="BH830" s="639"/>
      <c r="BI830" s="639"/>
      <c r="BJ830" s="639"/>
      <c r="BK830" s="639"/>
      <c r="BL830" s="639"/>
      <c r="BM830" s="639"/>
      <c r="BN830" s="639"/>
      <c r="BO830" s="639"/>
      <c r="BP830" s="639"/>
      <c r="BQ830" s="639"/>
      <c r="BR830" s="639"/>
      <c r="BS830" s="639"/>
      <c r="BT830" s="639"/>
      <c r="BU830" s="639"/>
      <c r="BV830" s="639"/>
      <c r="BW830" s="639"/>
      <c r="BX830" s="639"/>
    </row>
    <row r="831" spans="1:76" s="2548" customFormat="1" ht="45" customHeight="1">
      <c r="A831" s="385"/>
      <c r="B831" s="385"/>
      <c r="C831" s="3792"/>
      <c r="D831" s="3792"/>
      <c r="E831" s="3792"/>
      <c r="F831" s="3792"/>
      <c r="G831" s="3792"/>
      <c r="H831" s="3792"/>
      <c r="I831" s="384"/>
      <c r="J831" s="384" t="s">
        <v>769</v>
      </c>
      <c r="K831" s="3143">
        <v>5</v>
      </c>
      <c r="L831" s="3141"/>
      <c r="M831" s="3144">
        <v>3</v>
      </c>
      <c r="N831" s="2416"/>
      <c r="O831" s="3143">
        <v>1</v>
      </c>
      <c r="P831" s="3141"/>
      <c r="Q831" s="3144">
        <v>0</v>
      </c>
      <c r="R831" s="3141"/>
      <c r="S831" s="3143"/>
      <c r="T831" s="3143"/>
      <c r="U831" s="3143"/>
      <c r="V831" s="3246"/>
      <c r="W831" s="3143"/>
      <c r="X831" s="3143"/>
      <c r="Y831" s="3143">
        <f t="shared" si="230"/>
        <v>0</v>
      </c>
      <c r="Z831" s="3145">
        <f t="shared" si="229"/>
        <v>0</v>
      </c>
      <c r="AA831" s="3143">
        <f t="shared" si="252"/>
        <v>3</v>
      </c>
      <c r="AB831" s="3145">
        <f t="shared" si="252"/>
        <v>0</v>
      </c>
      <c r="AC831" s="3142">
        <f>(AA831/K831)*100</f>
        <v>60</v>
      </c>
      <c r="AD831" s="3142"/>
      <c r="AE831" s="390"/>
      <c r="AF831" s="639"/>
      <c r="AG831" s="639"/>
      <c r="AH831" s="639"/>
      <c r="AI831" s="639"/>
      <c r="AJ831" s="639"/>
      <c r="AK831" s="639"/>
      <c r="AL831" s="639"/>
      <c r="AM831" s="639"/>
      <c r="AN831" s="639"/>
      <c r="AO831" s="639"/>
      <c r="AP831" s="639"/>
      <c r="AQ831" s="639"/>
      <c r="AR831" s="639"/>
      <c r="AS831" s="639"/>
      <c r="AT831" s="639"/>
      <c r="AU831" s="639"/>
      <c r="AV831" s="639"/>
      <c r="AW831" s="639"/>
      <c r="AX831" s="639"/>
      <c r="AY831" s="639"/>
      <c r="AZ831" s="639"/>
      <c r="BA831" s="639"/>
      <c r="BB831" s="639"/>
      <c r="BC831" s="639"/>
      <c r="BD831" s="639"/>
      <c r="BE831" s="639"/>
      <c r="BF831" s="639"/>
      <c r="BG831" s="639"/>
      <c r="BH831" s="639"/>
      <c r="BI831" s="639"/>
      <c r="BJ831" s="639"/>
      <c r="BK831" s="639"/>
      <c r="BL831" s="639"/>
      <c r="BM831" s="639"/>
      <c r="BN831" s="639"/>
      <c r="BO831" s="639"/>
      <c r="BP831" s="639"/>
      <c r="BQ831" s="639"/>
      <c r="BR831" s="639"/>
      <c r="BS831" s="639"/>
      <c r="BT831" s="639"/>
      <c r="BU831" s="639"/>
      <c r="BV831" s="639"/>
      <c r="BW831" s="639"/>
      <c r="BX831" s="639"/>
    </row>
    <row r="832" spans="1:76" s="2548" customFormat="1">
      <c r="A832" s="4311" t="s">
        <v>89</v>
      </c>
      <c r="B832" s="4311"/>
      <c r="C832" s="4312"/>
      <c r="D832" s="4312"/>
      <c r="E832" s="4312"/>
      <c r="F832" s="4312"/>
      <c r="G832" s="4312"/>
      <c r="H832" s="4312"/>
      <c r="I832" s="4312"/>
      <c r="J832" s="4312"/>
      <c r="K832" s="4312"/>
      <c r="L832" s="4312"/>
      <c r="M832" s="4312"/>
      <c r="N832" s="4312"/>
      <c r="O832" s="4312"/>
      <c r="P832" s="4312"/>
      <c r="Q832" s="4312"/>
      <c r="R832" s="4312"/>
      <c r="S832" s="4312"/>
      <c r="T832" s="4312"/>
      <c r="U832" s="4312"/>
      <c r="V832" s="4312"/>
      <c r="W832" s="4312"/>
      <c r="X832" s="4312"/>
      <c r="Y832" s="4312"/>
      <c r="Z832" s="4312"/>
      <c r="AA832" s="4312"/>
      <c r="AB832" s="4312"/>
      <c r="AC832" s="2422">
        <f>(AC784+AC804+AC808+AC812+AC814+AC816+AC821+AC829)/8</f>
        <v>55.352879471223922</v>
      </c>
      <c r="AD832" s="2422">
        <f>(AD784+AD804+AD808+AD812+AD814+AD816+AD821+AD829)/8</f>
        <v>32.334412837105319</v>
      </c>
      <c r="AE832" s="2783"/>
      <c r="AF832" s="639"/>
      <c r="AG832" s="639"/>
      <c r="AH832" s="639"/>
      <c r="AI832" s="639"/>
      <c r="AJ832" s="639"/>
      <c r="AK832" s="639"/>
      <c r="AL832" s="639"/>
      <c r="AM832" s="639"/>
      <c r="AN832" s="639"/>
      <c r="AO832" s="639"/>
      <c r="AP832" s="639"/>
      <c r="AQ832" s="639"/>
      <c r="AR832" s="639"/>
      <c r="AS832" s="639"/>
      <c r="AT832" s="639"/>
      <c r="AU832" s="639"/>
      <c r="AV832" s="639"/>
      <c r="AW832" s="639"/>
      <c r="AX832" s="639"/>
      <c r="AY832" s="639"/>
      <c r="AZ832" s="639"/>
      <c r="BA832" s="639"/>
      <c r="BB832" s="639"/>
      <c r="BC832" s="639"/>
      <c r="BD832" s="639"/>
      <c r="BE832" s="639"/>
      <c r="BF832" s="639"/>
      <c r="BG832" s="639"/>
      <c r="BH832" s="639"/>
      <c r="BI832" s="639"/>
      <c r="BJ832" s="639"/>
      <c r="BK832" s="639"/>
      <c r="BL832" s="639"/>
      <c r="BM832" s="639"/>
      <c r="BN832" s="639"/>
      <c r="BO832" s="639"/>
      <c r="BP832" s="639"/>
      <c r="BQ832" s="639"/>
      <c r="BR832" s="639"/>
      <c r="BS832" s="639"/>
      <c r="BT832" s="639"/>
      <c r="BU832" s="639"/>
      <c r="BV832" s="639"/>
      <c r="BW832" s="639"/>
      <c r="BX832" s="639"/>
    </row>
    <row r="833" spans="1:76" s="2548" customFormat="1">
      <c r="A833" s="4311" t="s">
        <v>90</v>
      </c>
      <c r="B833" s="4311"/>
      <c r="C833" s="4312"/>
      <c r="D833" s="4312"/>
      <c r="E833" s="4312"/>
      <c r="F833" s="4312"/>
      <c r="G833" s="4312"/>
      <c r="H833" s="4312"/>
      <c r="I833" s="4312"/>
      <c r="J833" s="4312"/>
      <c r="K833" s="4312"/>
      <c r="L833" s="4312"/>
      <c r="M833" s="4312"/>
      <c r="N833" s="4312"/>
      <c r="O833" s="4312"/>
      <c r="P833" s="4312"/>
      <c r="Q833" s="4312"/>
      <c r="R833" s="4312"/>
      <c r="S833" s="4312"/>
      <c r="T833" s="4312"/>
      <c r="U833" s="4312"/>
      <c r="V833" s="4312"/>
      <c r="W833" s="4312"/>
      <c r="X833" s="4312"/>
      <c r="Y833" s="4312"/>
      <c r="Z833" s="4312"/>
      <c r="AA833" s="4312"/>
      <c r="AB833" s="4312"/>
      <c r="AC833" s="3152" t="str">
        <f>IF(AC832&gt;=91,"ST",IF(AC832&gt;=76,"T",IF(AC832&gt;=66,"S",IF(AC832&gt;=51,"R","SR"))))</f>
        <v>R</v>
      </c>
      <c r="AD833" s="3152" t="str">
        <f>IF(AD832&gt;=91,"ST",IF(AD832&gt;=76,"T",IF(AD832&gt;=66,"S",IF(AD832&gt;=51,"R","SR"))))</f>
        <v>SR</v>
      </c>
      <c r="AE833" s="2783"/>
      <c r="AF833" s="639"/>
      <c r="AG833" s="639"/>
      <c r="AH833" s="639"/>
      <c r="AI833" s="639"/>
      <c r="AJ833" s="639"/>
      <c r="AK833" s="639"/>
      <c r="AL833" s="639"/>
      <c r="AM833" s="639"/>
      <c r="AN833" s="639"/>
      <c r="AO833" s="639"/>
      <c r="AP833" s="639"/>
      <c r="AQ833" s="639"/>
      <c r="AR833" s="639"/>
      <c r="AS833" s="639"/>
      <c r="AT833" s="639"/>
      <c r="AU833" s="639"/>
      <c r="AV833" s="639"/>
      <c r="AW833" s="639"/>
      <c r="AX833" s="639"/>
      <c r="AY833" s="639"/>
      <c r="AZ833" s="639"/>
      <c r="BA833" s="639"/>
      <c r="BB833" s="639"/>
      <c r="BC833" s="639"/>
      <c r="BD833" s="639"/>
      <c r="BE833" s="639"/>
      <c r="BF833" s="639"/>
      <c r="BG833" s="639"/>
      <c r="BH833" s="639"/>
      <c r="BI833" s="639"/>
      <c r="BJ833" s="639"/>
      <c r="BK833" s="639"/>
      <c r="BL833" s="639"/>
      <c r="BM833" s="639"/>
      <c r="BN833" s="639"/>
      <c r="BO833" s="639"/>
      <c r="BP833" s="639"/>
      <c r="BQ833" s="639"/>
      <c r="BR833" s="639"/>
      <c r="BS833" s="639"/>
      <c r="BT833" s="639"/>
      <c r="BU833" s="639"/>
      <c r="BV833" s="639"/>
      <c r="BW833" s="639"/>
      <c r="BX833" s="639"/>
    </row>
    <row r="834" spans="1:76" s="2983" customFormat="1" ht="49.5" customHeight="1">
      <c r="A834" s="2546" t="s">
        <v>3347</v>
      </c>
      <c r="B834" s="2918"/>
      <c r="C834" s="2546"/>
      <c r="D834" s="2546"/>
      <c r="E834" s="2546"/>
      <c r="F834" s="2546"/>
      <c r="G834" s="2546"/>
      <c r="H834" s="2546"/>
      <c r="I834" s="2515" t="s">
        <v>141</v>
      </c>
      <c r="J834" s="2918"/>
      <c r="K834" s="3210"/>
      <c r="L834" s="3194">
        <f>L835+L842+L847</f>
        <v>31986367520</v>
      </c>
      <c r="M834" s="3210"/>
      <c r="N834" s="3195">
        <f>N835+N842+N847</f>
        <v>4711549874</v>
      </c>
      <c r="O834" s="3210"/>
      <c r="P834" s="3195">
        <f>SUM(P835+P842+P847+P854)</f>
        <v>6420653414</v>
      </c>
      <c r="Q834" s="3210"/>
      <c r="R834" s="2916">
        <f>R835+R842+R847</f>
        <v>173385555</v>
      </c>
      <c r="S834" s="2918"/>
      <c r="T834" s="2916">
        <f>T835+T842+T847</f>
        <v>1035310110</v>
      </c>
      <c r="U834" s="2918"/>
      <c r="V834" s="2916">
        <f>V835+V842+V847</f>
        <v>1569535673</v>
      </c>
      <c r="W834" s="2918"/>
      <c r="X834" s="2918"/>
      <c r="Y834" s="3210"/>
      <c r="Z834" s="2916">
        <f t="shared" ref="Z834:Z853" si="253">R834+T834+V834+X834</f>
        <v>2778231338</v>
      </c>
      <c r="AA834" s="3210"/>
      <c r="AB834" s="2916">
        <f>AB835+AB842+AB847</f>
        <v>7489781212</v>
      </c>
      <c r="AC834" s="3210"/>
      <c r="AD834" s="3210"/>
      <c r="AE834" s="3211"/>
      <c r="AF834" s="642"/>
      <c r="AG834" s="642"/>
      <c r="AH834" s="642"/>
      <c r="AI834" s="642"/>
      <c r="AJ834" s="642"/>
      <c r="AK834" s="642"/>
      <c r="AL834" s="642"/>
      <c r="AM834" s="642"/>
      <c r="AN834" s="642"/>
      <c r="AO834" s="642"/>
      <c r="AP834" s="642"/>
      <c r="AQ834" s="642"/>
      <c r="AR834" s="642"/>
      <c r="AS834" s="642"/>
      <c r="AT834" s="642"/>
      <c r="AU834" s="642"/>
      <c r="AV834" s="642"/>
      <c r="AW834" s="642"/>
      <c r="AX834" s="642"/>
      <c r="AY834" s="642"/>
      <c r="AZ834" s="642"/>
      <c r="BA834" s="642"/>
      <c r="BB834" s="642"/>
      <c r="BC834" s="642"/>
      <c r="BD834" s="642"/>
      <c r="BE834" s="642"/>
      <c r="BF834" s="642"/>
      <c r="BG834" s="642"/>
      <c r="BH834" s="642"/>
      <c r="BI834" s="642"/>
      <c r="BJ834" s="642"/>
      <c r="BK834" s="642"/>
      <c r="BL834" s="642"/>
      <c r="BM834" s="642"/>
      <c r="BN834" s="642"/>
      <c r="BO834" s="642"/>
      <c r="BP834" s="642"/>
      <c r="BQ834" s="642"/>
      <c r="BR834" s="642"/>
      <c r="BS834" s="642"/>
      <c r="BT834" s="642"/>
      <c r="BU834" s="642"/>
      <c r="BV834" s="642"/>
      <c r="BW834" s="642"/>
      <c r="BX834" s="642"/>
    </row>
    <row r="835" spans="1:76" s="2548" customFormat="1" ht="48" customHeight="1">
      <c r="A835" s="2570">
        <v>1</v>
      </c>
      <c r="B835" s="2335"/>
      <c r="C835" s="2352">
        <v>1</v>
      </c>
      <c r="D835" s="2352" t="s">
        <v>65</v>
      </c>
      <c r="E835" s="2352" t="s">
        <v>93</v>
      </c>
      <c r="F835" s="2352" t="s">
        <v>66</v>
      </c>
      <c r="G835" s="2352" t="s">
        <v>363</v>
      </c>
      <c r="H835" s="2352"/>
      <c r="I835" s="2335" t="s">
        <v>3348</v>
      </c>
      <c r="J835" s="2335" t="s">
        <v>3349</v>
      </c>
      <c r="K835" s="2543">
        <v>80</v>
      </c>
      <c r="L835" s="2568">
        <f>SUM(L836+L839+L841)</f>
        <v>29954808546</v>
      </c>
      <c r="M835" s="2588">
        <v>72</v>
      </c>
      <c r="N835" s="2568">
        <f>SUM(N836+N839+N841)</f>
        <v>4156039874</v>
      </c>
      <c r="O835" s="2543">
        <v>2</v>
      </c>
      <c r="P835" s="2568">
        <f>SUM(P836:P841)</f>
        <v>5946936291</v>
      </c>
      <c r="Q835" s="2588">
        <v>0</v>
      </c>
      <c r="R835" s="2594">
        <f>R841</f>
        <v>128709132</v>
      </c>
      <c r="S835" s="2570">
        <v>1</v>
      </c>
      <c r="T835" s="2569">
        <f>SUM(T836:T841)</f>
        <v>957362188</v>
      </c>
      <c r="U835" s="2570"/>
      <c r="V835" s="2571">
        <f>SUM(V836:V841)</f>
        <v>1409070995</v>
      </c>
      <c r="W835" s="2570"/>
      <c r="X835" s="2570"/>
      <c r="Y835" s="2543">
        <f t="shared" ref="Y835:Y854" si="254">Q835+S835+U835+W835</f>
        <v>1</v>
      </c>
      <c r="Z835" s="2571">
        <f t="shared" si="253"/>
        <v>2495142315</v>
      </c>
      <c r="AA835" s="2543">
        <f t="shared" ref="AA835:AA841" si="255">M835+Y835</f>
        <v>73</v>
      </c>
      <c r="AB835" s="2571">
        <f t="shared" ref="AB835:AB841" si="256">N835+Z835</f>
        <v>6651182189</v>
      </c>
      <c r="AC835" s="2544">
        <f t="shared" ref="AC835:AC841" si="257">(AA835/K835)*100</f>
        <v>91.25</v>
      </c>
      <c r="AD835" s="2544">
        <f t="shared" ref="AD835:AD841" si="258">(AB835/L835)*100</f>
        <v>22.204055081127073</v>
      </c>
      <c r="AE835" s="3138" t="s">
        <v>694</v>
      </c>
      <c r="AF835" s="2765"/>
      <c r="AG835" s="639"/>
      <c r="AH835" s="639"/>
      <c r="AI835" s="639"/>
      <c r="AJ835" s="639"/>
      <c r="AK835" s="639"/>
      <c r="AL835" s="639"/>
      <c r="AM835" s="639"/>
      <c r="AN835" s="639"/>
      <c r="AO835" s="639"/>
      <c r="AP835" s="639"/>
      <c r="AQ835" s="639"/>
      <c r="AR835" s="639"/>
      <c r="AS835" s="639"/>
      <c r="AT835" s="639"/>
      <c r="AU835" s="639"/>
      <c r="AV835" s="639"/>
      <c r="AW835" s="639"/>
      <c r="AX835" s="639"/>
      <c r="AY835" s="639"/>
      <c r="AZ835" s="639"/>
      <c r="BA835" s="639"/>
      <c r="BB835" s="639"/>
      <c r="BC835" s="639"/>
      <c r="BD835" s="639"/>
      <c r="BE835" s="639"/>
      <c r="BF835" s="639"/>
      <c r="BG835" s="639"/>
      <c r="BH835" s="639"/>
      <c r="BI835" s="639"/>
      <c r="BJ835" s="639"/>
      <c r="BK835" s="639"/>
      <c r="BL835" s="639"/>
      <c r="BM835" s="639"/>
      <c r="BN835" s="639"/>
      <c r="BO835" s="639"/>
      <c r="BP835" s="639"/>
      <c r="BQ835" s="639"/>
      <c r="BR835" s="639"/>
      <c r="BS835" s="639"/>
      <c r="BT835" s="639"/>
      <c r="BU835" s="639"/>
      <c r="BV835" s="639"/>
      <c r="BW835" s="639"/>
      <c r="BX835" s="639"/>
    </row>
    <row r="836" spans="1:76" s="2548" customFormat="1" ht="25.5">
      <c r="A836" s="4253"/>
      <c r="B836" s="4255"/>
      <c r="C836" s="4252">
        <v>1</v>
      </c>
      <c r="D836" s="4252" t="s">
        <v>65</v>
      </c>
      <c r="E836" s="4252" t="s">
        <v>198</v>
      </c>
      <c r="F836" s="4252" t="s">
        <v>66</v>
      </c>
      <c r="G836" s="4252" t="s">
        <v>363</v>
      </c>
      <c r="H836" s="4252" t="s">
        <v>66</v>
      </c>
      <c r="I836" s="4302" t="s">
        <v>772</v>
      </c>
      <c r="J836" s="384" t="s">
        <v>773</v>
      </c>
      <c r="K836" s="3143">
        <v>2</v>
      </c>
      <c r="L836" s="3141">
        <v>7479580800</v>
      </c>
      <c r="M836" s="3144">
        <v>0</v>
      </c>
      <c r="N836" s="2416">
        <v>2656363524</v>
      </c>
      <c r="O836" s="3143">
        <v>2</v>
      </c>
      <c r="P836" s="3141">
        <v>1461000000</v>
      </c>
      <c r="Q836" s="3144">
        <v>0</v>
      </c>
      <c r="R836" s="386"/>
      <c r="S836" s="385"/>
      <c r="T836" s="386">
        <v>556035655</v>
      </c>
      <c r="U836" s="3434">
        <v>1</v>
      </c>
      <c r="V836" s="3623">
        <v>772230345</v>
      </c>
      <c r="W836" s="385"/>
      <c r="X836" s="385"/>
      <c r="Y836" s="3143">
        <f t="shared" si="254"/>
        <v>1</v>
      </c>
      <c r="Z836" s="597">
        <f t="shared" si="253"/>
        <v>1328266000</v>
      </c>
      <c r="AA836" s="3143">
        <f t="shared" si="255"/>
        <v>1</v>
      </c>
      <c r="AB836" s="597">
        <f t="shared" si="256"/>
        <v>3984629524</v>
      </c>
      <c r="AC836" s="3142">
        <f t="shared" si="257"/>
        <v>50</v>
      </c>
      <c r="AD836" s="3142">
        <f t="shared" si="258"/>
        <v>53.273433773186859</v>
      </c>
      <c r="AE836" s="390"/>
      <c r="AF836" s="639"/>
      <c r="AG836" s="639"/>
      <c r="AH836" s="639"/>
      <c r="AI836" s="639"/>
      <c r="AJ836" s="639"/>
      <c r="AK836" s="639"/>
      <c r="AL836" s="639"/>
      <c r="AM836" s="639"/>
      <c r="AN836" s="639"/>
      <c r="AO836" s="639"/>
      <c r="AP836" s="639"/>
      <c r="AQ836" s="639"/>
      <c r="AR836" s="639"/>
      <c r="AS836" s="639"/>
      <c r="AT836" s="639"/>
      <c r="AU836" s="639"/>
      <c r="AV836" s="639"/>
      <c r="AW836" s="639"/>
      <c r="AX836" s="639"/>
      <c r="AY836" s="639"/>
      <c r="AZ836" s="639"/>
      <c r="BA836" s="639"/>
      <c r="BB836" s="639"/>
      <c r="BC836" s="639"/>
      <c r="BD836" s="639"/>
      <c r="BE836" s="639"/>
      <c r="BF836" s="639"/>
      <c r="BG836" s="639"/>
      <c r="BH836" s="639"/>
      <c r="BI836" s="639"/>
      <c r="BJ836" s="639"/>
      <c r="BK836" s="639"/>
      <c r="BL836" s="639"/>
      <c r="BM836" s="639"/>
      <c r="BN836" s="639"/>
      <c r="BO836" s="639"/>
      <c r="BP836" s="639"/>
      <c r="BQ836" s="639"/>
      <c r="BR836" s="639"/>
      <c r="BS836" s="639"/>
      <c r="BT836" s="639"/>
      <c r="BU836" s="639"/>
      <c r="BV836" s="639"/>
      <c r="BW836" s="639"/>
      <c r="BX836" s="639"/>
    </row>
    <row r="837" spans="1:76" s="2548" customFormat="1">
      <c r="A837" s="4253"/>
      <c r="B837" s="4255"/>
      <c r="C837" s="4252"/>
      <c r="D837" s="4252"/>
      <c r="E837" s="4252"/>
      <c r="F837" s="4252"/>
      <c r="G837" s="4252"/>
      <c r="H837" s="4252"/>
      <c r="I837" s="4302"/>
      <c r="J837" s="384" t="s">
        <v>774</v>
      </c>
      <c r="K837" s="3143">
        <v>15</v>
      </c>
      <c r="L837" s="3141"/>
      <c r="M837" s="3144">
        <v>0</v>
      </c>
      <c r="N837" s="2416"/>
      <c r="O837" s="3143">
        <v>15</v>
      </c>
      <c r="P837" s="3141"/>
      <c r="Q837" s="3144">
        <v>15</v>
      </c>
      <c r="R837" s="386"/>
      <c r="S837" s="385"/>
      <c r="T837" s="386"/>
      <c r="U837" s="3434">
        <v>15</v>
      </c>
      <c r="V837" s="3434"/>
      <c r="W837" s="385"/>
      <c r="X837" s="385"/>
      <c r="Y837" s="3143">
        <f t="shared" si="254"/>
        <v>30</v>
      </c>
      <c r="Z837" s="597">
        <f t="shared" si="253"/>
        <v>0</v>
      </c>
      <c r="AA837" s="3143">
        <f t="shared" si="255"/>
        <v>30</v>
      </c>
      <c r="AB837" s="597">
        <f t="shared" si="256"/>
        <v>0</v>
      </c>
      <c r="AC837" s="3142">
        <f t="shared" si="257"/>
        <v>200</v>
      </c>
      <c r="AD837" s="3142"/>
      <c r="AE837" s="390"/>
      <c r="AF837" s="639"/>
      <c r="AG837" s="639"/>
      <c r="AH837" s="639"/>
      <c r="AI837" s="639"/>
      <c r="AJ837" s="639"/>
      <c r="AK837" s="639"/>
      <c r="AL837" s="639"/>
      <c r="AM837" s="639"/>
      <c r="AN837" s="639"/>
      <c r="AO837" s="639"/>
      <c r="AP837" s="639"/>
      <c r="AQ837" s="639"/>
      <c r="AR837" s="639"/>
      <c r="AS837" s="639"/>
      <c r="AT837" s="639"/>
      <c r="AU837" s="639"/>
      <c r="AV837" s="639"/>
      <c r="AW837" s="639"/>
      <c r="AX837" s="639"/>
      <c r="AY837" s="639"/>
      <c r="AZ837" s="639"/>
      <c r="BA837" s="639"/>
      <c r="BB837" s="639"/>
      <c r="BC837" s="639"/>
      <c r="BD837" s="639"/>
      <c r="BE837" s="639"/>
      <c r="BF837" s="639"/>
      <c r="BG837" s="639"/>
      <c r="BH837" s="639"/>
      <c r="BI837" s="639"/>
      <c r="BJ837" s="639"/>
      <c r="BK837" s="639"/>
      <c r="BL837" s="639"/>
      <c r="BM837" s="639"/>
      <c r="BN837" s="639"/>
      <c r="BO837" s="639"/>
      <c r="BP837" s="639"/>
      <c r="BQ837" s="639"/>
      <c r="BR837" s="639"/>
      <c r="BS837" s="639"/>
      <c r="BT837" s="639"/>
      <c r="BU837" s="639"/>
      <c r="BV837" s="639"/>
      <c r="BW837" s="639"/>
      <c r="BX837" s="639"/>
    </row>
    <row r="838" spans="1:76" s="2548" customFormat="1" ht="25.5">
      <c r="A838" s="4253"/>
      <c r="B838" s="4255"/>
      <c r="C838" s="4252"/>
      <c r="D838" s="4252"/>
      <c r="E838" s="4252"/>
      <c r="F838" s="4252"/>
      <c r="G838" s="4252"/>
      <c r="H838" s="4252"/>
      <c r="I838" s="4302"/>
      <c r="J838" s="384" t="s">
        <v>775</v>
      </c>
      <c r="K838" s="3143">
        <v>26</v>
      </c>
      <c r="L838" s="3141"/>
      <c r="M838" s="3144">
        <v>0</v>
      </c>
      <c r="N838" s="2416"/>
      <c r="O838" s="3143">
        <v>26</v>
      </c>
      <c r="P838" s="3141"/>
      <c r="Q838" s="3144">
        <v>26</v>
      </c>
      <c r="R838" s="386"/>
      <c r="S838" s="385"/>
      <c r="T838" s="386"/>
      <c r="U838" s="3434">
        <v>26</v>
      </c>
      <c r="V838" s="3434"/>
      <c r="W838" s="385"/>
      <c r="X838" s="385"/>
      <c r="Y838" s="3143">
        <f t="shared" si="254"/>
        <v>52</v>
      </c>
      <c r="Z838" s="597">
        <f t="shared" si="253"/>
        <v>0</v>
      </c>
      <c r="AA838" s="3143">
        <f t="shared" si="255"/>
        <v>52</v>
      </c>
      <c r="AB838" s="597">
        <f t="shared" si="256"/>
        <v>0</v>
      </c>
      <c r="AC838" s="3142">
        <f t="shared" si="257"/>
        <v>200</v>
      </c>
      <c r="AD838" s="3142"/>
      <c r="AE838" s="390"/>
      <c r="AF838" s="639"/>
      <c r="AG838" s="639"/>
      <c r="AH838" s="639"/>
      <c r="AI838" s="639"/>
      <c r="AJ838" s="639"/>
      <c r="AK838" s="639"/>
      <c r="AL838" s="639"/>
      <c r="AM838" s="639"/>
      <c r="AN838" s="639"/>
      <c r="AO838" s="639"/>
      <c r="AP838" s="639"/>
      <c r="AQ838" s="639"/>
      <c r="AR838" s="639"/>
      <c r="AS838" s="639"/>
      <c r="AT838" s="639"/>
      <c r="AU838" s="639"/>
      <c r="AV838" s="639"/>
      <c r="AW838" s="639"/>
      <c r="AX838" s="639"/>
      <c r="AY838" s="639"/>
      <c r="AZ838" s="639"/>
      <c r="BA838" s="639"/>
      <c r="BB838" s="639"/>
      <c r="BC838" s="639"/>
      <c r="BD838" s="639"/>
      <c r="BE838" s="639"/>
      <c r="BF838" s="639"/>
      <c r="BG838" s="639"/>
      <c r="BH838" s="639"/>
      <c r="BI838" s="639"/>
      <c r="BJ838" s="639"/>
      <c r="BK838" s="639"/>
      <c r="BL838" s="639"/>
      <c r="BM838" s="639"/>
      <c r="BN838" s="639"/>
      <c r="BO838" s="639"/>
      <c r="BP838" s="639"/>
      <c r="BQ838" s="639"/>
      <c r="BR838" s="639"/>
      <c r="BS838" s="639"/>
      <c r="BT838" s="639"/>
      <c r="BU838" s="639"/>
      <c r="BV838" s="639"/>
      <c r="BW838" s="639"/>
      <c r="BX838" s="639"/>
    </row>
    <row r="839" spans="1:76" s="2548" customFormat="1" ht="25.5">
      <c r="A839" s="4253"/>
      <c r="B839" s="4255"/>
      <c r="C839" s="4252">
        <v>1</v>
      </c>
      <c r="D839" s="4252" t="s">
        <v>65</v>
      </c>
      <c r="E839" s="4252" t="s">
        <v>198</v>
      </c>
      <c r="F839" s="4252" t="s">
        <v>66</v>
      </c>
      <c r="G839" s="4252" t="s">
        <v>363</v>
      </c>
      <c r="H839" s="4252" t="s">
        <v>65</v>
      </c>
      <c r="I839" s="4302" t="s">
        <v>776</v>
      </c>
      <c r="J839" s="384" t="s">
        <v>777</v>
      </c>
      <c r="K839" s="3143">
        <v>8</v>
      </c>
      <c r="L839" s="3141">
        <f>6*P839</f>
        <v>273277746</v>
      </c>
      <c r="M839" s="3144">
        <v>0</v>
      </c>
      <c r="N839" s="2416"/>
      <c r="O839" s="3143">
        <v>8</v>
      </c>
      <c r="P839" s="3141">
        <v>45546291</v>
      </c>
      <c r="Q839" s="3144">
        <v>6</v>
      </c>
      <c r="R839" s="386"/>
      <c r="S839" s="385">
        <v>6</v>
      </c>
      <c r="T839" s="386">
        <v>12437591</v>
      </c>
      <c r="U839" s="3434">
        <v>2</v>
      </c>
      <c r="V839" s="3620">
        <v>21163700</v>
      </c>
      <c r="W839" s="385"/>
      <c r="X839" s="385"/>
      <c r="Y839" s="3143">
        <f t="shared" si="254"/>
        <v>14</v>
      </c>
      <c r="Z839" s="597">
        <f t="shared" si="253"/>
        <v>33601291</v>
      </c>
      <c r="AA839" s="3143">
        <f t="shared" si="255"/>
        <v>14</v>
      </c>
      <c r="AB839" s="597">
        <f t="shared" si="256"/>
        <v>33601291</v>
      </c>
      <c r="AC839" s="3142">
        <f t="shared" si="257"/>
        <v>175</v>
      </c>
      <c r="AD839" s="3142">
        <f t="shared" si="258"/>
        <v>12.295655790427954</v>
      </c>
      <c r="AE839" s="390"/>
      <c r="AF839" s="639"/>
      <c r="AG839" s="639"/>
      <c r="AH839" s="639"/>
      <c r="AI839" s="639"/>
      <c r="AJ839" s="639"/>
      <c r="AK839" s="639"/>
      <c r="AL839" s="639"/>
      <c r="AM839" s="639"/>
      <c r="AN839" s="639"/>
      <c r="AO839" s="639"/>
      <c r="AP839" s="639"/>
      <c r="AQ839" s="639"/>
      <c r="AR839" s="639"/>
      <c r="AS839" s="639"/>
      <c r="AT839" s="639"/>
      <c r="AU839" s="639"/>
      <c r="AV839" s="639"/>
      <c r="AW839" s="639"/>
      <c r="AX839" s="639"/>
      <c r="AY839" s="639"/>
      <c r="AZ839" s="639"/>
      <c r="BA839" s="639"/>
      <c r="BB839" s="639"/>
      <c r="BC839" s="639"/>
      <c r="BD839" s="639"/>
      <c r="BE839" s="639"/>
      <c r="BF839" s="639"/>
      <c r="BG839" s="639"/>
      <c r="BH839" s="639"/>
      <c r="BI839" s="639"/>
      <c r="BJ839" s="639"/>
      <c r="BK839" s="639"/>
      <c r="BL839" s="639"/>
      <c r="BM839" s="639"/>
      <c r="BN839" s="639"/>
      <c r="BO839" s="639"/>
      <c r="BP839" s="639"/>
      <c r="BQ839" s="639"/>
      <c r="BR839" s="639"/>
      <c r="BS839" s="639"/>
      <c r="BT839" s="639"/>
      <c r="BU839" s="639"/>
      <c r="BV839" s="639"/>
      <c r="BW839" s="639"/>
      <c r="BX839" s="639"/>
    </row>
    <row r="840" spans="1:76" s="2548" customFormat="1" ht="35.25" customHeight="1">
      <c r="A840" s="4253"/>
      <c r="B840" s="4255"/>
      <c r="C840" s="4252"/>
      <c r="D840" s="4252"/>
      <c r="E840" s="4252"/>
      <c r="F840" s="4252"/>
      <c r="G840" s="4252"/>
      <c r="H840" s="4252"/>
      <c r="I840" s="4302"/>
      <c r="J840" s="384" t="s">
        <v>778</v>
      </c>
      <c r="K840" s="3143">
        <v>5</v>
      </c>
      <c r="L840" s="3141"/>
      <c r="M840" s="3144">
        <v>0</v>
      </c>
      <c r="N840" s="2416"/>
      <c r="O840" s="3143">
        <v>5</v>
      </c>
      <c r="P840" s="3141"/>
      <c r="Q840" s="3144">
        <v>3</v>
      </c>
      <c r="R840" s="386"/>
      <c r="S840" s="385"/>
      <c r="T840" s="385"/>
      <c r="U840" s="3434">
        <v>2</v>
      </c>
      <c r="V840" s="3434"/>
      <c r="W840" s="385"/>
      <c r="X840" s="385"/>
      <c r="Y840" s="3143">
        <f t="shared" si="254"/>
        <v>5</v>
      </c>
      <c r="Z840" s="597">
        <f t="shared" si="253"/>
        <v>0</v>
      </c>
      <c r="AA840" s="3143">
        <f t="shared" si="255"/>
        <v>5</v>
      </c>
      <c r="AB840" s="597">
        <f t="shared" si="256"/>
        <v>0</v>
      </c>
      <c r="AC840" s="3142">
        <f t="shared" si="257"/>
        <v>100</v>
      </c>
      <c r="AD840" s="3142"/>
      <c r="AE840" s="390"/>
      <c r="AF840" s="639"/>
      <c r="AG840" s="639"/>
      <c r="AH840" s="639"/>
      <c r="AI840" s="639"/>
      <c r="AJ840" s="639"/>
      <c r="AK840" s="639"/>
      <c r="AL840" s="639"/>
      <c r="AM840" s="639"/>
      <c r="AN840" s="639"/>
      <c r="AO840" s="639"/>
      <c r="AP840" s="639"/>
      <c r="AQ840" s="639"/>
      <c r="AR840" s="639"/>
      <c r="AS840" s="639"/>
      <c r="AT840" s="639"/>
      <c r="AU840" s="639"/>
      <c r="AV840" s="639"/>
      <c r="AW840" s="639"/>
      <c r="AX840" s="639"/>
      <c r="AY840" s="639"/>
      <c r="AZ840" s="639"/>
      <c r="BA840" s="639"/>
      <c r="BB840" s="639"/>
      <c r="BC840" s="639"/>
      <c r="BD840" s="639"/>
      <c r="BE840" s="639"/>
      <c r="BF840" s="639"/>
      <c r="BG840" s="639"/>
      <c r="BH840" s="639"/>
      <c r="BI840" s="639"/>
      <c r="BJ840" s="639"/>
      <c r="BK840" s="639"/>
      <c r="BL840" s="639"/>
      <c r="BM840" s="639"/>
      <c r="BN840" s="639"/>
      <c r="BO840" s="639"/>
      <c r="BP840" s="639"/>
      <c r="BQ840" s="639"/>
      <c r="BR840" s="639"/>
      <c r="BS840" s="639"/>
      <c r="BT840" s="639"/>
      <c r="BU840" s="639"/>
      <c r="BV840" s="639"/>
      <c r="BW840" s="639"/>
      <c r="BX840" s="639"/>
    </row>
    <row r="841" spans="1:76" s="2548" customFormat="1" ht="38.25">
      <c r="A841" s="3134"/>
      <c r="B841" s="390"/>
      <c r="C841" s="3792">
        <v>1</v>
      </c>
      <c r="D841" s="3792" t="s">
        <v>65</v>
      </c>
      <c r="E841" s="3792" t="s">
        <v>198</v>
      </c>
      <c r="F841" s="3792" t="s">
        <v>66</v>
      </c>
      <c r="G841" s="3792" t="s">
        <v>363</v>
      </c>
      <c r="H841" s="3792" t="s">
        <v>196</v>
      </c>
      <c r="I841" s="3140" t="s">
        <v>779</v>
      </c>
      <c r="J841" s="384" t="s">
        <v>3350</v>
      </c>
      <c r="K841" s="3143">
        <v>72</v>
      </c>
      <c r="L841" s="3141">
        <v>22201950000</v>
      </c>
      <c r="M841" s="3144">
        <v>24</v>
      </c>
      <c r="N841" s="2416">
        <v>1499676350</v>
      </c>
      <c r="O841" s="3143">
        <v>12</v>
      </c>
      <c r="P841" s="3141">
        <v>4440390000</v>
      </c>
      <c r="Q841" s="3144">
        <v>30</v>
      </c>
      <c r="R841" s="386">
        <v>128709132</v>
      </c>
      <c r="S841" s="385">
        <v>30</v>
      </c>
      <c r="T841" s="386">
        <v>388888942</v>
      </c>
      <c r="U841" s="3434">
        <v>3</v>
      </c>
      <c r="V841" s="3434">
        <v>615676950</v>
      </c>
      <c r="W841" s="385"/>
      <c r="X841" s="385">
        <v>0</v>
      </c>
      <c r="Y841" s="3143">
        <f t="shared" si="254"/>
        <v>63</v>
      </c>
      <c r="Z841" s="597">
        <f t="shared" si="253"/>
        <v>1133275024</v>
      </c>
      <c r="AA841" s="3143">
        <f t="shared" si="255"/>
        <v>87</v>
      </c>
      <c r="AB841" s="597">
        <f t="shared" si="256"/>
        <v>2632951374</v>
      </c>
      <c r="AC841" s="3142">
        <f t="shared" si="257"/>
        <v>120.83333333333333</v>
      </c>
      <c r="AD841" s="3142">
        <f t="shared" si="258"/>
        <v>11.859099646652659</v>
      </c>
      <c r="AE841" s="390"/>
      <c r="AF841" s="639"/>
      <c r="AG841" s="639"/>
      <c r="AH841" s="639"/>
      <c r="AI841" s="639"/>
      <c r="AJ841" s="639"/>
      <c r="AK841" s="639"/>
      <c r="AL841" s="639"/>
      <c r="AM841" s="639"/>
      <c r="AN841" s="639"/>
      <c r="AO841" s="639"/>
      <c r="AP841" s="639"/>
      <c r="AQ841" s="639"/>
      <c r="AR841" s="639"/>
      <c r="AS841" s="639"/>
      <c r="AT841" s="639"/>
      <c r="AU841" s="639"/>
      <c r="AV841" s="639"/>
      <c r="AW841" s="639"/>
      <c r="AX841" s="639"/>
      <c r="AY841" s="639"/>
      <c r="AZ841" s="639"/>
      <c r="BA841" s="639"/>
      <c r="BB841" s="639"/>
      <c r="BC841" s="639"/>
      <c r="BD841" s="639"/>
      <c r="BE841" s="639"/>
      <c r="BF841" s="639"/>
      <c r="BG841" s="639"/>
      <c r="BH841" s="639"/>
      <c r="BI841" s="639"/>
      <c r="BJ841" s="639"/>
      <c r="BK841" s="639"/>
      <c r="BL841" s="639"/>
      <c r="BM841" s="639"/>
      <c r="BN841" s="639"/>
      <c r="BO841" s="639"/>
      <c r="BP841" s="639"/>
      <c r="BQ841" s="639"/>
      <c r="BR841" s="639"/>
      <c r="BS841" s="639"/>
      <c r="BT841" s="639"/>
      <c r="BU841" s="639"/>
      <c r="BV841" s="639"/>
      <c r="BW841" s="639"/>
      <c r="BX841" s="639"/>
    </row>
    <row r="842" spans="1:76" s="2548" customFormat="1" ht="54.75" customHeight="1">
      <c r="A842" s="2570">
        <v>2</v>
      </c>
      <c r="B842" s="2335"/>
      <c r="C842" s="2352">
        <v>1</v>
      </c>
      <c r="D842" s="2352" t="s">
        <v>65</v>
      </c>
      <c r="E842" s="2352" t="s">
        <v>198</v>
      </c>
      <c r="F842" s="2352" t="s">
        <v>66</v>
      </c>
      <c r="G842" s="2352" t="s">
        <v>368</v>
      </c>
      <c r="H842" s="2352"/>
      <c r="I842" s="2335" t="s">
        <v>784</v>
      </c>
      <c r="J842" s="2335" t="s">
        <v>3351</v>
      </c>
      <c r="K842" s="2543">
        <v>10</v>
      </c>
      <c r="L842" s="2568">
        <f>L843</f>
        <v>150483974</v>
      </c>
      <c r="M842" s="2588">
        <v>5</v>
      </c>
      <c r="N842" s="2589">
        <f>N843</f>
        <v>0</v>
      </c>
      <c r="O842" s="2543">
        <v>5</v>
      </c>
      <c r="P842" s="2568">
        <f>P843</f>
        <v>234161150</v>
      </c>
      <c r="Q842" s="2588">
        <v>0</v>
      </c>
      <c r="R842" s="2594">
        <f>R843</f>
        <v>0</v>
      </c>
      <c r="S842" s="2570"/>
      <c r="T842" s="2569">
        <f>SUM(T843)</f>
        <v>55597322</v>
      </c>
      <c r="U842" s="2570"/>
      <c r="V842" s="2571">
        <f>V843</f>
        <v>104103500</v>
      </c>
      <c r="W842" s="2570"/>
      <c r="X842" s="2570"/>
      <c r="Y842" s="2543">
        <f t="shared" si="254"/>
        <v>0</v>
      </c>
      <c r="Z842" s="2571">
        <f t="shared" si="253"/>
        <v>159700822</v>
      </c>
      <c r="AA842" s="2543">
        <f t="shared" ref="AA842:AB846" si="259">M842+Y842</f>
        <v>5</v>
      </c>
      <c r="AB842" s="2571">
        <f t="shared" si="259"/>
        <v>159700822</v>
      </c>
      <c r="AC842" s="2544">
        <f>(AA842/K842)*100</f>
        <v>50</v>
      </c>
      <c r="AD842" s="2544">
        <f>(AB842/L842)*100</f>
        <v>106.12480369504328</v>
      </c>
      <c r="AE842" s="3138" t="s">
        <v>694</v>
      </c>
      <c r="AF842" s="639"/>
      <c r="AG842" s="639"/>
      <c r="AH842" s="639"/>
      <c r="AI842" s="639"/>
      <c r="AJ842" s="639"/>
      <c r="AK842" s="639"/>
      <c r="AL842" s="639"/>
      <c r="AM842" s="639"/>
      <c r="AN842" s="639"/>
      <c r="AO842" s="639"/>
      <c r="AP842" s="639"/>
      <c r="AQ842" s="639"/>
      <c r="AR842" s="639"/>
      <c r="AS842" s="639"/>
      <c r="AT842" s="639"/>
      <c r="AU842" s="639"/>
      <c r="AV842" s="639"/>
      <c r="AW842" s="639"/>
      <c r="AX842" s="639"/>
      <c r="AY842" s="639"/>
      <c r="AZ842" s="639"/>
      <c r="BA842" s="639"/>
      <c r="BB842" s="639"/>
      <c r="BC842" s="639"/>
      <c r="BD842" s="639"/>
      <c r="BE842" s="639"/>
      <c r="BF842" s="639"/>
      <c r="BG842" s="639"/>
      <c r="BH842" s="639"/>
      <c r="BI842" s="639"/>
      <c r="BJ842" s="639"/>
      <c r="BK842" s="639"/>
      <c r="BL842" s="639"/>
      <c r="BM842" s="639"/>
      <c r="BN842" s="639"/>
      <c r="BO842" s="639"/>
      <c r="BP842" s="639"/>
      <c r="BQ842" s="639"/>
      <c r="BR842" s="639"/>
      <c r="BS842" s="639"/>
      <c r="BT842" s="639"/>
      <c r="BU842" s="639"/>
      <c r="BV842" s="639"/>
      <c r="BW842" s="639"/>
      <c r="BX842" s="639"/>
    </row>
    <row r="843" spans="1:76" s="2548" customFormat="1" ht="28.5" customHeight="1">
      <c r="A843" s="4253"/>
      <c r="B843" s="4255"/>
      <c r="C843" s="4252">
        <v>1</v>
      </c>
      <c r="D843" s="4252" t="s">
        <v>65</v>
      </c>
      <c r="E843" s="4252" t="s">
        <v>198</v>
      </c>
      <c r="F843" s="4252" t="s">
        <v>66</v>
      </c>
      <c r="G843" s="4252" t="s">
        <v>368</v>
      </c>
      <c r="H843" s="4252" t="s">
        <v>65</v>
      </c>
      <c r="I843" s="4302" t="s">
        <v>785</v>
      </c>
      <c r="J843" s="384" t="s">
        <v>786</v>
      </c>
      <c r="K843" s="3143">
        <v>6</v>
      </c>
      <c r="L843" s="3141">
        <v>150483974</v>
      </c>
      <c r="M843" s="3144">
        <v>2</v>
      </c>
      <c r="N843" s="2416">
        <v>0</v>
      </c>
      <c r="O843" s="3143">
        <v>1</v>
      </c>
      <c r="P843" s="3141">
        <v>234161150</v>
      </c>
      <c r="Q843" s="3144">
        <v>0</v>
      </c>
      <c r="R843" s="386">
        <v>0</v>
      </c>
      <c r="S843" s="385"/>
      <c r="T843" s="386">
        <v>55597322</v>
      </c>
      <c r="U843" s="385"/>
      <c r="V843" s="3434">
        <v>104103500</v>
      </c>
      <c r="W843" s="385"/>
      <c r="X843" s="385"/>
      <c r="Y843" s="3143">
        <f t="shared" si="254"/>
        <v>0</v>
      </c>
      <c r="Z843" s="597">
        <f t="shared" si="253"/>
        <v>159700822</v>
      </c>
      <c r="AA843" s="3143">
        <f t="shared" si="259"/>
        <v>2</v>
      </c>
      <c r="AB843" s="597">
        <f t="shared" si="259"/>
        <v>159700822</v>
      </c>
      <c r="AC843" s="3142">
        <f>(AA843/K843)*100</f>
        <v>33.333333333333329</v>
      </c>
      <c r="AD843" s="3142">
        <f>(AB843/L843)*100</f>
        <v>106.12480369504328</v>
      </c>
      <c r="AE843" s="390"/>
      <c r="AF843" s="639"/>
      <c r="AG843" s="639"/>
      <c r="AH843" s="639"/>
      <c r="AI843" s="639"/>
      <c r="AJ843" s="639"/>
      <c r="AK843" s="639"/>
      <c r="AL843" s="639"/>
      <c r="AM843" s="639"/>
      <c r="AN843" s="639"/>
      <c r="AO843" s="639"/>
      <c r="AP843" s="639"/>
      <c r="AQ843" s="639"/>
      <c r="AR843" s="639"/>
      <c r="AS843" s="639"/>
      <c r="AT843" s="639"/>
      <c r="AU843" s="639"/>
      <c r="AV843" s="639"/>
      <c r="AW843" s="639"/>
      <c r="AX843" s="639"/>
      <c r="AY843" s="639"/>
      <c r="AZ843" s="639"/>
      <c r="BA843" s="639"/>
      <c r="BB843" s="639"/>
      <c r="BC843" s="639"/>
      <c r="BD843" s="639"/>
      <c r="BE843" s="639"/>
      <c r="BF843" s="639"/>
      <c r="BG843" s="639"/>
      <c r="BH843" s="639"/>
      <c r="BI843" s="639"/>
      <c r="BJ843" s="639"/>
      <c r="BK843" s="639"/>
      <c r="BL843" s="639"/>
      <c r="BM843" s="639"/>
      <c r="BN843" s="639"/>
      <c r="BO843" s="639"/>
      <c r="BP843" s="639"/>
      <c r="BQ843" s="639"/>
      <c r="BR843" s="639"/>
      <c r="BS843" s="639"/>
      <c r="BT843" s="639"/>
      <c r="BU843" s="639"/>
      <c r="BV843" s="639"/>
      <c r="BW843" s="639"/>
      <c r="BX843" s="639"/>
    </row>
    <row r="844" spans="1:76" s="639" customFormat="1" ht="28.5" customHeight="1">
      <c r="A844" s="4253"/>
      <c r="B844" s="4255"/>
      <c r="C844" s="4252"/>
      <c r="D844" s="4252"/>
      <c r="E844" s="4252"/>
      <c r="F844" s="4252"/>
      <c r="G844" s="4252"/>
      <c r="H844" s="4252"/>
      <c r="I844" s="4302"/>
      <c r="J844" s="384" t="s">
        <v>787</v>
      </c>
      <c r="K844" s="3143">
        <v>6</v>
      </c>
      <c r="L844" s="3141"/>
      <c r="M844" s="3144">
        <v>2</v>
      </c>
      <c r="N844" s="2416"/>
      <c r="O844" s="3143">
        <v>1</v>
      </c>
      <c r="P844" s="3141"/>
      <c r="Q844" s="3144">
        <v>0</v>
      </c>
      <c r="R844" s="386"/>
      <c r="S844" s="385"/>
      <c r="T844" s="385"/>
      <c r="U844" s="385"/>
      <c r="V844" s="597"/>
      <c r="W844" s="385"/>
      <c r="X844" s="385"/>
      <c r="Y844" s="3143">
        <f t="shared" si="254"/>
        <v>0</v>
      </c>
      <c r="Z844" s="597">
        <f t="shared" si="253"/>
        <v>0</v>
      </c>
      <c r="AA844" s="3143">
        <f t="shared" si="259"/>
        <v>2</v>
      </c>
      <c r="AB844" s="597">
        <f t="shared" si="259"/>
        <v>0</v>
      </c>
      <c r="AC844" s="3142">
        <f>(AA844/K844)*100</f>
        <v>33.333333333333329</v>
      </c>
      <c r="AD844" s="3142"/>
      <c r="AE844" s="390"/>
    </row>
    <row r="845" spans="1:76" s="2548" customFormat="1" ht="30" customHeight="1">
      <c r="A845" s="4253"/>
      <c r="B845" s="4255"/>
      <c r="C845" s="4252"/>
      <c r="D845" s="4252"/>
      <c r="E845" s="4252"/>
      <c r="F845" s="4252"/>
      <c r="G845" s="4252"/>
      <c r="H845" s="4252"/>
      <c r="I845" s="4302"/>
      <c r="J845" s="384" t="s">
        <v>788</v>
      </c>
      <c r="K845" s="3143">
        <v>6</v>
      </c>
      <c r="L845" s="3141"/>
      <c r="M845" s="3144">
        <v>2</v>
      </c>
      <c r="N845" s="2416"/>
      <c r="O845" s="3143">
        <v>1</v>
      </c>
      <c r="P845" s="3141"/>
      <c r="Q845" s="3144">
        <v>0</v>
      </c>
      <c r="R845" s="386"/>
      <c r="S845" s="385"/>
      <c r="T845" s="385"/>
      <c r="U845" s="385"/>
      <c r="V845" s="597"/>
      <c r="W845" s="385"/>
      <c r="X845" s="385"/>
      <c r="Y845" s="3143">
        <f t="shared" si="254"/>
        <v>0</v>
      </c>
      <c r="Z845" s="597">
        <f t="shared" si="253"/>
        <v>0</v>
      </c>
      <c r="AA845" s="3143">
        <f t="shared" si="259"/>
        <v>2</v>
      </c>
      <c r="AB845" s="597">
        <f t="shared" si="259"/>
        <v>0</v>
      </c>
      <c r="AC845" s="3142">
        <f>(AA845/K845)*100</f>
        <v>33.333333333333329</v>
      </c>
      <c r="AD845" s="3142"/>
      <c r="AE845" s="390"/>
      <c r="AF845" s="639"/>
      <c r="AG845" s="639"/>
      <c r="AH845" s="639"/>
      <c r="AI845" s="639"/>
      <c r="AJ845" s="639"/>
      <c r="AK845" s="639"/>
      <c r="AL845" s="639"/>
      <c r="AM845" s="639"/>
      <c r="AN845" s="639"/>
      <c r="AO845" s="639"/>
      <c r="AP845" s="639"/>
      <c r="AQ845" s="639"/>
      <c r="AR845" s="639"/>
      <c r="AS845" s="639"/>
      <c r="AT845" s="639"/>
      <c r="AU845" s="639"/>
      <c r="AV845" s="639"/>
      <c r="AW845" s="639"/>
      <c r="AX845" s="639"/>
      <c r="AY845" s="639"/>
      <c r="AZ845" s="639"/>
      <c r="BA845" s="639"/>
      <c r="BB845" s="639"/>
      <c r="BC845" s="639"/>
      <c r="BD845" s="639"/>
      <c r="BE845" s="639"/>
      <c r="BF845" s="639"/>
      <c r="BG845" s="639"/>
      <c r="BH845" s="639"/>
      <c r="BI845" s="639"/>
      <c r="BJ845" s="639"/>
      <c r="BK845" s="639"/>
      <c r="BL845" s="639"/>
      <c r="BM845" s="639"/>
      <c r="BN845" s="639"/>
      <c r="BO845" s="639"/>
      <c r="BP845" s="639"/>
      <c r="BQ845" s="639"/>
      <c r="BR845" s="639"/>
      <c r="BS845" s="639"/>
      <c r="BT845" s="639"/>
      <c r="BU845" s="639"/>
      <c r="BV845" s="639"/>
      <c r="BW845" s="639"/>
      <c r="BX845" s="639"/>
    </row>
    <row r="846" spans="1:76" s="639" customFormat="1" ht="25.5">
      <c r="A846" s="4253"/>
      <c r="B846" s="4255"/>
      <c r="C846" s="4252"/>
      <c r="D846" s="4252"/>
      <c r="E846" s="4252"/>
      <c r="F846" s="4252"/>
      <c r="G846" s="4252"/>
      <c r="H846" s="4252"/>
      <c r="I846" s="4302"/>
      <c r="J846" s="384" t="s">
        <v>789</v>
      </c>
      <c r="K846" s="3143">
        <v>6</v>
      </c>
      <c r="L846" s="3141"/>
      <c r="M846" s="3144">
        <v>2</v>
      </c>
      <c r="N846" s="2416"/>
      <c r="O846" s="3143">
        <v>1</v>
      </c>
      <c r="P846" s="3141"/>
      <c r="Q846" s="3144">
        <v>0</v>
      </c>
      <c r="R846" s="386"/>
      <c r="S846" s="385">
        <v>4</v>
      </c>
      <c r="T846" s="385"/>
      <c r="U846" s="385"/>
      <c r="V846" s="597"/>
      <c r="W846" s="385"/>
      <c r="X846" s="385"/>
      <c r="Y846" s="3143">
        <f t="shared" si="254"/>
        <v>4</v>
      </c>
      <c r="Z846" s="597">
        <f t="shared" si="253"/>
        <v>0</v>
      </c>
      <c r="AA846" s="3143">
        <f t="shared" si="259"/>
        <v>6</v>
      </c>
      <c r="AB846" s="597">
        <f t="shared" si="259"/>
        <v>0</v>
      </c>
      <c r="AC846" s="3142">
        <f>(AA846/K846)*100</f>
        <v>100</v>
      </c>
      <c r="AD846" s="3142"/>
      <c r="AE846" s="390"/>
    </row>
    <row r="847" spans="1:76" s="2983" customFormat="1" ht="33" customHeight="1">
      <c r="A847" s="2570">
        <v>3</v>
      </c>
      <c r="B847" s="2335"/>
      <c r="C847" s="2567">
        <v>1</v>
      </c>
      <c r="D847" s="2567" t="s">
        <v>65</v>
      </c>
      <c r="E847" s="2567" t="s">
        <v>198</v>
      </c>
      <c r="F847" s="2567" t="s">
        <v>66</v>
      </c>
      <c r="G847" s="2567" t="s">
        <v>399</v>
      </c>
      <c r="H847" s="2567"/>
      <c r="I847" s="2335" t="s">
        <v>790</v>
      </c>
      <c r="J847" s="2335" t="s">
        <v>3352</v>
      </c>
      <c r="K847" s="2543">
        <v>80</v>
      </c>
      <c r="L847" s="2568">
        <f>L848</f>
        <v>1881075000</v>
      </c>
      <c r="M847" s="2588">
        <v>60</v>
      </c>
      <c r="N847" s="2589">
        <f>N848</f>
        <v>555510000</v>
      </c>
      <c r="O847" s="2543">
        <v>8</v>
      </c>
      <c r="P847" s="2568">
        <f>P848</f>
        <v>203325473</v>
      </c>
      <c r="Q847" s="2588">
        <v>2</v>
      </c>
      <c r="R847" s="2594">
        <f>R848</f>
        <v>44676423</v>
      </c>
      <c r="S847" s="2570"/>
      <c r="T847" s="2569">
        <f>T848</f>
        <v>22350600</v>
      </c>
      <c r="U847" s="2570"/>
      <c r="V847" s="2571">
        <f>SUM(V848)</f>
        <v>56361178</v>
      </c>
      <c r="W847" s="2570"/>
      <c r="X847" s="2570"/>
      <c r="Y847" s="2543">
        <f t="shared" si="254"/>
        <v>2</v>
      </c>
      <c r="Z847" s="2571">
        <f t="shared" si="253"/>
        <v>123388201</v>
      </c>
      <c r="AA847" s="2543">
        <f t="shared" ref="AA847:AA854" si="260">M847+Y847</f>
        <v>62</v>
      </c>
      <c r="AB847" s="2571">
        <f t="shared" ref="AB847:AB853" si="261">N847+Z847</f>
        <v>678898201</v>
      </c>
      <c r="AC847" s="2544">
        <f t="shared" ref="AC847:AD854" si="262">(AA847/K847)*100</f>
        <v>77.5</v>
      </c>
      <c r="AD847" s="2544">
        <f>(AB847/L847)*100</f>
        <v>36.090969312759988</v>
      </c>
      <c r="AE847" s="3138" t="s">
        <v>694</v>
      </c>
      <c r="AF847" s="642"/>
      <c r="AG847" s="642"/>
      <c r="AH847" s="642"/>
      <c r="AI847" s="642"/>
      <c r="AJ847" s="642"/>
      <c r="AK847" s="642"/>
      <c r="AL847" s="642"/>
      <c r="AM847" s="642"/>
      <c r="AN847" s="642"/>
      <c r="AO847" s="642"/>
      <c r="AP847" s="642"/>
      <c r="AQ847" s="642"/>
      <c r="AR847" s="642"/>
      <c r="AS847" s="642"/>
      <c r="AT847" s="642"/>
      <c r="AU847" s="642"/>
      <c r="AV847" s="642"/>
      <c r="AW847" s="642"/>
      <c r="AX847" s="642"/>
      <c r="AY847" s="642"/>
      <c r="AZ847" s="642"/>
      <c r="BA847" s="642"/>
      <c r="BB847" s="642"/>
      <c r="BC847" s="642"/>
      <c r="BD847" s="642"/>
      <c r="BE847" s="642"/>
      <c r="BF847" s="642"/>
      <c r="BG847" s="642"/>
      <c r="BH847" s="642"/>
      <c r="BI847" s="642"/>
      <c r="BJ847" s="642"/>
      <c r="BK847" s="642"/>
      <c r="BL847" s="642"/>
      <c r="BM847" s="642"/>
      <c r="BN847" s="642"/>
      <c r="BO847" s="642"/>
      <c r="BP847" s="642"/>
      <c r="BQ847" s="642"/>
      <c r="BR847" s="642"/>
      <c r="BS847" s="642"/>
      <c r="BT847" s="642"/>
      <c r="BU847" s="642"/>
      <c r="BV847" s="642"/>
      <c r="BW847" s="642"/>
      <c r="BX847" s="642"/>
    </row>
    <row r="848" spans="1:76" s="2548" customFormat="1" ht="18" customHeight="1">
      <c r="A848" s="4253"/>
      <c r="B848" s="4255"/>
      <c r="C848" s="4252">
        <v>1</v>
      </c>
      <c r="D848" s="4252" t="s">
        <v>65</v>
      </c>
      <c r="E848" s="4252" t="s">
        <v>198</v>
      </c>
      <c r="F848" s="4252" t="s">
        <v>66</v>
      </c>
      <c r="G848" s="4252" t="s">
        <v>399</v>
      </c>
      <c r="H848" s="4252" t="s">
        <v>95</v>
      </c>
      <c r="I848" s="4302" t="s">
        <v>791</v>
      </c>
      <c r="J848" s="384" t="s">
        <v>792</v>
      </c>
      <c r="K848" s="3143">
        <v>600</v>
      </c>
      <c r="L848" s="3141">
        <v>1881075000</v>
      </c>
      <c r="M848" s="3144">
        <v>367</v>
      </c>
      <c r="N848" s="2416">
        <v>555510000</v>
      </c>
      <c r="O848" s="3143">
        <v>100</v>
      </c>
      <c r="P848" s="3141">
        <v>203325473</v>
      </c>
      <c r="Q848" s="3144">
        <v>89</v>
      </c>
      <c r="R848" s="386">
        <v>44676423</v>
      </c>
      <c r="S848" s="385">
        <v>0</v>
      </c>
      <c r="T848" s="386">
        <v>22350600</v>
      </c>
      <c r="U848" s="385"/>
      <c r="V848" s="3623">
        <v>56361178</v>
      </c>
      <c r="W848" s="385"/>
      <c r="X848" s="385"/>
      <c r="Y848" s="3143">
        <f t="shared" si="254"/>
        <v>89</v>
      </c>
      <c r="Z848" s="597">
        <f t="shared" si="253"/>
        <v>123388201</v>
      </c>
      <c r="AA848" s="3143">
        <f t="shared" si="260"/>
        <v>456</v>
      </c>
      <c r="AB848" s="597">
        <f t="shared" si="261"/>
        <v>678898201</v>
      </c>
      <c r="AC848" s="3142">
        <f t="shared" si="262"/>
        <v>76</v>
      </c>
      <c r="AD848" s="3142">
        <f>(AB848/L848)*100</f>
        <v>36.090969312759988</v>
      </c>
      <c r="AE848" s="390" t="s">
        <v>694</v>
      </c>
      <c r="AF848" s="639"/>
      <c r="AG848" s="639"/>
      <c r="AH848" s="639"/>
      <c r="AI848" s="639"/>
      <c r="AJ848" s="639"/>
      <c r="AK848" s="639"/>
      <c r="AL848" s="639"/>
      <c r="AM848" s="639"/>
      <c r="AN848" s="639"/>
      <c r="AO848" s="639"/>
      <c r="AP848" s="639"/>
      <c r="AQ848" s="639"/>
      <c r="AR848" s="639"/>
      <c r="AS848" s="639"/>
      <c r="AT848" s="639"/>
      <c r="AU848" s="639"/>
      <c r="AV848" s="639"/>
      <c r="AW848" s="639"/>
      <c r="AX848" s="639"/>
      <c r="AY848" s="639"/>
      <c r="AZ848" s="639"/>
      <c r="BA848" s="639"/>
      <c r="BB848" s="639"/>
      <c r="BC848" s="639"/>
      <c r="BD848" s="639"/>
      <c r="BE848" s="639"/>
      <c r="BF848" s="639"/>
      <c r="BG848" s="639"/>
      <c r="BH848" s="639"/>
      <c r="BI848" s="639"/>
      <c r="BJ848" s="639"/>
      <c r="BK848" s="639"/>
      <c r="BL848" s="639"/>
      <c r="BM848" s="639"/>
      <c r="BN848" s="639"/>
      <c r="BO848" s="639"/>
      <c r="BP848" s="639"/>
      <c r="BQ848" s="639"/>
      <c r="BR848" s="639"/>
      <c r="BS848" s="639"/>
      <c r="BT848" s="639"/>
      <c r="BU848" s="639"/>
      <c r="BV848" s="639"/>
      <c r="BW848" s="639"/>
      <c r="BX848" s="639"/>
    </row>
    <row r="849" spans="1:76" s="639" customFormat="1" ht="18" customHeight="1">
      <c r="A849" s="4253"/>
      <c r="B849" s="4255"/>
      <c r="C849" s="4252"/>
      <c r="D849" s="4252"/>
      <c r="E849" s="4252"/>
      <c r="F849" s="4252"/>
      <c r="G849" s="4252"/>
      <c r="H849" s="4252"/>
      <c r="I849" s="4302"/>
      <c r="J849" s="384" t="s">
        <v>793</v>
      </c>
      <c r="K849" s="3143">
        <v>300</v>
      </c>
      <c r="L849" s="3141"/>
      <c r="M849" s="3144">
        <v>177</v>
      </c>
      <c r="N849" s="2416"/>
      <c r="O849" s="3143">
        <v>50</v>
      </c>
      <c r="P849" s="3141"/>
      <c r="Q849" s="3144">
        <v>0</v>
      </c>
      <c r="R849" s="386"/>
      <c r="S849" s="385"/>
      <c r="T849" s="385"/>
      <c r="U849" s="385"/>
      <c r="V849" s="597"/>
      <c r="W849" s="385"/>
      <c r="X849" s="385"/>
      <c r="Y849" s="3143">
        <f t="shared" si="254"/>
        <v>0</v>
      </c>
      <c r="Z849" s="597">
        <f t="shared" si="253"/>
        <v>0</v>
      </c>
      <c r="AA849" s="3143">
        <f t="shared" si="260"/>
        <v>177</v>
      </c>
      <c r="AB849" s="597">
        <f t="shared" si="261"/>
        <v>0</v>
      </c>
      <c r="AC849" s="3142">
        <f t="shared" si="262"/>
        <v>59</v>
      </c>
      <c r="AD849" s="3142"/>
      <c r="AE849" s="390"/>
    </row>
    <row r="850" spans="1:76" s="2548" customFormat="1" ht="18" customHeight="1">
      <c r="A850" s="4253"/>
      <c r="B850" s="4255"/>
      <c r="C850" s="4252"/>
      <c r="D850" s="4252"/>
      <c r="E850" s="4252"/>
      <c r="F850" s="4252"/>
      <c r="G850" s="4252"/>
      <c r="H850" s="4252"/>
      <c r="I850" s="4302"/>
      <c r="J850" s="384" t="s">
        <v>794</v>
      </c>
      <c r="K850" s="3143">
        <v>600</v>
      </c>
      <c r="L850" s="3141"/>
      <c r="M850" s="3144">
        <v>290</v>
      </c>
      <c r="N850" s="2416"/>
      <c r="O850" s="3143">
        <v>100</v>
      </c>
      <c r="P850" s="3141"/>
      <c r="Q850" s="3144">
        <v>0</v>
      </c>
      <c r="R850" s="386"/>
      <c r="S850" s="385"/>
      <c r="T850" s="385"/>
      <c r="U850" s="385"/>
      <c r="V850" s="597"/>
      <c r="W850" s="385"/>
      <c r="X850" s="385"/>
      <c r="Y850" s="3143">
        <f t="shared" si="254"/>
        <v>0</v>
      </c>
      <c r="Z850" s="597">
        <f t="shared" si="253"/>
        <v>0</v>
      </c>
      <c r="AA850" s="3143">
        <f t="shared" si="260"/>
        <v>290</v>
      </c>
      <c r="AB850" s="597">
        <f t="shared" si="261"/>
        <v>0</v>
      </c>
      <c r="AC850" s="3142">
        <f t="shared" si="262"/>
        <v>48.333333333333336</v>
      </c>
      <c r="AD850" s="3142"/>
      <c r="AE850" s="390"/>
      <c r="AF850" s="639"/>
      <c r="AG850" s="639"/>
      <c r="AH850" s="639"/>
      <c r="AI850" s="639"/>
      <c r="AJ850" s="639"/>
      <c r="AK850" s="639"/>
      <c r="AL850" s="639"/>
      <c r="AM850" s="639"/>
      <c r="AN850" s="639"/>
      <c r="AO850" s="639"/>
      <c r="AP850" s="639"/>
      <c r="AQ850" s="639"/>
      <c r="AR850" s="639"/>
      <c r="AS850" s="639"/>
      <c r="AT850" s="639"/>
      <c r="AU850" s="639"/>
      <c r="AV850" s="639"/>
      <c r="AW850" s="639"/>
      <c r="AX850" s="639"/>
      <c r="AY850" s="639"/>
      <c r="AZ850" s="639"/>
      <c r="BA850" s="639"/>
      <c r="BB850" s="639"/>
      <c r="BC850" s="639"/>
      <c r="BD850" s="639"/>
      <c r="BE850" s="639"/>
      <c r="BF850" s="639"/>
      <c r="BG850" s="639"/>
      <c r="BH850" s="639"/>
      <c r="BI850" s="639"/>
      <c r="BJ850" s="639"/>
      <c r="BK850" s="639"/>
      <c r="BL850" s="639"/>
      <c r="BM850" s="639"/>
      <c r="BN850" s="639"/>
      <c r="BO850" s="639"/>
      <c r="BP850" s="639"/>
      <c r="BQ850" s="639"/>
      <c r="BR850" s="639"/>
      <c r="BS850" s="639"/>
      <c r="BT850" s="639"/>
      <c r="BU850" s="639"/>
      <c r="BV850" s="639"/>
      <c r="BW850" s="639"/>
      <c r="BX850" s="639"/>
    </row>
    <row r="851" spans="1:76" s="639" customFormat="1" ht="18" customHeight="1">
      <c r="A851" s="4253"/>
      <c r="B851" s="4255"/>
      <c r="C851" s="4252"/>
      <c r="D851" s="4252"/>
      <c r="E851" s="4252"/>
      <c r="F851" s="4252"/>
      <c r="G851" s="4252"/>
      <c r="H851" s="4252"/>
      <c r="I851" s="4302"/>
      <c r="J851" s="384" t="s">
        <v>795</v>
      </c>
      <c r="K851" s="3143">
        <v>6</v>
      </c>
      <c r="L851" s="3141"/>
      <c r="M851" s="3144">
        <v>2</v>
      </c>
      <c r="N851" s="2416"/>
      <c r="O851" s="3143">
        <v>1</v>
      </c>
      <c r="P851" s="3141"/>
      <c r="Q851" s="3144">
        <v>0</v>
      </c>
      <c r="R851" s="386"/>
      <c r="S851" s="385"/>
      <c r="T851" s="385"/>
      <c r="U851" s="385"/>
      <c r="V851" s="597"/>
      <c r="W851" s="385"/>
      <c r="X851" s="385"/>
      <c r="Y851" s="3143">
        <f t="shared" si="254"/>
        <v>0</v>
      </c>
      <c r="Z851" s="597">
        <f t="shared" si="253"/>
        <v>0</v>
      </c>
      <c r="AA851" s="3143">
        <f t="shared" si="260"/>
        <v>2</v>
      </c>
      <c r="AB851" s="597">
        <f t="shared" si="261"/>
        <v>0</v>
      </c>
      <c r="AC851" s="3142">
        <f t="shared" si="262"/>
        <v>33.333333333333329</v>
      </c>
      <c r="AD851" s="3142"/>
      <c r="AE851" s="390"/>
    </row>
    <row r="852" spans="1:76" s="2548" customFormat="1" ht="25.5">
      <c r="A852" s="4253"/>
      <c r="B852" s="4255"/>
      <c r="C852" s="4252"/>
      <c r="D852" s="4252"/>
      <c r="E852" s="4252"/>
      <c r="F852" s="4252"/>
      <c r="G852" s="4252"/>
      <c r="H852" s="4252"/>
      <c r="I852" s="4302"/>
      <c r="J852" s="384" t="s">
        <v>796</v>
      </c>
      <c r="K852" s="3143">
        <v>6</v>
      </c>
      <c r="L852" s="3141"/>
      <c r="M852" s="3144">
        <v>2</v>
      </c>
      <c r="N852" s="2416"/>
      <c r="O852" s="3143">
        <v>1</v>
      </c>
      <c r="P852" s="3141"/>
      <c r="Q852" s="3144">
        <v>0</v>
      </c>
      <c r="R852" s="386"/>
      <c r="S852" s="385"/>
      <c r="T852" s="385"/>
      <c r="U852" s="385"/>
      <c r="V852" s="597"/>
      <c r="W852" s="385"/>
      <c r="X852" s="385"/>
      <c r="Y852" s="3143">
        <f t="shared" si="254"/>
        <v>0</v>
      </c>
      <c r="Z852" s="597">
        <f t="shared" si="253"/>
        <v>0</v>
      </c>
      <c r="AA852" s="3143">
        <f t="shared" si="260"/>
        <v>2</v>
      </c>
      <c r="AB852" s="597">
        <f t="shared" si="261"/>
        <v>0</v>
      </c>
      <c r="AC852" s="3142">
        <f t="shared" si="262"/>
        <v>33.333333333333329</v>
      </c>
      <c r="AD852" s="3142"/>
      <c r="AE852" s="390"/>
      <c r="AF852" s="639"/>
      <c r="AG852" s="639"/>
      <c r="AH852" s="639"/>
      <c r="AI852" s="639"/>
      <c r="AJ852" s="639"/>
      <c r="AK852" s="639"/>
      <c r="AL852" s="639"/>
      <c r="AM852" s="639"/>
      <c r="AN852" s="639"/>
      <c r="AO852" s="639"/>
      <c r="AP852" s="639"/>
      <c r="AQ852" s="639"/>
      <c r="AR852" s="639"/>
      <c r="AS852" s="639"/>
      <c r="AT852" s="639"/>
      <c r="AU852" s="639"/>
      <c r="AV852" s="639"/>
      <c r="AW852" s="639"/>
      <c r="AX852" s="639"/>
      <c r="AY852" s="639"/>
      <c r="AZ852" s="639"/>
      <c r="BA852" s="639"/>
      <c r="BB852" s="639"/>
      <c r="BC852" s="639"/>
      <c r="BD852" s="639"/>
      <c r="BE852" s="639"/>
      <c r="BF852" s="639"/>
      <c r="BG852" s="639"/>
      <c r="BH852" s="639"/>
      <c r="BI852" s="639"/>
      <c r="BJ852" s="639"/>
      <c r="BK852" s="639"/>
      <c r="BL852" s="639"/>
      <c r="BM852" s="639"/>
      <c r="BN852" s="639"/>
      <c r="BO852" s="639"/>
      <c r="BP852" s="639"/>
      <c r="BQ852" s="639"/>
      <c r="BR852" s="639"/>
      <c r="BS852" s="639"/>
      <c r="BT852" s="639"/>
      <c r="BU852" s="639"/>
      <c r="BV852" s="639"/>
      <c r="BW852" s="639"/>
      <c r="BX852" s="639"/>
    </row>
    <row r="853" spans="1:76" s="2983" customFormat="1" ht="30" customHeight="1">
      <c r="A853" s="4253"/>
      <c r="B853" s="4255"/>
      <c r="C853" s="4252"/>
      <c r="D853" s="4252"/>
      <c r="E853" s="4252"/>
      <c r="F853" s="4252"/>
      <c r="G853" s="4252"/>
      <c r="H853" s="4252"/>
      <c r="I853" s="4302"/>
      <c r="J853" s="384" t="s">
        <v>797</v>
      </c>
      <c r="K853" s="3143">
        <v>6</v>
      </c>
      <c r="L853" s="3141"/>
      <c r="M853" s="3144">
        <v>2</v>
      </c>
      <c r="N853" s="2416"/>
      <c r="O853" s="3143">
        <v>1</v>
      </c>
      <c r="P853" s="3141"/>
      <c r="Q853" s="3144">
        <v>0</v>
      </c>
      <c r="R853" s="386"/>
      <c r="S853" s="385"/>
      <c r="T853" s="385"/>
      <c r="U853" s="385"/>
      <c r="V853" s="597"/>
      <c r="W853" s="385"/>
      <c r="X853" s="385"/>
      <c r="Y853" s="3143">
        <f t="shared" si="254"/>
        <v>0</v>
      </c>
      <c r="Z853" s="597">
        <f t="shared" si="253"/>
        <v>0</v>
      </c>
      <c r="AA853" s="3143">
        <f t="shared" si="260"/>
        <v>2</v>
      </c>
      <c r="AB853" s="597">
        <f t="shared" si="261"/>
        <v>0</v>
      </c>
      <c r="AC853" s="3142">
        <f t="shared" si="262"/>
        <v>33.333333333333329</v>
      </c>
      <c r="AD853" s="3142"/>
      <c r="AE853" s="390"/>
      <c r="AF853" s="642"/>
      <c r="AG853" s="642"/>
      <c r="AH853" s="642"/>
      <c r="AI853" s="642"/>
      <c r="AJ853" s="642"/>
      <c r="AK853" s="642"/>
      <c r="AL853" s="642"/>
      <c r="AM853" s="642"/>
      <c r="AN853" s="642"/>
      <c r="AO853" s="642"/>
      <c r="AP853" s="642"/>
      <c r="AQ853" s="642"/>
      <c r="AR853" s="642"/>
      <c r="AS853" s="642"/>
      <c r="AT853" s="642"/>
      <c r="AU853" s="642"/>
      <c r="AV853" s="642"/>
      <c r="AW853" s="642"/>
      <c r="AX853" s="642"/>
      <c r="AY853" s="642"/>
      <c r="AZ853" s="642"/>
      <c r="BA853" s="642"/>
      <c r="BB853" s="642"/>
      <c r="BC853" s="642"/>
      <c r="BD853" s="642"/>
      <c r="BE853" s="642"/>
      <c r="BF853" s="642"/>
      <c r="BG853" s="642"/>
      <c r="BH853" s="642"/>
      <c r="BI853" s="642"/>
      <c r="BJ853" s="642"/>
      <c r="BK853" s="642"/>
      <c r="BL853" s="642"/>
      <c r="BM853" s="642"/>
      <c r="BN853" s="642"/>
      <c r="BO853" s="642"/>
      <c r="BP853" s="642"/>
      <c r="BQ853" s="642"/>
      <c r="BR853" s="642"/>
      <c r="BS853" s="642"/>
      <c r="BT853" s="642"/>
      <c r="BU853" s="642"/>
      <c r="BV853" s="642"/>
      <c r="BW853" s="642"/>
      <c r="BX853" s="642"/>
    </row>
    <row r="854" spans="1:76" s="2983" customFormat="1" ht="30" customHeight="1">
      <c r="A854" s="2873"/>
      <c r="B854" s="2874"/>
      <c r="C854" s="2352"/>
      <c r="D854" s="2352"/>
      <c r="E854" s="2352"/>
      <c r="F854" s="2352"/>
      <c r="G854" s="2352"/>
      <c r="H854" s="2352"/>
      <c r="I854" s="3156" t="s">
        <v>2867</v>
      </c>
      <c r="J854" s="2335"/>
      <c r="K854" s="2543">
        <v>6</v>
      </c>
      <c r="L854" s="2568">
        <v>250000000</v>
      </c>
      <c r="M854" s="2588">
        <v>2</v>
      </c>
      <c r="N854" s="2589">
        <v>15736500</v>
      </c>
      <c r="O854" s="2543">
        <v>1</v>
      </c>
      <c r="P854" s="2568">
        <f>SUM(P855)</f>
        <v>36230500</v>
      </c>
      <c r="Q854" s="2588">
        <v>0</v>
      </c>
      <c r="R854" s="2594"/>
      <c r="S854" s="2570">
        <v>1</v>
      </c>
      <c r="T854" s="2594">
        <f>SUM(T855)</f>
        <v>36230500</v>
      </c>
      <c r="U854" s="2570"/>
      <c r="V854" s="2571"/>
      <c r="W854" s="2570"/>
      <c r="X854" s="2570"/>
      <c r="Y854" s="2543">
        <f t="shared" si="254"/>
        <v>1</v>
      </c>
      <c r="Z854" s="2571">
        <f>SUM(T854)</f>
        <v>36230500</v>
      </c>
      <c r="AA854" s="2543">
        <f t="shared" si="260"/>
        <v>3</v>
      </c>
      <c r="AB854" s="2571">
        <v>31034000</v>
      </c>
      <c r="AC854" s="2544">
        <f t="shared" si="262"/>
        <v>50</v>
      </c>
      <c r="AD854" s="2544">
        <f t="shared" si="262"/>
        <v>12.413599999999999</v>
      </c>
      <c r="AE854" s="3138"/>
      <c r="AF854" s="642"/>
      <c r="AG854" s="642"/>
      <c r="AH854" s="642"/>
      <c r="AI854" s="642"/>
      <c r="AJ854" s="642"/>
      <c r="AK854" s="642"/>
      <c r="AL854" s="642"/>
      <c r="AM854" s="642"/>
      <c r="AN854" s="642"/>
      <c r="AO854" s="642"/>
      <c r="AP854" s="642"/>
      <c r="AQ854" s="642"/>
      <c r="AR854" s="642"/>
      <c r="AS854" s="642"/>
      <c r="AT854" s="642"/>
      <c r="AU854" s="642"/>
      <c r="AV854" s="642"/>
      <c r="AW854" s="642"/>
      <c r="AX854" s="642"/>
      <c r="AY854" s="642"/>
      <c r="AZ854" s="642"/>
      <c r="BA854" s="642"/>
      <c r="BB854" s="642"/>
      <c r="BC854" s="642"/>
      <c r="BD854" s="642"/>
      <c r="BE854" s="642"/>
      <c r="BF854" s="642"/>
      <c r="BG854" s="642"/>
      <c r="BH854" s="642"/>
      <c r="BI854" s="642"/>
      <c r="BJ854" s="642"/>
      <c r="BK854" s="642"/>
      <c r="BL854" s="642"/>
      <c r="BM854" s="642"/>
      <c r="BN854" s="642"/>
      <c r="BO854" s="642"/>
      <c r="BP854" s="642"/>
      <c r="BQ854" s="642"/>
      <c r="BR854" s="642"/>
      <c r="BS854" s="642"/>
      <c r="BT854" s="642"/>
      <c r="BU854" s="642"/>
      <c r="BV854" s="642"/>
      <c r="BW854" s="642"/>
      <c r="BX854" s="642"/>
    </row>
    <row r="855" spans="1:76" s="2983" customFormat="1" ht="30" customHeight="1">
      <c r="A855" s="3134"/>
      <c r="B855" s="390"/>
      <c r="C855" s="3792"/>
      <c r="D855" s="3792"/>
      <c r="E855" s="3792"/>
      <c r="F855" s="3792"/>
      <c r="G855" s="3792"/>
      <c r="H855" s="3792"/>
      <c r="I855" s="3140" t="s">
        <v>799</v>
      </c>
      <c r="J855" s="384"/>
      <c r="K855" s="3143">
        <v>6</v>
      </c>
      <c r="L855" s="3141">
        <v>250000000</v>
      </c>
      <c r="M855" s="3144">
        <v>2</v>
      </c>
      <c r="N855" s="2416">
        <v>15736500</v>
      </c>
      <c r="O855" s="3143">
        <v>1</v>
      </c>
      <c r="P855" s="3141">
        <v>36230500</v>
      </c>
      <c r="Q855" s="3144">
        <v>0</v>
      </c>
      <c r="R855" s="386"/>
      <c r="S855" s="385">
        <v>1</v>
      </c>
      <c r="T855" s="386">
        <f>P855</f>
        <v>36230500</v>
      </c>
      <c r="U855" s="385"/>
      <c r="V855" s="597"/>
      <c r="W855" s="385"/>
      <c r="X855" s="385"/>
      <c r="Y855" s="3143">
        <v>1</v>
      </c>
      <c r="Z855" s="597">
        <f>SUM(T855)</f>
        <v>36230500</v>
      </c>
      <c r="AA855" s="3143"/>
      <c r="AB855" s="597"/>
      <c r="AC855" s="3142"/>
      <c r="AD855" s="3142"/>
      <c r="AE855" s="390"/>
      <c r="AF855" s="642"/>
      <c r="AG855" s="642"/>
      <c r="AH855" s="642"/>
      <c r="AI855" s="642"/>
      <c r="AJ855" s="642"/>
      <c r="AK855" s="642"/>
      <c r="AL855" s="642"/>
      <c r="AM855" s="642"/>
      <c r="AN855" s="642"/>
      <c r="AO855" s="642"/>
      <c r="AP855" s="642"/>
      <c r="AQ855" s="642"/>
      <c r="AR855" s="642"/>
      <c r="AS855" s="642"/>
      <c r="AT855" s="642"/>
      <c r="AU855" s="642"/>
      <c r="AV855" s="642"/>
      <c r="AW855" s="642"/>
      <c r="AX855" s="642"/>
      <c r="AY855" s="642"/>
      <c r="AZ855" s="642"/>
      <c r="BA855" s="642"/>
      <c r="BB855" s="642"/>
      <c r="BC855" s="642"/>
      <c r="BD855" s="642"/>
      <c r="BE855" s="642"/>
      <c r="BF855" s="642"/>
      <c r="BG855" s="642"/>
      <c r="BH855" s="642"/>
      <c r="BI855" s="642"/>
      <c r="BJ855" s="642"/>
      <c r="BK855" s="642"/>
      <c r="BL855" s="642"/>
      <c r="BM855" s="642"/>
      <c r="BN855" s="642"/>
      <c r="BO855" s="642"/>
      <c r="BP855" s="642"/>
      <c r="BQ855" s="642"/>
      <c r="BR855" s="642"/>
      <c r="BS855" s="642"/>
      <c r="BT855" s="642"/>
      <c r="BU855" s="642"/>
      <c r="BV855" s="642"/>
      <c r="BW855" s="642"/>
      <c r="BX855" s="642"/>
    </row>
    <row r="856" spans="1:76" s="2548" customFormat="1" ht="15" customHeight="1">
      <c r="A856" s="4308" t="s">
        <v>89</v>
      </c>
      <c r="B856" s="4308"/>
      <c r="C856" s="4309"/>
      <c r="D856" s="4309"/>
      <c r="E856" s="4309"/>
      <c r="F856" s="4309"/>
      <c r="G856" s="4309"/>
      <c r="H856" s="4309"/>
      <c r="I856" s="4309"/>
      <c r="J856" s="4309"/>
      <c r="K856" s="4309"/>
      <c r="L856" s="4309"/>
      <c r="M856" s="4309"/>
      <c r="N856" s="4309"/>
      <c r="O856" s="4309"/>
      <c r="P856" s="4309"/>
      <c r="Q856" s="4309"/>
      <c r="R856" s="4309"/>
      <c r="S856" s="4309"/>
      <c r="T856" s="4309"/>
      <c r="U856" s="4309"/>
      <c r="V856" s="4309"/>
      <c r="W856" s="4309"/>
      <c r="X856" s="4309"/>
      <c r="Y856" s="4309"/>
      <c r="Z856" s="4309"/>
      <c r="AA856" s="4309"/>
      <c r="AB856" s="4309"/>
      <c r="AC856" s="2423">
        <f>(AC835+AC842+AC847)/3</f>
        <v>72.916666666666671</v>
      </c>
      <c r="AD856" s="2423">
        <f>(AD835+AD842+AD847)/3</f>
        <v>54.806609362976786</v>
      </c>
      <c r="AE856" s="3183"/>
      <c r="AF856" s="639"/>
      <c r="AG856" s="639"/>
      <c r="AH856" s="639"/>
      <c r="AI856" s="639"/>
      <c r="AJ856" s="639"/>
      <c r="AK856" s="639"/>
      <c r="AL856" s="639"/>
      <c r="AM856" s="639"/>
      <c r="AN856" s="639"/>
      <c r="AO856" s="639"/>
      <c r="AP856" s="639"/>
      <c r="AQ856" s="639"/>
      <c r="AR856" s="639"/>
      <c r="AS856" s="639"/>
      <c r="AT856" s="639"/>
      <c r="AU856" s="639"/>
      <c r="AV856" s="639"/>
      <c r="AW856" s="639"/>
      <c r="AX856" s="639"/>
      <c r="AY856" s="639"/>
      <c r="AZ856" s="639"/>
      <c r="BA856" s="639"/>
      <c r="BB856" s="639"/>
      <c r="BC856" s="639"/>
      <c r="BD856" s="639"/>
      <c r="BE856" s="639"/>
      <c r="BF856" s="639"/>
      <c r="BG856" s="639"/>
      <c r="BH856" s="639"/>
      <c r="BI856" s="639"/>
      <c r="BJ856" s="639"/>
      <c r="BK856" s="639"/>
      <c r="BL856" s="639"/>
      <c r="BM856" s="639"/>
      <c r="BN856" s="639"/>
      <c r="BO856" s="639"/>
      <c r="BP856" s="639"/>
      <c r="BQ856" s="639"/>
      <c r="BR856" s="639"/>
      <c r="BS856" s="639"/>
      <c r="BT856" s="639"/>
      <c r="BU856" s="639"/>
      <c r="BV856" s="639"/>
      <c r="BW856" s="639"/>
      <c r="BX856" s="639"/>
    </row>
    <row r="857" spans="1:76" s="2983" customFormat="1" ht="15" customHeight="1">
      <c r="A857" s="4308" t="s">
        <v>90</v>
      </c>
      <c r="B857" s="4308"/>
      <c r="C857" s="4309"/>
      <c r="D857" s="4309"/>
      <c r="E857" s="4309"/>
      <c r="F857" s="4309"/>
      <c r="G857" s="4309"/>
      <c r="H857" s="4309"/>
      <c r="I857" s="4309"/>
      <c r="J857" s="4309"/>
      <c r="K857" s="4309"/>
      <c r="L857" s="4309"/>
      <c r="M857" s="4309"/>
      <c r="N857" s="4309"/>
      <c r="O857" s="4309"/>
      <c r="P857" s="4309"/>
      <c r="Q857" s="4309"/>
      <c r="R857" s="4309"/>
      <c r="S857" s="4309"/>
      <c r="T857" s="4309"/>
      <c r="U857" s="4309"/>
      <c r="V857" s="4309"/>
      <c r="W857" s="4309"/>
      <c r="X857" s="4309"/>
      <c r="Y857" s="4309"/>
      <c r="Z857" s="4309"/>
      <c r="AA857" s="4309"/>
      <c r="AB857" s="4309"/>
      <c r="AC857" s="3152" t="str">
        <f>IF(AC856&gt;=91,"ST",IF(AC856&gt;=76,"T",IF(AC856&gt;=66,"S",IF(AC856&gt;=51,"R","SR"))))</f>
        <v>S</v>
      </c>
      <c r="AD857" s="3152" t="str">
        <f>IF(AD856&gt;=91,"ST",IF(AD856&gt;=76,"T",IF(AD856&gt;=66,"S",IF(AD856&gt;=51,"R","SR"))))</f>
        <v>R</v>
      </c>
      <c r="AE857" s="3183"/>
      <c r="AF857" s="642"/>
      <c r="AG857" s="642"/>
      <c r="AH857" s="642"/>
      <c r="AI857" s="642"/>
      <c r="AJ857" s="642"/>
      <c r="AK857" s="642"/>
      <c r="AL857" s="642"/>
      <c r="AM857" s="642"/>
      <c r="AN857" s="642"/>
      <c r="AO857" s="642"/>
      <c r="AP857" s="642"/>
      <c r="AQ857" s="642"/>
      <c r="AR857" s="642"/>
      <c r="AS857" s="642"/>
      <c r="AT857" s="642"/>
      <c r="AU857" s="642"/>
      <c r="AV857" s="642"/>
      <c r="AW857" s="642"/>
      <c r="AX857" s="642"/>
      <c r="AY857" s="642"/>
      <c r="AZ857" s="642"/>
      <c r="BA857" s="642"/>
      <c r="BB857" s="642"/>
      <c r="BC857" s="642"/>
      <c r="BD857" s="642"/>
      <c r="BE857" s="642"/>
      <c r="BF857" s="642"/>
      <c r="BG857" s="642"/>
      <c r="BH857" s="642"/>
      <c r="BI857" s="642"/>
      <c r="BJ857" s="642"/>
      <c r="BK857" s="642"/>
      <c r="BL857" s="642"/>
      <c r="BM857" s="642"/>
      <c r="BN857" s="642"/>
      <c r="BO857" s="642"/>
      <c r="BP857" s="642"/>
      <c r="BQ857" s="642"/>
      <c r="BR857" s="642"/>
      <c r="BS857" s="642"/>
      <c r="BT857" s="642"/>
      <c r="BU857" s="642"/>
      <c r="BV857" s="642"/>
      <c r="BW857" s="642"/>
      <c r="BX857" s="642"/>
    </row>
    <row r="858" spans="1:76" s="642" customFormat="1" ht="24.75" customHeight="1">
      <c r="A858" s="2546" t="s">
        <v>3353</v>
      </c>
      <c r="B858" s="2918"/>
      <c r="C858" s="2546"/>
      <c r="D858" s="2546"/>
      <c r="E858" s="2546"/>
      <c r="F858" s="2546"/>
      <c r="G858" s="2546"/>
      <c r="H858" s="2546"/>
      <c r="I858" s="2515" t="s">
        <v>142</v>
      </c>
      <c r="J858" s="2918"/>
      <c r="K858" s="3210"/>
      <c r="L858" s="3194">
        <f>L859+L874+L878+L880+L882+L885+L893+L895+L898+L901+L903</f>
        <v>98868052947</v>
      </c>
      <c r="M858" s="3210"/>
      <c r="N858" s="3195">
        <f>N859+N874+N878+N880+N882+N885+N893+N895+N898+N901+N903</f>
        <v>9764918181</v>
      </c>
      <c r="O858" s="3210"/>
      <c r="P858" s="3195">
        <f>P859+P874+P878+P880+P882+P885+P893+P895+P898+P901+P903</f>
        <v>18749623569</v>
      </c>
      <c r="Q858" s="3210"/>
      <c r="R858" s="2916">
        <f>R859+R874+R878+R880+R882+R885+R893+R895+R898+R901+R903</f>
        <v>615788349</v>
      </c>
      <c r="S858" s="2918"/>
      <c r="T858" s="2916">
        <f>T859+T874+T878+T880+T882+T885+T893+T895+T898+T901+T903</f>
        <v>3712183067</v>
      </c>
      <c r="U858" s="2918"/>
      <c r="V858" s="2916">
        <f>V859+V874+V878+V880+V884+V885+V895+V898+V901+V904</f>
        <v>4103738184</v>
      </c>
      <c r="W858" s="2918"/>
      <c r="X858" s="2918"/>
      <c r="Y858" s="3210"/>
      <c r="Z858" s="2916">
        <f t="shared" ref="Z858:Z904" si="263">R858+T858+V858+X858</f>
        <v>8431709600</v>
      </c>
      <c r="AA858" s="3210"/>
      <c r="AB858" s="2916">
        <f>AB859+AB874+AB878+AB880+AB882+AB885+AB893+AB895+AB898+AB901+AB903</f>
        <v>12779920387</v>
      </c>
      <c r="AC858" s="3210"/>
      <c r="AD858" s="3210"/>
      <c r="AE858" s="3211"/>
    </row>
    <row r="859" spans="1:76" s="2548" customFormat="1" ht="51.75" customHeight="1">
      <c r="A859" s="2549">
        <v>1</v>
      </c>
      <c r="B859" s="2363"/>
      <c r="C859" s="2374" t="s">
        <v>146</v>
      </c>
      <c r="D859" s="2374" t="s">
        <v>65</v>
      </c>
      <c r="E859" s="2374" t="s">
        <v>66</v>
      </c>
      <c r="F859" s="3795"/>
      <c r="G859" s="3795"/>
      <c r="H859" s="2595"/>
      <c r="I859" s="2359" t="s">
        <v>520</v>
      </c>
      <c r="J859" s="2335" t="s">
        <v>3839</v>
      </c>
      <c r="K859" s="3162">
        <v>72</v>
      </c>
      <c r="L859" s="2442">
        <f>SUM(L860:L873)</f>
        <v>7806354500</v>
      </c>
      <c r="M859" s="2508">
        <v>24</v>
      </c>
      <c r="N859" s="2442">
        <v>1906560189</v>
      </c>
      <c r="O859" s="2508">
        <v>12</v>
      </c>
      <c r="P859" s="2442">
        <f>SUM(P860:P873)</f>
        <v>736373855</v>
      </c>
      <c r="Q859" s="2596">
        <f>(Q860+Q861+Q862+Q863+Q864+Q865+Q866+Q867+Q868+Q869+Q870+Q871+Q872+Q873)/14</f>
        <v>3</v>
      </c>
      <c r="R859" s="2340">
        <f>SUM(R860:R873)</f>
        <v>102846107</v>
      </c>
      <c r="S859" s="2563">
        <f>(S860+S861+S862+S863+S864+S865+S866+S867+S868+S869+S870+S871+S872+S873)/14</f>
        <v>3</v>
      </c>
      <c r="T859" s="2340">
        <f>SUM(T860:T873)</f>
        <v>92598134</v>
      </c>
      <c r="U859" s="2563"/>
      <c r="V859" s="2342">
        <f>SUM(V860:V873)</f>
        <v>122290862</v>
      </c>
      <c r="W859" s="2563"/>
      <c r="X859" s="2340"/>
      <c r="Y859" s="2596">
        <f t="shared" ref="Y859:Y904" si="264">Q859+S859+U859+W859</f>
        <v>6</v>
      </c>
      <c r="Z859" s="2342">
        <f t="shared" si="263"/>
        <v>317735103</v>
      </c>
      <c r="AA859" s="2596">
        <f>M859+Y859</f>
        <v>30</v>
      </c>
      <c r="AB859" s="2342">
        <f>N859+Z859</f>
        <v>2224295292</v>
      </c>
      <c r="AC859" s="2505">
        <f>(AA859/K859)*100</f>
        <v>41.666666666666671</v>
      </c>
      <c r="AD859" s="2597">
        <f>(AB859/L859)*100</f>
        <v>28.493393324630595</v>
      </c>
      <c r="AE859" s="3138" t="s">
        <v>522</v>
      </c>
      <c r="AF859" s="2765"/>
      <c r="AG859" s="639"/>
      <c r="AH859" s="639"/>
      <c r="AI859" s="639"/>
      <c r="AJ859" s="639"/>
      <c r="AK859" s="639"/>
      <c r="AL859" s="639"/>
      <c r="AM859" s="639"/>
      <c r="AN859" s="639"/>
      <c r="AO859" s="639"/>
      <c r="AP859" s="639"/>
      <c r="AQ859" s="639"/>
      <c r="AR859" s="639"/>
      <c r="AS859" s="639"/>
      <c r="AT859" s="639"/>
      <c r="AU859" s="639"/>
      <c r="AV859" s="639"/>
      <c r="AW859" s="639"/>
      <c r="AX859" s="639"/>
      <c r="AY859" s="639"/>
      <c r="AZ859" s="639"/>
      <c r="BA859" s="639"/>
      <c r="BB859" s="639"/>
      <c r="BC859" s="639"/>
      <c r="BD859" s="639"/>
      <c r="BE859" s="639"/>
      <c r="BF859" s="639"/>
      <c r="BG859" s="639"/>
      <c r="BH859" s="639"/>
      <c r="BI859" s="639"/>
      <c r="BJ859" s="639"/>
      <c r="BK859" s="639"/>
      <c r="BL859" s="639"/>
      <c r="BM859" s="639"/>
      <c r="BN859" s="639"/>
      <c r="BO859" s="639"/>
      <c r="BP859" s="639"/>
      <c r="BQ859" s="639"/>
      <c r="BR859" s="639"/>
      <c r="BS859" s="639"/>
      <c r="BT859" s="639"/>
      <c r="BU859" s="639"/>
      <c r="BV859" s="639"/>
      <c r="BW859" s="639"/>
      <c r="BX859" s="639"/>
    </row>
    <row r="860" spans="1:76" s="2548" customFormat="1" ht="57.75" customHeight="1">
      <c r="A860" s="2516"/>
      <c r="B860" s="2516"/>
      <c r="C860" s="2448" t="s">
        <v>146</v>
      </c>
      <c r="D860" s="2448" t="s">
        <v>65</v>
      </c>
      <c r="E860" s="2448" t="s">
        <v>66</v>
      </c>
      <c r="F860" s="2448" t="s">
        <v>65</v>
      </c>
      <c r="G860" s="2207"/>
      <c r="H860" s="2207"/>
      <c r="I860" s="3168" t="s">
        <v>195</v>
      </c>
      <c r="J860" s="2516" t="s">
        <v>3841</v>
      </c>
      <c r="K860" s="1396">
        <v>72</v>
      </c>
      <c r="L860" s="2286">
        <v>458693000</v>
      </c>
      <c r="M860" s="1396">
        <v>24</v>
      </c>
      <c r="N860" s="2286">
        <v>125548679</v>
      </c>
      <c r="O860" s="2487">
        <v>12</v>
      </c>
      <c r="P860" s="2286">
        <v>80400000</v>
      </c>
      <c r="Q860" s="2590">
        <v>3</v>
      </c>
      <c r="R860" s="1387">
        <v>7630299</v>
      </c>
      <c r="S860" s="2590">
        <v>3</v>
      </c>
      <c r="T860" s="1388">
        <v>11266944</v>
      </c>
      <c r="U860" s="2516">
        <v>3</v>
      </c>
      <c r="V860" s="2307">
        <v>9082837</v>
      </c>
      <c r="W860" s="2591"/>
      <c r="X860" s="1387"/>
      <c r="Y860" s="2487">
        <f t="shared" si="264"/>
        <v>9</v>
      </c>
      <c r="Z860" s="2307">
        <f t="shared" si="263"/>
        <v>27980080</v>
      </c>
      <c r="AA860" s="2487">
        <f t="shared" ref="AA860:AA877" si="265">M860+Y860</f>
        <v>33</v>
      </c>
      <c r="AB860" s="2307">
        <f t="shared" ref="AB860:AB877" si="266">N860+Z860</f>
        <v>153528759</v>
      </c>
      <c r="AC860" s="2480">
        <f t="shared" ref="AC860:AC877" si="267">(AA860/K860)*100</f>
        <v>45.833333333333329</v>
      </c>
      <c r="AD860" s="2574">
        <f t="shared" ref="AD860:AD877" si="268">(AB860/L860)*100</f>
        <v>33.470918239432471</v>
      </c>
      <c r="AE860" s="2207"/>
      <c r="AF860" s="639"/>
      <c r="AG860" s="639"/>
      <c r="AH860" s="639"/>
      <c r="AI860" s="639"/>
      <c r="AJ860" s="639"/>
      <c r="AK860" s="639"/>
      <c r="AL860" s="639"/>
      <c r="AM860" s="639"/>
      <c r="AN860" s="639"/>
      <c r="AO860" s="639"/>
      <c r="AP860" s="639"/>
      <c r="AQ860" s="639"/>
      <c r="AR860" s="639"/>
      <c r="AS860" s="639"/>
      <c r="AT860" s="639"/>
      <c r="AU860" s="639"/>
      <c r="AV860" s="639"/>
      <c r="AW860" s="639"/>
      <c r="AX860" s="639"/>
      <c r="AY860" s="639"/>
      <c r="AZ860" s="639"/>
      <c r="BA860" s="639"/>
      <c r="BB860" s="639"/>
      <c r="BC860" s="639"/>
      <c r="BD860" s="639"/>
      <c r="BE860" s="639"/>
      <c r="BF860" s="639"/>
      <c r="BG860" s="639"/>
      <c r="BH860" s="639"/>
      <c r="BI860" s="639"/>
      <c r="BJ860" s="639"/>
      <c r="BK860" s="639"/>
      <c r="BL860" s="639"/>
      <c r="BM860" s="639"/>
      <c r="BN860" s="639"/>
      <c r="BO860" s="639"/>
      <c r="BP860" s="639"/>
      <c r="BQ860" s="639"/>
      <c r="BR860" s="639"/>
      <c r="BS860" s="639"/>
      <c r="BT860" s="639"/>
      <c r="BU860" s="639"/>
      <c r="BV860" s="639"/>
      <c r="BW860" s="639"/>
      <c r="BX860" s="639"/>
    </row>
    <row r="861" spans="1:76" s="2548" customFormat="1" ht="57.75" customHeight="1">
      <c r="A861" s="2516"/>
      <c r="B861" s="2516"/>
      <c r="C861" s="2448" t="s">
        <v>146</v>
      </c>
      <c r="D861" s="2448" t="s">
        <v>65</v>
      </c>
      <c r="E861" s="2448" t="s">
        <v>66</v>
      </c>
      <c r="F861" s="2448" t="s">
        <v>196</v>
      </c>
      <c r="G861" s="2207"/>
      <c r="H861" s="2207"/>
      <c r="I861" s="3168" t="s">
        <v>524</v>
      </c>
      <c r="J861" s="2516" t="s">
        <v>3840</v>
      </c>
      <c r="K861" s="1396">
        <v>72</v>
      </c>
      <c r="L861" s="2286">
        <v>1307900000</v>
      </c>
      <c r="M861" s="1396">
        <v>24</v>
      </c>
      <c r="N861" s="2286">
        <v>463960000</v>
      </c>
      <c r="O861" s="2487">
        <v>12</v>
      </c>
      <c r="P861" s="2286">
        <v>44822025</v>
      </c>
      <c r="Q861" s="2590">
        <v>3</v>
      </c>
      <c r="R861" s="1387"/>
      <c r="S861" s="2590">
        <v>3</v>
      </c>
      <c r="T861" s="1388">
        <v>11000000</v>
      </c>
      <c r="U861" s="2516"/>
      <c r="V861" s="2307"/>
      <c r="W861" s="2591"/>
      <c r="X861" s="1387"/>
      <c r="Y861" s="1396">
        <f t="shared" si="264"/>
        <v>6</v>
      </c>
      <c r="Z861" s="2307">
        <f t="shared" si="263"/>
        <v>11000000</v>
      </c>
      <c r="AA861" s="2487">
        <f t="shared" si="265"/>
        <v>30</v>
      </c>
      <c r="AB861" s="2307">
        <f t="shared" si="266"/>
        <v>474960000</v>
      </c>
      <c r="AC861" s="2480">
        <f t="shared" si="267"/>
        <v>41.666666666666671</v>
      </c>
      <c r="AD861" s="2574">
        <f t="shared" si="268"/>
        <v>36.314702958941815</v>
      </c>
      <c r="AE861" s="2207"/>
      <c r="AF861" s="639"/>
      <c r="AG861" s="639"/>
      <c r="AH861" s="639"/>
      <c r="AI861" s="639"/>
      <c r="AJ861" s="639"/>
      <c r="AK861" s="639"/>
      <c r="AL861" s="639"/>
      <c r="AM861" s="639"/>
      <c r="AN861" s="639"/>
      <c r="AO861" s="639"/>
      <c r="AP861" s="639"/>
      <c r="AQ861" s="639"/>
      <c r="AR861" s="639"/>
      <c r="AS861" s="639"/>
      <c r="AT861" s="639"/>
      <c r="AU861" s="639"/>
      <c r="AV861" s="639"/>
      <c r="AW861" s="639"/>
      <c r="AX861" s="639"/>
      <c r="AY861" s="639"/>
      <c r="AZ861" s="639"/>
      <c r="BA861" s="639"/>
      <c r="BB861" s="639"/>
      <c r="BC861" s="639"/>
      <c r="BD861" s="639"/>
      <c r="BE861" s="639"/>
      <c r="BF861" s="639"/>
      <c r="BG861" s="639"/>
      <c r="BH861" s="639"/>
      <c r="BI861" s="639"/>
      <c r="BJ861" s="639"/>
      <c r="BK861" s="639"/>
      <c r="BL861" s="639"/>
      <c r="BM861" s="639"/>
      <c r="BN861" s="639"/>
      <c r="BO861" s="639"/>
      <c r="BP861" s="639"/>
      <c r="BQ861" s="639"/>
      <c r="BR861" s="639"/>
      <c r="BS861" s="639"/>
      <c r="BT861" s="639"/>
      <c r="BU861" s="639"/>
      <c r="BV861" s="639"/>
      <c r="BW861" s="639"/>
      <c r="BX861" s="639"/>
    </row>
    <row r="862" spans="1:76" s="639" customFormat="1" ht="45" customHeight="1">
      <c r="A862" s="2516"/>
      <c r="B862" s="2516"/>
      <c r="C862" s="2448" t="s">
        <v>146</v>
      </c>
      <c r="D862" s="2448" t="s">
        <v>65</v>
      </c>
      <c r="E862" s="2448" t="s">
        <v>66</v>
      </c>
      <c r="F862" s="2448" t="s">
        <v>198</v>
      </c>
      <c r="G862" s="2207"/>
      <c r="H862" s="2207"/>
      <c r="I862" s="3168" t="s">
        <v>199</v>
      </c>
      <c r="J862" s="2516" t="s">
        <v>3842</v>
      </c>
      <c r="K862" s="1396">
        <v>72</v>
      </c>
      <c r="L862" s="2286">
        <v>390400000</v>
      </c>
      <c r="M862" s="1396">
        <v>24</v>
      </c>
      <c r="N862" s="2286">
        <v>125137000</v>
      </c>
      <c r="O862" s="2487">
        <v>12</v>
      </c>
      <c r="P862" s="2286">
        <v>119100000</v>
      </c>
      <c r="Q862" s="2590">
        <v>3</v>
      </c>
      <c r="R862" s="1387">
        <v>18600000</v>
      </c>
      <c r="S862" s="2590">
        <v>3</v>
      </c>
      <c r="T862" s="1388">
        <v>28495000</v>
      </c>
      <c r="U862" s="2516">
        <v>3</v>
      </c>
      <c r="V862" s="2307">
        <v>29350000</v>
      </c>
      <c r="W862" s="2591"/>
      <c r="X862" s="1387"/>
      <c r="Y862" s="1396">
        <f t="shared" si="264"/>
        <v>9</v>
      </c>
      <c r="Z862" s="2307">
        <f t="shared" si="263"/>
        <v>76445000</v>
      </c>
      <c r="AA862" s="2487">
        <f t="shared" si="265"/>
        <v>33</v>
      </c>
      <c r="AB862" s="2307">
        <f t="shared" si="266"/>
        <v>201582000</v>
      </c>
      <c r="AC862" s="2480">
        <f t="shared" si="267"/>
        <v>45.833333333333329</v>
      </c>
      <c r="AD862" s="2574">
        <f t="shared" si="268"/>
        <v>51.634733606557383</v>
      </c>
      <c r="AE862" s="2207"/>
    </row>
    <row r="863" spans="1:76" s="2548" customFormat="1" ht="57.75" customHeight="1">
      <c r="A863" s="2516"/>
      <c r="B863" s="2516"/>
      <c r="C863" s="2448" t="s">
        <v>146</v>
      </c>
      <c r="D863" s="2448" t="s">
        <v>65</v>
      </c>
      <c r="E863" s="2448" t="s">
        <v>66</v>
      </c>
      <c r="F863" s="2448" t="s">
        <v>93</v>
      </c>
      <c r="G863" s="2207"/>
      <c r="H863" s="2207"/>
      <c r="I863" s="3168" t="s">
        <v>200</v>
      </c>
      <c r="J863" s="2516" t="s">
        <v>3843</v>
      </c>
      <c r="K863" s="1396">
        <v>72</v>
      </c>
      <c r="L863" s="2286">
        <v>276581000</v>
      </c>
      <c r="M863" s="1396">
        <v>24</v>
      </c>
      <c r="N863" s="2286">
        <v>65014000</v>
      </c>
      <c r="O863" s="2487">
        <v>12</v>
      </c>
      <c r="P863" s="2286">
        <v>17712500</v>
      </c>
      <c r="Q863" s="2590">
        <v>3</v>
      </c>
      <c r="R863" s="1387">
        <v>2708000</v>
      </c>
      <c r="S863" s="2590">
        <v>3</v>
      </c>
      <c r="T863" s="1388">
        <v>4000000</v>
      </c>
      <c r="U863" s="2516">
        <v>3</v>
      </c>
      <c r="V863" s="2307">
        <v>3697000</v>
      </c>
      <c r="W863" s="2591"/>
      <c r="X863" s="1387"/>
      <c r="Y863" s="1396">
        <f t="shared" si="264"/>
        <v>9</v>
      </c>
      <c r="Z863" s="2307">
        <f t="shared" si="263"/>
        <v>10405000</v>
      </c>
      <c r="AA863" s="2487">
        <f t="shared" si="265"/>
        <v>33</v>
      </c>
      <c r="AB863" s="2307">
        <f t="shared" si="266"/>
        <v>75419000</v>
      </c>
      <c r="AC863" s="2480">
        <f t="shared" si="267"/>
        <v>45.833333333333329</v>
      </c>
      <c r="AD863" s="2574">
        <f t="shared" si="268"/>
        <v>27.268322842133045</v>
      </c>
      <c r="AE863" s="2207"/>
      <c r="AF863" s="639"/>
      <c r="AG863" s="639"/>
      <c r="AH863" s="639"/>
      <c r="AI863" s="639"/>
      <c r="AJ863" s="639"/>
      <c r="AK863" s="639"/>
      <c r="AL863" s="639"/>
      <c r="AM863" s="639"/>
      <c r="AN863" s="639"/>
      <c r="AO863" s="639"/>
      <c r="AP863" s="639"/>
      <c r="AQ863" s="639"/>
      <c r="AR863" s="639"/>
      <c r="AS863" s="639"/>
      <c r="AT863" s="639"/>
      <c r="AU863" s="639"/>
      <c r="AV863" s="639"/>
      <c r="AW863" s="639"/>
      <c r="AX863" s="639"/>
      <c r="AY863" s="639"/>
      <c r="AZ863" s="639"/>
      <c r="BA863" s="639"/>
      <c r="BB863" s="639"/>
      <c r="BC863" s="639"/>
      <c r="BD863" s="639"/>
      <c r="BE863" s="639"/>
      <c r="BF863" s="639"/>
      <c r="BG863" s="639"/>
      <c r="BH863" s="639"/>
      <c r="BI863" s="639"/>
      <c r="BJ863" s="639"/>
      <c r="BK863" s="639"/>
      <c r="BL863" s="639"/>
      <c r="BM863" s="639"/>
      <c r="BN863" s="639"/>
      <c r="BO863" s="639"/>
      <c r="BP863" s="639"/>
      <c r="BQ863" s="639"/>
      <c r="BR863" s="639"/>
      <c r="BS863" s="639"/>
      <c r="BT863" s="639"/>
      <c r="BU863" s="639"/>
      <c r="BV863" s="639"/>
      <c r="BW863" s="639"/>
      <c r="BX863" s="639"/>
    </row>
    <row r="864" spans="1:76" s="2548" customFormat="1" ht="57.75" customHeight="1">
      <c r="A864" s="2516"/>
      <c r="B864" s="2516"/>
      <c r="C864" s="2448" t="s">
        <v>146</v>
      </c>
      <c r="D864" s="2448" t="s">
        <v>65</v>
      </c>
      <c r="E864" s="2448" t="s">
        <v>66</v>
      </c>
      <c r="F864" s="2448" t="s">
        <v>201</v>
      </c>
      <c r="G864" s="2207"/>
      <c r="H864" s="2207"/>
      <c r="I864" s="3168" t="s">
        <v>528</v>
      </c>
      <c r="J864" s="2516" t="s">
        <v>3844</v>
      </c>
      <c r="K864" s="1396">
        <v>72</v>
      </c>
      <c r="L864" s="2286">
        <v>1307900000</v>
      </c>
      <c r="M864" s="1396">
        <v>24</v>
      </c>
      <c r="N864" s="2286">
        <v>30970500</v>
      </c>
      <c r="O864" s="2487">
        <v>12</v>
      </c>
      <c r="P864" s="2286">
        <v>21880000</v>
      </c>
      <c r="Q864" s="2590">
        <v>3</v>
      </c>
      <c r="R864" s="1387"/>
      <c r="S864" s="2590">
        <v>3</v>
      </c>
      <c r="T864" s="1388">
        <v>0</v>
      </c>
      <c r="U864" s="2516">
        <v>3</v>
      </c>
      <c r="V864" s="2307">
        <v>3250000</v>
      </c>
      <c r="W864" s="2591"/>
      <c r="X864" s="1387"/>
      <c r="Y864" s="1396">
        <f t="shared" si="264"/>
        <v>9</v>
      </c>
      <c r="Z864" s="2307">
        <f t="shared" si="263"/>
        <v>3250000</v>
      </c>
      <c r="AA864" s="2487">
        <f t="shared" si="265"/>
        <v>33</v>
      </c>
      <c r="AB864" s="2307">
        <f t="shared" si="266"/>
        <v>34220500</v>
      </c>
      <c r="AC864" s="2480">
        <f t="shared" si="267"/>
        <v>45.833333333333329</v>
      </c>
      <c r="AD864" s="2574">
        <f t="shared" si="268"/>
        <v>2.6164462114840585</v>
      </c>
      <c r="AE864" s="2207"/>
      <c r="AF864" s="639"/>
      <c r="AG864" s="639"/>
      <c r="AH864" s="639"/>
      <c r="AI864" s="639"/>
      <c r="AJ864" s="639"/>
      <c r="AK864" s="639"/>
      <c r="AL864" s="639"/>
      <c r="AM864" s="639"/>
      <c r="AN864" s="639"/>
      <c r="AO864" s="639"/>
      <c r="AP864" s="639"/>
      <c r="AQ864" s="639"/>
      <c r="AR864" s="639"/>
      <c r="AS864" s="639"/>
      <c r="AT864" s="639"/>
      <c r="AU864" s="639"/>
      <c r="AV864" s="639"/>
      <c r="AW864" s="639"/>
      <c r="AX864" s="639"/>
      <c r="AY864" s="639"/>
      <c r="AZ864" s="639"/>
      <c r="BA864" s="639"/>
      <c r="BB864" s="639"/>
      <c r="BC864" s="639"/>
      <c r="BD864" s="639"/>
      <c r="BE864" s="639"/>
      <c r="BF864" s="639"/>
      <c r="BG864" s="639"/>
      <c r="BH864" s="639"/>
      <c r="BI864" s="639"/>
      <c r="BJ864" s="639"/>
      <c r="BK864" s="639"/>
      <c r="BL864" s="639"/>
      <c r="BM864" s="639"/>
      <c r="BN864" s="639"/>
      <c r="BO864" s="639"/>
      <c r="BP864" s="639"/>
      <c r="BQ864" s="639"/>
      <c r="BR864" s="639"/>
      <c r="BS864" s="639"/>
      <c r="BT864" s="639"/>
      <c r="BU864" s="639"/>
      <c r="BV864" s="639"/>
      <c r="BW864" s="639"/>
      <c r="BX864" s="639"/>
    </row>
    <row r="865" spans="1:76" s="2548" customFormat="1" ht="37.5" customHeight="1">
      <c r="A865" s="2516"/>
      <c r="B865" s="2516"/>
      <c r="C865" s="2448" t="s">
        <v>146</v>
      </c>
      <c r="D865" s="2448" t="s">
        <v>65</v>
      </c>
      <c r="E865" s="2448" t="s">
        <v>66</v>
      </c>
      <c r="F865" s="2448" t="s">
        <v>202</v>
      </c>
      <c r="G865" s="2207"/>
      <c r="H865" s="2207"/>
      <c r="I865" s="3168" t="s">
        <v>203</v>
      </c>
      <c r="J865" s="2516" t="s">
        <v>3707</v>
      </c>
      <c r="K865" s="1396">
        <v>72</v>
      </c>
      <c r="L865" s="2286">
        <v>249965100</v>
      </c>
      <c r="M865" s="1396">
        <v>24</v>
      </c>
      <c r="N865" s="2286">
        <v>77185030</v>
      </c>
      <c r="O865" s="2487">
        <v>12</v>
      </c>
      <c r="P865" s="2286">
        <v>34097870</v>
      </c>
      <c r="Q865" s="2590">
        <v>3</v>
      </c>
      <c r="R865" s="1387">
        <v>3724500</v>
      </c>
      <c r="S865" s="2590">
        <v>3</v>
      </c>
      <c r="T865" s="1388">
        <v>2608190</v>
      </c>
      <c r="U865" s="2516">
        <v>3</v>
      </c>
      <c r="V865" s="2307">
        <v>13183721</v>
      </c>
      <c r="W865" s="2591"/>
      <c r="X865" s="1387"/>
      <c r="Y865" s="1396">
        <f t="shared" si="264"/>
        <v>9</v>
      </c>
      <c r="Z865" s="2307">
        <f t="shared" si="263"/>
        <v>19516411</v>
      </c>
      <c r="AA865" s="2487">
        <f t="shared" si="265"/>
        <v>33</v>
      </c>
      <c r="AB865" s="2307">
        <f t="shared" si="266"/>
        <v>96701441</v>
      </c>
      <c r="AC865" s="2480">
        <f t="shared" si="267"/>
        <v>45.833333333333329</v>
      </c>
      <c r="AD865" s="2574">
        <f t="shared" si="268"/>
        <v>38.685976962383947</v>
      </c>
      <c r="AE865" s="2207"/>
      <c r="AF865" s="639"/>
      <c r="AG865" s="639"/>
      <c r="AH865" s="639"/>
      <c r="AI865" s="639"/>
      <c r="AJ865" s="639"/>
      <c r="AK865" s="639"/>
      <c r="AL865" s="639"/>
      <c r="AM865" s="639"/>
      <c r="AN865" s="639"/>
      <c r="AO865" s="639"/>
      <c r="AP865" s="639"/>
      <c r="AQ865" s="639"/>
      <c r="AR865" s="639"/>
      <c r="AS865" s="639"/>
      <c r="AT865" s="639"/>
      <c r="AU865" s="639"/>
      <c r="AV865" s="639"/>
      <c r="AW865" s="639"/>
      <c r="AX865" s="639"/>
      <c r="AY865" s="639"/>
      <c r="AZ865" s="639"/>
      <c r="BA865" s="639"/>
      <c r="BB865" s="639"/>
      <c r="BC865" s="639"/>
      <c r="BD865" s="639"/>
      <c r="BE865" s="639"/>
      <c r="BF865" s="639"/>
      <c r="BG865" s="639"/>
      <c r="BH865" s="639"/>
      <c r="BI865" s="639"/>
      <c r="BJ865" s="639"/>
      <c r="BK865" s="639"/>
      <c r="BL865" s="639"/>
      <c r="BM865" s="639"/>
      <c r="BN865" s="639"/>
      <c r="BO865" s="639"/>
      <c r="BP865" s="639"/>
      <c r="BQ865" s="639"/>
      <c r="BR865" s="639"/>
      <c r="BS865" s="639"/>
      <c r="BT865" s="639"/>
      <c r="BU865" s="639"/>
      <c r="BV865" s="639"/>
      <c r="BW865" s="639"/>
      <c r="BX865" s="639"/>
    </row>
    <row r="866" spans="1:76" s="639" customFormat="1" ht="57.75" customHeight="1">
      <c r="A866" s="2516"/>
      <c r="B866" s="2516"/>
      <c r="C866" s="2448" t="s">
        <v>146</v>
      </c>
      <c r="D866" s="2448" t="s">
        <v>65</v>
      </c>
      <c r="E866" s="2448" t="s">
        <v>66</v>
      </c>
      <c r="F866" s="2448" t="s">
        <v>417</v>
      </c>
      <c r="G866" s="2207"/>
      <c r="H866" s="2207"/>
      <c r="I866" s="3168" t="s">
        <v>204</v>
      </c>
      <c r="J866" s="2516" t="s">
        <v>3708</v>
      </c>
      <c r="K866" s="1396">
        <v>72</v>
      </c>
      <c r="L866" s="2286">
        <v>515573400</v>
      </c>
      <c r="M866" s="1396">
        <v>24</v>
      </c>
      <c r="N866" s="2286">
        <v>142130320</v>
      </c>
      <c r="O866" s="2487">
        <v>12</v>
      </c>
      <c r="P866" s="2286">
        <v>30550600</v>
      </c>
      <c r="Q866" s="2590">
        <v>3</v>
      </c>
      <c r="R866" s="1387">
        <v>2780000</v>
      </c>
      <c r="S866" s="2590">
        <v>3</v>
      </c>
      <c r="T866" s="1388">
        <v>2780000</v>
      </c>
      <c r="U866" s="2516">
        <v>3</v>
      </c>
      <c r="V866" s="2307">
        <v>9863800</v>
      </c>
      <c r="W866" s="2591"/>
      <c r="X866" s="1387"/>
      <c r="Y866" s="1396">
        <f t="shared" si="264"/>
        <v>9</v>
      </c>
      <c r="Z866" s="2307">
        <f t="shared" si="263"/>
        <v>15423800</v>
      </c>
      <c r="AA866" s="2487">
        <f t="shared" si="265"/>
        <v>33</v>
      </c>
      <c r="AB866" s="2307">
        <f t="shared" si="266"/>
        <v>157554120</v>
      </c>
      <c r="AC866" s="2480">
        <f t="shared" si="267"/>
        <v>45.833333333333329</v>
      </c>
      <c r="AD866" s="2574">
        <f t="shared" si="268"/>
        <v>30.559008668794785</v>
      </c>
      <c r="AE866" s="2207"/>
    </row>
    <row r="867" spans="1:76" s="2548" customFormat="1" ht="57.75" customHeight="1">
      <c r="A867" s="2516"/>
      <c r="B867" s="2516"/>
      <c r="C867" s="2448" t="s">
        <v>146</v>
      </c>
      <c r="D867" s="2448" t="s">
        <v>65</v>
      </c>
      <c r="E867" s="2448" t="s">
        <v>66</v>
      </c>
      <c r="F867" s="2448" t="s">
        <v>160</v>
      </c>
      <c r="G867" s="2207"/>
      <c r="H867" s="2207"/>
      <c r="I867" s="3168" t="s">
        <v>205</v>
      </c>
      <c r="J867" s="2516" t="s">
        <v>3845</v>
      </c>
      <c r="K867" s="1396">
        <v>72</v>
      </c>
      <c r="L867" s="2286">
        <v>63682000</v>
      </c>
      <c r="M867" s="1396">
        <v>24</v>
      </c>
      <c r="N867" s="2286">
        <v>17707000</v>
      </c>
      <c r="O867" s="2487">
        <v>12</v>
      </c>
      <c r="P867" s="2286">
        <v>17079910</v>
      </c>
      <c r="Q867" s="2590">
        <v>3</v>
      </c>
      <c r="R867" s="1387">
        <v>692238</v>
      </c>
      <c r="S867" s="2590">
        <v>3</v>
      </c>
      <c r="T867" s="1388">
        <v>0</v>
      </c>
      <c r="U867" s="2516">
        <v>3</v>
      </c>
      <c r="V867" s="2307">
        <v>494374</v>
      </c>
      <c r="W867" s="2591"/>
      <c r="X867" s="1387"/>
      <c r="Y867" s="1396">
        <f t="shared" si="264"/>
        <v>9</v>
      </c>
      <c r="Z867" s="2307">
        <f t="shared" si="263"/>
        <v>1186612</v>
      </c>
      <c r="AA867" s="2487">
        <f t="shared" si="265"/>
        <v>33</v>
      </c>
      <c r="AB867" s="2307">
        <f t="shared" si="266"/>
        <v>18893612</v>
      </c>
      <c r="AC867" s="2480">
        <f t="shared" si="267"/>
        <v>45.833333333333329</v>
      </c>
      <c r="AD867" s="2574">
        <f t="shared" si="268"/>
        <v>29.668685028736537</v>
      </c>
      <c r="AE867" s="2207"/>
      <c r="AF867" s="639"/>
      <c r="AG867" s="639"/>
      <c r="AH867" s="639"/>
      <c r="AI867" s="639"/>
      <c r="AJ867" s="639"/>
      <c r="AK867" s="639"/>
      <c r="AL867" s="639"/>
      <c r="AM867" s="639"/>
      <c r="AN867" s="639"/>
      <c r="AO867" s="639"/>
      <c r="AP867" s="639"/>
      <c r="AQ867" s="639"/>
      <c r="AR867" s="639"/>
      <c r="AS867" s="639"/>
      <c r="AT867" s="639"/>
      <c r="AU867" s="639"/>
      <c r="AV867" s="639"/>
      <c r="AW867" s="639"/>
      <c r="AX867" s="639"/>
      <c r="AY867" s="639"/>
      <c r="AZ867" s="639"/>
      <c r="BA867" s="639"/>
      <c r="BB867" s="639"/>
      <c r="BC867" s="639"/>
      <c r="BD867" s="639"/>
      <c r="BE867" s="639"/>
      <c r="BF867" s="639"/>
      <c r="BG867" s="639"/>
      <c r="BH867" s="639"/>
      <c r="BI867" s="639"/>
      <c r="BJ867" s="639"/>
      <c r="BK867" s="639"/>
      <c r="BL867" s="639"/>
      <c r="BM867" s="639"/>
      <c r="BN867" s="639"/>
      <c r="BO867" s="639"/>
      <c r="BP867" s="639"/>
      <c r="BQ867" s="639"/>
      <c r="BR867" s="639"/>
      <c r="BS867" s="639"/>
      <c r="BT867" s="639"/>
      <c r="BU867" s="639"/>
      <c r="BV867" s="639"/>
      <c r="BW867" s="639"/>
      <c r="BX867" s="639"/>
    </row>
    <row r="868" spans="1:76" s="2548" customFormat="1" ht="57.75" customHeight="1">
      <c r="A868" s="2516"/>
      <c r="B868" s="2516"/>
      <c r="C868" s="2448" t="s">
        <v>146</v>
      </c>
      <c r="D868" s="2448" t="s">
        <v>65</v>
      </c>
      <c r="E868" s="2448" t="s">
        <v>66</v>
      </c>
      <c r="F868" s="2448" t="s">
        <v>155</v>
      </c>
      <c r="G868" s="2207"/>
      <c r="H868" s="2207"/>
      <c r="I868" s="3168" t="s">
        <v>533</v>
      </c>
      <c r="J868" s="2516" t="s">
        <v>3846</v>
      </c>
      <c r="K868" s="1396">
        <v>72</v>
      </c>
      <c r="L868" s="2286">
        <v>122400000</v>
      </c>
      <c r="M868" s="1396">
        <v>24</v>
      </c>
      <c r="N868" s="2286">
        <v>35800000</v>
      </c>
      <c r="O868" s="2487">
        <v>12</v>
      </c>
      <c r="P868" s="2286">
        <v>14500000</v>
      </c>
      <c r="Q868" s="2590">
        <v>3</v>
      </c>
      <c r="R868" s="1387">
        <v>720000</v>
      </c>
      <c r="S868" s="2590">
        <v>3</v>
      </c>
      <c r="T868" s="1388">
        <v>4500000</v>
      </c>
      <c r="U868" s="2516">
        <v>3</v>
      </c>
      <c r="V868" s="2307">
        <v>1440000</v>
      </c>
      <c r="W868" s="2591"/>
      <c r="X868" s="1387"/>
      <c r="Y868" s="1396">
        <f t="shared" si="264"/>
        <v>9</v>
      </c>
      <c r="Z868" s="2307">
        <f t="shared" si="263"/>
        <v>6660000</v>
      </c>
      <c r="AA868" s="2487">
        <f t="shared" si="265"/>
        <v>33</v>
      </c>
      <c r="AB868" s="2307">
        <f t="shared" si="266"/>
        <v>42460000</v>
      </c>
      <c r="AC868" s="2480">
        <f t="shared" si="267"/>
        <v>45.833333333333329</v>
      </c>
      <c r="AD868" s="2574">
        <f t="shared" si="268"/>
        <v>34.689542483660126</v>
      </c>
      <c r="AE868" s="2207"/>
      <c r="AF868" s="639"/>
      <c r="AG868" s="639"/>
      <c r="AH868" s="639"/>
      <c r="AI868" s="639"/>
      <c r="AJ868" s="639"/>
      <c r="AK868" s="639"/>
      <c r="AL868" s="639"/>
      <c r="AM868" s="639"/>
      <c r="AN868" s="639"/>
      <c r="AO868" s="639"/>
      <c r="AP868" s="639"/>
      <c r="AQ868" s="639"/>
      <c r="AR868" s="639"/>
      <c r="AS868" s="639"/>
      <c r="AT868" s="639"/>
      <c r="AU868" s="639"/>
      <c r="AV868" s="639"/>
      <c r="AW868" s="639"/>
      <c r="AX868" s="639"/>
      <c r="AY868" s="639"/>
      <c r="AZ868" s="639"/>
      <c r="BA868" s="639"/>
      <c r="BB868" s="639"/>
      <c r="BC868" s="639"/>
      <c r="BD868" s="639"/>
      <c r="BE868" s="639"/>
      <c r="BF868" s="639"/>
      <c r="BG868" s="639"/>
      <c r="BH868" s="639"/>
      <c r="BI868" s="639"/>
      <c r="BJ868" s="639"/>
      <c r="BK868" s="639"/>
      <c r="BL868" s="639"/>
      <c r="BM868" s="639"/>
      <c r="BN868" s="639"/>
      <c r="BO868" s="639"/>
      <c r="BP868" s="639"/>
      <c r="BQ868" s="639"/>
      <c r="BR868" s="639"/>
      <c r="BS868" s="639"/>
      <c r="BT868" s="639"/>
      <c r="BU868" s="639"/>
      <c r="BV868" s="639"/>
      <c r="BW868" s="639"/>
      <c r="BX868" s="639"/>
    </row>
    <row r="869" spans="1:76" s="639" customFormat="1" ht="51.75" customHeight="1">
      <c r="A869" s="2516"/>
      <c r="B869" s="2516"/>
      <c r="C869" s="2448" t="s">
        <v>146</v>
      </c>
      <c r="D869" s="2448" t="s">
        <v>65</v>
      </c>
      <c r="E869" s="2448" t="s">
        <v>66</v>
      </c>
      <c r="F869" s="2448" t="s">
        <v>448</v>
      </c>
      <c r="G869" s="2207"/>
      <c r="H869" s="2207"/>
      <c r="I869" s="3168" t="s">
        <v>206</v>
      </c>
      <c r="J869" s="2516" t="s">
        <v>3711</v>
      </c>
      <c r="K869" s="1396">
        <v>72</v>
      </c>
      <c r="L869" s="2286">
        <v>202150000</v>
      </c>
      <c r="M869" s="1396">
        <v>24</v>
      </c>
      <c r="N869" s="2286">
        <v>45797500</v>
      </c>
      <c r="O869" s="2487">
        <v>12</v>
      </c>
      <c r="P869" s="2286">
        <v>49850000</v>
      </c>
      <c r="Q869" s="2590">
        <v>3</v>
      </c>
      <c r="R869" s="1387">
        <v>4930200</v>
      </c>
      <c r="S869" s="2590">
        <v>3</v>
      </c>
      <c r="T869" s="1388">
        <v>2750000</v>
      </c>
      <c r="U869" s="2516">
        <v>3</v>
      </c>
      <c r="V869" s="2307">
        <v>13190000</v>
      </c>
      <c r="W869" s="2591"/>
      <c r="X869" s="1387"/>
      <c r="Y869" s="1396">
        <f t="shared" si="264"/>
        <v>9</v>
      </c>
      <c r="Z869" s="2307">
        <f t="shared" si="263"/>
        <v>20870200</v>
      </c>
      <c r="AA869" s="2487">
        <f t="shared" si="265"/>
        <v>33</v>
      </c>
      <c r="AB869" s="2307">
        <f t="shared" si="266"/>
        <v>66667700</v>
      </c>
      <c r="AC869" s="2480">
        <f t="shared" si="267"/>
        <v>45.833333333333329</v>
      </c>
      <c r="AD869" s="2574">
        <f t="shared" si="268"/>
        <v>32.979322285431614</v>
      </c>
      <c r="AE869" s="2207"/>
    </row>
    <row r="870" spans="1:76" s="2548" customFormat="1" ht="60" customHeight="1">
      <c r="A870" s="2516"/>
      <c r="B870" s="2516"/>
      <c r="C870" s="2448" t="s">
        <v>146</v>
      </c>
      <c r="D870" s="2448" t="s">
        <v>65</v>
      </c>
      <c r="E870" s="2448" t="s">
        <v>66</v>
      </c>
      <c r="F870" s="2448" t="s">
        <v>167</v>
      </c>
      <c r="G870" s="2207"/>
      <c r="H870" s="2207"/>
      <c r="I870" s="3168" t="s">
        <v>207</v>
      </c>
      <c r="J870" s="2516" t="s">
        <v>3847</v>
      </c>
      <c r="K870" s="1396">
        <v>72</v>
      </c>
      <c r="L870" s="2286">
        <v>1419650000</v>
      </c>
      <c r="M870" s="1396">
        <v>24</v>
      </c>
      <c r="N870" s="2286">
        <v>344217400</v>
      </c>
      <c r="O870" s="2487">
        <v>12</v>
      </c>
      <c r="P870" s="2286">
        <v>115350000</v>
      </c>
      <c r="Q870" s="2590">
        <v>3</v>
      </c>
      <c r="R870" s="1387">
        <v>38328200</v>
      </c>
      <c r="S870" s="2590">
        <v>3</v>
      </c>
      <c r="T870" s="1388">
        <v>14023000</v>
      </c>
      <c r="U870" s="2516">
        <v>3</v>
      </c>
      <c r="V870" s="2307">
        <v>13256600</v>
      </c>
      <c r="W870" s="2591"/>
      <c r="X870" s="1387"/>
      <c r="Y870" s="1396">
        <f t="shared" si="264"/>
        <v>9</v>
      </c>
      <c r="Z870" s="2307">
        <f t="shared" si="263"/>
        <v>65607800</v>
      </c>
      <c r="AA870" s="2487">
        <f t="shared" si="265"/>
        <v>33</v>
      </c>
      <c r="AB870" s="2307">
        <f t="shared" si="266"/>
        <v>409825200</v>
      </c>
      <c r="AC870" s="2480">
        <f t="shared" si="267"/>
        <v>45.833333333333329</v>
      </c>
      <c r="AD870" s="2574">
        <f t="shared" si="268"/>
        <v>28.868044940654386</v>
      </c>
      <c r="AE870" s="2207"/>
      <c r="AF870" s="639"/>
      <c r="AG870" s="639"/>
      <c r="AH870" s="639"/>
      <c r="AI870" s="639"/>
      <c r="AJ870" s="639"/>
      <c r="AK870" s="639"/>
      <c r="AL870" s="639"/>
      <c r="AM870" s="639"/>
      <c r="AN870" s="639"/>
      <c r="AO870" s="639"/>
      <c r="AP870" s="639"/>
      <c r="AQ870" s="639"/>
      <c r="AR870" s="639"/>
      <c r="AS870" s="639"/>
      <c r="AT870" s="639"/>
      <c r="AU870" s="639"/>
      <c r="AV870" s="639"/>
      <c r="AW870" s="639"/>
      <c r="AX870" s="639"/>
      <c r="AY870" s="639"/>
      <c r="AZ870" s="639"/>
      <c r="BA870" s="639"/>
      <c r="BB870" s="639"/>
      <c r="BC870" s="639"/>
      <c r="BD870" s="639"/>
      <c r="BE870" s="639"/>
      <c r="BF870" s="639"/>
      <c r="BG870" s="639"/>
      <c r="BH870" s="639"/>
      <c r="BI870" s="639"/>
      <c r="BJ870" s="639"/>
      <c r="BK870" s="639"/>
      <c r="BL870" s="639"/>
      <c r="BM870" s="639"/>
      <c r="BN870" s="639"/>
      <c r="BO870" s="639"/>
      <c r="BP870" s="639"/>
      <c r="BQ870" s="639"/>
      <c r="BR870" s="639"/>
      <c r="BS870" s="639"/>
      <c r="BT870" s="639"/>
      <c r="BU870" s="639"/>
      <c r="BV870" s="639"/>
      <c r="BW870" s="639"/>
      <c r="BX870" s="639"/>
    </row>
    <row r="871" spans="1:76" s="2548" customFormat="1" ht="60" customHeight="1">
      <c r="A871" s="2516"/>
      <c r="B871" s="2516"/>
      <c r="C871" s="2448" t="s">
        <v>146</v>
      </c>
      <c r="D871" s="2448" t="s">
        <v>65</v>
      </c>
      <c r="E871" s="2448" t="s">
        <v>66</v>
      </c>
      <c r="F871" s="2448" t="s">
        <v>376</v>
      </c>
      <c r="G871" s="2207"/>
      <c r="H871" s="2207"/>
      <c r="I871" s="3168" t="s">
        <v>208</v>
      </c>
      <c r="J871" s="2516" t="s">
        <v>3848</v>
      </c>
      <c r="K871" s="1396">
        <v>72</v>
      </c>
      <c r="L871" s="2286">
        <v>1062200000</v>
      </c>
      <c r="M871" s="1396">
        <v>24</v>
      </c>
      <c r="N871" s="2286">
        <v>316250000</v>
      </c>
      <c r="O871" s="2487">
        <v>12</v>
      </c>
      <c r="P871" s="2286">
        <v>63900000</v>
      </c>
      <c r="Q871" s="2590">
        <v>3</v>
      </c>
      <c r="R871" s="1387">
        <v>9500000</v>
      </c>
      <c r="S871" s="2590">
        <v>3</v>
      </c>
      <c r="T871" s="1388">
        <v>7175000</v>
      </c>
      <c r="U871" s="2516">
        <v>3</v>
      </c>
      <c r="V871" s="2307">
        <v>2975000</v>
      </c>
      <c r="W871" s="2591"/>
      <c r="X871" s="1387"/>
      <c r="Y871" s="1396">
        <f t="shared" si="264"/>
        <v>9</v>
      </c>
      <c r="Z871" s="2307">
        <f t="shared" si="263"/>
        <v>19650000</v>
      </c>
      <c r="AA871" s="2487">
        <f t="shared" si="265"/>
        <v>33</v>
      </c>
      <c r="AB871" s="2307">
        <f t="shared" si="266"/>
        <v>335900000</v>
      </c>
      <c r="AC871" s="2480">
        <f t="shared" si="267"/>
        <v>45.833333333333329</v>
      </c>
      <c r="AD871" s="2574">
        <f t="shared" si="268"/>
        <v>31.623046507249104</v>
      </c>
      <c r="AE871" s="2207"/>
      <c r="AF871" s="639"/>
      <c r="AG871" s="639"/>
      <c r="AH871" s="639"/>
      <c r="AI871" s="639"/>
      <c r="AJ871" s="639"/>
      <c r="AK871" s="639"/>
      <c r="AL871" s="639"/>
      <c r="AM871" s="639"/>
      <c r="AN871" s="639"/>
      <c r="AO871" s="639"/>
      <c r="AP871" s="639"/>
      <c r="AQ871" s="639"/>
      <c r="AR871" s="639"/>
      <c r="AS871" s="639"/>
      <c r="AT871" s="639"/>
      <c r="AU871" s="639"/>
      <c r="AV871" s="639"/>
      <c r="AW871" s="639"/>
      <c r="AX871" s="639"/>
      <c r="AY871" s="639"/>
      <c r="AZ871" s="639"/>
      <c r="BA871" s="639"/>
      <c r="BB871" s="639"/>
      <c r="BC871" s="639"/>
      <c r="BD871" s="639"/>
      <c r="BE871" s="639"/>
      <c r="BF871" s="639"/>
      <c r="BG871" s="639"/>
      <c r="BH871" s="639"/>
      <c r="BI871" s="639"/>
      <c r="BJ871" s="639"/>
      <c r="BK871" s="639"/>
      <c r="BL871" s="639"/>
      <c r="BM871" s="639"/>
      <c r="BN871" s="639"/>
      <c r="BO871" s="639"/>
      <c r="BP871" s="639"/>
      <c r="BQ871" s="639"/>
      <c r="BR871" s="639"/>
      <c r="BS871" s="639"/>
      <c r="BT871" s="639"/>
      <c r="BU871" s="639"/>
      <c r="BV871" s="639"/>
      <c r="BW871" s="639"/>
      <c r="BX871" s="639"/>
    </row>
    <row r="872" spans="1:76" s="2606" customFormat="1" ht="60" customHeight="1">
      <c r="A872" s="2516"/>
      <c r="B872" s="2516"/>
      <c r="C872" s="2448" t="s">
        <v>146</v>
      </c>
      <c r="D872" s="2448" t="s">
        <v>65</v>
      </c>
      <c r="E872" s="2448" t="s">
        <v>66</v>
      </c>
      <c r="F872" s="2448" t="s">
        <v>163</v>
      </c>
      <c r="G872" s="2207"/>
      <c r="H872" s="2207"/>
      <c r="I872" s="3168" t="s">
        <v>538</v>
      </c>
      <c r="J872" s="2516" t="s">
        <v>3849</v>
      </c>
      <c r="K872" s="1396">
        <v>72</v>
      </c>
      <c r="L872" s="2286">
        <v>351260000</v>
      </c>
      <c r="M872" s="1396">
        <v>24</v>
      </c>
      <c r="N872" s="2286">
        <v>90842760</v>
      </c>
      <c r="O872" s="2487">
        <v>12</v>
      </c>
      <c r="P872" s="2286">
        <v>114130950</v>
      </c>
      <c r="Q872" s="2590">
        <v>3</v>
      </c>
      <c r="R872" s="1387">
        <v>11232670</v>
      </c>
      <c r="S872" s="2590">
        <v>3</v>
      </c>
      <c r="T872" s="1388">
        <v>0</v>
      </c>
      <c r="U872" s="2516">
        <v>3</v>
      </c>
      <c r="V872" s="2307">
        <v>19507530</v>
      </c>
      <c r="W872" s="2591"/>
      <c r="X872" s="1387"/>
      <c r="Y872" s="1396">
        <f t="shared" si="264"/>
        <v>9</v>
      </c>
      <c r="Z872" s="2307">
        <f t="shared" si="263"/>
        <v>30740200</v>
      </c>
      <c r="AA872" s="2487">
        <f t="shared" si="265"/>
        <v>33</v>
      </c>
      <c r="AB872" s="2307">
        <f t="shared" si="266"/>
        <v>121582960</v>
      </c>
      <c r="AC872" s="2480">
        <f t="shared" si="267"/>
        <v>45.833333333333329</v>
      </c>
      <c r="AD872" s="2574">
        <f t="shared" si="268"/>
        <v>34.613380401981438</v>
      </c>
      <c r="AE872" s="2207"/>
      <c r="AF872" s="2647"/>
      <c r="AG872" s="2647"/>
      <c r="AH872" s="2647"/>
      <c r="AI872" s="2647"/>
      <c r="AJ872" s="2647"/>
      <c r="AK872" s="2647"/>
      <c r="AL872" s="2647"/>
      <c r="AM872" s="2647"/>
      <c r="AN872" s="2647"/>
      <c r="AO872" s="2647"/>
      <c r="AP872" s="2647"/>
      <c r="AQ872" s="2647"/>
      <c r="AR872" s="2647"/>
      <c r="AS872" s="2647"/>
      <c r="AT872" s="2647"/>
      <c r="AU872" s="2647"/>
      <c r="AV872" s="2647"/>
      <c r="AW872" s="2647"/>
      <c r="AX872" s="2647"/>
      <c r="AY872" s="2647"/>
      <c r="AZ872" s="2647"/>
      <c r="BA872" s="2647"/>
      <c r="BB872" s="2647"/>
      <c r="BC872" s="2647"/>
      <c r="BD872" s="2647"/>
      <c r="BE872" s="2647"/>
      <c r="BF872" s="2647"/>
      <c r="BG872" s="2647"/>
      <c r="BH872" s="2647"/>
      <c r="BI872" s="2647"/>
      <c r="BJ872" s="2647"/>
      <c r="BK872" s="2647"/>
      <c r="BL872" s="2647"/>
      <c r="BM872" s="2647"/>
      <c r="BN872" s="2647"/>
      <c r="BO872" s="2647"/>
      <c r="BP872" s="2647"/>
      <c r="BQ872" s="2647"/>
      <c r="BR872" s="2647"/>
      <c r="BS872" s="2647"/>
      <c r="BT872" s="2647"/>
      <c r="BU872" s="2647"/>
      <c r="BV872" s="2647"/>
      <c r="BW872" s="2647"/>
      <c r="BX872" s="2647"/>
    </row>
    <row r="873" spans="1:76" s="2321" customFormat="1" ht="46.5" customHeight="1">
      <c r="A873" s="2516"/>
      <c r="B873" s="2516"/>
      <c r="C873" s="2448" t="s">
        <v>146</v>
      </c>
      <c r="D873" s="2448" t="s">
        <v>65</v>
      </c>
      <c r="E873" s="2448" t="s">
        <v>66</v>
      </c>
      <c r="F873" s="2448" t="s">
        <v>363</v>
      </c>
      <c r="G873" s="2207"/>
      <c r="H873" s="2207"/>
      <c r="I873" s="3168" t="s">
        <v>540</v>
      </c>
      <c r="J873" s="2516" t="s">
        <v>3850</v>
      </c>
      <c r="K873" s="1396">
        <v>72</v>
      </c>
      <c r="L873" s="2286">
        <v>78000000</v>
      </c>
      <c r="M873" s="1396">
        <v>24</v>
      </c>
      <c r="N873" s="2286">
        <v>26000000</v>
      </c>
      <c r="O873" s="2487">
        <v>12</v>
      </c>
      <c r="P873" s="2286">
        <v>13000000</v>
      </c>
      <c r="Q873" s="2590">
        <v>3</v>
      </c>
      <c r="R873" s="1387">
        <v>2000000</v>
      </c>
      <c r="S873" s="2590">
        <v>3</v>
      </c>
      <c r="T873" s="1388">
        <v>4000000</v>
      </c>
      <c r="U873" s="2516">
        <v>3</v>
      </c>
      <c r="V873" s="2307">
        <v>3000000</v>
      </c>
      <c r="W873" s="2591"/>
      <c r="X873" s="1387"/>
      <c r="Y873" s="2286">
        <f t="shared" si="264"/>
        <v>9</v>
      </c>
      <c r="Z873" s="2307">
        <f t="shared" si="263"/>
        <v>9000000</v>
      </c>
      <c r="AA873" s="2487">
        <f t="shared" si="265"/>
        <v>33</v>
      </c>
      <c r="AB873" s="2307">
        <f t="shared" si="266"/>
        <v>35000000</v>
      </c>
      <c r="AC873" s="2480">
        <f t="shared" si="267"/>
        <v>45.833333333333329</v>
      </c>
      <c r="AD873" s="2574">
        <f t="shared" si="268"/>
        <v>44.871794871794876</v>
      </c>
      <c r="AE873" s="2207"/>
      <c r="AF873" s="2320"/>
      <c r="AG873" s="2320"/>
      <c r="AH873" s="2320"/>
      <c r="AI873" s="2320"/>
      <c r="AJ873" s="2320"/>
      <c r="AK873" s="2320"/>
      <c r="AL873" s="2320"/>
      <c r="AM873" s="2320"/>
      <c r="AN873" s="2320"/>
      <c r="AO873" s="2320"/>
      <c r="AP873" s="2320"/>
      <c r="AQ873" s="2320"/>
      <c r="AR873" s="2320"/>
      <c r="AS873" s="2320"/>
      <c r="AT873" s="2320"/>
      <c r="AU873" s="2320"/>
      <c r="AV873" s="2320"/>
      <c r="AW873" s="2320"/>
      <c r="AX873" s="2320"/>
      <c r="AY873" s="2320"/>
      <c r="AZ873" s="2320"/>
      <c r="BA873" s="2320"/>
      <c r="BB873" s="2320"/>
      <c r="BC873" s="2320"/>
      <c r="BD873" s="2320"/>
      <c r="BE873" s="2320"/>
      <c r="BF873" s="2320"/>
      <c r="BG873" s="2320"/>
      <c r="BH873" s="2320"/>
      <c r="BI873" s="2320"/>
      <c r="BJ873" s="2320"/>
      <c r="BK873" s="2320"/>
      <c r="BL873" s="2320"/>
      <c r="BM873" s="2320"/>
      <c r="BN873" s="2320"/>
      <c r="BO873" s="2320"/>
      <c r="BP873" s="2320"/>
      <c r="BQ873" s="2320"/>
      <c r="BR873" s="2320"/>
      <c r="BS873" s="2320"/>
      <c r="BT873" s="2320"/>
      <c r="BU873" s="2320"/>
      <c r="BV873" s="2320"/>
      <c r="BW873" s="2320"/>
      <c r="BX873" s="2320"/>
    </row>
    <row r="874" spans="1:76" s="2320" customFormat="1" ht="73.5" customHeight="1">
      <c r="A874" s="2335">
        <v>2</v>
      </c>
      <c r="B874" s="2363"/>
      <c r="C874" s="2374" t="s">
        <v>146</v>
      </c>
      <c r="D874" s="2374" t="s">
        <v>65</v>
      </c>
      <c r="E874" s="2374" t="s">
        <v>65</v>
      </c>
      <c r="F874" s="3795"/>
      <c r="G874" s="3795"/>
      <c r="H874" s="2595"/>
      <c r="I874" s="2359" t="s">
        <v>162</v>
      </c>
      <c r="J874" s="2335" t="s">
        <v>542</v>
      </c>
      <c r="K874" s="3162">
        <v>100</v>
      </c>
      <c r="L874" s="2442">
        <f>SUM(L875:L877)</f>
        <v>2954809000</v>
      </c>
      <c r="M874" s="2596">
        <v>40</v>
      </c>
      <c r="N874" s="2442">
        <f>SUM(N875:N877)</f>
        <v>1139091550</v>
      </c>
      <c r="O874" s="2598">
        <v>20</v>
      </c>
      <c r="P874" s="2442">
        <f>SUM(P875:P877)</f>
        <v>493262539</v>
      </c>
      <c r="Q874" s="2596">
        <v>5</v>
      </c>
      <c r="R874" s="2340">
        <f>SUM(R875:R877)</f>
        <v>62195962</v>
      </c>
      <c r="S874" s="2929">
        <v>3</v>
      </c>
      <c r="T874" s="2340">
        <f>SUM(T876:T877)</f>
        <v>53698077</v>
      </c>
      <c r="U874" s="2593">
        <v>3</v>
      </c>
      <c r="V874" s="2342">
        <f>SUM(V876:V877)</f>
        <v>67172345</v>
      </c>
      <c r="W874" s="2563"/>
      <c r="X874" s="2340"/>
      <c r="Y874" s="2596">
        <f t="shared" si="264"/>
        <v>11</v>
      </c>
      <c r="Z874" s="2342">
        <f t="shared" si="263"/>
        <v>183066384</v>
      </c>
      <c r="AA874" s="2508">
        <f t="shared" si="265"/>
        <v>51</v>
      </c>
      <c r="AB874" s="2342">
        <f t="shared" si="266"/>
        <v>1322157934</v>
      </c>
      <c r="AC874" s="2505">
        <f t="shared" si="267"/>
        <v>51</v>
      </c>
      <c r="AD874" s="2597">
        <f t="shared" si="268"/>
        <v>44.745969502597291</v>
      </c>
      <c r="AE874" s="3138" t="s">
        <v>522</v>
      </c>
    </row>
    <row r="875" spans="1:76" s="2320" customFormat="1" ht="47.25" customHeight="1">
      <c r="A875" s="2516"/>
      <c r="B875" s="2516"/>
      <c r="C875" s="2448" t="s">
        <v>146</v>
      </c>
      <c r="D875" s="2448" t="s">
        <v>65</v>
      </c>
      <c r="E875" s="2448" t="s">
        <v>65</v>
      </c>
      <c r="F875" s="2448" t="s">
        <v>161</v>
      </c>
      <c r="G875" s="2207"/>
      <c r="H875" s="3800"/>
      <c r="I875" s="3168" t="s">
        <v>543</v>
      </c>
      <c r="J875" s="2516" t="s">
        <v>544</v>
      </c>
      <c r="K875" s="1396">
        <v>4</v>
      </c>
      <c r="L875" s="2286">
        <v>800000000</v>
      </c>
      <c r="M875" s="2286">
        <v>0</v>
      </c>
      <c r="N875" s="2286">
        <v>532871100</v>
      </c>
      <c r="O875" s="1396">
        <v>1</v>
      </c>
      <c r="P875" s="2286">
        <v>56357539</v>
      </c>
      <c r="Q875" s="2286">
        <v>0</v>
      </c>
      <c r="R875" s="1387"/>
      <c r="S875" s="2593">
        <v>0</v>
      </c>
      <c r="T875" s="1388">
        <v>0</v>
      </c>
      <c r="U875" s="2593">
        <v>3</v>
      </c>
      <c r="V875" s="2307"/>
      <c r="W875" s="2591"/>
      <c r="X875" s="1387"/>
      <c r="Y875" s="1396">
        <f t="shared" si="264"/>
        <v>3</v>
      </c>
      <c r="Z875" s="2307">
        <f t="shared" si="263"/>
        <v>0</v>
      </c>
      <c r="AA875" s="2487">
        <f t="shared" si="265"/>
        <v>3</v>
      </c>
      <c r="AB875" s="2307">
        <f t="shared" si="266"/>
        <v>532871100</v>
      </c>
      <c r="AC875" s="2480">
        <f t="shared" si="267"/>
        <v>75</v>
      </c>
      <c r="AD875" s="2286">
        <f t="shared" si="268"/>
        <v>66.608887500000009</v>
      </c>
      <c r="AE875" s="2207"/>
    </row>
    <row r="876" spans="1:76" s="2320" customFormat="1" ht="46.5" customHeight="1">
      <c r="A876" s="2516"/>
      <c r="B876" s="2516"/>
      <c r="C876" s="2448" t="s">
        <v>146</v>
      </c>
      <c r="D876" s="2448" t="s">
        <v>65</v>
      </c>
      <c r="E876" s="2448" t="s">
        <v>65</v>
      </c>
      <c r="F876" s="2448" t="s">
        <v>163</v>
      </c>
      <c r="G876" s="2207"/>
      <c r="H876" s="3800"/>
      <c r="I876" s="2516" t="s">
        <v>545</v>
      </c>
      <c r="J876" s="2516" t="s">
        <v>546</v>
      </c>
      <c r="K876" s="1396">
        <v>72</v>
      </c>
      <c r="L876" s="2286">
        <v>508500000</v>
      </c>
      <c r="M876" s="2592">
        <v>24</v>
      </c>
      <c r="N876" s="2286">
        <v>167250000</v>
      </c>
      <c r="O876" s="2592">
        <v>12</v>
      </c>
      <c r="P876" s="2286">
        <v>83600000</v>
      </c>
      <c r="Q876" s="2601">
        <v>3</v>
      </c>
      <c r="R876" s="1387">
        <v>4000000</v>
      </c>
      <c r="S876" s="2593">
        <v>3</v>
      </c>
      <c r="T876" s="1388">
        <v>22993527</v>
      </c>
      <c r="U876" s="2593">
        <v>3</v>
      </c>
      <c r="V876" s="2307">
        <v>6000000</v>
      </c>
      <c r="W876" s="2591"/>
      <c r="X876" s="1387"/>
      <c r="Y876" s="2286">
        <f t="shared" si="264"/>
        <v>9</v>
      </c>
      <c r="Z876" s="2307">
        <f t="shared" si="263"/>
        <v>32993527</v>
      </c>
      <c r="AA876" s="2487">
        <f t="shared" si="265"/>
        <v>33</v>
      </c>
      <c r="AB876" s="2307">
        <f t="shared" si="266"/>
        <v>200243527</v>
      </c>
      <c r="AC876" s="2480">
        <f t="shared" si="267"/>
        <v>45.833333333333329</v>
      </c>
      <c r="AD876" s="2286">
        <f t="shared" si="268"/>
        <v>39.379258013765977</v>
      </c>
      <c r="AE876" s="2207"/>
    </row>
    <row r="877" spans="1:76" s="2320" customFormat="1" ht="70.5" customHeight="1">
      <c r="A877" s="2516"/>
      <c r="B877" s="2516"/>
      <c r="C877" s="2448" t="s">
        <v>146</v>
      </c>
      <c r="D877" s="2448" t="s">
        <v>65</v>
      </c>
      <c r="E877" s="2448" t="s">
        <v>65</v>
      </c>
      <c r="F877" s="2448" t="s">
        <v>165</v>
      </c>
      <c r="G877" s="2207"/>
      <c r="H877" s="3800"/>
      <c r="I877" s="3168" t="s">
        <v>547</v>
      </c>
      <c r="J877" s="2516" t="s">
        <v>3851</v>
      </c>
      <c r="K877" s="1396">
        <v>72</v>
      </c>
      <c r="L877" s="2286">
        <v>1646309000</v>
      </c>
      <c r="M877" s="2592">
        <v>24</v>
      </c>
      <c r="N877" s="2286">
        <v>438970450</v>
      </c>
      <c r="O877" s="2592">
        <v>12</v>
      </c>
      <c r="P877" s="2286">
        <v>353305000</v>
      </c>
      <c r="Q877" s="2286">
        <v>3</v>
      </c>
      <c r="R877" s="1387">
        <v>58195962</v>
      </c>
      <c r="S877" s="2593">
        <v>3</v>
      </c>
      <c r="T877" s="1388">
        <v>30704550</v>
      </c>
      <c r="U877" s="2593">
        <v>3</v>
      </c>
      <c r="V877" s="2307">
        <v>61172345</v>
      </c>
      <c r="W877" s="2591"/>
      <c r="X877" s="1387"/>
      <c r="Y877" s="1396">
        <f t="shared" si="264"/>
        <v>9</v>
      </c>
      <c r="Z877" s="2307">
        <f t="shared" si="263"/>
        <v>150072857</v>
      </c>
      <c r="AA877" s="2487">
        <f t="shared" si="265"/>
        <v>33</v>
      </c>
      <c r="AB877" s="2307">
        <f t="shared" si="266"/>
        <v>589043307</v>
      </c>
      <c r="AC877" s="2480">
        <f t="shared" si="267"/>
        <v>45.833333333333329</v>
      </c>
      <c r="AD877" s="2286">
        <f t="shared" si="268"/>
        <v>35.779632316897981</v>
      </c>
      <c r="AE877" s="2207"/>
    </row>
    <row r="878" spans="1:76" s="63" customFormat="1" ht="58.5" customHeight="1">
      <c r="A878" s="2335">
        <v>3</v>
      </c>
      <c r="B878" s="2363"/>
      <c r="C878" s="3795">
        <v>1</v>
      </c>
      <c r="D878" s="2374" t="s">
        <v>65</v>
      </c>
      <c r="E878" s="2374" t="s">
        <v>197</v>
      </c>
      <c r="F878" s="3795"/>
      <c r="G878" s="3795"/>
      <c r="H878" s="2595"/>
      <c r="I878" s="3156" t="s">
        <v>554</v>
      </c>
      <c r="J878" s="2335" t="s">
        <v>3852</v>
      </c>
      <c r="K878" s="3162">
        <f>K879</f>
        <v>24</v>
      </c>
      <c r="L878" s="2442">
        <f>L879</f>
        <v>507707790</v>
      </c>
      <c r="M878" s="3162">
        <f>M879</f>
        <v>8</v>
      </c>
      <c r="N878" s="2442">
        <v>165442416</v>
      </c>
      <c r="O878" s="3162">
        <f>O879</f>
        <v>4</v>
      </c>
      <c r="P878" s="2442">
        <f>P879</f>
        <v>131239036</v>
      </c>
      <c r="Q878" s="2596">
        <v>3</v>
      </c>
      <c r="R878" s="2340">
        <f>R879</f>
        <v>6732760</v>
      </c>
      <c r="S878" s="3025">
        <f>S879</f>
        <v>1</v>
      </c>
      <c r="T878" s="3159">
        <f>T879</f>
        <v>15175000</v>
      </c>
      <c r="U878" s="3138"/>
      <c r="V878" s="3249">
        <f>SUM(V879)</f>
        <v>54617721</v>
      </c>
      <c r="W878" s="3138"/>
      <c r="X878" s="3149"/>
      <c r="Y878" s="2442">
        <f t="shared" si="264"/>
        <v>4</v>
      </c>
      <c r="Z878" s="2342">
        <f t="shared" si="263"/>
        <v>76525481</v>
      </c>
      <c r="AA878" s="2508">
        <f t="shared" ref="AA878:AB880" si="269">M878+Y878</f>
        <v>12</v>
      </c>
      <c r="AB878" s="2342">
        <f t="shared" si="269"/>
        <v>241967897</v>
      </c>
      <c r="AC878" s="2505">
        <f t="shared" ref="AC878:AD880" si="270">(AA878/K878)*100</f>
        <v>50</v>
      </c>
      <c r="AD878" s="2572">
        <f t="shared" si="270"/>
        <v>47.658889968972112</v>
      </c>
      <c r="AE878" s="3138" t="s">
        <v>522</v>
      </c>
    </row>
    <row r="879" spans="1:76" s="63" customFormat="1" ht="38.25">
      <c r="A879" s="2516"/>
      <c r="B879" s="2516"/>
      <c r="C879" s="2207">
        <v>1</v>
      </c>
      <c r="D879" s="2448" t="s">
        <v>65</v>
      </c>
      <c r="E879" s="2448" t="s">
        <v>197</v>
      </c>
      <c r="F879" s="2448" t="s">
        <v>198</v>
      </c>
      <c r="G879" s="2207"/>
      <c r="H879" s="2207"/>
      <c r="I879" s="3168" t="s">
        <v>556</v>
      </c>
      <c r="J879" s="2516" t="s">
        <v>3853</v>
      </c>
      <c r="K879" s="1396">
        <v>24</v>
      </c>
      <c r="L879" s="2286">
        <v>507707790</v>
      </c>
      <c r="M879" s="1396">
        <v>8</v>
      </c>
      <c r="N879" s="2286">
        <v>165442416</v>
      </c>
      <c r="O879" s="1396">
        <v>4</v>
      </c>
      <c r="P879" s="2286">
        <v>131239036</v>
      </c>
      <c r="Q879" s="2601">
        <v>1</v>
      </c>
      <c r="R879" s="1387">
        <v>6732760</v>
      </c>
      <c r="S879" s="2936">
        <v>1</v>
      </c>
      <c r="T879" s="1388">
        <v>15175000</v>
      </c>
      <c r="U879" s="2516">
        <v>1</v>
      </c>
      <c r="V879" s="2307">
        <v>54617721</v>
      </c>
      <c r="W879" s="2591"/>
      <c r="X879" s="1387"/>
      <c r="Y879" s="1396">
        <f t="shared" si="264"/>
        <v>3</v>
      </c>
      <c r="Z879" s="2307">
        <f t="shared" si="263"/>
        <v>76525481</v>
      </c>
      <c r="AA879" s="2487">
        <f t="shared" si="269"/>
        <v>11</v>
      </c>
      <c r="AB879" s="2307">
        <f t="shared" si="269"/>
        <v>241967897</v>
      </c>
      <c r="AC879" s="2480">
        <f t="shared" si="270"/>
        <v>45.833333333333329</v>
      </c>
      <c r="AD879" s="2573">
        <f t="shared" si="270"/>
        <v>47.658889968972112</v>
      </c>
      <c r="AE879" s="2207"/>
    </row>
    <row r="880" spans="1:76" s="63" customFormat="1" ht="63.75">
      <c r="A880" s="2335">
        <v>4</v>
      </c>
      <c r="B880" s="2363"/>
      <c r="C880" s="2374" t="s">
        <v>146</v>
      </c>
      <c r="D880" s="2374" t="s">
        <v>65</v>
      </c>
      <c r="E880" s="2374" t="s">
        <v>201</v>
      </c>
      <c r="F880" s="2374" t="s">
        <v>155</v>
      </c>
      <c r="G880" s="3795"/>
      <c r="H880" s="2595"/>
      <c r="I880" s="2359" t="s">
        <v>558</v>
      </c>
      <c r="J880" s="2335" t="s">
        <v>559</v>
      </c>
      <c r="K880" s="3162">
        <f t="shared" ref="K880:Q880" si="271">K881</f>
        <v>17</v>
      </c>
      <c r="L880" s="2442">
        <f t="shared" si="271"/>
        <v>27450321877</v>
      </c>
      <c r="M880" s="3162">
        <f t="shared" si="271"/>
        <v>2</v>
      </c>
      <c r="N880" s="2442">
        <f t="shared" si="271"/>
        <v>3006530877</v>
      </c>
      <c r="O880" s="3162">
        <f t="shared" si="271"/>
        <v>3</v>
      </c>
      <c r="P880" s="2442">
        <f t="shared" si="271"/>
        <v>4443791000</v>
      </c>
      <c r="Q880" s="2442">
        <f t="shared" si="271"/>
        <v>0</v>
      </c>
      <c r="R880" s="3159">
        <f>R881</f>
        <v>62551400</v>
      </c>
      <c r="S880" s="3026">
        <f>S881</f>
        <v>0</v>
      </c>
      <c r="T880" s="3027">
        <f>T881</f>
        <v>299988700</v>
      </c>
      <c r="U880" s="2563"/>
      <c r="V880" s="2342">
        <f>SUM(V881)</f>
        <v>518096500</v>
      </c>
      <c r="W880" s="2563"/>
      <c r="X880" s="2340"/>
      <c r="Y880" s="2442">
        <f t="shared" si="264"/>
        <v>0</v>
      </c>
      <c r="Z880" s="3149">
        <f t="shared" si="263"/>
        <v>880636600</v>
      </c>
      <c r="AA880" s="2505">
        <f t="shared" si="269"/>
        <v>2</v>
      </c>
      <c r="AB880" s="2342">
        <f t="shared" si="269"/>
        <v>3887167477</v>
      </c>
      <c r="AC880" s="2505">
        <f t="shared" si="270"/>
        <v>11.76470588235294</v>
      </c>
      <c r="AD880" s="2572">
        <f t="shared" si="270"/>
        <v>14.160735507647978</v>
      </c>
      <c r="AE880" s="3138" t="s">
        <v>522</v>
      </c>
    </row>
    <row r="881" spans="1:31" s="63" customFormat="1" ht="51">
      <c r="A881" s="2516"/>
      <c r="B881" s="2516"/>
      <c r="C881" s="2448" t="s">
        <v>146</v>
      </c>
      <c r="D881" s="2448" t="s">
        <v>65</v>
      </c>
      <c r="E881" s="2448" t="s">
        <v>201</v>
      </c>
      <c r="F881" s="2448" t="s">
        <v>155</v>
      </c>
      <c r="G881" s="2448">
        <v>40</v>
      </c>
      <c r="H881" s="2207"/>
      <c r="I881" s="2516" t="s">
        <v>560</v>
      </c>
      <c r="J881" s="2516" t="s">
        <v>3854</v>
      </c>
      <c r="K881" s="1396">
        <v>17</v>
      </c>
      <c r="L881" s="2286">
        <v>27450321877</v>
      </c>
      <c r="M881" s="2592">
        <v>2</v>
      </c>
      <c r="N881" s="2286">
        <v>3006530877</v>
      </c>
      <c r="O881" s="1396">
        <v>3</v>
      </c>
      <c r="P881" s="2286">
        <v>4443791000</v>
      </c>
      <c r="Q881" s="1396"/>
      <c r="R881" s="1387">
        <v>62551400</v>
      </c>
      <c r="S881" s="1387">
        <v>0</v>
      </c>
      <c r="T881" s="1388">
        <v>299988700</v>
      </c>
      <c r="U881" s="2516"/>
      <c r="V881" s="2307">
        <v>518096500</v>
      </c>
      <c r="W881" s="2591"/>
      <c r="X881" s="1387"/>
      <c r="Y881" s="1396">
        <f t="shared" si="264"/>
        <v>0</v>
      </c>
      <c r="Z881" s="2307">
        <f t="shared" si="263"/>
        <v>880636600</v>
      </c>
      <c r="AA881" s="2480">
        <f t="shared" ref="AA881:AA897" si="272">M881+Y881</f>
        <v>2</v>
      </c>
      <c r="AB881" s="2307">
        <f t="shared" ref="AB881:AB897" si="273">N881+Z881</f>
        <v>3887167477</v>
      </c>
      <c r="AC881" s="2480">
        <f t="shared" ref="AC881:AC897" si="274">(AA881/K881)*100</f>
        <v>11.76470588235294</v>
      </c>
      <c r="AD881" s="2574">
        <f t="shared" ref="AD881:AD897" si="275">(AB881/L881)*100</f>
        <v>14.160735507647978</v>
      </c>
      <c r="AE881" s="2207"/>
    </row>
    <row r="882" spans="1:31" s="63" customFormat="1" ht="63.75">
      <c r="A882" s="2335">
        <v>5</v>
      </c>
      <c r="B882" s="2363"/>
      <c r="C882" s="2374" t="s">
        <v>146</v>
      </c>
      <c r="D882" s="2374" t="s">
        <v>65</v>
      </c>
      <c r="E882" s="2374" t="s">
        <v>201</v>
      </c>
      <c r="F882" s="2374">
        <v>15</v>
      </c>
      <c r="G882" s="3795"/>
      <c r="H882" s="2595"/>
      <c r="I882" s="2359" t="s">
        <v>562</v>
      </c>
      <c r="J882" s="2335" t="s">
        <v>563</v>
      </c>
      <c r="K882" s="3162">
        <f>SUM(K883:K884)</f>
        <v>25</v>
      </c>
      <c r="L882" s="2442">
        <f>L883+L884</f>
        <v>2140156690</v>
      </c>
      <c r="M882" s="3162">
        <f>SUM(M883:M884)</f>
        <v>7</v>
      </c>
      <c r="N882" s="2442">
        <f>N883+N884</f>
        <v>461730650</v>
      </c>
      <c r="O882" s="3162">
        <f>SUM(O883:O884)</f>
        <v>2</v>
      </c>
      <c r="P882" s="2442">
        <f>P883+P884</f>
        <v>89241070</v>
      </c>
      <c r="Q882" s="2505">
        <f>(Q883+Q884)/2</f>
        <v>0</v>
      </c>
      <c r="R882" s="2340">
        <f>R883+R884</f>
        <v>1309560</v>
      </c>
      <c r="S882" s="2563"/>
      <c r="T882" s="2340"/>
      <c r="U882" s="2563"/>
      <c r="V882" s="2342">
        <f>SUM(V884)</f>
        <v>5545000</v>
      </c>
      <c r="W882" s="2563"/>
      <c r="X882" s="2340"/>
      <c r="Y882" s="2505">
        <f t="shared" si="264"/>
        <v>0</v>
      </c>
      <c r="Z882" s="2342">
        <f t="shared" si="263"/>
        <v>6854560</v>
      </c>
      <c r="AA882" s="2505">
        <f t="shared" si="272"/>
        <v>7</v>
      </c>
      <c r="AB882" s="2342">
        <f t="shared" si="273"/>
        <v>468585210</v>
      </c>
      <c r="AC882" s="2505">
        <f t="shared" si="274"/>
        <v>28.000000000000004</v>
      </c>
      <c r="AD882" s="2597">
        <f t="shared" si="275"/>
        <v>21.894902003647218</v>
      </c>
      <c r="AE882" s="3138" t="s">
        <v>522</v>
      </c>
    </row>
    <row r="883" spans="1:31" s="63" customFormat="1" ht="51">
      <c r="A883" s="2516"/>
      <c r="B883" s="2516"/>
      <c r="C883" s="2448" t="s">
        <v>146</v>
      </c>
      <c r="D883" s="2448" t="s">
        <v>65</v>
      </c>
      <c r="E883" s="2448" t="s">
        <v>201</v>
      </c>
      <c r="F883" s="2448" t="s">
        <v>166</v>
      </c>
      <c r="G883" s="2448">
        <v>13</v>
      </c>
      <c r="H883" s="2207"/>
      <c r="I883" s="2516" t="s">
        <v>564</v>
      </c>
      <c r="J883" s="2516" t="s">
        <v>3855</v>
      </c>
      <c r="K883" s="1396">
        <v>18</v>
      </c>
      <c r="L883" s="2286">
        <v>1110197260</v>
      </c>
      <c r="M883" s="1396">
        <v>4</v>
      </c>
      <c r="N883" s="2286">
        <v>197920910</v>
      </c>
      <c r="O883" s="1396">
        <v>1</v>
      </c>
      <c r="P883" s="2286">
        <v>36401350</v>
      </c>
      <c r="Q883" s="1396"/>
      <c r="R883" s="1387"/>
      <c r="S883" s="2516"/>
      <c r="T883" s="1388"/>
      <c r="U883" s="2516"/>
      <c r="V883" s="2307"/>
      <c r="W883" s="2591"/>
      <c r="X883" s="1387"/>
      <c r="Y883" s="1396">
        <f t="shared" si="264"/>
        <v>0</v>
      </c>
      <c r="Z883" s="2307">
        <f t="shared" si="263"/>
        <v>0</v>
      </c>
      <c r="AA883" s="2480">
        <f t="shared" si="272"/>
        <v>4</v>
      </c>
      <c r="AB883" s="2307">
        <f t="shared" si="273"/>
        <v>197920910</v>
      </c>
      <c r="AC883" s="2480">
        <f t="shared" si="274"/>
        <v>22.222222222222221</v>
      </c>
      <c r="AD883" s="2574">
        <f t="shared" si="275"/>
        <v>17.827544449172933</v>
      </c>
      <c r="AE883" s="2207"/>
    </row>
    <row r="884" spans="1:31" s="63" customFormat="1" ht="38.25">
      <c r="A884" s="1374"/>
      <c r="B884" s="2516"/>
      <c r="C884" s="2448" t="s">
        <v>146</v>
      </c>
      <c r="D884" s="2448" t="s">
        <v>65</v>
      </c>
      <c r="E884" s="2448" t="s">
        <v>201</v>
      </c>
      <c r="F884" s="2448" t="s">
        <v>166</v>
      </c>
      <c r="G884" s="2448">
        <v>14</v>
      </c>
      <c r="H884" s="2207"/>
      <c r="I884" s="2516" t="s">
        <v>566</v>
      </c>
      <c r="J884" s="2516" t="s">
        <v>567</v>
      </c>
      <c r="K884" s="1396">
        <v>7</v>
      </c>
      <c r="L884" s="2286">
        <v>1029959430</v>
      </c>
      <c r="M884" s="2592">
        <v>3</v>
      </c>
      <c r="N884" s="2286">
        <v>263809740</v>
      </c>
      <c r="O884" s="2592">
        <v>1</v>
      </c>
      <c r="P884" s="2286">
        <v>52839720</v>
      </c>
      <c r="Q884" s="2282">
        <v>0</v>
      </c>
      <c r="R884" s="1393">
        <v>1309560</v>
      </c>
      <c r="S884" s="2516"/>
      <c r="T884" s="1388"/>
      <c r="U884" s="2516"/>
      <c r="V884" s="2496">
        <v>5545000</v>
      </c>
      <c r="W884" s="2593"/>
      <c r="X884" s="1387"/>
      <c r="Y884" s="2282">
        <f t="shared" si="264"/>
        <v>0</v>
      </c>
      <c r="Z884" s="2496">
        <f t="shared" si="263"/>
        <v>6854560</v>
      </c>
      <c r="AA884" s="2480">
        <f t="shared" si="272"/>
        <v>3</v>
      </c>
      <c r="AB884" s="2307">
        <f t="shared" si="273"/>
        <v>270664300</v>
      </c>
      <c r="AC884" s="2480">
        <f t="shared" si="274"/>
        <v>42.857142857142854</v>
      </c>
      <c r="AD884" s="2574">
        <f t="shared" si="275"/>
        <v>26.279122469901555</v>
      </c>
      <c r="AE884" s="2203"/>
    </row>
    <row r="885" spans="1:31" s="63" customFormat="1" ht="59.25" customHeight="1">
      <c r="A885" s="2335">
        <v>6</v>
      </c>
      <c r="B885" s="2363"/>
      <c r="C885" s="2374" t="s">
        <v>146</v>
      </c>
      <c r="D885" s="2374" t="s">
        <v>65</v>
      </c>
      <c r="E885" s="2374" t="s">
        <v>201</v>
      </c>
      <c r="F885" s="2374" t="s">
        <v>448</v>
      </c>
      <c r="G885" s="3795"/>
      <c r="H885" s="2595"/>
      <c r="I885" s="2359" t="s">
        <v>568</v>
      </c>
      <c r="J885" s="2335" t="s">
        <v>569</v>
      </c>
      <c r="K885" s="3162">
        <v>100</v>
      </c>
      <c r="L885" s="2442">
        <f>SUM(L887:L892)</f>
        <v>6152269160</v>
      </c>
      <c r="M885" s="2505">
        <v>70</v>
      </c>
      <c r="N885" s="2442">
        <f>SUM(N887:N892)</f>
        <v>1430348550</v>
      </c>
      <c r="O885" s="3162">
        <v>10</v>
      </c>
      <c r="P885" s="2442">
        <f>SUM(P886:P892)</f>
        <v>437485730</v>
      </c>
      <c r="Q885" s="2596">
        <v>4</v>
      </c>
      <c r="R885" s="2340">
        <f>SUM(R886:R892)</f>
        <v>92036020</v>
      </c>
      <c r="S885" s="2563"/>
      <c r="T885" s="2340">
        <f>SUM(T886:T892)</f>
        <v>158200703</v>
      </c>
      <c r="U885" s="2563"/>
      <c r="V885" s="2342">
        <f>SUM(V886:V892)</f>
        <v>122445190</v>
      </c>
      <c r="W885" s="2563"/>
      <c r="X885" s="2340"/>
      <c r="Y885" s="2596">
        <f t="shared" si="264"/>
        <v>4</v>
      </c>
      <c r="Z885" s="2342">
        <f t="shared" si="263"/>
        <v>372681913</v>
      </c>
      <c r="AA885" s="2505">
        <f t="shared" si="272"/>
        <v>74</v>
      </c>
      <c r="AB885" s="2342">
        <f t="shared" si="273"/>
        <v>1803030463</v>
      </c>
      <c r="AC885" s="2505">
        <f t="shared" si="274"/>
        <v>74</v>
      </c>
      <c r="AD885" s="2597">
        <f t="shared" si="275"/>
        <v>29.306755216801989</v>
      </c>
      <c r="AE885" s="3138" t="s">
        <v>522</v>
      </c>
    </row>
    <row r="886" spans="1:31" s="63" customFormat="1" ht="42" customHeight="1">
      <c r="A886" s="383"/>
      <c r="B886" s="2272"/>
      <c r="C886" s="2448" t="s">
        <v>146</v>
      </c>
      <c r="D886" s="2448" t="s">
        <v>65</v>
      </c>
      <c r="E886" s="2448" t="s">
        <v>201</v>
      </c>
      <c r="F886" s="2448" t="s">
        <v>448</v>
      </c>
      <c r="G886" s="2448" t="s">
        <v>167</v>
      </c>
      <c r="H886" s="2849"/>
      <c r="I886" s="1200" t="s">
        <v>3620</v>
      </c>
      <c r="J886" s="384" t="s">
        <v>3856</v>
      </c>
      <c r="K886" s="1396">
        <v>4</v>
      </c>
      <c r="L886" s="2286">
        <f>4*P886</f>
        <v>190197200</v>
      </c>
      <c r="M886" s="2286"/>
      <c r="N886" s="2286"/>
      <c r="O886" s="1396">
        <v>1</v>
      </c>
      <c r="P886" s="2286">
        <v>47549300</v>
      </c>
      <c r="Q886" s="2601"/>
      <c r="R886" s="1387"/>
      <c r="S886" s="3028">
        <v>0</v>
      </c>
      <c r="T886" s="1387">
        <v>4800000</v>
      </c>
      <c r="U886" s="2591"/>
      <c r="V886" s="2307">
        <v>18348400</v>
      </c>
      <c r="W886" s="2591"/>
      <c r="X886" s="1387"/>
      <c r="Y886" s="2601">
        <f t="shared" si="264"/>
        <v>0</v>
      </c>
      <c r="Z886" s="2307">
        <f t="shared" si="263"/>
        <v>23148400</v>
      </c>
      <c r="AA886" s="2480"/>
      <c r="AB886" s="2307"/>
      <c r="AC886" s="2480"/>
      <c r="AD886" s="2574"/>
      <c r="AE886" s="2207"/>
    </row>
    <row r="887" spans="1:31" s="63" customFormat="1" ht="51" customHeight="1">
      <c r="A887" s="2516"/>
      <c r="B887" s="2516"/>
      <c r="C887" s="2448" t="s">
        <v>146</v>
      </c>
      <c r="D887" s="2448" t="s">
        <v>65</v>
      </c>
      <c r="E887" s="2448" t="s">
        <v>201</v>
      </c>
      <c r="F887" s="2448" t="s">
        <v>448</v>
      </c>
      <c r="G887" s="2448" t="s">
        <v>167</v>
      </c>
      <c r="H887" s="2207"/>
      <c r="I887" s="3168" t="s">
        <v>570</v>
      </c>
      <c r="J887" s="2516" t="s">
        <v>3857</v>
      </c>
      <c r="K887" s="1396">
        <v>72</v>
      </c>
      <c r="L887" s="2286">
        <v>1579879500</v>
      </c>
      <c r="M887" s="1396">
        <v>24</v>
      </c>
      <c r="N887" s="2286">
        <v>342663720</v>
      </c>
      <c r="O887" s="1396">
        <v>12</v>
      </c>
      <c r="P887" s="2286">
        <v>96800000</v>
      </c>
      <c r="Q887" s="2487">
        <v>3</v>
      </c>
      <c r="R887" s="1387">
        <v>17400000</v>
      </c>
      <c r="S887" s="2593">
        <v>3</v>
      </c>
      <c r="T887" s="1387">
        <v>51000000</v>
      </c>
      <c r="U887" s="2593">
        <v>3</v>
      </c>
      <c r="V887" s="2307">
        <v>25123960</v>
      </c>
      <c r="W887" s="2591"/>
      <c r="X887" s="1387"/>
      <c r="Y887" s="1396">
        <f t="shared" si="264"/>
        <v>9</v>
      </c>
      <c r="Z887" s="2307">
        <f t="shared" si="263"/>
        <v>93523960</v>
      </c>
      <c r="AA887" s="2480">
        <f t="shared" si="272"/>
        <v>33</v>
      </c>
      <c r="AB887" s="2307">
        <f t="shared" si="273"/>
        <v>436187680</v>
      </c>
      <c r="AC887" s="2480">
        <f t="shared" si="274"/>
        <v>45.833333333333329</v>
      </c>
      <c r="AD887" s="2574">
        <f t="shared" si="275"/>
        <v>27.608920806934961</v>
      </c>
      <c r="AE887" s="2207"/>
    </row>
    <row r="888" spans="1:31" s="145" customFormat="1" ht="51" customHeight="1">
      <c r="A888" s="2516"/>
      <c r="B888" s="2516"/>
      <c r="C888" s="2448" t="s">
        <v>146</v>
      </c>
      <c r="D888" s="2448" t="s">
        <v>65</v>
      </c>
      <c r="E888" s="2448" t="s">
        <v>201</v>
      </c>
      <c r="F888" s="2448" t="s">
        <v>448</v>
      </c>
      <c r="G888" s="2448" t="s">
        <v>165</v>
      </c>
      <c r="H888" s="2207"/>
      <c r="I888" s="3168" t="s">
        <v>572</v>
      </c>
      <c r="J888" s="2516" t="s">
        <v>3858</v>
      </c>
      <c r="K888" s="1396">
        <v>72</v>
      </c>
      <c r="L888" s="2286">
        <v>1220761500</v>
      </c>
      <c r="M888" s="1396">
        <v>24</v>
      </c>
      <c r="N888" s="2286">
        <v>254183850</v>
      </c>
      <c r="O888" s="1396">
        <v>12</v>
      </c>
      <c r="P888" s="2286">
        <v>88762300</v>
      </c>
      <c r="Q888" s="1396">
        <v>3</v>
      </c>
      <c r="R888" s="1387">
        <v>18318900</v>
      </c>
      <c r="S888" s="2487">
        <v>3</v>
      </c>
      <c r="T888" s="1388">
        <v>28582153</v>
      </c>
      <c r="U888" s="2593">
        <v>3</v>
      </c>
      <c r="V888" s="2307">
        <v>30242900</v>
      </c>
      <c r="W888" s="2591"/>
      <c r="X888" s="1387"/>
      <c r="Y888" s="1396">
        <f t="shared" si="264"/>
        <v>9</v>
      </c>
      <c r="Z888" s="2307">
        <f t="shared" si="263"/>
        <v>77143953</v>
      </c>
      <c r="AA888" s="2480">
        <f t="shared" si="272"/>
        <v>33</v>
      </c>
      <c r="AB888" s="2307">
        <f t="shared" si="273"/>
        <v>331327803</v>
      </c>
      <c r="AC888" s="2480">
        <f t="shared" si="274"/>
        <v>45.833333333333329</v>
      </c>
      <c r="AD888" s="2574">
        <f t="shared" si="275"/>
        <v>27.141075713806508</v>
      </c>
      <c r="AE888" s="2207"/>
    </row>
    <row r="889" spans="1:31" s="63" customFormat="1" ht="51" customHeight="1">
      <c r="A889" s="2516"/>
      <c r="B889" s="2516"/>
      <c r="C889" s="2448" t="s">
        <v>146</v>
      </c>
      <c r="D889" s="2448" t="s">
        <v>65</v>
      </c>
      <c r="E889" s="2448" t="s">
        <v>201</v>
      </c>
      <c r="F889" s="2448" t="s">
        <v>448</v>
      </c>
      <c r="G889" s="2448" t="s">
        <v>515</v>
      </c>
      <c r="H889" s="2207"/>
      <c r="I889" s="3168" t="s">
        <v>574</v>
      </c>
      <c r="J889" s="2516" t="s">
        <v>3859</v>
      </c>
      <c r="K889" s="1396">
        <v>72</v>
      </c>
      <c r="L889" s="2286">
        <v>712792120</v>
      </c>
      <c r="M889" s="1396">
        <v>24</v>
      </c>
      <c r="N889" s="2286">
        <v>212117990</v>
      </c>
      <c r="O889" s="1396">
        <v>12</v>
      </c>
      <c r="P889" s="2286">
        <v>48035150</v>
      </c>
      <c r="Q889" s="1396">
        <v>3</v>
      </c>
      <c r="R889" s="1387">
        <v>5802750</v>
      </c>
      <c r="S889" s="2487">
        <v>3</v>
      </c>
      <c r="T889" s="1388">
        <v>31169900</v>
      </c>
      <c r="U889" s="2593">
        <v>3</v>
      </c>
      <c r="V889" s="2307">
        <v>4155600</v>
      </c>
      <c r="W889" s="2591"/>
      <c r="X889" s="1387"/>
      <c r="Y889" s="1396">
        <f t="shared" si="264"/>
        <v>9</v>
      </c>
      <c r="Z889" s="2307">
        <f t="shared" si="263"/>
        <v>41128250</v>
      </c>
      <c r="AA889" s="2480">
        <f t="shared" si="272"/>
        <v>33</v>
      </c>
      <c r="AB889" s="2307">
        <f t="shared" si="273"/>
        <v>253246240</v>
      </c>
      <c r="AC889" s="2480">
        <f t="shared" si="274"/>
        <v>45.833333333333329</v>
      </c>
      <c r="AD889" s="2574">
        <f t="shared" si="275"/>
        <v>35.528765385341245</v>
      </c>
      <c r="AE889" s="2207"/>
    </row>
    <row r="890" spans="1:31" s="63" customFormat="1" ht="51" customHeight="1">
      <c r="A890" s="2516"/>
      <c r="B890" s="2516"/>
      <c r="C890" s="2448" t="s">
        <v>146</v>
      </c>
      <c r="D890" s="2448" t="s">
        <v>65</v>
      </c>
      <c r="E890" s="2448" t="s">
        <v>201</v>
      </c>
      <c r="F890" s="2448" t="s">
        <v>448</v>
      </c>
      <c r="G890" s="2448" t="s">
        <v>363</v>
      </c>
      <c r="H890" s="2207"/>
      <c r="I890" s="3168" t="s">
        <v>576</v>
      </c>
      <c r="J890" s="2516" t="s">
        <v>577</v>
      </c>
      <c r="K890" s="1396">
        <v>5</v>
      </c>
      <c r="L890" s="2286">
        <v>345000000</v>
      </c>
      <c r="M890" s="2286">
        <v>1</v>
      </c>
      <c r="N890" s="2286">
        <v>32690500</v>
      </c>
      <c r="O890" s="2286">
        <v>1</v>
      </c>
      <c r="P890" s="2286">
        <v>25815500</v>
      </c>
      <c r="Q890" s="1396"/>
      <c r="R890" s="1387">
        <v>10943000</v>
      </c>
      <c r="S890" s="2591"/>
      <c r="T890" s="1388">
        <v>3849150</v>
      </c>
      <c r="U890" s="2516"/>
      <c r="V890" s="2307">
        <v>1636000</v>
      </c>
      <c r="W890" s="2591"/>
      <c r="X890" s="1387"/>
      <c r="Y890" s="1396">
        <f t="shared" si="264"/>
        <v>0</v>
      </c>
      <c r="Z890" s="2307">
        <f t="shared" si="263"/>
        <v>16428150</v>
      </c>
      <c r="AA890" s="2480">
        <f t="shared" si="272"/>
        <v>1</v>
      </c>
      <c r="AB890" s="2307">
        <f t="shared" si="273"/>
        <v>49118650</v>
      </c>
      <c r="AC890" s="2480">
        <f t="shared" si="274"/>
        <v>20</v>
      </c>
      <c r="AD890" s="2574">
        <f t="shared" si="275"/>
        <v>14.237289855072463</v>
      </c>
      <c r="AE890" s="2207"/>
    </row>
    <row r="891" spans="1:31" s="63" customFormat="1" ht="51" customHeight="1">
      <c r="A891" s="1374"/>
      <c r="B891" s="2516"/>
      <c r="C891" s="2448" t="s">
        <v>146</v>
      </c>
      <c r="D891" s="2448" t="s">
        <v>65</v>
      </c>
      <c r="E891" s="2448" t="s">
        <v>201</v>
      </c>
      <c r="F891" s="2448" t="s">
        <v>448</v>
      </c>
      <c r="G891" s="2448" t="s">
        <v>178</v>
      </c>
      <c r="H891" s="2207"/>
      <c r="I891" s="3168" t="s">
        <v>578</v>
      </c>
      <c r="J891" s="2516" t="s">
        <v>579</v>
      </c>
      <c r="K891" s="1396">
        <v>5</v>
      </c>
      <c r="L891" s="2286">
        <v>225000000</v>
      </c>
      <c r="M891" s="2286">
        <v>1</v>
      </c>
      <c r="N891" s="2286">
        <v>29034500</v>
      </c>
      <c r="O891" s="2286">
        <v>1</v>
      </c>
      <c r="P891" s="2286">
        <v>16684500</v>
      </c>
      <c r="Q891" s="1396"/>
      <c r="R891" s="1387"/>
      <c r="S891" s="2591"/>
      <c r="T891" s="1388">
        <v>8582000</v>
      </c>
      <c r="U891" s="2516"/>
      <c r="V891" s="2307">
        <v>6567000</v>
      </c>
      <c r="W891" s="2591"/>
      <c r="X891" s="1387"/>
      <c r="Y891" s="1396">
        <f t="shared" si="264"/>
        <v>0</v>
      </c>
      <c r="Z891" s="2307">
        <f t="shared" si="263"/>
        <v>15149000</v>
      </c>
      <c r="AA891" s="2480">
        <f t="shared" si="272"/>
        <v>1</v>
      </c>
      <c r="AB891" s="2307">
        <f t="shared" si="273"/>
        <v>44183500</v>
      </c>
      <c r="AC891" s="2480">
        <f t="shared" si="274"/>
        <v>20</v>
      </c>
      <c r="AD891" s="2574">
        <f t="shared" si="275"/>
        <v>19.637111111111111</v>
      </c>
      <c r="AE891" s="2203"/>
    </row>
    <row r="892" spans="1:31" s="63" customFormat="1" ht="45.75" customHeight="1">
      <c r="A892" s="2516"/>
      <c r="B892" s="2516"/>
      <c r="C892" s="2448" t="s">
        <v>146</v>
      </c>
      <c r="D892" s="2448" t="s">
        <v>65</v>
      </c>
      <c r="E892" s="2448" t="s">
        <v>201</v>
      </c>
      <c r="F892" s="2448" t="s">
        <v>448</v>
      </c>
      <c r="G892" s="2448">
        <v>30</v>
      </c>
      <c r="H892" s="2207"/>
      <c r="I892" s="2516" t="s">
        <v>580</v>
      </c>
      <c r="J892" s="2516" t="s">
        <v>581</v>
      </c>
      <c r="K892" s="1396">
        <v>72</v>
      </c>
      <c r="L892" s="2286">
        <v>2068836040</v>
      </c>
      <c r="M892" s="1396">
        <v>24</v>
      </c>
      <c r="N892" s="2286">
        <v>559657990</v>
      </c>
      <c r="O892" s="1396">
        <v>12</v>
      </c>
      <c r="P892" s="2286">
        <v>113838980</v>
      </c>
      <c r="Q892" s="1396">
        <v>3</v>
      </c>
      <c r="R892" s="1387">
        <v>39571370</v>
      </c>
      <c r="S892" s="2593">
        <v>3</v>
      </c>
      <c r="T892" s="1388">
        <v>30217500</v>
      </c>
      <c r="U892" s="2516">
        <v>3</v>
      </c>
      <c r="V892" s="2307">
        <v>36371330</v>
      </c>
      <c r="W892" s="2591"/>
      <c r="X892" s="1387"/>
      <c r="Y892" s="1396">
        <f t="shared" si="264"/>
        <v>9</v>
      </c>
      <c r="Z892" s="2307">
        <f t="shared" si="263"/>
        <v>106160200</v>
      </c>
      <c r="AA892" s="2480">
        <f t="shared" si="272"/>
        <v>33</v>
      </c>
      <c r="AB892" s="2307">
        <f t="shared" si="273"/>
        <v>665818190</v>
      </c>
      <c r="AC892" s="2480">
        <f t="shared" si="274"/>
        <v>45.833333333333329</v>
      </c>
      <c r="AD892" s="2574">
        <f t="shared" si="275"/>
        <v>32.183226564440552</v>
      </c>
      <c r="AE892" s="2207"/>
    </row>
    <row r="893" spans="1:31" s="63" customFormat="1" ht="57.75" customHeight="1">
      <c r="A893" s="2335"/>
      <c r="B893" s="2363"/>
      <c r="C893" s="2374">
        <v>1</v>
      </c>
      <c r="D893" s="2374" t="s">
        <v>65</v>
      </c>
      <c r="E893" s="2374" t="s">
        <v>201</v>
      </c>
      <c r="F893" s="2374">
        <v>18</v>
      </c>
      <c r="G893" s="2374"/>
      <c r="H893" s="3795"/>
      <c r="I893" s="2335" t="s">
        <v>582</v>
      </c>
      <c r="J893" s="2335" t="s">
        <v>583</v>
      </c>
      <c r="K893" s="3162">
        <f t="shared" ref="K893:P893" si="276">K894</f>
        <v>1</v>
      </c>
      <c r="L893" s="2442">
        <f t="shared" si="276"/>
        <v>300000000</v>
      </c>
      <c r="M893" s="2523">
        <f t="shared" si="276"/>
        <v>0</v>
      </c>
      <c r="N893" s="2442">
        <f t="shared" si="276"/>
        <v>0</v>
      </c>
      <c r="O893" s="3162">
        <f t="shared" si="276"/>
        <v>1</v>
      </c>
      <c r="P893" s="2442">
        <f t="shared" si="276"/>
        <v>36275999</v>
      </c>
      <c r="Q893" s="3162"/>
      <c r="R893" s="2340"/>
      <c r="S893" s="2563"/>
      <c r="T893" s="2347"/>
      <c r="U893" s="2335"/>
      <c r="V893" s="2342"/>
      <c r="W893" s="2563"/>
      <c r="X893" s="2340"/>
      <c r="Y893" s="3162">
        <f t="shared" si="264"/>
        <v>0</v>
      </c>
      <c r="Z893" s="2342">
        <f t="shared" si="263"/>
        <v>0</v>
      </c>
      <c r="AA893" s="2505">
        <f t="shared" si="272"/>
        <v>0</v>
      </c>
      <c r="AB893" s="2342">
        <f t="shared" si="273"/>
        <v>0</v>
      </c>
      <c r="AC893" s="2505">
        <f t="shared" si="274"/>
        <v>0</v>
      </c>
      <c r="AD893" s="2597">
        <f t="shared" si="275"/>
        <v>0</v>
      </c>
      <c r="AE893" s="3138"/>
    </row>
    <row r="894" spans="1:31" s="145" customFormat="1" ht="69.75" customHeight="1">
      <c r="A894" s="2516"/>
      <c r="B894" s="2516"/>
      <c r="C894" s="2448">
        <v>1</v>
      </c>
      <c r="D894" s="2448" t="s">
        <v>65</v>
      </c>
      <c r="E894" s="2448" t="s">
        <v>201</v>
      </c>
      <c r="F894" s="2448">
        <v>18</v>
      </c>
      <c r="G894" s="2448">
        <v>14</v>
      </c>
      <c r="H894" s="2207"/>
      <c r="I894" s="2516" t="s">
        <v>584</v>
      </c>
      <c r="J894" s="2516" t="s">
        <v>585</v>
      </c>
      <c r="K894" s="1396">
        <v>1</v>
      </c>
      <c r="L894" s="2286">
        <v>300000000</v>
      </c>
      <c r="M894" s="2286">
        <v>0</v>
      </c>
      <c r="N894" s="2286">
        <v>0</v>
      </c>
      <c r="O894" s="1396">
        <v>1</v>
      </c>
      <c r="P894" s="2286">
        <v>36275999</v>
      </c>
      <c r="Q894" s="1396"/>
      <c r="R894" s="1387"/>
      <c r="S894" s="2516"/>
      <c r="T894" s="1387"/>
      <c r="U894" s="2516"/>
      <c r="V894" s="2307"/>
      <c r="W894" s="2591"/>
      <c r="X894" s="1387"/>
      <c r="Y894" s="1396">
        <f t="shared" si="264"/>
        <v>0</v>
      </c>
      <c r="Z894" s="2307">
        <f t="shared" si="263"/>
        <v>0</v>
      </c>
      <c r="AA894" s="2480">
        <f t="shared" si="272"/>
        <v>0</v>
      </c>
      <c r="AB894" s="2307">
        <f t="shared" si="273"/>
        <v>0</v>
      </c>
      <c r="AC894" s="2480">
        <f t="shared" si="274"/>
        <v>0</v>
      </c>
      <c r="AD894" s="2574">
        <f t="shared" si="275"/>
        <v>0</v>
      </c>
      <c r="AE894" s="2207"/>
    </row>
    <row r="895" spans="1:31" s="3224" customFormat="1" ht="57.75" customHeight="1">
      <c r="A895" s="2335"/>
      <c r="B895" s="2335"/>
      <c r="C895" s="2374"/>
      <c r="D895" s="2374"/>
      <c r="E895" s="2374"/>
      <c r="F895" s="2374"/>
      <c r="G895" s="2374"/>
      <c r="H895" s="3795"/>
      <c r="I895" s="2335" t="s">
        <v>3621</v>
      </c>
      <c r="J895" s="2335" t="s">
        <v>3622</v>
      </c>
      <c r="K895" s="3162"/>
      <c r="L895" s="2442">
        <v>41840000000</v>
      </c>
      <c r="M895" s="2442"/>
      <c r="N895" s="2442"/>
      <c r="O895" s="3162"/>
      <c r="P895" s="2442">
        <f>SUM(P896:P897)</f>
        <v>8439990300</v>
      </c>
      <c r="Q895" s="3162"/>
      <c r="R895" s="2340"/>
      <c r="S895" s="2335"/>
      <c r="T895" s="2340">
        <f>SUM(T896:T897)</f>
        <v>2305065773</v>
      </c>
      <c r="U895" s="2335"/>
      <c r="V895" s="2342">
        <f>SUM(V896:V897)</f>
        <v>3111641621</v>
      </c>
      <c r="W895" s="2563"/>
      <c r="X895" s="2340"/>
      <c r="Y895" s="3162">
        <f t="shared" si="264"/>
        <v>0</v>
      </c>
      <c r="Z895" s="2342">
        <f t="shared" si="263"/>
        <v>5416707394</v>
      </c>
      <c r="AA895" s="2505"/>
      <c r="AB895" s="2342"/>
      <c r="AC895" s="2505"/>
      <c r="AD895" s="2597"/>
      <c r="AE895" s="3138"/>
    </row>
    <row r="896" spans="1:31" s="145" customFormat="1" ht="51">
      <c r="A896" s="2516"/>
      <c r="B896" s="2516"/>
      <c r="C896" s="2448">
        <v>1</v>
      </c>
      <c r="D896" s="2448" t="s">
        <v>65</v>
      </c>
      <c r="E896" s="2448" t="s">
        <v>201</v>
      </c>
      <c r="F896" s="2448">
        <v>19</v>
      </c>
      <c r="G896" s="2448" t="s">
        <v>95</v>
      </c>
      <c r="H896" s="2207"/>
      <c r="I896" s="2516" t="s">
        <v>588</v>
      </c>
      <c r="J896" s="2516" t="s">
        <v>589</v>
      </c>
      <c r="K896" s="1396">
        <v>231</v>
      </c>
      <c r="L896" s="2286">
        <v>28440000000</v>
      </c>
      <c r="M896" s="2286">
        <v>0</v>
      </c>
      <c r="N896" s="2286">
        <v>0</v>
      </c>
      <c r="O896" s="1396">
        <v>31</v>
      </c>
      <c r="P896" s="2286">
        <v>4440000000</v>
      </c>
      <c r="Q896" s="1396">
        <v>5</v>
      </c>
      <c r="R896" s="1387">
        <v>27050470</v>
      </c>
      <c r="S896" s="2516">
        <v>8</v>
      </c>
      <c r="T896" s="1388">
        <v>989179784</v>
      </c>
      <c r="U896" s="2516">
        <v>13</v>
      </c>
      <c r="V896" s="2307">
        <v>1951000730</v>
      </c>
      <c r="W896" s="2591"/>
      <c r="X896" s="1387"/>
      <c r="Y896" s="1396">
        <f t="shared" si="264"/>
        <v>26</v>
      </c>
      <c r="Z896" s="2307">
        <f t="shared" si="263"/>
        <v>2967230984</v>
      </c>
      <c r="AA896" s="2480">
        <f t="shared" si="272"/>
        <v>26</v>
      </c>
      <c r="AB896" s="2307">
        <f t="shared" si="273"/>
        <v>2967230984</v>
      </c>
      <c r="AC896" s="2480">
        <f t="shared" si="274"/>
        <v>11.255411255411255</v>
      </c>
      <c r="AD896" s="2574">
        <f t="shared" si="275"/>
        <v>10.433301631504923</v>
      </c>
      <c r="AE896" s="2207"/>
    </row>
    <row r="897" spans="1:32" s="63" customFormat="1" ht="38.25">
      <c r="A897" s="2516"/>
      <c r="B897" s="2516"/>
      <c r="C897" s="2448">
        <v>1</v>
      </c>
      <c r="D897" s="2448" t="s">
        <v>65</v>
      </c>
      <c r="E897" s="2448" t="s">
        <v>201</v>
      </c>
      <c r="F897" s="2448">
        <v>19</v>
      </c>
      <c r="G897" s="2448" t="s">
        <v>161</v>
      </c>
      <c r="H897" s="2207"/>
      <c r="I897" s="2516" t="s">
        <v>590</v>
      </c>
      <c r="J897" s="2516" t="s">
        <v>3860</v>
      </c>
      <c r="K897" s="1396">
        <v>48</v>
      </c>
      <c r="L897" s="2286">
        <v>13200000000</v>
      </c>
      <c r="M897" s="2286">
        <v>0</v>
      </c>
      <c r="N897" s="2286">
        <v>0</v>
      </c>
      <c r="O897" s="1396">
        <v>12</v>
      </c>
      <c r="P897" s="2286">
        <v>3999990300</v>
      </c>
      <c r="Q897" s="2601">
        <v>3</v>
      </c>
      <c r="R897" s="1387">
        <v>946236400</v>
      </c>
      <c r="S897" s="2516">
        <v>3</v>
      </c>
      <c r="T897" s="3009">
        <v>1315885989</v>
      </c>
      <c r="U897" s="2516">
        <v>3</v>
      </c>
      <c r="V897" s="2307">
        <v>1160640891</v>
      </c>
      <c r="W897" s="2591"/>
      <c r="X897" s="1387"/>
      <c r="Y897" s="1396">
        <f t="shared" si="264"/>
        <v>9</v>
      </c>
      <c r="Z897" s="2307">
        <f t="shared" si="263"/>
        <v>3422763280</v>
      </c>
      <c r="AA897" s="2480">
        <f t="shared" si="272"/>
        <v>9</v>
      </c>
      <c r="AB897" s="2307">
        <f t="shared" si="273"/>
        <v>3422763280</v>
      </c>
      <c r="AC897" s="2480">
        <f t="shared" si="274"/>
        <v>18.75</v>
      </c>
      <c r="AD897" s="2574">
        <f t="shared" si="275"/>
        <v>25.930024848484852</v>
      </c>
      <c r="AE897" s="2207"/>
    </row>
    <row r="898" spans="1:32" s="63" customFormat="1" ht="60.75" customHeight="1">
      <c r="A898" s="2335">
        <v>7</v>
      </c>
      <c r="B898" s="2363"/>
      <c r="C898" s="2374" t="s">
        <v>146</v>
      </c>
      <c r="D898" s="2374" t="s">
        <v>65</v>
      </c>
      <c r="E898" s="2374" t="s">
        <v>201</v>
      </c>
      <c r="F898" s="3795">
        <v>20</v>
      </c>
      <c r="G898" s="3795"/>
      <c r="H898" s="2595"/>
      <c r="I898" s="2359" t="s">
        <v>592</v>
      </c>
      <c r="J898" s="2335" t="s">
        <v>3354</v>
      </c>
      <c r="K898" s="2442">
        <v>87000</v>
      </c>
      <c r="L898" s="2442">
        <f>SUM(L899:L900)</f>
        <v>5977646190</v>
      </c>
      <c r="M898" s="2361">
        <v>72000</v>
      </c>
      <c r="N898" s="2442">
        <f>SUM(N899:N900)</f>
        <v>733419920</v>
      </c>
      <c r="O898" s="3161">
        <v>10000</v>
      </c>
      <c r="P898" s="2442">
        <f>SUM(P899:P900)</f>
        <v>3628876440</v>
      </c>
      <c r="Q898" s="3161">
        <v>2</v>
      </c>
      <c r="R898" s="2340">
        <f>SUM(R899:R900)</f>
        <v>203415170</v>
      </c>
      <c r="S898" s="3138">
        <v>3</v>
      </c>
      <c r="T898" s="2340">
        <f>SUM(T899:T900)</f>
        <v>663269960</v>
      </c>
      <c r="U898" s="2929">
        <v>4</v>
      </c>
      <c r="V898" s="2342">
        <f>SUM(V899:V900)</f>
        <v>25894265</v>
      </c>
      <c r="W898" s="2563"/>
      <c r="X898" s="2340"/>
      <c r="Y898" s="3162">
        <f t="shared" si="264"/>
        <v>9</v>
      </c>
      <c r="Z898" s="2342">
        <f t="shared" si="263"/>
        <v>892579395</v>
      </c>
      <c r="AA898" s="2505">
        <f t="shared" ref="AA898:AA904" si="277">M898+Y898</f>
        <v>72009</v>
      </c>
      <c r="AB898" s="2342">
        <f t="shared" ref="AB898:AB904" si="278">N898+Z898</f>
        <v>1625999315</v>
      </c>
      <c r="AC898" s="2505">
        <f t="shared" ref="AC898:AC904" si="279">(AA898/K898)*100</f>
        <v>82.768965517241384</v>
      </c>
      <c r="AD898" s="2597">
        <f t="shared" ref="AD898:AD904" si="280">(AB898/L898)*100</f>
        <v>27.201330813458537</v>
      </c>
      <c r="AE898" s="3138" t="s">
        <v>522</v>
      </c>
    </row>
    <row r="899" spans="1:32" s="63" customFormat="1" ht="44.25" customHeight="1">
      <c r="A899" s="2516"/>
      <c r="B899" s="2516"/>
      <c r="C899" s="2448" t="s">
        <v>146</v>
      </c>
      <c r="D899" s="2448" t="s">
        <v>65</v>
      </c>
      <c r="E899" s="2448" t="s">
        <v>201</v>
      </c>
      <c r="F899" s="2207">
        <v>20</v>
      </c>
      <c r="G899" s="2448" t="s">
        <v>95</v>
      </c>
      <c r="H899" s="2207"/>
      <c r="I899" s="3168" t="s">
        <v>594</v>
      </c>
      <c r="J899" s="2516" t="s">
        <v>3861</v>
      </c>
      <c r="K899" s="2286">
        <v>72</v>
      </c>
      <c r="L899" s="2286">
        <v>2572033840</v>
      </c>
      <c r="M899" s="2592">
        <v>24</v>
      </c>
      <c r="N899" s="2286">
        <v>733419920</v>
      </c>
      <c r="O899" s="1396">
        <v>12</v>
      </c>
      <c r="P899" s="2286">
        <v>223264090</v>
      </c>
      <c r="Q899" s="1396">
        <v>3</v>
      </c>
      <c r="R899" s="1387">
        <v>181189170</v>
      </c>
      <c r="S899" s="2936">
        <v>3</v>
      </c>
      <c r="T899" s="1388">
        <v>9547560</v>
      </c>
      <c r="U899" s="2516">
        <v>3</v>
      </c>
      <c r="V899" s="2307">
        <v>17550660</v>
      </c>
      <c r="W899" s="2591"/>
      <c r="X899" s="1387"/>
      <c r="Y899" s="1396">
        <f t="shared" si="264"/>
        <v>9</v>
      </c>
      <c r="Z899" s="2307">
        <f t="shared" si="263"/>
        <v>208287390</v>
      </c>
      <c r="AA899" s="2480">
        <f t="shared" si="277"/>
        <v>33</v>
      </c>
      <c r="AB899" s="2307">
        <f t="shared" si="278"/>
        <v>941707310</v>
      </c>
      <c r="AC899" s="2480">
        <f t="shared" si="279"/>
        <v>45.833333333333329</v>
      </c>
      <c r="AD899" s="2574">
        <f t="shared" si="280"/>
        <v>36.613332816803066</v>
      </c>
      <c r="AE899" s="2207"/>
    </row>
    <row r="900" spans="1:32" s="63" customFormat="1" ht="44.25" customHeight="1">
      <c r="A900" s="2516"/>
      <c r="B900" s="2516"/>
      <c r="C900" s="2448" t="s">
        <v>146</v>
      </c>
      <c r="D900" s="2448" t="s">
        <v>65</v>
      </c>
      <c r="E900" s="2448" t="s">
        <v>201</v>
      </c>
      <c r="F900" s="2207">
        <v>20</v>
      </c>
      <c r="G900" s="2448" t="s">
        <v>161</v>
      </c>
      <c r="H900" s="2207"/>
      <c r="I900" s="3168" t="s">
        <v>596</v>
      </c>
      <c r="J900" s="2516" t="s">
        <v>3862</v>
      </c>
      <c r="K900" s="2286">
        <v>1</v>
      </c>
      <c r="L900" s="2286">
        <v>3405612350</v>
      </c>
      <c r="M900" s="2286">
        <v>0</v>
      </c>
      <c r="N900" s="2286"/>
      <c r="O900" s="1396">
        <v>1</v>
      </c>
      <c r="P900" s="2286">
        <v>3405612350</v>
      </c>
      <c r="Q900" s="1396">
        <v>0</v>
      </c>
      <c r="R900" s="1387">
        <v>22226000</v>
      </c>
      <c r="S900" s="1387">
        <v>0</v>
      </c>
      <c r="T900" s="1388">
        <v>653722400</v>
      </c>
      <c r="U900" s="2516"/>
      <c r="V900" s="2307">
        <v>8343605</v>
      </c>
      <c r="W900" s="2591"/>
      <c r="X900" s="1387"/>
      <c r="Y900" s="1396">
        <f t="shared" si="264"/>
        <v>0</v>
      </c>
      <c r="Z900" s="2307">
        <f t="shared" si="263"/>
        <v>684292005</v>
      </c>
      <c r="AA900" s="2480">
        <f t="shared" si="277"/>
        <v>0</v>
      </c>
      <c r="AB900" s="2307">
        <f t="shared" si="278"/>
        <v>684292005</v>
      </c>
      <c r="AC900" s="2480">
        <f t="shared" si="279"/>
        <v>0</v>
      </c>
      <c r="AD900" s="2574">
        <f t="shared" si="280"/>
        <v>20.093067991135278</v>
      </c>
      <c r="AE900" s="2207"/>
    </row>
    <row r="901" spans="1:32" s="63" customFormat="1" ht="71.25" customHeight="1">
      <c r="A901" s="2335">
        <v>8</v>
      </c>
      <c r="B901" s="2363"/>
      <c r="C901" s="2374" t="s">
        <v>146</v>
      </c>
      <c r="D901" s="2374" t="s">
        <v>65</v>
      </c>
      <c r="E901" s="2374" t="s">
        <v>201</v>
      </c>
      <c r="F901" s="2374" t="s">
        <v>360</v>
      </c>
      <c r="G901" s="3795"/>
      <c r="H901" s="2595"/>
      <c r="I901" s="2359" t="s">
        <v>598</v>
      </c>
      <c r="J901" s="2335" t="s">
        <v>599</v>
      </c>
      <c r="K901" s="3162">
        <f t="shared" ref="K901:R901" si="281">K902</f>
        <v>72</v>
      </c>
      <c r="L901" s="2442">
        <f t="shared" si="281"/>
        <v>1638034700</v>
      </c>
      <c r="M901" s="3162">
        <f t="shared" si="281"/>
        <v>24</v>
      </c>
      <c r="N901" s="2442">
        <f t="shared" si="281"/>
        <v>424069190</v>
      </c>
      <c r="O901" s="3162">
        <f t="shared" si="281"/>
        <v>12</v>
      </c>
      <c r="P901" s="2442">
        <f t="shared" si="281"/>
        <v>85737500</v>
      </c>
      <c r="Q901" s="3162">
        <v>3</v>
      </c>
      <c r="R901" s="3159">
        <f t="shared" si="281"/>
        <v>20007010</v>
      </c>
      <c r="S901" s="3162">
        <v>3</v>
      </c>
      <c r="T901" s="2340">
        <v>42215720</v>
      </c>
      <c r="U901" s="2929">
        <v>3</v>
      </c>
      <c r="V901" s="2342">
        <f>SUM(V902)</f>
        <v>12390560</v>
      </c>
      <c r="W901" s="2563"/>
      <c r="X901" s="2340"/>
      <c r="Y901" s="2442">
        <f t="shared" si="264"/>
        <v>9</v>
      </c>
      <c r="Z901" s="2342">
        <f t="shared" si="263"/>
        <v>74613290</v>
      </c>
      <c r="AA901" s="2505">
        <f t="shared" si="277"/>
        <v>33</v>
      </c>
      <c r="AB901" s="2342">
        <f t="shared" si="278"/>
        <v>498682480</v>
      </c>
      <c r="AC901" s="2505">
        <f t="shared" si="279"/>
        <v>45.833333333333329</v>
      </c>
      <c r="AD901" s="2597">
        <f t="shared" si="280"/>
        <v>30.443950912639394</v>
      </c>
      <c r="AE901" s="3138" t="s">
        <v>522</v>
      </c>
    </row>
    <row r="902" spans="1:32" s="63" customFormat="1" ht="54" customHeight="1">
      <c r="A902" s="2516"/>
      <c r="B902" s="2516"/>
      <c r="C902" s="2448" t="s">
        <v>146</v>
      </c>
      <c r="D902" s="2448" t="s">
        <v>65</v>
      </c>
      <c r="E902" s="2448" t="s">
        <v>201</v>
      </c>
      <c r="F902" s="2448" t="s">
        <v>360</v>
      </c>
      <c r="G902" s="2448" t="s">
        <v>66</v>
      </c>
      <c r="H902" s="2207"/>
      <c r="I902" s="3168" t="s">
        <v>600</v>
      </c>
      <c r="J902" s="2516" t="s">
        <v>3863</v>
      </c>
      <c r="K902" s="1396">
        <v>72</v>
      </c>
      <c r="L902" s="2286">
        <v>1638034700</v>
      </c>
      <c r="M902" s="1396">
        <v>24</v>
      </c>
      <c r="N902" s="2286">
        <v>424069190</v>
      </c>
      <c r="O902" s="1396">
        <v>12</v>
      </c>
      <c r="P902" s="2286">
        <v>85737500</v>
      </c>
      <c r="Q902" s="1396">
        <v>3</v>
      </c>
      <c r="R902" s="1387">
        <v>20007010</v>
      </c>
      <c r="S902" s="2516">
        <v>3</v>
      </c>
      <c r="T902" s="1388">
        <f>T901</f>
        <v>42215720</v>
      </c>
      <c r="U902" s="1388">
        <v>3</v>
      </c>
      <c r="V902" s="2307">
        <v>12390560</v>
      </c>
      <c r="W902" s="2591"/>
      <c r="X902" s="1387"/>
      <c r="Y902" s="1396">
        <f t="shared" si="264"/>
        <v>9</v>
      </c>
      <c r="Z902" s="2307">
        <f t="shared" si="263"/>
        <v>74613290</v>
      </c>
      <c r="AA902" s="2480">
        <f t="shared" si="277"/>
        <v>33</v>
      </c>
      <c r="AB902" s="2307">
        <f t="shared" si="278"/>
        <v>498682480</v>
      </c>
      <c r="AC902" s="2480">
        <f t="shared" si="279"/>
        <v>45.833333333333329</v>
      </c>
      <c r="AD902" s="2574">
        <f t="shared" si="280"/>
        <v>30.443950912639394</v>
      </c>
      <c r="AE902" s="2207"/>
    </row>
    <row r="903" spans="1:32" s="114" customFormat="1" ht="71.25" customHeight="1">
      <c r="A903" s="2335">
        <v>9</v>
      </c>
      <c r="B903" s="2363"/>
      <c r="C903" s="2374" t="s">
        <v>602</v>
      </c>
      <c r="D903" s="2374" t="s">
        <v>66</v>
      </c>
      <c r="E903" s="2374" t="s">
        <v>196</v>
      </c>
      <c r="F903" s="2374" t="s">
        <v>155</v>
      </c>
      <c r="G903" s="3795"/>
      <c r="H903" s="2595"/>
      <c r="I903" s="2359" t="s">
        <v>603</v>
      </c>
      <c r="J903" s="2335" t="s">
        <v>604</v>
      </c>
      <c r="K903" s="3162">
        <v>100</v>
      </c>
      <c r="L903" s="2442">
        <f t="shared" ref="L903:R903" si="282">L904</f>
        <v>2100753040</v>
      </c>
      <c r="M903" s="3162">
        <v>75</v>
      </c>
      <c r="N903" s="2442">
        <f t="shared" si="282"/>
        <v>497724839</v>
      </c>
      <c r="O903" s="3162">
        <v>15</v>
      </c>
      <c r="P903" s="2442">
        <f t="shared" si="282"/>
        <v>227350100</v>
      </c>
      <c r="Q903" s="2442">
        <v>3</v>
      </c>
      <c r="R903" s="2340">
        <f t="shared" si="282"/>
        <v>64694360</v>
      </c>
      <c r="S903" s="2335">
        <v>5</v>
      </c>
      <c r="T903" s="2347">
        <v>81971000</v>
      </c>
      <c r="U903" s="3138">
        <v>5</v>
      </c>
      <c r="V903" s="2342">
        <f>V904</f>
        <v>63644120</v>
      </c>
      <c r="W903" s="3138"/>
      <c r="X903" s="2340"/>
      <c r="Y903" s="2442">
        <f t="shared" si="264"/>
        <v>13</v>
      </c>
      <c r="Z903" s="2342">
        <f t="shared" si="263"/>
        <v>210309480</v>
      </c>
      <c r="AA903" s="2505">
        <f t="shared" si="277"/>
        <v>88</v>
      </c>
      <c r="AB903" s="2342">
        <f t="shared" si="278"/>
        <v>708034319</v>
      </c>
      <c r="AC903" s="2505">
        <f t="shared" si="279"/>
        <v>88</v>
      </c>
      <c r="AD903" s="2597">
        <f t="shared" si="280"/>
        <v>33.703834078469306</v>
      </c>
      <c r="AE903" s="3138" t="s">
        <v>522</v>
      </c>
    </row>
    <row r="904" spans="1:32" s="475" customFormat="1" ht="70.5" customHeight="1">
      <c r="A904" s="2516"/>
      <c r="B904" s="2516"/>
      <c r="C904" s="2448" t="s">
        <v>602</v>
      </c>
      <c r="D904" s="2448" t="s">
        <v>66</v>
      </c>
      <c r="E904" s="2448" t="s">
        <v>196</v>
      </c>
      <c r="F904" s="2448" t="s">
        <v>155</v>
      </c>
      <c r="G904" s="2448" t="s">
        <v>165</v>
      </c>
      <c r="H904" s="2207"/>
      <c r="I904" s="3168" t="s">
        <v>605</v>
      </c>
      <c r="J904" s="2516" t="s">
        <v>3864</v>
      </c>
      <c r="K904" s="1396">
        <v>72</v>
      </c>
      <c r="L904" s="2286">
        <v>2100753040</v>
      </c>
      <c r="M904" s="1396">
        <v>24</v>
      </c>
      <c r="N904" s="2286">
        <v>497724839</v>
      </c>
      <c r="O904" s="1396">
        <v>12</v>
      </c>
      <c r="P904" s="2286">
        <v>227350100</v>
      </c>
      <c r="Q904" s="1396">
        <v>3</v>
      </c>
      <c r="R904" s="1387">
        <v>64694360</v>
      </c>
      <c r="S904" s="2516">
        <v>3</v>
      </c>
      <c r="T904" s="1388">
        <f>T903</f>
        <v>81971000</v>
      </c>
      <c r="U904" s="2516">
        <v>3</v>
      </c>
      <c r="V904" s="2307">
        <v>63644120</v>
      </c>
      <c r="W904" s="2591"/>
      <c r="X904" s="1387"/>
      <c r="Y904" s="1396">
        <f t="shared" si="264"/>
        <v>9</v>
      </c>
      <c r="Z904" s="2307">
        <f t="shared" si="263"/>
        <v>210309480</v>
      </c>
      <c r="AA904" s="2480">
        <f t="shared" si="277"/>
        <v>33</v>
      </c>
      <c r="AB904" s="2307">
        <f t="shared" si="278"/>
        <v>708034319</v>
      </c>
      <c r="AC904" s="2480">
        <f t="shared" si="279"/>
        <v>45.833333333333329</v>
      </c>
      <c r="AD904" s="2574">
        <f t="shared" si="280"/>
        <v>33.703834078469306</v>
      </c>
      <c r="AE904" s="2207"/>
    </row>
    <row r="905" spans="1:32" s="114" customFormat="1" ht="18.75" customHeight="1">
      <c r="A905" s="4308" t="s">
        <v>89</v>
      </c>
      <c r="B905" s="4308"/>
      <c r="C905" s="4309"/>
      <c r="D905" s="4309"/>
      <c r="E905" s="4309"/>
      <c r="F905" s="4309"/>
      <c r="G905" s="4309"/>
      <c r="H905" s="4309"/>
      <c r="I905" s="4309"/>
      <c r="J905" s="4309"/>
      <c r="K905" s="4309"/>
      <c r="L905" s="4309"/>
      <c r="M905" s="4309"/>
      <c r="N905" s="4309"/>
      <c r="O905" s="4309"/>
      <c r="P905" s="4309"/>
      <c r="Q905" s="4309"/>
      <c r="R905" s="4309"/>
      <c r="S905" s="4309"/>
      <c r="T905" s="4309"/>
      <c r="U905" s="4309"/>
      <c r="V905" s="4309"/>
      <c r="W905" s="4309"/>
      <c r="X905" s="4309"/>
      <c r="Y905" s="4309"/>
      <c r="Z905" s="4309"/>
      <c r="AA905" s="4309"/>
      <c r="AB905" s="4309"/>
      <c r="AC905" s="2423">
        <f>(AC859+AC874+AC878+AC880+AC882+AC885+AC898+AC901+AC903)/9</f>
        <v>52.559296822177146</v>
      </c>
      <c r="AD905" s="2423">
        <f>(AD859+AD874+AD878+AD880+AD882+AD885+AD898+AD901+AD903)/9</f>
        <v>30.845529036540498</v>
      </c>
      <c r="AE905" s="3183"/>
    </row>
    <row r="906" spans="1:32" s="475" customFormat="1" ht="15.75" customHeight="1">
      <c r="A906" s="4308" t="s">
        <v>90</v>
      </c>
      <c r="B906" s="4308"/>
      <c r="C906" s="4309"/>
      <c r="D906" s="4309"/>
      <c r="E906" s="4309"/>
      <c r="F906" s="4309"/>
      <c r="G906" s="4309"/>
      <c r="H906" s="4309"/>
      <c r="I906" s="4309"/>
      <c r="J906" s="4309"/>
      <c r="K906" s="4309"/>
      <c r="L906" s="4309"/>
      <c r="M906" s="4309"/>
      <c r="N906" s="4309"/>
      <c r="O906" s="4309"/>
      <c r="P906" s="4309"/>
      <c r="Q906" s="4309"/>
      <c r="R906" s="4309"/>
      <c r="S906" s="4309"/>
      <c r="T906" s="4309"/>
      <c r="U906" s="4309"/>
      <c r="V906" s="4309"/>
      <c r="W906" s="4309"/>
      <c r="X906" s="4309"/>
      <c r="Y906" s="4309"/>
      <c r="Z906" s="4309"/>
      <c r="AA906" s="4309"/>
      <c r="AB906" s="4309"/>
      <c r="AC906" s="3152" t="str">
        <f>IF(AC905&gt;=91,"ST",IF(AC905&gt;=76,"T",IF(AC905&gt;=66,"S",IF(AC905&gt;=51,"R","SR"))))</f>
        <v>R</v>
      </c>
      <c r="AD906" s="3152" t="str">
        <f>IF(AD905&gt;=91,"ST",IF(AD905&gt;=76,"T",IF(AD905&gt;=66,"S",IF(AD905&gt;=51,"R","SR"))))</f>
        <v>SR</v>
      </c>
      <c r="AE906" s="3183"/>
    </row>
    <row r="907" spans="1:32" s="114" customFormat="1" ht="25.5">
      <c r="A907" s="2546" t="s">
        <v>3355</v>
      </c>
      <c r="B907" s="2918"/>
      <c r="C907" s="2546"/>
      <c r="D907" s="2546"/>
      <c r="E907" s="2546"/>
      <c r="F907" s="2546"/>
      <c r="G907" s="2546"/>
      <c r="H907" s="2546"/>
      <c r="I907" s="2515" t="s">
        <v>143</v>
      </c>
      <c r="J907" s="2918"/>
      <c r="K907" s="3210"/>
      <c r="L907" s="3198">
        <f>L908+L921+L926+L928+L931+L937+L940+L943</f>
        <v>22862846250</v>
      </c>
      <c r="M907" s="3210"/>
      <c r="N907" s="3195">
        <f>N908+N921+N926+N928+N931+N937+N940+N943</f>
        <v>2608856620</v>
      </c>
      <c r="O907" s="3210"/>
      <c r="P907" s="3195">
        <f>P908+P921+P926+P928+P931+P937+P940+P943</f>
        <v>5413146593</v>
      </c>
      <c r="Q907" s="3210"/>
      <c r="R907" s="3195">
        <f>R908+R921+R926+R928+R931+R937+R940+R943</f>
        <v>257152000</v>
      </c>
      <c r="S907" s="2918"/>
      <c r="T907" s="3195">
        <f>T908+T921+T926+T928+T931+T937+T940+T943</f>
        <v>932097190</v>
      </c>
      <c r="U907" s="2918"/>
      <c r="V907" s="2916">
        <f>SUM(V908+V921+V926+V928+V931+V937+V940+V943)</f>
        <v>2405258163</v>
      </c>
      <c r="W907" s="2918"/>
      <c r="X907" s="2918"/>
      <c r="Y907" s="3210"/>
      <c r="Z907" s="3195">
        <f>R907+T907+V907</f>
        <v>3594507353</v>
      </c>
      <c r="AA907" s="3210"/>
      <c r="AB907" s="3195">
        <f>AB908+AB921+AB926+AB928+AB931+AB937+AB940+AB943</f>
        <v>6133376627</v>
      </c>
      <c r="AC907" s="3210"/>
      <c r="AD907" s="3210"/>
      <c r="AE907" s="3211"/>
    </row>
    <row r="908" spans="1:32" s="475" customFormat="1" ht="62.25" customHeight="1">
      <c r="A908" s="2335">
        <v>1</v>
      </c>
      <c r="B908" s="2335"/>
      <c r="C908" s="3796">
        <v>1</v>
      </c>
      <c r="D908" s="2567" t="s">
        <v>65</v>
      </c>
      <c r="E908" s="3796">
        <v>10</v>
      </c>
      <c r="F908" s="2567" t="s">
        <v>66</v>
      </c>
      <c r="G908" s="3796">
        <v>20</v>
      </c>
      <c r="H908" s="3796"/>
      <c r="I908" s="2335" t="s">
        <v>610</v>
      </c>
      <c r="J908" s="3156" t="s">
        <v>3356</v>
      </c>
      <c r="K908" s="2381">
        <v>60</v>
      </c>
      <c r="L908" s="2603">
        <f>SUM(L909:L920)</f>
        <v>3832662000</v>
      </c>
      <c r="M908" s="2543">
        <v>12</v>
      </c>
      <c r="N908" s="2467">
        <f>SUM(N909:N920)</f>
        <v>486637000</v>
      </c>
      <c r="O908" s="2543">
        <v>12</v>
      </c>
      <c r="P908" s="2467">
        <f>SUM(P909:P920)</f>
        <v>595216500</v>
      </c>
      <c r="Q908" s="2543">
        <v>3</v>
      </c>
      <c r="R908" s="2467">
        <f>SUM(R909:R920)</f>
        <v>139920000</v>
      </c>
      <c r="S908" s="2355"/>
      <c r="T908" s="2758">
        <f>SUM(T909:T920)</f>
        <v>54285190</v>
      </c>
      <c r="U908" s="2570"/>
      <c r="V908" s="2571">
        <f>SUM(V909:V920)</f>
        <v>217799295</v>
      </c>
      <c r="W908" s="2570"/>
      <c r="X908" s="2570"/>
      <c r="Y908" s="2543">
        <f t="shared" ref="Y908:Y946" si="283">Q908+S908+U908+W908</f>
        <v>3</v>
      </c>
      <c r="Z908" s="2571">
        <f t="shared" ref="Z908:Z946" si="284">R908+T908+V908+X908</f>
        <v>412004485</v>
      </c>
      <c r="AA908" s="2543">
        <f t="shared" ref="AA908:AA920" si="285">M908+Y908</f>
        <v>15</v>
      </c>
      <c r="AB908" s="2571">
        <f t="shared" ref="AB908:AB920" si="286">N908+Z908</f>
        <v>898641485</v>
      </c>
      <c r="AC908" s="2544">
        <f t="shared" ref="AC908:AC920" si="287">(AA908/K908)*100</f>
        <v>25</v>
      </c>
      <c r="AD908" s="2544">
        <f t="shared" ref="AD908:AD920" si="288">(AB908/L908)*100</f>
        <v>23.446927618454222</v>
      </c>
      <c r="AE908" s="3138" t="s">
        <v>612</v>
      </c>
      <c r="AF908" s="2865"/>
    </row>
    <row r="909" spans="1:32" s="114" customFormat="1" ht="48.75" customHeight="1">
      <c r="A909" s="384"/>
      <c r="B909" s="384"/>
      <c r="C909" s="3791">
        <v>1</v>
      </c>
      <c r="D909" s="3792" t="s">
        <v>65</v>
      </c>
      <c r="E909" s="3791">
        <v>10</v>
      </c>
      <c r="F909" s="3792" t="s">
        <v>66</v>
      </c>
      <c r="G909" s="3792" t="s">
        <v>66</v>
      </c>
      <c r="H909" s="3792" t="s">
        <v>65</v>
      </c>
      <c r="I909" s="384" t="s">
        <v>613</v>
      </c>
      <c r="J909" s="3140" t="s">
        <v>3841</v>
      </c>
      <c r="K909" s="3143">
        <f>12*5</f>
        <v>60</v>
      </c>
      <c r="L909" s="3145">
        <f>(67920+73200+150000+187500+200000)*1000</f>
        <v>678620000</v>
      </c>
      <c r="M909" s="3143">
        <v>12</v>
      </c>
      <c r="N909" s="3145">
        <v>39952000</v>
      </c>
      <c r="O909" s="3143">
        <v>12</v>
      </c>
      <c r="P909" s="3145">
        <v>73200000</v>
      </c>
      <c r="Q909" s="3143">
        <v>3</v>
      </c>
      <c r="R909" s="3145">
        <v>7472000</v>
      </c>
      <c r="S909" s="64">
        <v>3</v>
      </c>
      <c r="T909" s="2923">
        <v>190</v>
      </c>
      <c r="U909" s="385">
        <v>3</v>
      </c>
      <c r="V909" s="597">
        <v>35070575</v>
      </c>
      <c r="W909" s="385"/>
      <c r="X909" s="385"/>
      <c r="Y909" s="3143">
        <f t="shared" si="283"/>
        <v>9</v>
      </c>
      <c r="Z909" s="597">
        <f>R909+T909+V909</f>
        <v>42542765</v>
      </c>
      <c r="AA909" s="3143">
        <f t="shared" si="285"/>
        <v>21</v>
      </c>
      <c r="AB909" s="3145">
        <f t="shared" si="286"/>
        <v>82494765</v>
      </c>
      <c r="AC909" s="3142">
        <f t="shared" si="287"/>
        <v>35</v>
      </c>
      <c r="AD909" s="3142">
        <f t="shared" si="288"/>
        <v>12.156253131354807</v>
      </c>
      <c r="AE909" s="390"/>
    </row>
    <row r="910" spans="1:32" s="475" customFormat="1" ht="48.75" customHeight="1">
      <c r="A910" s="384"/>
      <c r="B910" s="384"/>
      <c r="C910" s="3791">
        <v>1</v>
      </c>
      <c r="D910" s="3792" t="s">
        <v>65</v>
      </c>
      <c r="E910" s="3791">
        <v>1</v>
      </c>
      <c r="F910" s="3792" t="s">
        <v>66</v>
      </c>
      <c r="G910" s="3792" t="s">
        <v>66</v>
      </c>
      <c r="H910" s="3792" t="s">
        <v>198</v>
      </c>
      <c r="I910" s="384" t="s">
        <v>615</v>
      </c>
      <c r="J910" s="3140" t="s">
        <v>3842</v>
      </c>
      <c r="K910" s="3143">
        <v>60</v>
      </c>
      <c r="L910" s="3145">
        <f>(58500+73350+58500+73125+79500)*1000</f>
        <v>342975000</v>
      </c>
      <c r="M910" s="3143">
        <v>12</v>
      </c>
      <c r="N910" s="3145">
        <v>46350000</v>
      </c>
      <c r="O910" s="3143">
        <v>12</v>
      </c>
      <c r="P910" s="3145">
        <v>73350000</v>
      </c>
      <c r="Q910" s="3143">
        <v>3</v>
      </c>
      <c r="R910" s="3145">
        <v>7565000</v>
      </c>
      <c r="S910" s="64">
        <v>3</v>
      </c>
      <c r="T910" s="2400">
        <v>12550000</v>
      </c>
      <c r="U910" s="385">
        <v>3</v>
      </c>
      <c r="V910" s="597">
        <v>47345000</v>
      </c>
      <c r="W910" s="385"/>
      <c r="X910" s="385"/>
      <c r="Y910" s="3143">
        <f t="shared" si="283"/>
        <v>9</v>
      </c>
      <c r="Z910" s="597">
        <f>R910+T910+V910</f>
        <v>67460000</v>
      </c>
      <c r="AA910" s="3143">
        <f t="shared" si="285"/>
        <v>21</v>
      </c>
      <c r="AB910" s="3145">
        <f t="shared" si="286"/>
        <v>113810000</v>
      </c>
      <c r="AC910" s="3142">
        <f t="shared" si="287"/>
        <v>35</v>
      </c>
      <c r="AD910" s="3142">
        <f t="shared" si="288"/>
        <v>33.183176616371455</v>
      </c>
      <c r="AE910" s="390"/>
    </row>
    <row r="911" spans="1:32" s="475" customFormat="1" ht="48.75" customHeight="1">
      <c r="A911" s="384"/>
      <c r="B911" s="384"/>
      <c r="C911" s="3791">
        <v>1</v>
      </c>
      <c r="D911" s="3792" t="s">
        <v>65</v>
      </c>
      <c r="E911" s="3791">
        <v>10</v>
      </c>
      <c r="F911" s="3792" t="s">
        <v>66</v>
      </c>
      <c r="G911" s="3792" t="s">
        <v>66</v>
      </c>
      <c r="H911" s="3792" t="s">
        <v>93</v>
      </c>
      <c r="I911" s="384" t="s">
        <v>617</v>
      </c>
      <c r="J911" s="3140" t="s">
        <v>3843</v>
      </c>
      <c r="K911" s="3143">
        <v>60</v>
      </c>
      <c r="L911" s="3145">
        <f>(31051+41603+37000+46250+50500)*1000</f>
        <v>206404000</v>
      </c>
      <c r="M911" s="3143">
        <v>12</v>
      </c>
      <c r="N911" s="3145">
        <v>30035000</v>
      </c>
      <c r="O911" s="3143">
        <v>12</v>
      </c>
      <c r="P911" s="3145">
        <v>41603000</v>
      </c>
      <c r="Q911" s="3143">
        <v>3</v>
      </c>
      <c r="R911" s="3145">
        <v>9718000</v>
      </c>
      <c r="S911" s="64">
        <v>3</v>
      </c>
      <c r="T911" s="2280">
        <v>3858000</v>
      </c>
      <c r="U911" s="385">
        <v>3</v>
      </c>
      <c r="V911" s="597">
        <v>15169000</v>
      </c>
      <c r="W911" s="385"/>
      <c r="X911" s="385"/>
      <c r="Y911" s="3143">
        <f t="shared" si="283"/>
        <v>9</v>
      </c>
      <c r="Z911" s="597">
        <f>R911+T911+V911</f>
        <v>28745000</v>
      </c>
      <c r="AA911" s="3143">
        <f t="shared" si="285"/>
        <v>21</v>
      </c>
      <c r="AB911" s="597">
        <f t="shared" si="286"/>
        <v>58780000</v>
      </c>
      <c r="AC911" s="3142">
        <f t="shared" si="287"/>
        <v>35</v>
      </c>
      <c r="AD911" s="3142">
        <f t="shared" si="288"/>
        <v>28.47813026879324</v>
      </c>
      <c r="AE911" s="390"/>
      <c r="AF911" s="2865"/>
    </row>
    <row r="912" spans="1:32" s="475" customFormat="1" ht="48.75" customHeight="1">
      <c r="A912" s="384"/>
      <c r="B912" s="384"/>
      <c r="C912" s="3791">
        <v>1</v>
      </c>
      <c r="D912" s="3792" t="s">
        <v>65</v>
      </c>
      <c r="E912" s="3791">
        <v>10</v>
      </c>
      <c r="F912" s="3792" t="s">
        <v>66</v>
      </c>
      <c r="G912" s="3792" t="s">
        <v>66</v>
      </c>
      <c r="H912" s="3792" t="s">
        <v>201</v>
      </c>
      <c r="I912" s="384" t="s">
        <v>619</v>
      </c>
      <c r="J912" s="3140" t="s">
        <v>3844</v>
      </c>
      <c r="K912" s="2395">
        <v>60</v>
      </c>
      <c r="L912" s="3145">
        <f>(5989+42900+50000+50000+50000)*1000</f>
        <v>198889000</v>
      </c>
      <c r="M912" s="2395">
        <v>12</v>
      </c>
      <c r="N912" s="3145">
        <v>5892000</v>
      </c>
      <c r="O912" s="3143">
        <v>12</v>
      </c>
      <c r="P912" s="3145">
        <v>42900000</v>
      </c>
      <c r="Q912" s="2605">
        <v>3</v>
      </c>
      <c r="R912" s="3145">
        <v>800000</v>
      </c>
      <c r="S912" s="64">
        <v>3</v>
      </c>
      <c r="T912" s="2280">
        <v>6340000</v>
      </c>
      <c r="U912" s="385"/>
      <c r="V912" s="597">
        <v>11959000</v>
      </c>
      <c r="W912" s="385"/>
      <c r="X912" s="385"/>
      <c r="Y912" s="3143">
        <f t="shared" si="283"/>
        <v>6</v>
      </c>
      <c r="Z912" s="597">
        <f t="shared" ref="Z912:Z920" si="289">R912+T912+V912</f>
        <v>19099000</v>
      </c>
      <c r="AA912" s="3143">
        <f t="shared" si="285"/>
        <v>18</v>
      </c>
      <c r="AB912" s="597">
        <f t="shared" si="286"/>
        <v>24991000</v>
      </c>
      <c r="AC912" s="3142">
        <f t="shared" si="287"/>
        <v>30</v>
      </c>
      <c r="AD912" s="3142">
        <f t="shared" si="288"/>
        <v>12.565300242849025</v>
      </c>
      <c r="AE912" s="390"/>
      <c r="AF912" s="2865"/>
    </row>
    <row r="913" spans="1:76" s="63" customFormat="1" ht="48.75" customHeight="1">
      <c r="A913" s="384"/>
      <c r="B913" s="384"/>
      <c r="C913" s="3791">
        <v>1</v>
      </c>
      <c r="D913" s="3792" t="s">
        <v>65</v>
      </c>
      <c r="E913" s="3791">
        <v>10</v>
      </c>
      <c r="F913" s="3792" t="s">
        <v>66</v>
      </c>
      <c r="G913" s="3792" t="s">
        <v>66</v>
      </c>
      <c r="H913" s="3792">
        <v>10</v>
      </c>
      <c r="I913" s="384" t="s">
        <v>150</v>
      </c>
      <c r="J913" s="3140" t="s">
        <v>3707</v>
      </c>
      <c r="K913" s="2395">
        <v>60</v>
      </c>
      <c r="L913" s="3145">
        <f>(37173+29963+50000+62500+68000)*1000</f>
        <v>247636000</v>
      </c>
      <c r="M913" s="2395">
        <v>12</v>
      </c>
      <c r="N913" s="3145">
        <v>37172000</v>
      </c>
      <c r="O913" s="2395">
        <v>12</v>
      </c>
      <c r="P913" s="3145">
        <v>29963000</v>
      </c>
      <c r="Q913" s="2395">
        <v>3</v>
      </c>
      <c r="R913" s="3145">
        <v>20848000</v>
      </c>
      <c r="S913" s="64">
        <v>3</v>
      </c>
      <c r="T913" s="2280">
        <v>3847000</v>
      </c>
      <c r="U913" s="385">
        <v>6</v>
      </c>
      <c r="V913" s="597">
        <v>5268000</v>
      </c>
      <c r="W913" s="385"/>
      <c r="X913" s="385"/>
      <c r="Y913" s="3143">
        <f t="shared" si="283"/>
        <v>12</v>
      </c>
      <c r="Z913" s="597">
        <f t="shared" si="289"/>
        <v>29963000</v>
      </c>
      <c r="AA913" s="3143">
        <f t="shared" si="285"/>
        <v>24</v>
      </c>
      <c r="AB913" s="597">
        <f t="shared" si="286"/>
        <v>67135000</v>
      </c>
      <c r="AC913" s="3142">
        <f t="shared" si="287"/>
        <v>40</v>
      </c>
      <c r="AD913" s="3142">
        <f t="shared" si="288"/>
        <v>27.110355521814277</v>
      </c>
      <c r="AE913" s="390"/>
      <c r="AF913" s="2863"/>
    </row>
    <row r="914" spans="1:76" s="63" customFormat="1" ht="48.75" customHeight="1">
      <c r="A914" s="384"/>
      <c r="B914" s="384"/>
      <c r="C914" s="3791">
        <v>1</v>
      </c>
      <c r="D914" s="3792" t="s">
        <v>65</v>
      </c>
      <c r="E914" s="3791">
        <v>10</v>
      </c>
      <c r="F914" s="3792" t="s">
        <v>66</v>
      </c>
      <c r="G914" s="3792" t="s">
        <v>66</v>
      </c>
      <c r="H914" s="3792">
        <v>11</v>
      </c>
      <c r="I914" s="384" t="s">
        <v>151</v>
      </c>
      <c r="J914" s="3140" t="s">
        <v>3708</v>
      </c>
      <c r="K914" s="2395">
        <v>60</v>
      </c>
      <c r="L914" s="3145">
        <f>(37814+32617+120000+150000+180000)*1000</f>
        <v>520431000</v>
      </c>
      <c r="M914" s="2395">
        <v>12</v>
      </c>
      <c r="N914" s="3145">
        <v>37814000</v>
      </c>
      <c r="O914" s="2395">
        <v>12</v>
      </c>
      <c r="P914" s="3145">
        <v>32617500</v>
      </c>
      <c r="Q914" s="2395">
        <v>3</v>
      </c>
      <c r="R914" s="3145">
        <v>5650000</v>
      </c>
      <c r="S914" s="64">
        <v>3</v>
      </c>
      <c r="T914" s="2280">
        <v>1500000</v>
      </c>
      <c r="U914" s="385">
        <v>3</v>
      </c>
      <c r="V914" s="597">
        <v>16017500</v>
      </c>
      <c r="W914" s="385"/>
      <c r="X914" s="385"/>
      <c r="Y914" s="3143">
        <f t="shared" si="283"/>
        <v>9</v>
      </c>
      <c r="Z914" s="597">
        <f t="shared" si="289"/>
        <v>23167500</v>
      </c>
      <c r="AA914" s="3143">
        <f t="shared" si="285"/>
        <v>21</v>
      </c>
      <c r="AB914" s="597">
        <f t="shared" si="286"/>
        <v>60981500</v>
      </c>
      <c r="AC914" s="3142">
        <f t="shared" si="287"/>
        <v>35</v>
      </c>
      <c r="AD914" s="3142">
        <f t="shared" si="288"/>
        <v>11.717499534040057</v>
      </c>
      <c r="AE914" s="390"/>
      <c r="AF914" s="2863"/>
    </row>
    <row r="915" spans="1:76" s="63" customFormat="1" ht="48.75" customHeight="1">
      <c r="A915" s="384"/>
      <c r="B915" s="384"/>
      <c r="C915" s="3791">
        <v>1</v>
      </c>
      <c r="D915" s="3792" t="s">
        <v>65</v>
      </c>
      <c r="E915" s="3791">
        <v>10</v>
      </c>
      <c r="F915" s="3792" t="s">
        <v>66</v>
      </c>
      <c r="G915" s="3792" t="s">
        <v>66</v>
      </c>
      <c r="H915" s="3792">
        <v>12</v>
      </c>
      <c r="I915" s="384" t="s">
        <v>623</v>
      </c>
      <c r="J915" s="3140" t="s">
        <v>3845</v>
      </c>
      <c r="K915" s="2395">
        <v>60</v>
      </c>
      <c r="L915" s="3145">
        <f>(7519+15938+20000+25000+30000)*1000</f>
        <v>98457000</v>
      </c>
      <c r="M915" s="2395">
        <v>12</v>
      </c>
      <c r="N915" s="3145">
        <v>7498000</v>
      </c>
      <c r="O915" s="2395">
        <v>12</v>
      </c>
      <c r="P915" s="3145">
        <v>15938000</v>
      </c>
      <c r="Q915" s="2395">
        <v>3</v>
      </c>
      <c r="R915" s="3145">
        <v>0</v>
      </c>
      <c r="S915" s="64">
        <v>3</v>
      </c>
      <c r="T915" s="2280">
        <v>2840000</v>
      </c>
      <c r="U915" s="385"/>
      <c r="V915" s="597">
        <f>AF915-T915</f>
        <v>-2840000</v>
      </c>
      <c r="W915" s="385"/>
      <c r="X915" s="385"/>
      <c r="Y915" s="3143">
        <f t="shared" si="283"/>
        <v>6</v>
      </c>
      <c r="Z915" s="597">
        <f t="shared" si="289"/>
        <v>0</v>
      </c>
      <c r="AA915" s="3143">
        <f t="shared" si="285"/>
        <v>18</v>
      </c>
      <c r="AB915" s="597">
        <f t="shared" si="286"/>
        <v>7498000</v>
      </c>
      <c r="AC915" s="3142">
        <f t="shared" si="287"/>
        <v>30</v>
      </c>
      <c r="AD915" s="3142">
        <f t="shared" si="288"/>
        <v>7.6155072772885619</v>
      </c>
      <c r="AE915" s="390"/>
      <c r="AF915" s="2863"/>
    </row>
    <row r="916" spans="1:76" s="2321" customFormat="1" ht="48.75" customHeight="1">
      <c r="A916" s="384"/>
      <c r="B916" s="384"/>
      <c r="C916" s="3791">
        <v>1</v>
      </c>
      <c r="D916" s="3792" t="s">
        <v>65</v>
      </c>
      <c r="E916" s="3791">
        <v>10</v>
      </c>
      <c r="F916" s="3792" t="s">
        <v>66</v>
      </c>
      <c r="G916" s="3792" t="s">
        <v>66</v>
      </c>
      <c r="H916" s="3792">
        <v>15</v>
      </c>
      <c r="I916" s="384" t="s">
        <v>625</v>
      </c>
      <c r="J916" s="3140" t="s">
        <v>3846</v>
      </c>
      <c r="K916" s="2395">
        <v>60</v>
      </c>
      <c r="L916" s="3145">
        <f>(19000+21400+25000+31250+36000)*1000</f>
        <v>132650000</v>
      </c>
      <c r="M916" s="2604">
        <v>12</v>
      </c>
      <c r="N916" s="3145">
        <v>13785000</v>
      </c>
      <c r="O916" s="2395">
        <v>12</v>
      </c>
      <c r="P916" s="3145">
        <v>21400000</v>
      </c>
      <c r="Q916" s="2395">
        <v>3</v>
      </c>
      <c r="R916" s="3145">
        <v>505000</v>
      </c>
      <c r="S916" s="64">
        <v>3</v>
      </c>
      <c r="T916" s="2280">
        <v>810000</v>
      </c>
      <c r="U916" s="385"/>
      <c r="V916" s="597">
        <v>18400000</v>
      </c>
      <c r="W916" s="385"/>
      <c r="X916" s="385"/>
      <c r="Y916" s="3143">
        <f t="shared" si="283"/>
        <v>6</v>
      </c>
      <c r="Z916" s="597">
        <f t="shared" si="289"/>
        <v>19715000</v>
      </c>
      <c r="AA916" s="3143">
        <f t="shared" si="285"/>
        <v>18</v>
      </c>
      <c r="AB916" s="597">
        <f t="shared" si="286"/>
        <v>33500000</v>
      </c>
      <c r="AC916" s="3142">
        <f t="shared" si="287"/>
        <v>30</v>
      </c>
      <c r="AD916" s="3142">
        <f t="shared" si="288"/>
        <v>25.254428948360346</v>
      </c>
      <c r="AE916" s="390"/>
      <c r="AF916" s="2320"/>
      <c r="AG916" s="2320"/>
      <c r="AH916" s="2320"/>
      <c r="AI916" s="2320"/>
      <c r="AJ916" s="2320"/>
      <c r="AK916" s="2320"/>
      <c r="AL916" s="2320"/>
      <c r="AM916" s="2320"/>
      <c r="AN916" s="2320"/>
      <c r="AO916" s="2320"/>
      <c r="AP916" s="2320"/>
      <c r="AQ916" s="2320"/>
      <c r="AR916" s="2320"/>
      <c r="AS916" s="2320"/>
      <c r="AT916" s="2320"/>
      <c r="AU916" s="2320"/>
      <c r="AV916" s="2320"/>
      <c r="AW916" s="2320"/>
      <c r="AX916" s="2320"/>
      <c r="AY916" s="2320"/>
      <c r="AZ916" s="2320"/>
      <c r="BA916" s="2320"/>
      <c r="BB916" s="2320"/>
      <c r="BC916" s="2320"/>
      <c r="BD916" s="2320"/>
      <c r="BE916" s="2320"/>
      <c r="BF916" s="2320"/>
      <c r="BG916" s="2320"/>
      <c r="BH916" s="2320"/>
      <c r="BI916" s="2320"/>
      <c r="BJ916" s="2320"/>
      <c r="BK916" s="2320"/>
      <c r="BL916" s="2320"/>
      <c r="BM916" s="2320"/>
      <c r="BN916" s="2320"/>
      <c r="BO916" s="2320"/>
      <c r="BP916" s="2320"/>
      <c r="BQ916" s="2320"/>
      <c r="BR916" s="2320"/>
      <c r="BS916" s="2320"/>
      <c r="BT916" s="2320"/>
      <c r="BU916" s="2320"/>
      <c r="BV916" s="2320"/>
      <c r="BW916" s="2320"/>
      <c r="BX916" s="2320"/>
    </row>
    <row r="917" spans="1:76" s="2321" customFormat="1" ht="48.75" customHeight="1">
      <c r="A917" s="384"/>
      <c r="B917" s="384"/>
      <c r="C917" s="3791">
        <v>1</v>
      </c>
      <c r="D917" s="3792" t="s">
        <v>65</v>
      </c>
      <c r="E917" s="3791">
        <v>10</v>
      </c>
      <c r="F917" s="3792" t="s">
        <v>66</v>
      </c>
      <c r="G917" s="3792" t="s">
        <v>66</v>
      </c>
      <c r="H917" s="3792">
        <v>17</v>
      </c>
      <c r="I917" s="384" t="s">
        <v>157</v>
      </c>
      <c r="J917" s="3140" t="s">
        <v>3711</v>
      </c>
      <c r="K917" s="2395">
        <v>60</v>
      </c>
      <c r="L917" s="3145">
        <f>(22450+22500+40000+50000+55000)*1000</f>
        <v>189950000</v>
      </c>
      <c r="M917" s="2395">
        <v>12</v>
      </c>
      <c r="N917" s="3145">
        <v>21630000</v>
      </c>
      <c r="O917" s="2395">
        <v>12</v>
      </c>
      <c r="P917" s="3145">
        <v>22500000</v>
      </c>
      <c r="Q917" s="2605">
        <v>3</v>
      </c>
      <c r="R917" s="3145">
        <v>5676000</v>
      </c>
      <c r="S917" s="64">
        <v>3</v>
      </c>
      <c r="T917" s="2280">
        <v>4108000</v>
      </c>
      <c r="U917" s="385"/>
      <c r="V917" s="597">
        <v>10135000</v>
      </c>
      <c r="W917" s="385"/>
      <c r="X917" s="385"/>
      <c r="Y917" s="3143">
        <f t="shared" si="283"/>
        <v>6</v>
      </c>
      <c r="Z917" s="597">
        <f t="shared" si="289"/>
        <v>19919000</v>
      </c>
      <c r="AA917" s="3143">
        <f t="shared" si="285"/>
        <v>18</v>
      </c>
      <c r="AB917" s="597">
        <f t="shared" si="286"/>
        <v>41549000</v>
      </c>
      <c r="AC917" s="3142">
        <f t="shared" si="287"/>
        <v>30</v>
      </c>
      <c r="AD917" s="3142">
        <f t="shared" si="288"/>
        <v>21.873650960779152</v>
      </c>
      <c r="AE917" s="390"/>
      <c r="AF917" s="3598"/>
      <c r="AG917" s="2320"/>
      <c r="AH917" s="2320"/>
      <c r="AI917" s="2320"/>
      <c r="AJ917" s="2320"/>
      <c r="AK917" s="2320"/>
      <c r="AL917" s="2320"/>
      <c r="AM917" s="2320"/>
      <c r="AN917" s="2320"/>
      <c r="AO917" s="2320"/>
      <c r="AP917" s="2320"/>
      <c r="AQ917" s="2320"/>
      <c r="AR917" s="2320"/>
      <c r="AS917" s="2320"/>
      <c r="AT917" s="2320"/>
      <c r="AU917" s="2320"/>
      <c r="AV917" s="2320"/>
      <c r="AW917" s="2320"/>
      <c r="AX917" s="2320"/>
      <c r="AY917" s="2320"/>
      <c r="AZ917" s="2320"/>
      <c r="BA917" s="2320"/>
      <c r="BB917" s="2320"/>
      <c r="BC917" s="2320"/>
      <c r="BD917" s="2320"/>
      <c r="BE917" s="2320"/>
      <c r="BF917" s="2320"/>
      <c r="BG917" s="2320"/>
      <c r="BH917" s="2320"/>
      <c r="BI917" s="2320"/>
      <c r="BJ917" s="2320"/>
      <c r="BK917" s="2320"/>
      <c r="BL917" s="2320"/>
      <c r="BM917" s="2320"/>
      <c r="BN917" s="2320"/>
      <c r="BO917" s="2320"/>
      <c r="BP917" s="2320"/>
      <c r="BQ917" s="2320"/>
      <c r="BR917" s="2320"/>
      <c r="BS917" s="2320"/>
      <c r="BT917" s="2320"/>
      <c r="BU917" s="2320"/>
      <c r="BV917" s="2320"/>
      <c r="BW917" s="2320"/>
      <c r="BX917" s="2320"/>
    </row>
    <row r="918" spans="1:76" s="2321" customFormat="1" ht="48.75" customHeight="1">
      <c r="A918" s="384"/>
      <c r="B918" s="384"/>
      <c r="C918" s="3791">
        <v>1</v>
      </c>
      <c r="D918" s="3792" t="s">
        <v>65</v>
      </c>
      <c r="E918" s="3791">
        <v>10</v>
      </c>
      <c r="F918" s="3792" t="s">
        <v>66</v>
      </c>
      <c r="G918" s="3792" t="s">
        <v>66</v>
      </c>
      <c r="H918" s="3792">
        <v>18</v>
      </c>
      <c r="I918" s="384" t="s">
        <v>628</v>
      </c>
      <c r="J918" s="3140" t="s">
        <v>3847</v>
      </c>
      <c r="K918" s="2395">
        <v>60</v>
      </c>
      <c r="L918" s="3145">
        <f>(146200+182950+150000+187500+200000)*1000</f>
        <v>866650000</v>
      </c>
      <c r="M918" s="2395">
        <v>12</v>
      </c>
      <c r="N918" s="3145">
        <v>144977000</v>
      </c>
      <c r="O918" s="2395">
        <v>12</v>
      </c>
      <c r="P918" s="3145">
        <v>182950000</v>
      </c>
      <c r="Q918" s="2605">
        <v>3</v>
      </c>
      <c r="R918" s="3145">
        <v>65711000</v>
      </c>
      <c r="S918" s="1689">
        <v>3</v>
      </c>
      <c r="T918" s="2280">
        <v>14312000</v>
      </c>
      <c r="U918" s="385"/>
      <c r="V918" s="597">
        <v>35339820</v>
      </c>
      <c r="W918" s="385"/>
      <c r="X918" s="385"/>
      <c r="Y918" s="3143">
        <f t="shared" si="283"/>
        <v>6</v>
      </c>
      <c r="Z918" s="597">
        <f t="shared" si="289"/>
        <v>115362820</v>
      </c>
      <c r="AA918" s="3143">
        <f t="shared" si="285"/>
        <v>18</v>
      </c>
      <c r="AB918" s="597">
        <f t="shared" si="286"/>
        <v>260339820</v>
      </c>
      <c r="AC918" s="3142">
        <f t="shared" si="287"/>
        <v>30</v>
      </c>
      <c r="AD918" s="3142">
        <f t="shared" si="288"/>
        <v>30.039787688224774</v>
      </c>
      <c r="AE918" s="390"/>
      <c r="AF918" s="2320"/>
      <c r="AG918" s="2320"/>
      <c r="AH918" s="2320"/>
      <c r="AI918" s="2320"/>
      <c r="AJ918" s="2320"/>
      <c r="AK918" s="2320"/>
      <c r="AL918" s="2320"/>
      <c r="AM918" s="2320"/>
      <c r="AN918" s="2320"/>
      <c r="AO918" s="2320"/>
      <c r="AP918" s="2320"/>
      <c r="AQ918" s="2320"/>
      <c r="AR918" s="2320"/>
      <c r="AS918" s="2320"/>
      <c r="AT918" s="2320"/>
      <c r="AU918" s="2320"/>
      <c r="AV918" s="2320"/>
      <c r="AW918" s="2320"/>
      <c r="AX918" s="2320"/>
      <c r="AY918" s="2320"/>
      <c r="AZ918" s="2320"/>
      <c r="BA918" s="2320"/>
      <c r="BB918" s="2320"/>
      <c r="BC918" s="2320"/>
      <c r="BD918" s="2320"/>
      <c r="BE918" s="2320"/>
      <c r="BF918" s="2320"/>
      <c r="BG918" s="2320"/>
      <c r="BH918" s="2320"/>
      <c r="BI918" s="2320"/>
      <c r="BJ918" s="2320"/>
      <c r="BK918" s="2320"/>
      <c r="BL918" s="2320"/>
      <c r="BM918" s="2320"/>
      <c r="BN918" s="2320"/>
      <c r="BO918" s="2320"/>
      <c r="BP918" s="2320"/>
      <c r="BQ918" s="2320"/>
      <c r="BR918" s="2320"/>
      <c r="BS918" s="2320"/>
      <c r="BT918" s="2320"/>
      <c r="BU918" s="2320"/>
      <c r="BV918" s="2320"/>
      <c r="BW918" s="2320"/>
      <c r="BX918" s="2320"/>
    </row>
    <row r="919" spans="1:76" s="2319" customFormat="1" ht="48.75" customHeight="1">
      <c r="A919" s="384"/>
      <c r="B919" s="384"/>
      <c r="C919" s="3791">
        <v>1</v>
      </c>
      <c r="D919" s="3792" t="s">
        <v>65</v>
      </c>
      <c r="E919" s="3791">
        <v>10</v>
      </c>
      <c r="F919" s="3792" t="s">
        <v>66</v>
      </c>
      <c r="G919" s="3792" t="s">
        <v>66</v>
      </c>
      <c r="H919" s="3792">
        <v>20</v>
      </c>
      <c r="I919" s="384" t="s">
        <v>630</v>
      </c>
      <c r="J919" s="3140" t="s">
        <v>3848</v>
      </c>
      <c r="K919" s="2395">
        <v>60</v>
      </c>
      <c r="L919" s="3145">
        <f>40000000*5</f>
        <v>200000000</v>
      </c>
      <c r="M919" s="2395">
        <v>12</v>
      </c>
      <c r="N919" s="3145">
        <v>62450000</v>
      </c>
      <c r="O919" s="2395">
        <v>12</v>
      </c>
      <c r="P919" s="3145">
        <v>37800000</v>
      </c>
      <c r="Q919" s="2605">
        <v>3</v>
      </c>
      <c r="R919" s="3145">
        <v>14475000</v>
      </c>
      <c r="S919" s="1689">
        <v>3</v>
      </c>
      <c r="T919" s="2280">
        <v>4120000</v>
      </c>
      <c r="U919" s="385"/>
      <c r="V919" s="597">
        <v>9800000</v>
      </c>
      <c r="W919" s="385"/>
      <c r="X919" s="385"/>
      <c r="Y919" s="3143">
        <f t="shared" si="283"/>
        <v>6</v>
      </c>
      <c r="Z919" s="597">
        <f t="shared" si="289"/>
        <v>28395000</v>
      </c>
      <c r="AA919" s="3143">
        <f t="shared" si="285"/>
        <v>18</v>
      </c>
      <c r="AB919" s="597">
        <f t="shared" si="286"/>
        <v>90845000</v>
      </c>
      <c r="AC919" s="3142">
        <f t="shared" si="287"/>
        <v>30</v>
      </c>
      <c r="AD919" s="3142">
        <f t="shared" si="288"/>
        <v>45.422499999999999</v>
      </c>
      <c r="AE919" s="390"/>
      <c r="AF919" s="3598"/>
      <c r="AG919" s="2320"/>
      <c r="AH919" s="2320"/>
      <c r="AI919" s="2320"/>
      <c r="AJ919" s="2320"/>
      <c r="AK919" s="2320"/>
      <c r="AL919" s="2320"/>
      <c r="AM919" s="2320"/>
      <c r="AN919" s="2320"/>
      <c r="AO919" s="2320"/>
      <c r="AP919" s="2320"/>
      <c r="AQ919" s="2320"/>
      <c r="AR919" s="2320"/>
      <c r="AS919" s="2320"/>
      <c r="AT919" s="2320"/>
      <c r="AU919" s="2320"/>
      <c r="AV919" s="2320"/>
      <c r="AW919" s="2320"/>
      <c r="AX919" s="2320"/>
      <c r="AY919" s="2320"/>
      <c r="AZ919" s="2320"/>
      <c r="BA919" s="2320"/>
      <c r="BB919" s="2320"/>
      <c r="BC919" s="2320"/>
      <c r="BD919" s="2320"/>
      <c r="BE919" s="2320"/>
      <c r="BF919" s="2320"/>
      <c r="BG919" s="2320"/>
      <c r="BH919" s="2320"/>
      <c r="BI919" s="2320"/>
      <c r="BJ919" s="2320"/>
      <c r="BK919" s="2320"/>
      <c r="BL919" s="2320"/>
      <c r="BM919" s="2320"/>
      <c r="BN919" s="2320"/>
      <c r="BO919" s="2320"/>
      <c r="BP919" s="2320"/>
      <c r="BQ919" s="2320"/>
      <c r="BR919" s="2320"/>
      <c r="BS919" s="2320"/>
      <c r="BT919" s="2320"/>
      <c r="BU919" s="2320"/>
      <c r="BV919" s="2320"/>
      <c r="BW919" s="2320"/>
      <c r="BX919" s="2320"/>
    </row>
    <row r="920" spans="1:76" s="2319" customFormat="1" ht="69" customHeight="1">
      <c r="A920" s="384"/>
      <c r="B920" s="384"/>
      <c r="C920" s="3791">
        <v>1</v>
      </c>
      <c r="D920" s="3792" t="s">
        <v>65</v>
      </c>
      <c r="E920" s="3791">
        <v>10</v>
      </c>
      <c r="F920" s="3792" t="s">
        <v>66</v>
      </c>
      <c r="G920" s="3792" t="s">
        <v>66</v>
      </c>
      <c r="H920" s="3792">
        <v>22</v>
      </c>
      <c r="I920" s="384" t="s">
        <v>168</v>
      </c>
      <c r="J920" s="3140" t="s">
        <v>3865</v>
      </c>
      <c r="K920" s="3143">
        <v>30</v>
      </c>
      <c r="L920" s="3145">
        <f>30000000*5</f>
        <v>150000000</v>
      </c>
      <c r="M920" s="3143">
        <f>30/5</f>
        <v>6</v>
      </c>
      <c r="N920" s="3145">
        <v>39082000</v>
      </c>
      <c r="O920" s="3143">
        <v>6</v>
      </c>
      <c r="P920" s="3145">
        <v>20995000</v>
      </c>
      <c r="Q920" s="3143">
        <v>0</v>
      </c>
      <c r="R920" s="3145">
        <v>1500000</v>
      </c>
      <c r="S920" s="64">
        <v>0</v>
      </c>
      <c r="T920" s="2280">
        <v>0</v>
      </c>
      <c r="U920" s="385"/>
      <c r="V920" s="597">
        <v>16135400</v>
      </c>
      <c r="W920" s="385"/>
      <c r="X920" s="385"/>
      <c r="Y920" s="3143">
        <f t="shared" si="283"/>
        <v>0</v>
      </c>
      <c r="Z920" s="597">
        <f t="shared" si="289"/>
        <v>17635400</v>
      </c>
      <c r="AA920" s="3143">
        <f t="shared" si="285"/>
        <v>6</v>
      </c>
      <c r="AB920" s="597">
        <f t="shared" si="286"/>
        <v>56717400</v>
      </c>
      <c r="AC920" s="3142">
        <f t="shared" si="287"/>
        <v>20</v>
      </c>
      <c r="AD920" s="3142">
        <f t="shared" si="288"/>
        <v>37.811599999999999</v>
      </c>
      <c r="AE920" s="390"/>
      <c r="AF920" s="2320"/>
      <c r="AG920" s="2320"/>
      <c r="AH920" s="2320"/>
      <c r="AI920" s="2320"/>
      <c r="AJ920" s="2320"/>
      <c r="AK920" s="2320"/>
      <c r="AL920" s="2320"/>
      <c r="AM920" s="2320"/>
      <c r="AN920" s="2320"/>
      <c r="AO920" s="2320"/>
      <c r="AP920" s="2320"/>
      <c r="AQ920" s="2320"/>
      <c r="AR920" s="2320"/>
      <c r="AS920" s="2320"/>
      <c r="AT920" s="2320"/>
      <c r="AU920" s="2320"/>
      <c r="AV920" s="2320"/>
      <c r="AW920" s="2320"/>
      <c r="AX920" s="2320"/>
      <c r="AY920" s="2320"/>
      <c r="AZ920" s="2320"/>
      <c r="BA920" s="2320"/>
      <c r="BB920" s="2320"/>
      <c r="BC920" s="2320"/>
      <c r="BD920" s="2320"/>
      <c r="BE920" s="2320"/>
      <c r="BF920" s="2320"/>
      <c r="BG920" s="2320"/>
      <c r="BH920" s="2320"/>
      <c r="BI920" s="2320"/>
      <c r="BJ920" s="2320"/>
      <c r="BK920" s="2320"/>
      <c r="BL920" s="2320"/>
      <c r="BM920" s="2320"/>
      <c r="BN920" s="2320"/>
      <c r="BO920" s="2320"/>
      <c r="BP920" s="2320"/>
      <c r="BQ920" s="2320"/>
      <c r="BR920" s="2320"/>
      <c r="BS920" s="2320"/>
      <c r="BT920" s="2320"/>
      <c r="BU920" s="2320"/>
      <c r="BV920" s="2320"/>
      <c r="BW920" s="2320"/>
      <c r="BX920" s="2320"/>
    </row>
    <row r="921" spans="1:76" s="2319" customFormat="1" ht="61.5" customHeight="1">
      <c r="A921" s="2345">
        <v>2</v>
      </c>
      <c r="B921" s="2345"/>
      <c r="C921" s="2873">
        <v>1</v>
      </c>
      <c r="D921" s="2352" t="s">
        <v>65</v>
      </c>
      <c r="E921" s="2873">
        <v>10</v>
      </c>
      <c r="F921" s="2352" t="s">
        <v>66</v>
      </c>
      <c r="G921" s="2352" t="s">
        <v>65</v>
      </c>
      <c r="H921" s="2352"/>
      <c r="I921" s="2335" t="s">
        <v>257</v>
      </c>
      <c r="J921" s="3156" t="s">
        <v>3357</v>
      </c>
      <c r="K921" s="2543">
        <v>60</v>
      </c>
      <c r="L921" s="2467">
        <f>SUM(L922:L925)</f>
        <v>1540000000</v>
      </c>
      <c r="M921" s="2543">
        <v>12</v>
      </c>
      <c r="N921" s="2467">
        <f>SUM(N922:N925)</f>
        <v>597468000</v>
      </c>
      <c r="O921" s="2543">
        <v>12</v>
      </c>
      <c r="P921" s="2467">
        <f>SUM(P922:P925)</f>
        <v>257270000</v>
      </c>
      <c r="Q921" s="2543">
        <v>3</v>
      </c>
      <c r="R921" s="2467">
        <f>SUM(R922:R925)</f>
        <v>13963000</v>
      </c>
      <c r="S921" s="2355"/>
      <c r="T921" s="2571">
        <f>SUM(T922:T925)</f>
        <v>126186000</v>
      </c>
      <c r="U921" s="2570"/>
      <c r="V921" s="2571">
        <f>SUM(V922:V925)</f>
        <v>-20634450</v>
      </c>
      <c r="W921" s="2570"/>
      <c r="X921" s="2570"/>
      <c r="Y921" s="2543">
        <f t="shared" si="283"/>
        <v>3</v>
      </c>
      <c r="Z921" s="2571">
        <f t="shared" si="284"/>
        <v>119514550</v>
      </c>
      <c r="AA921" s="2543">
        <f t="shared" ref="AA921:AB928" si="290">M921+Y921</f>
        <v>15</v>
      </c>
      <c r="AB921" s="2571">
        <f t="shared" si="290"/>
        <v>716982550</v>
      </c>
      <c r="AC921" s="2544">
        <f t="shared" ref="AC921:AC930" si="291">(AA921/K921)*100</f>
        <v>25</v>
      </c>
      <c r="AD921" s="2544">
        <f t="shared" ref="AD921:AD930" si="292">(AB921/L921)*100</f>
        <v>46.55730844155844</v>
      </c>
      <c r="AE921" s="3138" t="s">
        <v>612</v>
      </c>
      <c r="AF921" s="2320"/>
      <c r="AG921" s="2320"/>
      <c r="AH921" s="2320"/>
      <c r="AI921" s="2320"/>
      <c r="AJ921" s="2320"/>
      <c r="AK921" s="2320"/>
      <c r="AL921" s="2320"/>
      <c r="AM921" s="2320"/>
      <c r="AN921" s="2320"/>
      <c r="AO921" s="2320"/>
      <c r="AP921" s="2320"/>
      <c r="AQ921" s="2320"/>
      <c r="AR921" s="2320"/>
      <c r="AS921" s="2320"/>
      <c r="AT921" s="2320"/>
      <c r="AU921" s="2320"/>
      <c r="AV921" s="2320"/>
      <c r="AW921" s="2320"/>
      <c r="AX921" s="2320"/>
      <c r="AY921" s="2320"/>
      <c r="AZ921" s="2320"/>
      <c r="BA921" s="2320"/>
      <c r="BB921" s="2320"/>
      <c r="BC921" s="2320"/>
      <c r="BD921" s="2320"/>
      <c r="BE921" s="2320"/>
      <c r="BF921" s="2320"/>
      <c r="BG921" s="2320"/>
      <c r="BH921" s="2320"/>
      <c r="BI921" s="2320"/>
      <c r="BJ921" s="2320"/>
      <c r="BK921" s="2320"/>
      <c r="BL921" s="2320"/>
      <c r="BM921" s="2320"/>
      <c r="BN921" s="2320"/>
      <c r="BO921" s="2320"/>
      <c r="BP921" s="2320"/>
      <c r="BQ921" s="2320"/>
      <c r="BR921" s="2320"/>
      <c r="BS921" s="2320"/>
      <c r="BT921" s="2320"/>
      <c r="BU921" s="2320"/>
      <c r="BV921" s="2320"/>
      <c r="BW921" s="2320"/>
      <c r="BX921" s="2320"/>
    </row>
    <row r="922" spans="1:76" s="2319" customFormat="1" ht="43.5" customHeight="1">
      <c r="A922" s="384"/>
      <c r="B922" s="384"/>
      <c r="C922" s="3791">
        <v>1</v>
      </c>
      <c r="D922" s="3792" t="s">
        <v>65</v>
      </c>
      <c r="E922" s="3791">
        <v>10</v>
      </c>
      <c r="F922" s="3792" t="s">
        <v>66</v>
      </c>
      <c r="G922" s="3792" t="s">
        <v>65</v>
      </c>
      <c r="H922" s="3792">
        <v>22</v>
      </c>
      <c r="I922" s="384" t="s">
        <v>258</v>
      </c>
      <c r="J922" s="3140" t="s">
        <v>3866</v>
      </c>
      <c r="K922" s="601">
        <v>1</v>
      </c>
      <c r="L922" s="3145">
        <v>290000000</v>
      </c>
      <c r="M922" s="601">
        <v>0.2</v>
      </c>
      <c r="N922" s="3145">
        <v>62050000</v>
      </c>
      <c r="O922" s="601">
        <v>0.6</v>
      </c>
      <c r="P922" s="3145">
        <v>2000000</v>
      </c>
      <c r="Q922" s="3143">
        <v>0</v>
      </c>
      <c r="R922" s="3145">
        <v>0</v>
      </c>
      <c r="S922" s="64">
        <v>0</v>
      </c>
      <c r="T922" s="2280">
        <v>0</v>
      </c>
      <c r="U922" s="4138">
        <v>0.5</v>
      </c>
      <c r="V922" s="597">
        <v>2000000</v>
      </c>
      <c r="W922" s="385"/>
      <c r="X922" s="385"/>
      <c r="Y922" s="3143">
        <f t="shared" si="283"/>
        <v>0.5</v>
      </c>
      <c r="Z922" s="597">
        <f t="shared" si="284"/>
        <v>2000000</v>
      </c>
      <c r="AA922" s="3143">
        <f t="shared" si="290"/>
        <v>0.7</v>
      </c>
      <c r="AB922" s="597">
        <f t="shared" si="290"/>
        <v>64050000</v>
      </c>
      <c r="AC922" s="3142">
        <f t="shared" si="291"/>
        <v>70</v>
      </c>
      <c r="AD922" s="3142">
        <f t="shared" si="292"/>
        <v>22.086206896551726</v>
      </c>
      <c r="AE922" s="390"/>
      <c r="AF922" s="2320"/>
      <c r="AG922" s="2320"/>
      <c r="AH922" s="2320"/>
      <c r="AI922" s="2320"/>
      <c r="AJ922" s="2320"/>
      <c r="AK922" s="2320"/>
      <c r="AL922" s="2320"/>
      <c r="AM922" s="2320"/>
      <c r="AN922" s="2320"/>
      <c r="AO922" s="2320"/>
      <c r="AP922" s="2320"/>
      <c r="AQ922" s="2320"/>
      <c r="AR922" s="2320"/>
      <c r="AS922" s="2320"/>
      <c r="AT922" s="2320"/>
      <c r="AU922" s="2320"/>
      <c r="AV922" s="2320"/>
      <c r="AW922" s="2320"/>
      <c r="AX922" s="2320"/>
      <c r="AY922" s="2320"/>
      <c r="AZ922" s="2320"/>
      <c r="BA922" s="2320"/>
      <c r="BB922" s="2320"/>
      <c r="BC922" s="2320"/>
      <c r="BD922" s="2320"/>
      <c r="BE922" s="2320"/>
      <c r="BF922" s="2320"/>
      <c r="BG922" s="2320"/>
      <c r="BH922" s="2320"/>
      <c r="BI922" s="2320"/>
      <c r="BJ922" s="2320"/>
      <c r="BK922" s="2320"/>
      <c r="BL922" s="2320"/>
      <c r="BM922" s="2320"/>
      <c r="BN922" s="2320"/>
      <c r="BO922" s="2320"/>
      <c r="BP922" s="2320"/>
      <c r="BQ922" s="2320"/>
      <c r="BR922" s="2320"/>
      <c r="BS922" s="2320"/>
      <c r="BT922" s="2320"/>
      <c r="BU922" s="2320"/>
      <c r="BV922" s="2320"/>
      <c r="BW922" s="2320"/>
      <c r="BX922" s="2320"/>
    </row>
    <row r="923" spans="1:76" s="2319" customFormat="1" ht="43.5" customHeight="1">
      <c r="A923" s="384"/>
      <c r="B923" s="384"/>
      <c r="C923" s="3791">
        <v>1</v>
      </c>
      <c r="D923" s="3792" t="s">
        <v>65</v>
      </c>
      <c r="E923" s="3791">
        <v>10</v>
      </c>
      <c r="F923" s="3792" t="s">
        <v>66</v>
      </c>
      <c r="G923" s="3792" t="s">
        <v>65</v>
      </c>
      <c r="H923" s="3792">
        <v>24</v>
      </c>
      <c r="I923" s="384" t="s">
        <v>224</v>
      </c>
      <c r="J923" s="3140" t="s">
        <v>3867</v>
      </c>
      <c r="K923" s="601">
        <v>1</v>
      </c>
      <c r="L923" s="3145">
        <v>280000000</v>
      </c>
      <c r="M923" s="601">
        <v>0.2</v>
      </c>
      <c r="N923" s="3145">
        <v>44069000</v>
      </c>
      <c r="O923" s="601">
        <v>0.5</v>
      </c>
      <c r="P923" s="3145">
        <v>65950000</v>
      </c>
      <c r="Q923" s="600">
        <v>0.05</v>
      </c>
      <c r="R923" s="3145">
        <v>13963000</v>
      </c>
      <c r="S923" s="2924">
        <v>0.1</v>
      </c>
      <c r="T923" s="2280">
        <v>16545000</v>
      </c>
      <c r="U923" s="2924">
        <v>0.15</v>
      </c>
      <c r="V923" s="597">
        <v>26236550</v>
      </c>
      <c r="W923" s="385"/>
      <c r="X923" s="385"/>
      <c r="Y923" s="600">
        <f t="shared" si="283"/>
        <v>0.30000000000000004</v>
      </c>
      <c r="Z923" s="597">
        <f t="shared" si="284"/>
        <v>56744550</v>
      </c>
      <c r="AA923" s="600">
        <f t="shared" si="290"/>
        <v>0.5</v>
      </c>
      <c r="AB923" s="597">
        <f t="shared" si="290"/>
        <v>100813550</v>
      </c>
      <c r="AC923" s="3142">
        <f t="shared" si="291"/>
        <v>50</v>
      </c>
      <c r="AD923" s="3142">
        <f t="shared" si="292"/>
        <v>36.004839285714283</v>
      </c>
      <c r="AE923" s="390"/>
      <c r="AF923" s="3598"/>
      <c r="AG923" s="2320"/>
      <c r="AH923" s="2320"/>
      <c r="AI923" s="2320"/>
      <c r="AJ923" s="2320"/>
      <c r="AK923" s="2320"/>
      <c r="AL923" s="2320"/>
      <c r="AM923" s="2320"/>
      <c r="AN923" s="2320"/>
      <c r="AO923" s="2320"/>
      <c r="AP923" s="2320"/>
      <c r="AQ923" s="2320"/>
      <c r="AR923" s="2320"/>
      <c r="AS923" s="2320"/>
      <c r="AT923" s="2320"/>
      <c r="AU923" s="2320"/>
      <c r="AV923" s="2320"/>
      <c r="AW923" s="2320"/>
      <c r="AX923" s="2320"/>
      <c r="AY923" s="2320"/>
      <c r="AZ923" s="2320"/>
      <c r="BA923" s="2320"/>
      <c r="BB923" s="2320"/>
      <c r="BC923" s="2320"/>
      <c r="BD923" s="2320"/>
      <c r="BE923" s="2320"/>
      <c r="BF923" s="2320"/>
      <c r="BG923" s="2320"/>
      <c r="BH923" s="2320"/>
      <c r="BI923" s="2320"/>
      <c r="BJ923" s="2320"/>
      <c r="BK923" s="2320"/>
      <c r="BL923" s="2320"/>
      <c r="BM923" s="2320"/>
      <c r="BN923" s="2320"/>
      <c r="BO923" s="2320"/>
      <c r="BP923" s="2320"/>
      <c r="BQ923" s="2320"/>
      <c r="BR923" s="2320"/>
      <c r="BS923" s="2320"/>
      <c r="BT923" s="2320"/>
      <c r="BU923" s="2320"/>
      <c r="BV923" s="2320"/>
      <c r="BW923" s="2320"/>
      <c r="BX923" s="2320"/>
    </row>
    <row r="924" spans="1:76" s="2319" customFormat="1" ht="33.75" customHeight="1">
      <c r="A924" s="384"/>
      <c r="B924" s="384"/>
      <c r="C924" s="3791">
        <v>1</v>
      </c>
      <c r="D924" s="3792" t="s">
        <v>65</v>
      </c>
      <c r="E924" s="3791">
        <v>10</v>
      </c>
      <c r="F924" s="3792" t="s">
        <v>66</v>
      </c>
      <c r="G924" s="3792" t="s">
        <v>65</v>
      </c>
      <c r="H924" s="3792">
        <v>82</v>
      </c>
      <c r="I924" s="3140" t="s">
        <v>3914</v>
      </c>
      <c r="J924" s="384" t="s">
        <v>3915</v>
      </c>
      <c r="K924" s="3143">
        <v>12</v>
      </c>
      <c r="L924" s="3141">
        <v>190000000</v>
      </c>
      <c r="M924" s="3144">
        <v>2</v>
      </c>
      <c r="N924" s="2416">
        <v>42220000</v>
      </c>
      <c r="O924" s="3143">
        <v>3</v>
      </c>
      <c r="P924" s="3141">
        <v>66670000</v>
      </c>
      <c r="Q924" s="3144">
        <v>0</v>
      </c>
      <c r="R924" s="3141">
        <v>0</v>
      </c>
      <c r="S924" s="3143">
        <v>3</v>
      </c>
      <c r="T924" s="3141">
        <v>60770000</v>
      </c>
      <c r="U924" s="385"/>
      <c r="V924" s="597"/>
      <c r="W924" s="385"/>
      <c r="X924" s="385"/>
      <c r="Y924" s="3143">
        <f t="shared" si="283"/>
        <v>3</v>
      </c>
      <c r="Z924" s="597">
        <f t="shared" si="284"/>
        <v>60770000</v>
      </c>
      <c r="AA924" s="3143">
        <f t="shared" si="290"/>
        <v>5</v>
      </c>
      <c r="AB924" s="597">
        <f t="shared" si="290"/>
        <v>102990000</v>
      </c>
      <c r="AC924" s="3142">
        <f t="shared" si="291"/>
        <v>41.666666666666671</v>
      </c>
      <c r="AD924" s="3142">
        <f t="shared" si="292"/>
        <v>54.205263157894734</v>
      </c>
      <c r="AE924" s="390"/>
      <c r="AF924" s="2320"/>
      <c r="AG924" s="2320"/>
      <c r="AH924" s="2320"/>
      <c r="AI924" s="2320"/>
      <c r="AJ924" s="2320"/>
      <c r="AK924" s="2320"/>
      <c r="AL924" s="2320"/>
      <c r="AM924" s="2320"/>
      <c r="AN924" s="2320"/>
      <c r="AO924" s="2320"/>
      <c r="AP924" s="2320"/>
      <c r="AQ924" s="2320"/>
      <c r="AR924" s="2320"/>
      <c r="AS924" s="2320"/>
      <c r="AT924" s="2320"/>
      <c r="AU924" s="2320"/>
      <c r="AV924" s="2320"/>
      <c r="AW924" s="2320"/>
      <c r="AX924" s="2320"/>
      <c r="AY924" s="2320"/>
      <c r="AZ924" s="2320"/>
      <c r="BA924" s="2320"/>
      <c r="BB924" s="2320"/>
      <c r="BC924" s="2320"/>
      <c r="BD924" s="2320"/>
      <c r="BE924" s="2320"/>
      <c r="BF924" s="2320"/>
      <c r="BG924" s="2320"/>
      <c r="BH924" s="2320"/>
      <c r="BI924" s="2320"/>
      <c r="BJ924" s="2320"/>
      <c r="BK924" s="2320"/>
      <c r="BL924" s="2320"/>
      <c r="BM924" s="2320"/>
      <c r="BN924" s="2320"/>
      <c r="BO924" s="2320"/>
      <c r="BP924" s="2320"/>
      <c r="BQ924" s="2320"/>
      <c r="BR924" s="2320"/>
      <c r="BS924" s="2320"/>
      <c r="BT924" s="2320"/>
      <c r="BU924" s="2320"/>
      <c r="BV924" s="2320"/>
      <c r="BW924" s="2320"/>
      <c r="BX924" s="2320"/>
    </row>
    <row r="925" spans="1:76" s="2319" customFormat="1" ht="61.5" customHeight="1">
      <c r="A925" s="384"/>
      <c r="B925" s="384"/>
      <c r="C925" s="3791">
        <v>1</v>
      </c>
      <c r="D925" s="3792" t="s">
        <v>65</v>
      </c>
      <c r="E925" s="3791">
        <v>10</v>
      </c>
      <c r="F925" s="3792" t="s">
        <v>66</v>
      </c>
      <c r="G925" s="3792" t="s">
        <v>65</v>
      </c>
      <c r="H925" s="3792">
        <v>84</v>
      </c>
      <c r="I925" s="3140" t="s">
        <v>3916</v>
      </c>
      <c r="J925" s="384" t="s">
        <v>3917</v>
      </c>
      <c r="K925" s="3143">
        <v>100</v>
      </c>
      <c r="L925" s="3141">
        <v>780000000</v>
      </c>
      <c r="M925" s="3144">
        <v>20</v>
      </c>
      <c r="N925" s="2416">
        <v>449129000</v>
      </c>
      <c r="O925" s="3143">
        <v>20</v>
      </c>
      <c r="P925" s="3141">
        <v>122650000</v>
      </c>
      <c r="Q925" s="3144">
        <v>0</v>
      </c>
      <c r="R925" s="3141">
        <v>0</v>
      </c>
      <c r="S925" s="3143">
        <v>4</v>
      </c>
      <c r="T925" s="3141">
        <v>48871000</v>
      </c>
      <c r="U925" s="385"/>
      <c r="V925" s="597">
        <f>AF925-T925</f>
        <v>-48871000</v>
      </c>
      <c r="W925" s="385"/>
      <c r="X925" s="385"/>
      <c r="Y925" s="3143">
        <f t="shared" si="283"/>
        <v>4</v>
      </c>
      <c r="Z925" s="597">
        <f t="shared" si="284"/>
        <v>0</v>
      </c>
      <c r="AA925" s="600">
        <f t="shared" si="290"/>
        <v>24</v>
      </c>
      <c r="AB925" s="597">
        <f t="shared" si="290"/>
        <v>449129000</v>
      </c>
      <c r="AC925" s="3142">
        <f t="shared" si="291"/>
        <v>24</v>
      </c>
      <c r="AD925" s="3142">
        <f t="shared" si="292"/>
        <v>57.580641025641022</v>
      </c>
      <c r="AE925" s="390"/>
      <c r="AF925" s="2626"/>
      <c r="AG925" s="2320"/>
      <c r="AH925" s="2320"/>
      <c r="AI925" s="2320"/>
      <c r="AJ925" s="2320"/>
      <c r="AK925" s="2320"/>
      <c r="AL925" s="2320"/>
      <c r="AM925" s="2320"/>
      <c r="AN925" s="2320"/>
      <c r="AO925" s="2320"/>
      <c r="AP925" s="2320"/>
      <c r="AQ925" s="2320"/>
      <c r="AR925" s="2320"/>
      <c r="AS925" s="2320"/>
      <c r="AT925" s="2320"/>
      <c r="AU925" s="2320"/>
      <c r="AV925" s="2320"/>
      <c r="AW925" s="2320"/>
      <c r="AX925" s="2320"/>
      <c r="AY925" s="2320"/>
      <c r="AZ925" s="2320"/>
      <c r="BA925" s="2320"/>
      <c r="BB925" s="2320"/>
      <c r="BC925" s="2320"/>
      <c r="BD925" s="2320"/>
      <c r="BE925" s="2320"/>
      <c r="BF925" s="2320"/>
      <c r="BG925" s="2320"/>
      <c r="BH925" s="2320"/>
      <c r="BI925" s="2320"/>
      <c r="BJ925" s="2320"/>
      <c r="BK925" s="2320"/>
      <c r="BL925" s="2320"/>
      <c r="BM925" s="2320"/>
      <c r="BN925" s="2320"/>
      <c r="BO925" s="2320"/>
      <c r="BP925" s="2320"/>
      <c r="BQ925" s="2320"/>
      <c r="BR925" s="2320"/>
      <c r="BS925" s="2320"/>
      <c r="BT925" s="2320"/>
      <c r="BU925" s="2320"/>
      <c r="BV925" s="2320"/>
      <c r="BW925" s="2320"/>
      <c r="BX925" s="2320"/>
    </row>
    <row r="926" spans="1:76" s="2319" customFormat="1" ht="61.5" customHeight="1">
      <c r="A926" s="2335"/>
      <c r="B926" s="2335"/>
      <c r="C926" s="3796">
        <v>1</v>
      </c>
      <c r="D926" s="2567" t="s">
        <v>65</v>
      </c>
      <c r="E926" s="3796">
        <v>10</v>
      </c>
      <c r="F926" s="2567" t="s">
        <v>66</v>
      </c>
      <c r="G926" s="2567" t="s">
        <v>3910</v>
      </c>
      <c r="H926" s="2567" t="s">
        <v>3026</v>
      </c>
      <c r="I926" s="2335" t="s">
        <v>226</v>
      </c>
      <c r="J926" s="3156" t="s">
        <v>3912</v>
      </c>
      <c r="K926" s="2764">
        <v>100</v>
      </c>
      <c r="L926" s="2568">
        <f>SUM(L927)</f>
        <v>156390000</v>
      </c>
      <c r="M926" s="2764">
        <v>70</v>
      </c>
      <c r="N926" s="2568">
        <f>SUM(N927)</f>
        <v>62556000</v>
      </c>
      <c r="O926" s="2764">
        <v>10</v>
      </c>
      <c r="P926" s="2568">
        <f>SUM(P927)</f>
        <v>31278000</v>
      </c>
      <c r="Q926" s="2764">
        <f>Q927</f>
        <v>0</v>
      </c>
      <c r="R926" s="3127">
        <f>SUM(R927)</f>
        <v>0</v>
      </c>
      <c r="S926" s="2759">
        <v>5</v>
      </c>
      <c r="T926" s="2571">
        <f>SUM(T927)</f>
        <v>7483000</v>
      </c>
      <c r="U926" s="2570"/>
      <c r="V926" s="2571">
        <f>V927</f>
        <v>12620600</v>
      </c>
      <c r="W926" s="2570"/>
      <c r="X926" s="2570"/>
      <c r="Y926" s="2543">
        <f>Q926+S926+U926+W926</f>
        <v>5</v>
      </c>
      <c r="Z926" s="2571">
        <f>R926+T926+V926+X926</f>
        <v>20103600</v>
      </c>
      <c r="AA926" s="3128">
        <f t="shared" si="290"/>
        <v>75</v>
      </c>
      <c r="AB926" s="2571">
        <f t="shared" si="290"/>
        <v>82659600</v>
      </c>
      <c r="AC926" s="2544">
        <f t="shared" si="291"/>
        <v>75</v>
      </c>
      <c r="AD926" s="2544">
        <f t="shared" si="292"/>
        <v>52.854786111643968</v>
      </c>
      <c r="AE926" s="3138"/>
      <c r="AF926" s="2320"/>
      <c r="AG926" s="2320"/>
      <c r="AH926" s="2320"/>
      <c r="AI926" s="2320"/>
      <c r="AJ926" s="2320"/>
      <c r="AK926" s="2320"/>
      <c r="AL926" s="2320"/>
      <c r="AM926" s="2320"/>
      <c r="AN926" s="2320"/>
      <c r="AO926" s="2320"/>
      <c r="AP926" s="2320"/>
      <c r="AQ926" s="2320"/>
      <c r="AR926" s="2320"/>
      <c r="AS926" s="2320"/>
      <c r="AT926" s="2320"/>
      <c r="AU926" s="2320"/>
      <c r="AV926" s="2320"/>
      <c r="AW926" s="2320"/>
      <c r="AX926" s="2320"/>
      <c r="AY926" s="2320"/>
      <c r="AZ926" s="2320"/>
      <c r="BA926" s="2320"/>
      <c r="BB926" s="2320"/>
      <c r="BC926" s="2320"/>
      <c r="BD926" s="2320"/>
      <c r="BE926" s="2320"/>
      <c r="BF926" s="2320"/>
      <c r="BG926" s="2320"/>
      <c r="BH926" s="2320"/>
      <c r="BI926" s="2320"/>
      <c r="BJ926" s="2320"/>
      <c r="BK926" s="2320"/>
      <c r="BL926" s="2320"/>
      <c r="BM926" s="2320"/>
      <c r="BN926" s="2320"/>
      <c r="BO926" s="2320"/>
      <c r="BP926" s="2320"/>
      <c r="BQ926" s="2320"/>
      <c r="BR926" s="2320"/>
      <c r="BS926" s="2320"/>
      <c r="BT926" s="2320"/>
      <c r="BU926" s="2320"/>
      <c r="BV926" s="2320"/>
      <c r="BW926" s="2320"/>
      <c r="BX926" s="2320"/>
    </row>
    <row r="927" spans="1:76" s="2319" customFormat="1" ht="33" customHeight="1">
      <c r="A927" s="384"/>
      <c r="B927" s="384"/>
      <c r="C927" s="4001">
        <v>1</v>
      </c>
      <c r="D927" s="4000" t="s">
        <v>65</v>
      </c>
      <c r="E927" s="4001">
        <v>10</v>
      </c>
      <c r="F927" s="4000" t="s">
        <v>66</v>
      </c>
      <c r="G927" s="4000" t="s">
        <v>3910</v>
      </c>
      <c r="H927" s="3792">
        <v>43</v>
      </c>
      <c r="I927" s="384" t="s">
        <v>3911</v>
      </c>
      <c r="J927" s="3140" t="s">
        <v>3913</v>
      </c>
      <c r="K927" s="2395">
        <v>20</v>
      </c>
      <c r="L927" s="3141">
        <f>P927*5</f>
        <v>156390000</v>
      </c>
      <c r="M927" s="2395">
        <v>4</v>
      </c>
      <c r="N927" s="3141">
        <f>P927*2</f>
        <v>62556000</v>
      </c>
      <c r="O927" s="2395">
        <v>4</v>
      </c>
      <c r="P927" s="3141">
        <v>31278000</v>
      </c>
      <c r="Q927" s="2395">
        <v>0</v>
      </c>
      <c r="R927" s="3126">
        <v>0</v>
      </c>
      <c r="S927" s="1943">
        <v>2</v>
      </c>
      <c r="T927" s="2280">
        <v>7483000</v>
      </c>
      <c r="U927" s="385">
        <v>9</v>
      </c>
      <c r="V927" s="597">
        <v>12620600</v>
      </c>
      <c r="W927" s="385"/>
      <c r="X927" s="385"/>
      <c r="Y927" s="3143">
        <f>Q927+S927+U927+W927</f>
        <v>11</v>
      </c>
      <c r="Z927" s="597">
        <f>R927+T927+V927+X927</f>
        <v>20103600</v>
      </c>
      <c r="AA927" s="2605">
        <f t="shared" si="290"/>
        <v>15</v>
      </c>
      <c r="AB927" s="597">
        <f t="shared" si="290"/>
        <v>82659600</v>
      </c>
      <c r="AC927" s="3142">
        <f t="shared" si="291"/>
        <v>75</v>
      </c>
      <c r="AD927" s="3142">
        <f t="shared" si="292"/>
        <v>52.854786111643968</v>
      </c>
      <c r="AE927" s="390"/>
      <c r="AF927" s="2320"/>
      <c r="AG927" s="2320"/>
      <c r="AH927" s="2320"/>
      <c r="AI927" s="2320"/>
      <c r="AJ927" s="2320"/>
      <c r="AK927" s="2320"/>
      <c r="AL927" s="2320"/>
      <c r="AM927" s="2320"/>
      <c r="AN927" s="2320"/>
      <c r="AO927" s="2320"/>
      <c r="AP927" s="2320"/>
      <c r="AQ927" s="2320"/>
      <c r="AR927" s="2320"/>
      <c r="AS927" s="2320"/>
      <c r="AT927" s="2320"/>
      <c r="AU927" s="2320"/>
      <c r="AV927" s="2320"/>
      <c r="AW927" s="2320"/>
      <c r="AX927" s="2320"/>
      <c r="AY927" s="2320"/>
      <c r="AZ927" s="2320"/>
      <c r="BA927" s="2320"/>
      <c r="BB927" s="2320"/>
      <c r="BC927" s="2320"/>
      <c r="BD927" s="2320"/>
      <c r="BE927" s="2320"/>
      <c r="BF927" s="2320"/>
      <c r="BG927" s="2320"/>
      <c r="BH927" s="2320"/>
      <c r="BI927" s="2320"/>
      <c r="BJ927" s="2320"/>
      <c r="BK927" s="2320"/>
      <c r="BL927" s="2320"/>
      <c r="BM927" s="2320"/>
      <c r="BN927" s="2320"/>
      <c r="BO927" s="2320"/>
      <c r="BP927" s="2320"/>
      <c r="BQ927" s="2320"/>
      <c r="BR927" s="2320"/>
      <c r="BS927" s="2320"/>
      <c r="BT927" s="2320"/>
      <c r="BU927" s="2320"/>
      <c r="BV927" s="2320"/>
      <c r="BW927" s="2320"/>
      <c r="BX927" s="2320"/>
    </row>
    <row r="928" spans="1:76" s="2319" customFormat="1" ht="66" customHeight="1">
      <c r="A928" s="2335">
        <v>4</v>
      </c>
      <c r="B928" s="2335">
        <v>3</v>
      </c>
      <c r="C928" s="2567">
        <v>1</v>
      </c>
      <c r="D928" s="2567" t="s">
        <v>65</v>
      </c>
      <c r="E928" s="2567">
        <v>10</v>
      </c>
      <c r="F928" s="2567" t="s">
        <v>66</v>
      </c>
      <c r="G928" s="2567">
        <v>18</v>
      </c>
      <c r="H928" s="3796"/>
      <c r="I928" s="2335" t="s">
        <v>645</v>
      </c>
      <c r="J928" s="2335" t="s">
        <v>646</v>
      </c>
      <c r="K928" s="2543">
        <v>20</v>
      </c>
      <c r="L928" s="2467">
        <f>SUM(L929:L930)</f>
        <v>1976660000</v>
      </c>
      <c r="M928" s="2543">
        <v>5</v>
      </c>
      <c r="N928" s="2568">
        <f>SUM(N929:N930)</f>
        <v>351528000</v>
      </c>
      <c r="O928" s="2543">
        <v>7</v>
      </c>
      <c r="P928" s="2568">
        <f>SUM(P929:P930)</f>
        <v>332333000</v>
      </c>
      <c r="Q928" s="2543">
        <v>0</v>
      </c>
      <c r="R928" s="2571">
        <f>SUM(R929:R930)</f>
        <v>18470000</v>
      </c>
      <c r="S928" s="2570"/>
      <c r="T928" s="2594">
        <f>SUM(T929:T930)</f>
        <v>49856000</v>
      </c>
      <c r="U928" s="2570"/>
      <c r="V928" s="2571">
        <f>SUM(V929:V930)</f>
        <v>75979400</v>
      </c>
      <c r="W928" s="2570"/>
      <c r="X928" s="2570"/>
      <c r="Y928" s="2543">
        <f t="shared" si="283"/>
        <v>0</v>
      </c>
      <c r="Z928" s="2571">
        <f t="shared" si="284"/>
        <v>144305400</v>
      </c>
      <c r="AA928" s="2543">
        <f t="shared" si="290"/>
        <v>5</v>
      </c>
      <c r="AB928" s="2467">
        <f t="shared" si="290"/>
        <v>495833400</v>
      </c>
      <c r="AC928" s="2544">
        <f t="shared" si="291"/>
        <v>25</v>
      </c>
      <c r="AD928" s="2544">
        <f t="shared" si="292"/>
        <v>25.08440500642498</v>
      </c>
      <c r="AE928" s="3138" t="s">
        <v>612</v>
      </c>
      <c r="AF928" s="2320"/>
      <c r="AG928" s="2320"/>
      <c r="AH928" s="2320"/>
      <c r="AI928" s="2320"/>
      <c r="AJ928" s="2320"/>
      <c r="AK928" s="2320"/>
      <c r="AL928" s="2320"/>
      <c r="AM928" s="2320"/>
      <c r="AN928" s="2320"/>
      <c r="AO928" s="2320"/>
      <c r="AP928" s="2320"/>
      <c r="AQ928" s="2320"/>
      <c r="AR928" s="2320"/>
      <c r="AS928" s="2320"/>
      <c r="AT928" s="2320"/>
      <c r="AU928" s="2320"/>
      <c r="AV928" s="2320"/>
      <c r="AW928" s="2320"/>
      <c r="AX928" s="2320"/>
      <c r="AY928" s="2320"/>
      <c r="AZ928" s="2320"/>
      <c r="BA928" s="2320"/>
      <c r="BB928" s="2320"/>
      <c r="BC928" s="2320"/>
      <c r="BD928" s="2320"/>
      <c r="BE928" s="2320"/>
      <c r="BF928" s="2320"/>
      <c r="BG928" s="2320"/>
      <c r="BH928" s="2320"/>
      <c r="BI928" s="2320"/>
      <c r="BJ928" s="2320"/>
      <c r="BK928" s="2320"/>
      <c r="BL928" s="2320"/>
      <c r="BM928" s="2320"/>
      <c r="BN928" s="2320"/>
      <c r="BO928" s="2320"/>
      <c r="BP928" s="2320"/>
      <c r="BQ928" s="2320"/>
      <c r="BR928" s="2320"/>
      <c r="BS928" s="2320"/>
      <c r="BT928" s="2320"/>
      <c r="BU928" s="2320"/>
      <c r="BV928" s="2320"/>
      <c r="BW928" s="2320"/>
      <c r="BX928" s="2320"/>
    </row>
    <row r="929" spans="1:76" s="2319" customFormat="1" ht="58.5" customHeight="1">
      <c r="A929" s="384"/>
      <c r="B929" s="384"/>
      <c r="C929" s="3792">
        <v>1</v>
      </c>
      <c r="D929" s="3792" t="s">
        <v>65</v>
      </c>
      <c r="E929" s="3792">
        <v>10</v>
      </c>
      <c r="F929" s="3792" t="s">
        <v>66</v>
      </c>
      <c r="G929" s="3792">
        <v>18</v>
      </c>
      <c r="H929" s="3792" t="s">
        <v>161</v>
      </c>
      <c r="I929" s="384" t="s">
        <v>647</v>
      </c>
      <c r="J929" s="384" t="s">
        <v>3868</v>
      </c>
      <c r="K929" s="2348">
        <f>2028*5</f>
        <v>10140</v>
      </c>
      <c r="L929" s="3141">
        <f>5*125014000</f>
        <v>625070000</v>
      </c>
      <c r="M929" s="2535">
        <f>1920+108</f>
        <v>2028</v>
      </c>
      <c r="N929" s="2535">
        <v>81208000</v>
      </c>
      <c r="O929" s="4004">
        <v>2028</v>
      </c>
      <c r="P929" s="2278">
        <v>125014600</v>
      </c>
      <c r="Q929" s="3144">
        <v>0</v>
      </c>
      <c r="R929" s="386">
        <v>17470000</v>
      </c>
      <c r="S929" s="388">
        <v>1176</v>
      </c>
      <c r="T929" s="386">
        <v>36845000</v>
      </c>
      <c r="U929" s="385">
        <v>500</v>
      </c>
      <c r="V929" s="597">
        <v>18375000</v>
      </c>
      <c r="W929" s="385"/>
      <c r="X929" s="385"/>
      <c r="Y929" s="2395">
        <f t="shared" si="283"/>
        <v>1676</v>
      </c>
      <c r="Z929" s="597">
        <f t="shared" si="284"/>
        <v>72690000</v>
      </c>
      <c r="AA929" s="3143">
        <f>S929+Y929</f>
        <v>2852</v>
      </c>
      <c r="AB929" s="3145">
        <f>N929+Z929</f>
        <v>153898000</v>
      </c>
      <c r="AC929" s="3142">
        <f t="shared" si="291"/>
        <v>28.126232741617358</v>
      </c>
      <c r="AD929" s="3142">
        <f t="shared" si="292"/>
        <v>24.620922456684852</v>
      </c>
      <c r="AE929" s="390"/>
      <c r="AF929" s="3598"/>
      <c r="AG929" s="2320"/>
      <c r="AH929" s="2320"/>
      <c r="AI929" s="2320"/>
      <c r="AJ929" s="2320"/>
      <c r="AK929" s="2320"/>
      <c r="AL929" s="2320"/>
      <c r="AM929" s="2320"/>
      <c r="AN929" s="2320"/>
      <c r="AO929" s="2320"/>
      <c r="AP929" s="2320"/>
      <c r="AQ929" s="2320"/>
      <c r="AR929" s="2320"/>
      <c r="AS929" s="2320"/>
      <c r="AT929" s="2320"/>
      <c r="AU929" s="2320"/>
      <c r="AV929" s="2320"/>
      <c r="AW929" s="2320"/>
      <c r="AX929" s="2320"/>
      <c r="AY929" s="2320"/>
      <c r="AZ929" s="2320"/>
      <c r="BA929" s="2320"/>
      <c r="BB929" s="2320"/>
      <c r="BC929" s="2320"/>
      <c r="BD929" s="2320"/>
      <c r="BE929" s="2320"/>
      <c r="BF929" s="2320"/>
      <c r="BG929" s="2320"/>
      <c r="BH929" s="2320"/>
      <c r="BI929" s="2320"/>
      <c r="BJ929" s="2320"/>
      <c r="BK929" s="2320"/>
      <c r="BL929" s="2320"/>
      <c r="BM929" s="2320"/>
      <c r="BN929" s="2320"/>
      <c r="BO929" s="2320"/>
      <c r="BP929" s="2320"/>
      <c r="BQ929" s="2320"/>
      <c r="BR929" s="2320"/>
      <c r="BS929" s="2320"/>
      <c r="BT929" s="2320"/>
      <c r="BU929" s="2320"/>
      <c r="BV929" s="2320"/>
      <c r="BW929" s="2320"/>
      <c r="BX929" s="2320"/>
    </row>
    <row r="930" spans="1:76" s="2319" customFormat="1" ht="63" customHeight="1">
      <c r="A930" s="384"/>
      <c r="B930" s="384"/>
      <c r="C930" s="3792">
        <v>1</v>
      </c>
      <c r="D930" s="3792" t="s">
        <v>65</v>
      </c>
      <c r="E930" s="3792">
        <v>10</v>
      </c>
      <c r="F930" s="3792" t="s">
        <v>66</v>
      </c>
      <c r="G930" s="3792">
        <v>18</v>
      </c>
      <c r="H930" s="3792" t="s">
        <v>198</v>
      </c>
      <c r="I930" s="384" t="s">
        <v>649</v>
      </c>
      <c r="J930" s="384" t="s">
        <v>3869</v>
      </c>
      <c r="K930" s="1259">
        <f>8*5</f>
        <v>40</v>
      </c>
      <c r="L930" s="3141">
        <f>5*270318000</f>
        <v>1351590000</v>
      </c>
      <c r="M930" s="3141">
        <v>8</v>
      </c>
      <c r="N930" s="3141">
        <v>270320000</v>
      </c>
      <c r="O930" s="3143">
        <v>8</v>
      </c>
      <c r="P930" s="2278">
        <v>207318400</v>
      </c>
      <c r="Q930" s="3144">
        <v>0</v>
      </c>
      <c r="R930" s="386">
        <v>1000000</v>
      </c>
      <c r="S930" s="385">
        <v>4</v>
      </c>
      <c r="T930" s="386">
        <v>13011000</v>
      </c>
      <c r="U930" s="385">
        <v>4</v>
      </c>
      <c r="V930" s="597">
        <v>57604400</v>
      </c>
      <c r="W930" s="385"/>
      <c r="X930" s="385"/>
      <c r="Y930" s="3143">
        <f t="shared" si="283"/>
        <v>8</v>
      </c>
      <c r="Z930" s="597">
        <f t="shared" si="284"/>
        <v>71615400</v>
      </c>
      <c r="AA930" s="3143">
        <f>M930+Y930</f>
        <v>16</v>
      </c>
      <c r="AB930" s="3145">
        <f>N930+Z930</f>
        <v>341935400</v>
      </c>
      <c r="AC930" s="3142">
        <f t="shared" si="291"/>
        <v>40</v>
      </c>
      <c r="AD930" s="3142">
        <f t="shared" si="292"/>
        <v>25.298751840424984</v>
      </c>
      <c r="AE930" s="390"/>
      <c r="AF930" s="3598"/>
      <c r="AG930" s="2320"/>
      <c r="AH930" s="2320"/>
      <c r="AI930" s="2320"/>
      <c r="AJ930" s="2320"/>
      <c r="AK930" s="2320"/>
      <c r="AL930" s="2320"/>
      <c r="AM930" s="2320"/>
      <c r="AN930" s="2320"/>
      <c r="AO930" s="2320"/>
      <c r="AP930" s="2320"/>
      <c r="AQ930" s="2320"/>
      <c r="AR930" s="2320"/>
      <c r="AS930" s="2320"/>
      <c r="AT930" s="2320"/>
      <c r="AU930" s="2320"/>
      <c r="AV930" s="2320"/>
      <c r="AW930" s="2320"/>
      <c r="AX930" s="2320"/>
      <c r="AY930" s="2320"/>
      <c r="AZ930" s="2320"/>
      <c r="BA930" s="2320"/>
      <c r="BB930" s="2320"/>
      <c r="BC930" s="2320"/>
      <c r="BD930" s="2320"/>
      <c r="BE930" s="2320"/>
      <c r="BF930" s="2320"/>
      <c r="BG930" s="2320"/>
      <c r="BH930" s="2320"/>
      <c r="BI930" s="2320"/>
      <c r="BJ930" s="2320"/>
      <c r="BK930" s="2320"/>
      <c r="BL930" s="2320"/>
      <c r="BM930" s="2320"/>
      <c r="BN930" s="2320"/>
      <c r="BO930" s="2320"/>
      <c r="BP930" s="2320"/>
      <c r="BQ930" s="2320"/>
      <c r="BR930" s="2320"/>
      <c r="BS930" s="2320"/>
      <c r="BT930" s="2320"/>
      <c r="BU930" s="2320"/>
      <c r="BV930" s="2320"/>
      <c r="BW930" s="2320"/>
      <c r="BX930" s="2320"/>
    </row>
    <row r="931" spans="1:76" s="2602" customFormat="1" ht="44.25" customHeight="1">
      <c r="A931" s="2335">
        <v>5</v>
      </c>
      <c r="B931" s="2335"/>
      <c r="C931" s="2567">
        <v>1</v>
      </c>
      <c r="D931" s="2567" t="s">
        <v>65</v>
      </c>
      <c r="E931" s="2567">
        <v>10</v>
      </c>
      <c r="F931" s="2567" t="s">
        <v>66</v>
      </c>
      <c r="G931" s="2567">
        <v>19</v>
      </c>
      <c r="H931" s="2567"/>
      <c r="I931" s="2335" t="s">
        <v>651</v>
      </c>
      <c r="J931" s="2335" t="s">
        <v>3870</v>
      </c>
      <c r="K931" s="3162">
        <v>100</v>
      </c>
      <c r="L931" s="2568">
        <f>SUM(L932:L936)</f>
        <v>3857651250</v>
      </c>
      <c r="M931" s="2568">
        <v>60</v>
      </c>
      <c r="N931" s="2568">
        <f>SUM(N932:N936)</f>
        <v>1054389620</v>
      </c>
      <c r="O931" s="2543">
        <v>10</v>
      </c>
      <c r="P931" s="2587">
        <f>SUM(P932:P936)</f>
        <v>771530250</v>
      </c>
      <c r="Q931" s="2588"/>
      <c r="R931" s="2587">
        <f>SUM(R932:R936)</f>
        <v>17887000</v>
      </c>
      <c r="S931" s="2570"/>
      <c r="T931" s="2594">
        <f>SUM(T932:T936)</f>
        <v>64905000</v>
      </c>
      <c r="U931" s="2570"/>
      <c r="V931" s="2571">
        <f>SUM(V932:V936)</f>
        <v>228749907</v>
      </c>
      <c r="W931" s="2570"/>
      <c r="X931" s="2570"/>
      <c r="Y931" s="2543">
        <f t="shared" si="283"/>
        <v>0</v>
      </c>
      <c r="Z931" s="2571">
        <f t="shared" si="284"/>
        <v>311541907</v>
      </c>
      <c r="AA931" s="2543">
        <f t="shared" ref="AA931:AA936" si="293">M931+Y931</f>
        <v>60</v>
      </c>
      <c r="AB931" s="2467">
        <f t="shared" ref="AB931:AB936" si="294">N931+Z931</f>
        <v>1365931527</v>
      </c>
      <c r="AC931" s="2544">
        <f t="shared" ref="AC931:AC936" si="295">(AA931/K931)*100</f>
        <v>60</v>
      </c>
      <c r="AD931" s="2544">
        <f t="shared" ref="AD931:AD936" si="296">(AB931/L931)*100</f>
        <v>35.408372568671162</v>
      </c>
      <c r="AE931" s="3138" t="s">
        <v>612</v>
      </c>
      <c r="AF931" s="2647"/>
      <c r="AG931" s="2647"/>
      <c r="AH931" s="2647"/>
      <c r="AI931" s="2647"/>
      <c r="AJ931" s="2647"/>
      <c r="AK931" s="2647"/>
      <c r="AL931" s="2647"/>
      <c r="AM931" s="2647"/>
      <c r="AN931" s="2647"/>
      <c r="AO931" s="2647"/>
      <c r="AP931" s="2647"/>
      <c r="AQ931" s="2647"/>
      <c r="AR931" s="2647"/>
      <c r="AS931" s="2647"/>
      <c r="AT931" s="2647"/>
      <c r="AU931" s="2647"/>
      <c r="AV931" s="2647"/>
      <c r="AW931" s="2647"/>
      <c r="AX931" s="2647"/>
      <c r="AY931" s="2647"/>
      <c r="AZ931" s="2647"/>
      <c r="BA931" s="2647"/>
      <c r="BB931" s="2647"/>
      <c r="BC931" s="2647"/>
      <c r="BD931" s="2647"/>
      <c r="BE931" s="2647"/>
      <c r="BF931" s="2647"/>
      <c r="BG931" s="2647"/>
      <c r="BH931" s="2647"/>
      <c r="BI931" s="2647"/>
      <c r="BJ931" s="2647"/>
      <c r="BK931" s="2647"/>
      <c r="BL931" s="2647"/>
      <c r="BM931" s="2647"/>
      <c r="BN931" s="2647"/>
      <c r="BO931" s="2647"/>
      <c r="BP931" s="2647"/>
      <c r="BQ931" s="2647"/>
      <c r="BR931" s="2647"/>
      <c r="BS931" s="2647"/>
      <c r="BT931" s="2647"/>
      <c r="BU931" s="2647"/>
      <c r="BV931" s="2647"/>
      <c r="BW931" s="2647"/>
      <c r="BX931" s="2647"/>
    </row>
    <row r="932" spans="1:76" s="2602" customFormat="1" ht="55.5" customHeight="1">
      <c r="A932" s="384"/>
      <c r="B932" s="384"/>
      <c r="C932" s="3792">
        <v>1</v>
      </c>
      <c r="D932" s="3792" t="s">
        <v>65</v>
      </c>
      <c r="E932" s="3792">
        <v>10</v>
      </c>
      <c r="F932" s="3792" t="s">
        <v>66</v>
      </c>
      <c r="G932" s="3792">
        <v>19</v>
      </c>
      <c r="H932" s="3792">
        <v>14</v>
      </c>
      <c r="I932" s="384" t="s">
        <v>653</v>
      </c>
      <c r="J932" s="384" t="s">
        <v>3871</v>
      </c>
      <c r="K932" s="1259">
        <f>15*5</f>
        <v>75</v>
      </c>
      <c r="L932" s="3141">
        <f>5*P932</f>
        <v>561785000</v>
      </c>
      <c r="M932" s="3144">
        <v>1</v>
      </c>
      <c r="N932" s="2535">
        <v>57221000</v>
      </c>
      <c r="O932" s="3143">
        <v>15</v>
      </c>
      <c r="P932" s="2278">
        <v>112357000</v>
      </c>
      <c r="Q932" s="3144"/>
      <c r="R932" s="386">
        <v>1100000</v>
      </c>
      <c r="S932" s="385"/>
      <c r="T932" s="386">
        <v>9712000</v>
      </c>
      <c r="U932" s="599">
        <v>0.09</v>
      </c>
      <c r="V932" s="597">
        <v>34121000</v>
      </c>
      <c r="W932" s="385"/>
      <c r="X932" s="385"/>
      <c r="Y932" s="3143">
        <f t="shared" si="283"/>
        <v>0.09</v>
      </c>
      <c r="Z932" s="597">
        <f t="shared" si="284"/>
        <v>44933000</v>
      </c>
      <c r="AA932" s="3143">
        <f t="shared" si="293"/>
        <v>1.0900000000000001</v>
      </c>
      <c r="AB932" s="3145">
        <f t="shared" si="294"/>
        <v>102154000</v>
      </c>
      <c r="AC932" s="3142">
        <f t="shared" si="295"/>
        <v>1.4533333333333334</v>
      </c>
      <c r="AD932" s="3142">
        <f t="shared" si="296"/>
        <v>18.183824772822344</v>
      </c>
      <c r="AE932" s="390"/>
      <c r="AF932" s="2647"/>
      <c r="AG932" s="2647"/>
      <c r="AH932" s="2647"/>
      <c r="AI932" s="2647"/>
      <c r="AJ932" s="2647"/>
      <c r="AK932" s="2647"/>
      <c r="AL932" s="2647"/>
      <c r="AM932" s="2647"/>
      <c r="AN932" s="2647"/>
      <c r="AO932" s="2647"/>
      <c r="AP932" s="2647"/>
      <c r="AQ932" s="2647"/>
      <c r="AR932" s="2647"/>
      <c r="AS932" s="2647"/>
      <c r="AT932" s="2647"/>
      <c r="AU932" s="2647"/>
      <c r="AV932" s="2647"/>
      <c r="AW932" s="2647"/>
      <c r="AX932" s="2647"/>
      <c r="AY932" s="2647"/>
      <c r="AZ932" s="2647"/>
      <c r="BA932" s="2647"/>
      <c r="BB932" s="2647"/>
      <c r="BC932" s="2647"/>
      <c r="BD932" s="2647"/>
      <c r="BE932" s="2647"/>
      <c r="BF932" s="2647"/>
      <c r="BG932" s="2647"/>
      <c r="BH932" s="2647"/>
      <c r="BI932" s="2647"/>
      <c r="BJ932" s="2647"/>
      <c r="BK932" s="2647"/>
      <c r="BL932" s="2647"/>
      <c r="BM932" s="2647"/>
      <c r="BN932" s="2647"/>
      <c r="BO932" s="2647"/>
      <c r="BP932" s="2647"/>
      <c r="BQ932" s="2647"/>
      <c r="BR932" s="2647"/>
      <c r="BS932" s="2647"/>
      <c r="BT932" s="2647"/>
      <c r="BU932" s="2647"/>
      <c r="BV932" s="2647"/>
      <c r="BW932" s="2647"/>
      <c r="BX932" s="2647"/>
    </row>
    <row r="933" spans="1:76" s="639" customFormat="1" ht="69" customHeight="1">
      <c r="A933" s="384"/>
      <c r="B933" s="384"/>
      <c r="C933" s="3792">
        <v>1</v>
      </c>
      <c r="D933" s="3792" t="s">
        <v>65</v>
      </c>
      <c r="E933" s="3792">
        <v>10</v>
      </c>
      <c r="F933" s="3792" t="s">
        <v>66</v>
      </c>
      <c r="G933" s="3792">
        <v>19</v>
      </c>
      <c r="H933" s="3792"/>
      <c r="I933" s="384" t="s">
        <v>655</v>
      </c>
      <c r="J933" s="384" t="s">
        <v>3872</v>
      </c>
      <c r="K933" s="1201">
        <v>1</v>
      </c>
      <c r="L933" s="3141">
        <f t="shared" ref="L933:L936" si="297">5*P933</f>
        <v>317596250</v>
      </c>
      <c r="M933" s="2384">
        <v>0.2</v>
      </c>
      <c r="N933" s="2535">
        <v>67052000</v>
      </c>
      <c r="O933" s="600">
        <v>0.2</v>
      </c>
      <c r="P933" s="2278">
        <v>63519250</v>
      </c>
      <c r="Q933" s="3144"/>
      <c r="R933" s="386">
        <v>1026000</v>
      </c>
      <c r="S933" s="599">
        <v>0.42</v>
      </c>
      <c r="T933" s="386">
        <v>26796000</v>
      </c>
      <c r="U933" s="599">
        <v>0.09</v>
      </c>
      <c r="V933" s="597">
        <f>AF933-T933-R933</f>
        <v>-27822000</v>
      </c>
      <c r="W933" s="385"/>
      <c r="X933" s="385"/>
      <c r="Y933" s="3143">
        <f t="shared" si="283"/>
        <v>0.51</v>
      </c>
      <c r="Z933" s="597">
        <f t="shared" si="284"/>
        <v>0</v>
      </c>
      <c r="AA933" s="3143">
        <f t="shared" si="293"/>
        <v>0.71</v>
      </c>
      <c r="AB933" s="3145">
        <f t="shared" si="294"/>
        <v>67052000</v>
      </c>
      <c r="AC933" s="3142">
        <f t="shared" si="295"/>
        <v>71</v>
      </c>
      <c r="AD933" s="3142">
        <f t="shared" si="296"/>
        <v>21.112339959933408</v>
      </c>
      <c r="AE933" s="390"/>
      <c r="AF933" s="3599"/>
    </row>
    <row r="934" spans="1:76" s="2602" customFormat="1" ht="60.75" customHeight="1">
      <c r="A934" s="384"/>
      <c r="B934" s="384"/>
      <c r="C934" s="3792">
        <v>1</v>
      </c>
      <c r="D934" s="3792" t="s">
        <v>65</v>
      </c>
      <c r="E934" s="3792">
        <v>10</v>
      </c>
      <c r="F934" s="3792" t="s">
        <v>66</v>
      </c>
      <c r="G934" s="3792">
        <v>19</v>
      </c>
      <c r="H934" s="3792" t="s">
        <v>357</v>
      </c>
      <c r="I934" s="384" t="s">
        <v>657</v>
      </c>
      <c r="J934" s="384" t="s">
        <v>3873</v>
      </c>
      <c r="K934" s="1201">
        <v>1</v>
      </c>
      <c r="L934" s="3141">
        <f t="shared" si="297"/>
        <v>1368532500</v>
      </c>
      <c r="M934" s="2384">
        <v>0.2</v>
      </c>
      <c r="N934" s="2535">
        <v>371022000</v>
      </c>
      <c r="O934" s="600">
        <v>0.2</v>
      </c>
      <c r="P934" s="2278">
        <v>273706500</v>
      </c>
      <c r="Q934" s="3144"/>
      <c r="R934" s="386">
        <v>7322000</v>
      </c>
      <c r="S934" s="599">
        <v>0.02</v>
      </c>
      <c r="T934" s="386">
        <v>6489000</v>
      </c>
      <c r="U934" s="599">
        <v>0.09</v>
      </c>
      <c r="V934" s="597">
        <v>140978107</v>
      </c>
      <c r="W934" s="385"/>
      <c r="X934" s="385"/>
      <c r="Y934" s="3143">
        <f t="shared" si="283"/>
        <v>0.11</v>
      </c>
      <c r="Z934" s="597">
        <f t="shared" si="284"/>
        <v>154789107</v>
      </c>
      <c r="AA934" s="3143">
        <f t="shared" si="293"/>
        <v>0.31</v>
      </c>
      <c r="AB934" s="3145">
        <f t="shared" si="294"/>
        <v>525811107</v>
      </c>
      <c r="AC934" s="3142">
        <f t="shared" si="295"/>
        <v>31</v>
      </c>
      <c r="AD934" s="3142">
        <f t="shared" si="296"/>
        <v>38.421528681269898</v>
      </c>
      <c r="AE934" s="390"/>
      <c r="AF934" s="642"/>
      <c r="AG934" s="639"/>
      <c r="AH934" s="639"/>
      <c r="AI934" s="639"/>
      <c r="AJ934" s="639"/>
      <c r="AK934" s="639"/>
      <c r="AL934" s="639"/>
      <c r="AM934" s="639"/>
      <c r="AN934" s="639"/>
      <c r="AO934" s="639"/>
      <c r="AP934" s="639"/>
      <c r="AQ934" s="639"/>
      <c r="AR934" s="639"/>
      <c r="AS934" s="639"/>
      <c r="AT934" s="639"/>
      <c r="AU934" s="639"/>
      <c r="AV934" s="639"/>
      <c r="AW934" s="1286"/>
      <c r="AX934" s="2766"/>
      <c r="AY934" s="2807"/>
      <c r="AZ934" s="2808"/>
      <c r="BA934" s="2647"/>
      <c r="BB934" s="2647"/>
      <c r="BC934" s="2647"/>
      <c r="BD934" s="2647"/>
      <c r="BE934" s="2647"/>
      <c r="BF934" s="2647"/>
      <c r="BG934" s="2647"/>
      <c r="BH934" s="2647"/>
      <c r="BI934" s="2647"/>
      <c r="BJ934" s="2647"/>
      <c r="BK934" s="2647"/>
      <c r="BL934" s="2647"/>
      <c r="BM934" s="2647"/>
      <c r="BN934" s="2647"/>
      <c r="BO934" s="2647"/>
      <c r="BP934" s="2647"/>
      <c r="BQ934" s="2647"/>
      <c r="BR934" s="2647"/>
      <c r="BS934" s="2647"/>
      <c r="BT934" s="2647"/>
      <c r="BU934" s="2647"/>
      <c r="BV934" s="2647"/>
      <c r="BW934" s="2647"/>
      <c r="BX934" s="2647"/>
    </row>
    <row r="935" spans="1:76" s="2602" customFormat="1" ht="93" customHeight="1">
      <c r="A935" s="384"/>
      <c r="B935" s="384"/>
      <c r="C935" s="3792">
        <v>1</v>
      </c>
      <c r="D935" s="3792" t="s">
        <v>65</v>
      </c>
      <c r="E935" s="3792">
        <v>10</v>
      </c>
      <c r="F935" s="3792" t="s">
        <v>66</v>
      </c>
      <c r="G935" s="3792">
        <v>19</v>
      </c>
      <c r="H935" s="3792" t="s">
        <v>357</v>
      </c>
      <c r="I935" s="384" t="s">
        <v>659</v>
      </c>
      <c r="J935" s="384" t="s">
        <v>660</v>
      </c>
      <c r="K935" s="1259">
        <v>54</v>
      </c>
      <c r="L935" s="3141">
        <f t="shared" si="297"/>
        <v>976267500</v>
      </c>
      <c r="M935" s="3144">
        <v>6</v>
      </c>
      <c r="N935" s="2535">
        <v>94620</v>
      </c>
      <c r="O935" s="3143">
        <v>12</v>
      </c>
      <c r="P935" s="2278">
        <v>195253500</v>
      </c>
      <c r="Q935" s="3144">
        <v>3</v>
      </c>
      <c r="R935" s="386">
        <v>8439000</v>
      </c>
      <c r="S935" s="385">
        <v>3</v>
      </c>
      <c r="T935" s="386">
        <v>21349000</v>
      </c>
      <c r="U935" s="599">
        <v>0.09</v>
      </c>
      <c r="V935" s="597">
        <v>80913800</v>
      </c>
      <c r="W935" s="385"/>
      <c r="X935" s="385"/>
      <c r="Y935" s="3143">
        <f t="shared" si="283"/>
        <v>6.09</v>
      </c>
      <c r="Z935" s="597">
        <f t="shared" si="284"/>
        <v>110701800</v>
      </c>
      <c r="AA935" s="3143">
        <f t="shared" si="293"/>
        <v>12.09</v>
      </c>
      <c r="AB935" s="3145">
        <f t="shared" si="294"/>
        <v>110796420</v>
      </c>
      <c r="AC935" s="3142">
        <f t="shared" si="295"/>
        <v>22.388888888888889</v>
      </c>
      <c r="AD935" s="3142">
        <f t="shared" si="296"/>
        <v>11.348981708394472</v>
      </c>
      <c r="AE935" s="390"/>
      <c r="AF935" s="2647"/>
      <c r="AG935" s="2647"/>
      <c r="AH935" s="2647"/>
      <c r="AI935" s="2647"/>
      <c r="AJ935" s="2647"/>
      <c r="AK935" s="2647"/>
      <c r="AL935" s="2647"/>
      <c r="AM935" s="2647"/>
      <c r="AN935" s="2647"/>
      <c r="AO935" s="2647"/>
      <c r="AP935" s="2647"/>
      <c r="AQ935" s="2647"/>
      <c r="AR935" s="2647"/>
      <c r="AS935" s="2647"/>
      <c r="AT935" s="2647"/>
      <c r="AU935" s="2647"/>
      <c r="AV935" s="2647"/>
      <c r="AW935" s="2647"/>
      <c r="AX935" s="2647"/>
      <c r="AY935" s="2647"/>
      <c r="AZ935" s="2647"/>
      <c r="BA935" s="2647"/>
      <c r="BB935" s="2647"/>
      <c r="BC935" s="2647"/>
      <c r="BD935" s="2647"/>
      <c r="BE935" s="2647"/>
      <c r="BF935" s="2647"/>
      <c r="BG935" s="2647"/>
      <c r="BH935" s="2647"/>
      <c r="BI935" s="2647"/>
      <c r="BJ935" s="2647"/>
      <c r="BK935" s="2647"/>
      <c r="BL935" s="2647"/>
      <c r="BM935" s="2647"/>
      <c r="BN935" s="2647"/>
      <c r="BO935" s="2647"/>
      <c r="BP935" s="2647"/>
      <c r="BQ935" s="2647"/>
      <c r="BR935" s="2647"/>
      <c r="BS935" s="2647"/>
      <c r="BT935" s="2647"/>
      <c r="BU935" s="2647"/>
      <c r="BV935" s="2647"/>
      <c r="BW935" s="2647"/>
      <c r="BX935" s="2647"/>
    </row>
    <row r="936" spans="1:76" s="2608" customFormat="1" ht="96.75" customHeight="1">
      <c r="A936" s="384"/>
      <c r="B936" s="384"/>
      <c r="C936" s="3792">
        <v>1</v>
      </c>
      <c r="D936" s="3792" t="s">
        <v>65</v>
      </c>
      <c r="E936" s="3792">
        <v>10</v>
      </c>
      <c r="F936" s="3792" t="s">
        <v>66</v>
      </c>
      <c r="G936" s="3792">
        <v>19</v>
      </c>
      <c r="H936" s="3792" t="s">
        <v>417</v>
      </c>
      <c r="I936" s="384" t="s">
        <v>674</v>
      </c>
      <c r="J936" s="384" t="s">
        <v>675</v>
      </c>
      <c r="K936" s="1259">
        <v>5</v>
      </c>
      <c r="L936" s="1232">
        <f t="shared" si="297"/>
        <v>633470000</v>
      </c>
      <c r="M936" s="1259">
        <v>0</v>
      </c>
      <c r="N936" s="1232">
        <v>559000000</v>
      </c>
      <c r="O936" s="1259">
        <v>1</v>
      </c>
      <c r="P936" s="1232">
        <v>126694000</v>
      </c>
      <c r="Q936" s="1259"/>
      <c r="R936" s="590"/>
      <c r="S936" s="384"/>
      <c r="T936" s="590">
        <v>559000</v>
      </c>
      <c r="U936" s="2384" t="s">
        <v>2034</v>
      </c>
      <c r="V936" s="1202">
        <v>559000</v>
      </c>
      <c r="W936" s="384"/>
      <c r="X936" s="384"/>
      <c r="Y936" s="1232">
        <f>Q936+S936+U936+W936</f>
        <v>0</v>
      </c>
      <c r="Z936" s="1202">
        <f>R936+T936+V936+X936</f>
        <v>1118000</v>
      </c>
      <c r="AA936" s="3143">
        <f t="shared" si="293"/>
        <v>0</v>
      </c>
      <c r="AB936" s="3145">
        <f t="shared" si="294"/>
        <v>560118000</v>
      </c>
      <c r="AC936" s="3142">
        <f t="shared" si="295"/>
        <v>0</v>
      </c>
      <c r="AD936" s="3142">
        <f t="shared" si="296"/>
        <v>88.420603974931723</v>
      </c>
      <c r="AE936" s="390"/>
      <c r="AF936" s="2318"/>
      <c r="AG936" s="2318"/>
      <c r="AH936" s="2318"/>
      <c r="AI936" s="2318"/>
      <c r="AJ936" s="2318"/>
      <c r="AK936" s="2318"/>
      <c r="AL936" s="2318"/>
      <c r="AM936" s="2318"/>
      <c r="AN936" s="2318"/>
      <c r="AO936" s="2318"/>
      <c r="AP936" s="2318"/>
      <c r="AQ936" s="2318"/>
      <c r="AR936" s="2318"/>
      <c r="AS936" s="2318"/>
      <c r="AT936" s="2318"/>
      <c r="AU936" s="2318"/>
      <c r="AV936" s="2318"/>
      <c r="AW936" s="2318"/>
      <c r="AX936" s="2318"/>
      <c r="AY936" s="2318"/>
      <c r="AZ936" s="2318"/>
      <c r="BA936" s="2318"/>
      <c r="BB936" s="2318"/>
      <c r="BC936" s="2318"/>
      <c r="BD936" s="2318"/>
      <c r="BE936" s="2318"/>
      <c r="BF936" s="2318"/>
      <c r="BG936" s="2318"/>
      <c r="BH936" s="2318"/>
      <c r="BI936" s="2318"/>
      <c r="BJ936" s="2318"/>
      <c r="BK936" s="2318"/>
      <c r="BL936" s="2318"/>
      <c r="BM936" s="2318"/>
      <c r="BN936" s="2318"/>
      <c r="BO936" s="2318"/>
      <c r="BP936" s="2318"/>
      <c r="BQ936" s="2318"/>
      <c r="BR936" s="2318"/>
      <c r="BS936" s="2318"/>
      <c r="BT936" s="2318"/>
      <c r="BU936" s="2318"/>
      <c r="BV936" s="2318"/>
      <c r="BW936" s="2318"/>
      <c r="BX936" s="2318"/>
    </row>
    <row r="937" spans="1:76" s="2606" customFormat="1" ht="81.75" customHeight="1">
      <c r="A937" s="2335">
        <v>6</v>
      </c>
      <c r="B937" s="2335" t="s">
        <v>661</v>
      </c>
      <c r="C937" s="2567">
        <v>1</v>
      </c>
      <c r="D937" s="2567" t="s">
        <v>65</v>
      </c>
      <c r="E937" s="2567">
        <v>10</v>
      </c>
      <c r="F937" s="2567" t="s">
        <v>66</v>
      </c>
      <c r="G937" s="2567">
        <v>15</v>
      </c>
      <c r="H937" s="2567"/>
      <c r="I937" s="2335" t="s">
        <v>662</v>
      </c>
      <c r="J937" s="2335" t="s">
        <v>3358</v>
      </c>
      <c r="K937" s="3162">
        <v>680</v>
      </c>
      <c r="L937" s="2442">
        <f>SUM(L938:L939)</f>
        <v>348802000</v>
      </c>
      <c r="M937" s="3162">
        <v>90</v>
      </c>
      <c r="N937" s="2442">
        <f>SUM(N938:N939)</f>
        <v>56278000</v>
      </c>
      <c r="O937" s="3162">
        <v>120</v>
      </c>
      <c r="P937" s="2442">
        <f>SUM(P938:P939)</f>
        <v>77096000</v>
      </c>
      <c r="Q937" s="3162">
        <v>0</v>
      </c>
      <c r="R937" s="2442">
        <f>SUM(R938:R939)</f>
        <v>0</v>
      </c>
      <c r="S937" s="2335"/>
      <c r="T937" s="2340">
        <f>SUM(T938:T939)</f>
        <v>15507000</v>
      </c>
      <c r="U937" s="2335">
        <v>70</v>
      </c>
      <c r="V937" s="2342">
        <f>SUM(V938:V939)</f>
        <v>47763684</v>
      </c>
      <c r="W937" s="2335"/>
      <c r="X937" s="2335"/>
      <c r="Y937" s="2442">
        <f t="shared" si="283"/>
        <v>70</v>
      </c>
      <c r="Z937" s="2342">
        <f t="shared" si="284"/>
        <v>63270684</v>
      </c>
      <c r="AA937" s="2543">
        <f t="shared" ref="AA937:AB942" si="298">M937+Y937</f>
        <v>160</v>
      </c>
      <c r="AB937" s="2467">
        <f t="shared" si="298"/>
        <v>119548684</v>
      </c>
      <c r="AC937" s="2544">
        <f t="shared" ref="AC937:AC946" si="299">(AA937/K937)*100</f>
        <v>23.52941176470588</v>
      </c>
      <c r="AD937" s="2544">
        <f t="shared" ref="AD937:AD946" si="300">(AB937/L937)*100</f>
        <v>34.274082144024405</v>
      </c>
      <c r="AE937" s="3138" t="s">
        <v>612</v>
      </c>
      <c r="AF937" s="2647"/>
      <c r="AG937" s="2647"/>
      <c r="AH937" s="2647"/>
      <c r="AI937" s="2647"/>
      <c r="AJ937" s="2647"/>
      <c r="AK937" s="2647"/>
      <c r="AL937" s="2647"/>
      <c r="AM937" s="2647"/>
      <c r="AN937" s="2647"/>
      <c r="AO937" s="2647"/>
      <c r="AP937" s="2647"/>
      <c r="AQ937" s="2647"/>
      <c r="AR937" s="2647"/>
      <c r="AS937" s="2647"/>
      <c r="AT937" s="2647"/>
      <c r="AU937" s="2647"/>
      <c r="AV937" s="2647"/>
      <c r="AW937" s="2647"/>
      <c r="AX937" s="2647"/>
      <c r="AY937" s="2647"/>
      <c r="AZ937" s="2647"/>
      <c r="BA937" s="2647"/>
      <c r="BB937" s="2647"/>
      <c r="BC937" s="2647"/>
      <c r="BD937" s="2647"/>
      <c r="BE937" s="2647"/>
      <c r="BF937" s="2647"/>
      <c r="BG937" s="2647"/>
      <c r="BH937" s="2647"/>
      <c r="BI937" s="2647"/>
      <c r="BJ937" s="2647"/>
      <c r="BK937" s="2647"/>
      <c r="BL937" s="2647"/>
      <c r="BM937" s="2647"/>
      <c r="BN937" s="2647"/>
      <c r="BO937" s="2647"/>
      <c r="BP937" s="2647"/>
      <c r="BQ937" s="2647"/>
      <c r="BR937" s="2647"/>
      <c r="BS937" s="2647"/>
      <c r="BT937" s="2647"/>
      <c r="BU937" s="2647"/>
      <c r="BV937" s="2647"/>
      <c r="BW937" s="2647"/>
      <c r="BX937" s="2647"/>
    </row>
    <row r="938" spans="1:76" s="2606" customFormat="1" ht="50.25" customHeight="1">
      <c r="A938" s="384"/>
      <c r="B938" s="384"/>
      <c r="C938" s="3792">
        <v>1</v>
      </c>
      <c r="D938" s="3792" t="s">
        <v>65</v>
      </c>
      <c r="E938" s="3792">
        <v>10</v>
      </c>
      <c r="F938" s="3792" t="s">
        <v>66</v>
      </c>
      <c r="G938" s="3792">
        <v>15</v>
      </c>
      <c r="H938" s="3792" t="s">
        <v>198</v>
      </c>
      <c r="I938" s="384" t="s">
        <v>664</v>
      </c>
      <c r="J938" s="384" t="s">
        <v>3874</v>
      </c>
      <c r="K938" s="1259">
        <v>6</v>
      </c>
      <c r="L938" s="1232">
        <f>5*40418000</f>
        <v>202090000</v>
      </c>
      <c r="M938" s="1259">
        <v>2</v>
      </c>
      <c r="N938" s="1232">
        <v>56278000</v>
      </c>
      <c r="O938" s="1259">
        <v>2</v>
      </c>
      <c r="P938" s="1232">
        <v>40418000</v>
      </c>
      <c r="Q938" s="1259"/>
      <c r="R938" s="590">
        <v>0</v>
      </c>
      <c r="S938" s="3600"/>
      <c r="T938" s="590">
        <v>15267000</v>
      </c>
      <c r="U938" s="384">
        <v>1</v>
      </c>
      <c r="V938" s="1202">
        <v>22585684</v>
      </c>
      <c r="W938" s="384"/>
      <c r="X938" s="384"/>
      <c r="Y938" s="1232">
        <f t="shared" si="283"/>
        <v>1</v>
      </c>
      <c r="Z938" s="1202">
        <f t="shared" si="284"/>
        <v>37852684</v>
      </c>
      <c r="AA938" s="3143">
        <f t="shared" si="298"/>
        <v>3</v>
      </c>
      <c r="AB938" s="3145">
        <f t="shared" si="298"/>
        <v>94130684</v>
      </c>
      <c r="AC938" s="3142">
        <f t="shared" si="299"/>
        <v>50</v>
      </c>
      <c r="AD938" s="3142">
        <f t="shared" si="300"/>
        <v>46.578595675194222</v>
      </c>
      <c r="AE938" s="390"/>
      <c r="AF938" s="2647"/>
      <c r="AG938" s="2647"/>
      <c r="AH938" s="2647"/>
      <c r="AI938" s="2647"/>
      <c r="AJ938" s="2647"/>
      <c r="AK938" s="2647"/>
      <c r="AL938" s="2647"/>
      <c r="AM938" s="2647"/>
      <c r="AN938" s="2647"/>
      <c r="AO938" s="2647"/>
      <c r="AP938" s="2647"/>
      <c r="AQ938" s="2647"/>
      <c r="AR938" s="2647"/>
      <c r="AS938" s="2647"/>
      <c r="AT938" s="2647"/>
      <c r="AU938" s="2647"/>
      <c r="AV938" s="2647"/>
      <c r="AW938" s="2647"/>
      <c r="AX938" s="2647"/>
      <c r="AY938" s="2647"/>
      <c r="AZ938" s="2647"/>
      <c r="BA938" s="2647"/>
      <c r="BB938" s="2647"/>
      <c r="BC938" s="2647"/>
      <c r="BD938" s="2647"/>
      <c r="BE938" s="2647"/>
      <c r="BF938" s="2647"/>
      <c r="BG938" s="2647"/>
      <c r="BH938" s="2647"/>
      <c r="BI938" s="2647"/>
      <c r="BJ938" s="2647"/>
      <c r="BK938" s="2647"/>
      <c r="BL938" s="2647"/>
      <c r="BM938" s="2647"/>
      <c r="BN938" s="2647"/>
      <c r="BO938" s="2647"/>
      <c r="BP938" s="2647"/>
      <c r="BQ938" s="2647"/>
      <c r="BR938" s="2647"/>
      <c r="BS938" s="2647"/>
      <c r="BT938" s="2647"/>
      <c r="BU938" s="2647"/>
      <c r="BV938" s="2647"/>
      <c r="BW938" s="2647"/>
      <c r="BX938" s="2647"/>
    </row>
    <row r="939" spans="1:76" s="2606" customFormat="1" ht="84.75" customHeight="1">
      <c r="A939" s="384"/>
      <c r="B939" s="384"/>
      <c r="C939" s="3792">
        <v>1</v>
      </c>
      <c r="D939" s="3792" t="s">
        <v>65</v>
      </c>
      <c r="E939" s="3792">
        <v>10</v>
      </c>
      <c r="F939" s="3792" t="s">
        <v>66</v>
      </c>
      <c r="G939" s="3792">
        <v>15</v>
      </c>
      <c r="H939" s="3792" t="s">
        <v>93</v>
      </c>
      <c r="I939" s="384" t="s">
        <v>666</v>
      </c>
      <c r="J939" s="384" t="s">
        <v>3875</v>
      </c>
      <c r="K939" s="1259">
        <f>90*3*5</f>
        <v>1350</v>
      </c>
      <c r="L939" s="1232">
        <f>4*36678000</f>
        <v>146712000</v>
      </c>
      <c r="M939" s="1259">
        <f>90*3</f>
        <v>270</v>
      </c>
      <c r="N939" s="1232">
        <v>0</v>
      </c>
      <c r="O939" s="1259">
        <v>250</v>
      </c>
      <c r="P939" s="1232">
        <v>36678000</v>
      </c>
      <c r="Q939" s="1259"/>
      <c r="R939" s="590">
        <v>0</v>
      </c>
      <c r="S939" s="3600">
        <v>25</v>
      </c>
      <c r="T939" s="590">
        <v>240000</v>
      </c>
      <c r="U939" s="384">
        <v>115</v>
      </c>
      <c r="V939" s="1202">
        <v>25178000</v>
      </c>
      <c r="W939" s="384"/>
      <c r="X939" s="384"/>
      <c r="Y939" s="1232">
        <f t="shared" si="283"/>
        <v>140</v>
      </c>
      <c r="Z939" s="1202">
        <f t="shared" si="284"/>
        <v>25418000</v>
      </c>
      <c r="AA939" s="3143">
        <f t="shared" si="298"/>
        <v>410</v>
      </c>
      <c r="AB939" s="3145">
        <f t="shared" si="298"/>
        <v>25418000</v>
      </c>
      <c r="AC939" s="3142">
        <f t="shared" si="299"/>
        <v>30.37037037037037</v>
      </c>
      <c r="AD939" s="3142">
        <f t="shared" si="300"/>
        <v>17.325099514695459</v>
      </c>
      <c r="AE939" s="390"/>
      <c r="AF939" s="2647"/>
      <c r="AG939" s="2647"/>
      <c r="AH939" s="2647"/>
      <c r="AI939" s="2647"/>
      <c r="AJ939" s="2647"/>
      <c r="AK939" s="2647"/>
      <c r="AL939" s="2647"/>
      <c r="AM939" s="2647"/>
      <c r="AN939" s="2647"/>
      <c r="AO939" s="2647"/>
      <c r="AP939" s="2647"/>
      <c r="AQ939" s="2647"/>
      <c r="AR939" s="2647"/>
      <c r="AS939" s="2647"/>
      <c r="AT939" s="2647"/>
      <c r="AU939" s="2647"/>
      <c r="AV939" s="2647"/>
      <c r="AW939" s="2647"/>
      <c r="AX939" s="2647"/>
      <c r="AY939" s="2647"/>
      <c r="AZ939" s="2647"/>
      <c r="BA939" s="2647"/>
      <c r="BB939" s="2647"/>
      <c r="BC939" s="2647"/>
      <c r="BD939" s="2647"/>
      <c r="BE939" s="2647"/>
      <c r="BF939" s="2647"/>
      <c r="BG939" s="2647"/>
      <c r="BH939" s="2647"/>
      <c r="BI939" s="2647"/>
      <c r="BJ939" s="2647"/>
      <c r="BK939" s="2647"/>
      <c r="BL939" s="2647"/>
      <c r="BM939" s="2647"/>
      <c r="BN939" s="2647"/>
      <c r="BO939" s="2647"/>
      <c r="BP939" s="2647"/>
      <c r="BQ939" s="2647"/>
      <c r="BR939" s="2647"/>
      <c r="BS939" s="2647"/>
      <c r="BT939" s="2647"/>
      <c r="BU939" s="2647"/>
      <c r="BV939" s="2647"/>
      <c r="BW939" s="2647"/>
      <c r="BX939" s="2647"/>
    </row>
    <row r="940" spans="1:76" s="2606" customFormat="1" ht="88.5" customHeight="1">
      <c r="A940" s="2335">
        <v>7</v>
      </c>
      <c r="B940" s="2335"/>
      <c r="C940" s="2567">
        <v>1</v>
      </c>
      <c r="D940" s="2567" t="s">
        <v>65</v>
      </c>
      <c r="E940" s="2567">
        <v>10</v>
      </c>
      <c r="F940" s="2567" t="s">
        <v>66</v>
      </c>
      <c r="G940" s="2567">
        <v>17</v>
      </c>
      <c r="H940" s="2567"/>
      <c r="I940" s="2335" t="s">
        <v>668</v>
      </c>
      <c r="J940" s="2335" t="s">
        <v>3876</v>
      </c>
      <c r="K940" s="3162">
        <v>1350</v>
      </c>
      <c r="L940" s="2442">
        <f>SUM(L941:L942)</f>
        <v>747669000</v>
      </c>
      <c r="M940" s="3162">
        <v>180</v>
      </c>
      <c r="N940" s="2442">
        <f>SUM(N941)</f>
        <v>0</v>
      </c>
      <c r="O940" s="3162">
        <v>90</v>
      </c>
      <c r="P940" s="2442">
        <f>SUM(P941:P942)</f>
        <v>747669843</v>
      </c>
      <c r="Q940" s="3162"/>
      <c r="R940" s="2340"/>
      <c r="S940" s="2340"/>
      <c r="T940" s="2340">
        <f>SUM(T941:T942)</f>
        <v>14607000</v>
      </c>
      <c r="U940" s="2335"/>
      <c r="V940" s="2342">
        <f>SUM(V941:V942)</f>
        <v>163622600</v>
      </c>
      <c r="W940" s="2335"/>
      <c r="X940" s="2335"/>
      <c r="Y940" s="2442">
        <f t="shared" si="283"/>
        <v>0</v>
      </c>
      <c r="Z940" s="2342">
        <f t="shared" si="284"/>
        <v>178229600</v>
      </c>
      <c r="AA940" s="2543">
        <f t="shared" si="298"/>
        <v>180</v>
      </c>
      <c r="AB940" s="2467">
        <f t="shared" si="298"/>
        <v>178229600</v>
      </c>
      <c r="AC940" s="2544">
        <f t="shared" si="299"/>
        <v>13.333333333333334</v>
      </c>
      <c r="AD940" s="2544">
        <f t="shared" si="300"/>
        <v>23.838035280317897</v>
      </c>
      <c r="AE940" s="3138" t="s">
        <v>612</v>
      </c>
      <c r="AF940" s="2647"/>
      <c r="AG940" s="2647"/>
      <c r="AH940" s="2647"/>
      <c r="AI940" s="2647"/>
      <c r="AJ940" s="2647"/>
      <c r="AK940" s="2647"/>
      <c r="AL940" s="2647"/>
      <c r="AM940" s="2647"/>
      <c r="AN940" s="2647"/>
      <c r="AO940" s="2647"/>
      <c r="AP940" s="2647"/>
      <c r="AQ940" s="2647"/>
      <c r="AR940" s="2647"/>
      <c r="AS940" s="2647"/>
      <c r="AT940" s="2647"/>
      <c r="AU940" s="2647"/>
      <c r="AV940" s="2647"/>
      <c r="AW940" s="2647"/>
      <c r="AX940" s="2647"/>
      <c r="AY940" s="2647"/>
      <c r="AZ940" s="2647"/>
      <c r="BA940" s="2647"/>
      <c r="BB940" s="2647"/>
      <c r="BC940" s="2647"/>
      <c r="BD940" s="2647"/>
      <c r="BE940" s="2647"/>
      <c r="BF940" s="2647"/>
      <c r="BG940" s="2647"/>
      <c r="BH940" s="2647"/>
      <c r="BI940" s="2647"/>
      <c r="BJ940" s="2647"/>
      <c r="BK940" s="2647"/>
      <c r="BL940" s="2647"/>
      <c r="BM940" s="2647"/>
      <c r="BN940" s="2647"/>
      <c r="BO940" s="2647"/>
      <c r="BP940" s="2647"/>
      <c r="BQ940" s="2647"/>
      <c r="BR940" s="2647"/>
      <c r="BS940" s="2647"/>
      <c r="BT940" s="2647"/>
      <c r="BU940" s="2647"/>
      <c r="BV940" s="2647"/>
      <c r="BW940" s="2647"/>
      <c r="BX940" s="2647"/>
    </row>
    <row r="941" spans="1:76" s="2607" customFormat="1" ht="59.25" customHeight="1">
      <c r="A941" s="384"/>
      <c r="B941" s="384"/>
      <c r="C941" s="3792">
        <v>1</v>
      </c>
      <c r="D941" s="3792" t="s">
        <v>65</v>
      </c>
      <c r="E941" s="3792">
        <v>10</v>
      </c>
      <c r="F941" s="3792" t="s">
        <v>66</v>
      </c>
      <c r="G941" s="3792">
        <v>17</v>
      </c>
      <c r="H941" s="3792" t="s">
        <v>66</v>
      </c>
      <c r="I941" s="384" t="s">
        <v>670</v>
      </c>
      <c r="J941" s="384" t="s">
        <v>3876</v>
      </c>
      <c r="K941" s="1259">
        <f>90*3*5</f>
        <v>1350</v>
      </c>
      <c r="L941" s="1232">
        <v>54321000</v>
      </c>
      <c r="M941" s="1259">
        <f>90*2</f>
        <v>180</v>
      </c>
      <c r="N941" s="1232">
        <v>0</v>
      </c>
      <c r="O941" s="1259">
        <v>90</v>
      </c>
      <c r="P941" s="1232">
        <v>54321000</v>
      </c>
      <c r="Q941" s="1259"/>
      <c r="R941" s="590">
        <v>0</v>
      </c>
      <c r="S941" s="590">
        <v>0</v>
      </c>
      <c r="T941" s="590">
        <v>10854000</v>
      </c>
      <c r="U941" s="384">
        <v>9</v>
      </c>
      <c r="V941" s="1202">
        <v>32910800</v>
      </c>
      <c r="W941" s="384"/>
      <c r="X941" s="384"/>
      <c r="Y941" s="1232">
        <f t="shared" si="283"/>
        <v>9</v>
      </c>
      <c r="Z941" s="1202">
        <f t="shared" si="284"/>
        <v>43764800</v>
      </c>
      <c r="AA941" s="3143">
        <f t="shared" si="298"/>
        <v>189</v>
      </c>
      <c r="AB941" s="3145">
        <f t="shared" si="298"/>
        <v>43764800</v>
      </c>
      <c r="AC941" s="3142">
        <f t="shared" si="299"/>
        <v>14.000000000000002</v>
      </c>
      <c r="AD941" s="3142">
        <f t="shared" si="300"/>
        <v>80.566999871136389</v>
      </c>
      <c r="AE941" s="390"/>
      <c r="AF941" s="2809"/>
      <c r="AG941" s="2809"/>
      <c r="AH941" s="2809"/>
      <c r="AI941" s="2809"/>
      <c r="AJ941" s="2809"/>
      <c r="AK941" s="2809"/>
      <c r="AL941" s="2809"/>
      <c r="AM941" s="2809"/>
      <c r="AN941" s="2809"/>
      <c r="AO941" s="2809"/>
      <c r="AP941" s="2809"/>
      <c r="AQ941" s="2809"/>
      <c r="AR941" s="2809"/>
      <c r="AS941" s="2809"/>
      <c r="AT941" s="2809"/>
      <c r="AU941" s="2809"/>
      <c r="AV941" s="2809"/>
      <c r="AW941" s="2809"/>
      <c r="AX941" s="2809"/>
      <c r="AY941" s="2809"/>
      <c r="AZ941" s="2809"/>
      <c r="BA941" s="2809"/>
      <c r="BB941" s="2809"/>
      <c r="BC941" s="2809"/>
      <c r="BD941" s="2809"/>
      <c r="BE941" s="2809"/>
      <c r="BF941" s="2809"/>
      <c r="BG941" s="2809"/>
      <c r="BH941" s="2809"/>
      <c r="BI941" s="2809"/>
      <c r="BJ941" s="2809"/>
      <c r="BK941" s="2809"/>
      <c r="BL941" s="2809"/>
      <c r="BM941" s="2809"/>
      <c r="BN941" s="2809"/>
      <c r="BO941" s="2809"/>
      <c r="BP941" s="2809"/>
      <c r="BQ941" s="2809"/>
      <c r="BR941" s="2809"/>
      <c r="BS941" s="2809"/>
      <c r="BT941" s="2809"/>
      <c r="BU941" s="2809"/>
      <c r="BV941" s="2809"/>
      <c r="BW941" s="2809"/>
      <c r="BX941" s="2809"/>
    </row>
    <row r="942" spans="1:76" s="2608" customFormat="1" ht="67.5" customHeight="1">
      <c r="A942" s="384"/>
      <c r="B942" s="384"/>
      <c r="C942" s="3792">
        <v>1</v>
      </c>
      <c r="D942" s="3792" t="s">
        <v>65</v>
      </c>
      <c r="E942" s="3792">
        <v>10</v>
      </c>
      <c r="F942" s="3792" t="s">
        <v>66</v>
      </c>
      <c r="G942" s="3792">
        <v>19</v>
      </c>
      <c r="H942" s="3792" t="s">
        <v>167</v>
      </c>
      <c r="I942" s="384" t="s">
        <v>676</v>
      </c>
      <c r="J942" s="384" t="s">
        <v>3877</v>
      </c>
      <c r="K942" s="1201">
        <v>1</v>
      </c>
      <c r="L942" s="1232">
        <v>693348000</v>
      </c>
      <c r="M942" s="1201">
        <v>0.2</v>
      </c>
      <c r="N942" s="1232">
        <v>0</v>
      </c>
      <c r="O942" s="1201">
        <v>0.2</v>
      </c>
      <c r="P942" s="1232">
        <v>693348843</v>
      </c>
      <c r="Q942" s="1259"/>
      <c r="R942" s="590"/>
      <c r="S942" s="2851">
        <v>0.01</v>
      </c>
      <c r="T942" s="590">
        <v>3753000</v>
      </c>
      <c r="U942" s="1197">
        <v>0.09</v>
      </c>
      <c r="V942" s="1202">
        <v>130711800</v>
      </c>
      <c r="W942" s="384"/>
      <c r="X942" s="384"/>
      <c r="Y942" s="1271">
        <f>S942+U942</f>
        <v>9.9999999999999992E-2</v>
      </c>
      <c r="Z942" s="1202">
        <f t="shared" si="284"/>
        <v>134464800</v>
      </c>
      <c r="AA942" s="600">
        <f t="shared" si="298"/>
        <v>0.3</v>
      </c>
      <c r="AB942" s="597">
        <f t="shared" si="298"/>
        <v>134464800</v>
      </c>
      <c r="AC942" s="3142">
        <f t="shared" si="299"/>
        <v>30</v>
      </c>
      <c r="AD942" s="3142">
        <f t="shared" si="300"/>
        <v>19.393551290261168</v>
      </c>
      <c r="AE942" s="390"/>
      <c r="AF942" s="2318"/>
      <c r="AG942" s="2318"/>
      <c r="AH942" s="2318"/>
      <c r="AI942" s="2318"/>
      <c r="AJ942" s="2318"/>
      <c r="AK942" s="2318"/>
      <c r="AL942" s="2318"/>
      <c r="AM942" s="2318"/>
      <c r="AN942" s="2318"/>
      <c r="AO942" s="2318"/>
      <c r="AP942" s="2318"/>
      <c r="AQ942" s="2318"/>
      <c r="AR942" s="2318"/>
      <c r="AS942" s="2318"/>
      <c r="AT942" s="2318"/>
      <c r="AU942" s="2318"/>
      <c r="AV942" s="2318"/>
      <c r="AW942" s="2318"/>
      <c r="AX942" s="2318"/>
      <c r="AY942" s="2318"/>
      <c r="AZ942" s="2318"/>
      <c r="BA942" s="2318"/>
      <c r="BB942" s="2318"/>
      <c r="BC942" s="2318"/>
      <c r="BD942" s="2318"/>
      <c r="BE942" s="2318"/>
      <c r="BF942" s="2318"/>
      <c r="BG942" s="2318"/>
      <c r="BH942" s="2318"/>
      <c r="BI942" s="2318"/>
      <c r="BJ942" s="2318"/>
      <c r="BK942" s="2318"/>
      <c r="BL942" s="2318"/>
      <c r="BM942" s="2318"/>
      <c r="BN942" s="2318"/>
      <c r="BO942" s="2318"/>
      <c r="BP942" s="2318"/>
      <c r="BQ942" s="2318"/>
      <c r="BR942" s="2318"/>
      <c r="BS942" s="2318"/>
      <c r="BT942" s="2318"/>
      <c r="BU942" s="2318"/>
      <c r="BV942" s="2318"/>
      <c r="BW942" s="2318"/>
      <c r="BX942" s="2318"/>
    </row>
    <row r="943" spans="1:76" s="2608" customFormat="1" ht="57" customHeight="1">
      <c r="A943" s="2335">
        <v>9</v>
      </c>
      <c r="B943" s="2335"/>
      <c r="C943" s="2567">
        <v>1</v>
      </c>
      <c r="D943" s="2567" t="s">
        <v>65</v>
      </c>
      <c r="E943" s="2567">
        <v>10</v>
      </c>
      <c r="F943" s="2567" t="s">
        <v>66</v>
      </c>
      <c r="G943" s="2567">
        <v>20</v>
      </c>
      <c r="H943" s="2567"/>
      <c r="I943" s="2335" t="s">
        <v>678</v>
      </c>
      <c r="J943" s="2335" t="s">
        <v>3359</v>
      </c>
      <c r="K943" s="3162">
        <v>100</v>
      </c>
      <c r="L943" s="2442">
        <f>SUM(L944:L946)</f>
        <v>10403012000</v>
      </c>
      <c r="M943" s="3162"/>
      <c r="N943" s="2442">
        <f>SUM(N944:N946)</f>
        <v>0</v>
      </c>
      <c r="O943" s="3162">
        <v>42</v>
      </c>
      <c r="P943" s="2442">
        <f>SUM(P944:P946)</f>
        <v>2600753000</v>
      </c>
      <c r="Q943" s="3162">
        <v>5</v>
      </c>
      <c r="R943" s="2340">
        <f>SUM(R944:R946)</f>
        <v>66912000</v>
      </c>
      <c r="S943" s="2335">
        <v>10</v>
      </c>
      <c r="T943" s="2340">
        <f>SUM(T944:T946)</f>
        <v>599268000</v>
      </c>
      <c r="U943" s="2335">
        <v>20</v>
      </c>
      <c r="V943" s="2342">
        <f>SUM(V944:V946)</f>
        <v>1679357127</v>
      </c>
      <c r="W943" s="2335"/>
      <c r="X943" s="2335"/>
      <c r="Y943" s="2442">
        <f t="shared" si="283"/>
        <v>35</v>
      </c>
      <c r="Z943" s="2342">
        <f t="shared" si="284"/>
        <v>2345537127</v>
      </c>
      <c r="AA943" s="2543">
        <f>M943+Y943</f>
        <v>35</v>
      </c>
      <c r="AB943" s="2571">
        <f>SUM(AB944:AB945)</f>
        <v>2275549781</v>
      </c>
      <c r="AC943" s="2544">
        <f t="shared" si="299"/>
        <v>35</v>
      </c>
      <c r="AD943" s="2544">
        <f t="shared" si="300"/>
        <v>21.873951322943778</v>
      </c>
      <c r="AE943" s="3138" t="s">
        <v>612</v>
      </c>
      <c r="AF943" s="2318"/>
      <c r="AG943" s="2318"/>
      <c r="AH943" s="2318"/>
      <c r="AI943" s="2318"/>
      <c r="AJ943" s="2318"/>
      <c r="AK943" s="2318"/>
      <c r="AL943" s="2318"/>
      <c r="AM943" s="2318"/>
      <c r="AN943" s="2318"/>
      <c r="AO943" s="2318"/>
      <c r="AP943" s="2318"/>
      <c r="AQ943" s="2318"/>
      <c r="AR943" s="2318"/>
      <c r="AS943" s="2318"/>
      <c r="AT943" s="2318"/>
      <c r="AU943" s="2318"/>
      <c r="AV943" s="2318"/>
      <c r="AW943" s="2318"/>
      <c r="AX943" s="2318"/>
      <c r="AY943" s="2318"/>
      <c r="AZ943" s="2318"/>
      <c r="BA943" s="2318"/>
      <c r="BB943" s="2318"/>
      <c r="BC943" s="2318"/>
      <c r="BD943" s="2318"/>
      <c r="BE943" s="2318"/>
      <c r="BF943" s="2318"/>
      <c r="BG943" s="2318"/>
      <c r="BH943" s="2318"/>
      <c r="BI943" s="2318"/>
      <c r="BJ943" s="2318"/>
      <c r="BK943" s="2318"/>
      <c r="BL943" s="2318"/>
      <c r="BM943" s="2318"/>
      <c r="BN943" s="2318"/>
      <c r="BO943" s="2318"/>
      <c r="BP943" s="2318"/>
      <c r="BQ943" s="2318"/>
      <c r="BR943" s="2318"/>
      <c r="BS943" s="2318"/>
      <c r="BT943" s="2318"/>
      <c r="BU943" s="2318"/>
      <c r="BV943" s="2318"/>
      <c r="BW943" s="2318"/>
      <c r="BX943" s="2318"/>
    </row>
    <row r="944" spans="1:76" s="2608" customFormat="1" ht="41.25" customHeight="1">
      <c r="A944" s="384"/>
      <c r="B944" s="384"/>
      <c r="C944" s="3792">
        <v>1</v>
      </c>
      <c r="D944" s="3792" t="s">
        <v>65</v>
      </c>
      <c r="E944" s="3792">
        <v>10</v>
      </c>
      <c r="F944" s="3792" t="s">
        <v>66</v>
      </c>
      <c r="G944" s="3792">
        <v>20</v>
      </c>
      <c r="H944" s="3792" t="s">
        <v>65</v>
      </c>
      <c r="I944" s="384" t="s">
        <v>679</v>
      </c>
      <c r="J944" s="384" t="s">
        <v>3360</v>
      </c>
      <c r="K944" s="1259">
        <v>50</v>
      </c>
      <c r="L944" s="1232">
        <f>4*P944</f>
        <v>1363576000</v>
      </c>
      <c r="M944" s="1259">
        <v>5</v>
      </c>
      <c r="N944" s="1232">
        <v>0</v>
      </c>
      <c r="O944" s="1259">
        <v>15</v>
      </c>
      <c r="P944" s="1232">
        <v>340894000</v>
      </c>
      <c r="Q944" s="1259">
        <v>5</v>
      </c>
      <c r="R944" s="590">
        <v>58045000</v>
      </c>
      <c r="S944" s="590">
        <v>17</v>
      </c>
      <c r="T944" s="590">
        <v>57100000</v>
      </c>
      <c r="U944" s="590">
        <v>9</v>
      </c>
      <c r="V944" s="1202">
        <v>235513241</v>
      </c>
      <c r="W944" s="384"/>
      <c r="X944" s="384"/>
      <c r="Y944" s="1232">
        <f t="shared" si="283"/>
        <v>31</v>
      </c>
      <c r="Z944" s="1202">
        <f t="shared" si="284"/>
        <v>350658241</v>
      </c>
      <c r="AA944" s="3143">
        <f>M944+Y944</f>
        <v>36</v>
      </c>
      <c r="AB944" s="597">
        <f>N944+Z944</f>
        <v>350658241</v>
      </c>
      <c r="AC944" s="3142">
        <f t="shared" si="299"/>
        <v>72</v>
      </c>
      <c r="AD944" s="3142">
        <f t="shared" si="300"/>
        <v>25.716076038299295</v>
      </c>
      <c r="AE944" s="390"/>
      <c r="AF944" s="2318"/>
      <c r="AG944" s="2318"/>
      <c r="AH944" s="2318"/>
      <c r="AI944" s="2318"/>
      <c r="AJ944" s="2318"/>
      <c r="AK944" s="2318"/>
      <c r="AL944" s="2318"/>
      <c r="AM944" s="2318"/>
      <c r="AN944" s="2318"/>
      <c r="AO944" s="2318"/>
      <c r="AP944" s="2318"/>
      <c r="AQ944" s="2318"/>
      <c r="AR944" s="2318"/>
      <c r="AS944" s="2318"/>
      <c r="AT944" s="2318"/>
      <c r="AU944" s="2318"/>
      <c r="AV944" s="2318"/>
      <c r="AW944" s="2318"/>
      <c r="AX944" s="2318"/>
      <c r="AY944" s="2318"/>
      <c r="AZ944" s="2318"/>
      <c r="BA944" s="2318"/>
      <c r="BB944" s="2318"/>
      <c r="BC944" s="2318"/>
      <c r="BD944" s="2318"/>
      <c r="BE944" s="2318"/>
      <c r="BF944" s="2318"/>
      <c r="BG944" s="2318"/>
      <c r="BH944" s="2318"/>
      <c r="BI944" s="2318"/>
      <c r="BJ944" s="2318"/>
      <c r="BK944" s="2318"/>
      <c r="BL944" s="2318"/>
      <c r="BM944" s="2318"/>
      <c r="BN944" s="2318"/>
      <c r="BO944" s="2318"/>
      <c r="BP944" s="2318"/>
      <c r="BQ944" s="2318"/>
      <c r="BR944" s="2318"/>
      <c r="BS944" s="2318"/>
      <c r="BT944" s="2318"/>
      <c r="BU944" s="2318"/>
      <c r="BV944" s="2318"/>
      <c r="BW944" s="2318"/>
      <c r="BX944" s="2318"/>
    </row>
    <row r="945" spans="1:76" s="2608" customFormat="1" ht="39.75" customHeight="1">
      <c r="A945" s="384"/>
      <c r="B945" s="384"/>
      <c r="C945" s="3792">
        <v>1</v>
      </c>
      <c r="D945" s="3792" t="s">
        <v>65</v>
      </c>
      <c r="E945" s="3792">
        <v>10</v>
      </c>
      <c r="F945" s="3792" t="s">
        <v>66</v>
      </c>
      <c r="G945" s="3792">
        <v>20</v>
      </c>
      <c r="H945" s="3792" t="s">
        <v>196</v>
      </c>
      <c r="I945" s="384" t="s">
        <v>681</v>
      </c>
      <c r="J945" s="384" t="s">
        <v>3361</v>
      </c>
      <c r="K945" s="1259">
        <v>60</v>
      </c>
      <c r="L945" s="1232">
        <f t="shared" ref="L945:L946" si="301">4*P945</f>
        <v>8506180000</v>
      </c>
      <c r="M945" s="1259">
        <v>12</v>
      </c>
      <c r="N945" s="1232">
        <v>0</v>
      </c>
      <c r="O945" s="1259">
        <v>12</v>
      </c>
      <c r="P945" s="1232">
        <v>2126545000</v>
      </c>
      <c r="Q945" s="1259">
        <v>3</v>
      </c>
      <c r="R945" s="590">
        <v>8867000</v>
      </c>
      <c r="S945" s="590">
        <v>25</v>
      </c>
      <c r="T945" s="590">
        <v>521901000</v>
      </c>
      <c r="U945" s="590">
        <v>9</v>
      </c>
      <c r="V945" s="1202">
        <v>1394123540</v>
      </c>
      <c r="W945" s="384"/>
      <c r="X945" s="384"/>
      <c r="Y945" s="1232">
        <f t="shared" si="283"/>
        <v>37</v>
      </c>
      <c r="Z945" s="1202">
        <f t="shared" si="284"/>
        <v>1924891540</v>
      </c>
      <c r="AA945" s="3143">
        <f>M945+Y945</f>
        <v>49</v>
      </c>
      <c r="AB945" s="597">
        <f>N945+Z945</f>
        <v>1924891540</v>
      </c>
      <c r="AC945" s="3142">
        <f t="shared" si="299"/>
        <v>81.666666666666671</v>
      </c>
      <c r="AD945" s="3142">
        <f t="shared" si="300"/>
        <v>22.629329969504525</v>
      </c>
      <c r="AE945" s="390"/>
      <c r="AF945" s="2318"/>
      <c r="AG945" s="2318"/>
      <c r="AH945" s="2318"/>
      <c r="AI945" s="2318"/>
      <c r="AJ945" s="2318"/>
      <c r="AK945" s="2318"/>
      <c r="AL945" s="2318"/>
      <c r="AM945" s="2318"/>
      <c r="AN945" s="2318"/>
      <c r="AO945" s="2318"/>
      <c r="AP945" s="2318"/>
      <c r="AQ945" s="2318"/>
      <c r="AR945" s="2318"/>
      <c r="AS945" s="2318"/>
      <c r="AT945" s="2318"/>
      <c r="AU945" s="2318"/>
      <c r="AV945" s="2318"/>
      <c r="AW945" s="2318"/>
      <c r="AX945" s="2318"/>
      <c r="AY945" s="2318"/>
      <c r="AZ945" s="2318"/>
      <c r="BA945" s="2318"/>
      <c r="BB945" s="2318"/>
      <c r="BC945" s="2318"/>
      <c r="BD945" s="2318"/>
      <c r="BE945" s="2318"/>
      <c r="BF945" s="2318"/>
      <c r="BG945" s="2318"/>
      <c r="BH945" s="2318"/>
      <c r="BI945" s="2318"/>
      <c r="BJ945" s="2318"/>
      <c r="BK945" s="2318"/>
      <c r="BL945" s="2318"/>
      <c r="BM945" s="2318"/>
      <c r="BN945" s="2318"/>
      <c r="BO945" s="2318"/>
      <c r="BP945" s="2318"/>
      <c r="BQ945" s="2318"/>
      <c r="BR945" s="2318"/>
      <c r="BS945" s="2318"/>
      <c r="BT945" s="2318"/>
      <c r="BU945" s="2318"/>
      <c r="BV945" s="2318"/>
      <c r="BW945" s="2318"/>
      <c r="BX945" s="2318"/>
    </row>
    <row r="946" spans="1:76" s="2608" customFormat="1" ht="49.5" customHeight="1">
      <c r="A946" s="384"/>
      <c r="B946" s="384"/>
      <c r="C946" s="3792">
        <v>1</v>
      </c>
      <c r="D946" s="3792" t="s">
        <v>65</v>
      </c>
      <c r="E946" s="3792">
        <v>10</v>
      </c>
      <c r="F946" s="3792" t="s">
        <v>66</v>
      </c>
      <c r="G946" s="3792">
        <v>20</v>
      </c>
      <c r="H946" s="3792" t="s">
        <v>196</v>
      </c>
      <c r="I946" s="384" t="s">
        <v>683</v>
      </c>
      <c r="J946" s="384" t="s">
        <v>3878</v>
      </c>
      <c r="K946" s="1259">
        <v>60</v>
      </c>
      <c r="L946" s="1232">
        <f t="shared" si="301"/>
        <v>533256000</v>
      </c>
      <c r="M946" s="1259">
        <v>12</v>
      </c>
      <c r="N946" s="1232">
        <v>0</v>
      </c>
      <c r="O946" s="1259">
        <v>12</v>
      </c>
      <c r="P946" s="1232">
        <v>133314000</v>
      </c>
      <c r="Q946" s="1259">
        <v>3</v>
      </c>
      <c r="R946" s="590">
        <v>0</v>
      </c>
      <c r="S946" s="590">
        <v>15</v>
      </c>
      <c r="T946" s="590">
        <v>20267000</v>
      </c>
      <c r="U946" s="590">
        <v>9</v>
      </c>
      <c r="V946" s="1202">
        <v>49720346</v>
      </c>
      <c r="W946" s="384"/>
      <c r="X946" s="384"/>
      <c r="Y946" s="1232">
        <f t="shared" si="283"/>
        <v>27</v>
      </c>
      <c r="Z946" s="1202">
        <f t="shared" si="284"/>
        <v>69987346</v>
      </c>
      <c r="AA946" s="3143">
        <f>M946+Y946</f>
        <v>39</v>
      </c>
      <c r="AB946" s="597">
        <f>N946+Z946</f>
        <v>69987346</v>
      </c>
      <c r="AC946" s="3142">
        <f t="shared" si="299"/>
        <v>65</v>
      </c>
      <c r="AD946" s="3142">
        <f t="shared" si="300"/>
        <v>13.124530431912627</v>
      </c>
      <c r="AE946" s="390"/>
      <c r="AF946" s="2318"/>
      <c r="AG946" s="2318"/>
      <c r="AH946" s="2318"/>
      <c r="AI946" s="2318"/>
      <c r="AJ946" s="2318"/>
      <c r="AK946" s="2318"/>
      <c r="AL946" s="2318"/>
      <c r="AM946" s="2318"/>
      <c r="AN946" s="2318"/>
      <c r="AO946" s="2318"/>
      <c r="AP946" s="2318"/>
      <c r="AQ946" s="2318"/>
      <c r="AR946" s="2318"/>
      <c r="AS946" s="2318"/>
      <c r="AT946" s="2318"/>
      <c r="AU946" s="2318"/>
      <c r="AV946" s="2318"/>
      <c r="AW946" s="2318"/>
      <c r="AX946" s="2318"/>
      <c r="AY946" s="2318"/>
      <c r="AZ946" s="2318"/>
      <c r="BA946" s="2318"/>
      <c r="BB946" s="2318"/>
      <c r="BC946" s="2318"/>
      <c r="BD946" s="2318"/>
      <c r="BE946" s="2318"/>
      <c r="BF946" s="2318"/>
      <c r="BG946" s="2318"/>
      <c r="BH946" s="2318"/>
      <c r="BI946" s="2318"/>
      <c r="BJ946" s="2318"/>
      <c r="BK946" s="2318"/>
      <c r="BL946" s="2318"/>
      <c r="BM946" s="2318"/>
      <c r="BN946" s="2318"/>
      <c r="BO946" s="2318"/>
      <c r="BP946" s="2318"/>
      <c r="BQ946" s="2318"/>
      <c r="BR946" s="2318"/>
      <c r="BS946" s="2318"/>
      <c r="BT946" s="2318"/>
      <c r="BU946" s="2318"/>
      <c r="BV946" s="2318"/>
      <c r="BW946" s="2318"/>
      <c r="BX946" s="2318"/>
    </row>
    <row r="947" spans="1:76" s="114" customFormat="1" ht="18.75" customHeight="1">
      <c r="A947" s="4308" t="s">
        <v>89</v>
      </c>
      <c r="B947" s="4308"/>
      <c r="C947" s="4309"/>
      <c r="D947" s="4309"/>
      <c r="E947" s="4309"/>
      <c r="F947" s="4309"/>
      <c r="G947" s="4309"/>
      <c r="H947" s="4309"/>
      <c r="I947" s="4309"/>
      <c r="J947" s="4309"/>
      <c r="K947" s="4309"/>
      <c r="L947" s="4309"/>
      <c r="M947" s="4309"/>
      <c r="N947" s="4309"/>
      <c r="O947" s="4309"/>
      <c r="P947" s="4309"/>
      <c r="Q947" s="4309"/>
      <c r="R947" s="4309"/>
      <c r="S947" s="4309"/>
      <c r="T947" s="4309"/>
      <c r="U947" s="4309"/>
      <c r="V947" s="4309"/>
      <c r="W947" s="4309"/>
      <c r="X947" s="4309"/>
      <c r="Y947" s="4309"/>
      <c r="Z947" s="4309"/>
      <c r="AA947" s="4309"/>
      <c r="AB947" s="4309"/>
      <c r="AC947" s="2423">
        <f>(AC908+AC921+AC926+AC928+AC931+AC937+AC940+AC943)/8</f>
        <v>35.232843137254903</v>
      </c>
      <c r="AD947" s="2423">
        <f>(AD908+AD921+AD926+AD928+AD931+AD937+AD940+AD943)/8</f>
        <v>32.917233561754855</v>
      </c>
      <c r="AE947" s="3183"/>
    </row>
    <row r="948" spans="1:76" s="475" customFormat="1" ht="15.75" customHeight="1">
      <c r="A948" s="4308" t="s">
        <v>90</v>
      </c>
      <c r="B948" s="4308"/>
      <c r="C948" s="4309"/>
      <c r="D948" s="4309"/>
      <c r="E948" s="4309"/>
      <c r="F948" s="4309"/>
      <c r="G948" s="4309"/>
      <c r="H948" s="4309"/>
      <c r="I948" s="4309"/>
      <c r="J948" s="4309"/>
      <c r="K948" s="4309"/>
      <c r="L948" s="4309"/>
      <c r="M948" s="4309"/>
      <c r="N948" s="4309"/>
      <c r="O948" s="4309"/>
      <c r="P948" s="4309"/>
      <c r="Q948" s="4309"/>
      <c r="R948" s="4309"/>
      <c r="S948" s="4309"/>
      <c r="T948" s="4309"/>
      <c r="U948" s="4309"/>
      <c r="V948" s="4309"/>
      <c r="W948" s="4309"/>
      <c r="X948" s="4309"/>
      <c r="Y948" s="4309"/>
      <c r="Z948" s="4309"/>
      <c r="AA948" s="4309"/>
      <c r="AB948" s="4309"/>
      <c r="AC948" s="3152" t="str">
        <f>IF(AC947&gt;=91,"ST",IF(AC947&gt;=76,"T",IF(AC947&gt;=66,"S",IF(AC947&gt;=51,"R","SR"))))</f>
        <v>SR</v>
      </c>
      <c r="AD948" s="3596" t="s">
        <v>2714</v>
      </c>
      <c r="AE948" s="3183"/>
    </row>
    <row r="949" spans="1:76" s="2271" customFormat="1" ht="39.75" customHeight="1">
      <c r="A949" s="2546" t="s">
        <v>3362</v>
      </c>
      <c r="B949" s="2918"/>
      <c r="C949" s="2546"/>
      <c r="D949" s="2546"/>
      <c r="E949" s="2546"/>
      <c r="F949" s="2546"/>
      <c r="G949" s="2546"/>
      <c r="H949" s="2546"/>
      <c r="I949" s="2515" t="s">
        <v>144</v>
      </c>
      <c r="J949" s="2918"/>
      <c r="K949" s="3210"/>
      <c r="L949" s="3194">
        <f>L950+L962+L967+L969</f>
        <v>6760738500</v>
      </c>
      <c r="M949" s="3210"/>
      <c r="N949" s="3195">
        <f>N950+N962+N967+N969</f>
        <v>1523639159.5999999</v>
      </c>
      <c r="O949" s="3210"/>
      <c r="P949" s="3195">
        <f>SUM(P950+P962+P969+P971+P973+P980)</f>
        <v>2407357086</v>
      </c>
      <c r="Q949" s="3210"/>
      <c r="R949" s="2916">
        <f>SUM(R950+R962+R969+R971+R973+R980)</f>
        <v>190779340</v>
      </c>
      <c r="S949" s="2918"/>
      <c r="T949" s="2916">
        <f>SUM(T950+T962+T969+T971+T973+T980)</f>
        <v>674723977</v>
      </c>
      <c r="U949" s="2918"/>
      <c r="V949" s="2916">
        <f>SUM(V950:V961)</f>
        <v>354002854</v>
      </c>
      <c r="W949" s="2918"/>
      <c r="X949" s="2918"/>
      <c r="Y949" s="3210"/>
      <c r="Z949" s="2916">
        <f>R949+T949+V949</f>
        <v>1219506171</v>
      </c>
      <c r="AA949" s="3210"/>
      <c r="AB949" s="2916">
        <f>AB950+AB962+AB967+AB969</f>
        <v>3094498054.5999999</v>
      </c>
      <c r="AC949" s="3210"/>
      <c r="AD949" s="3210"/>
      <c r="AE949" s="3211"/>
      <c r="AF949" s="2620"/>
      <c r="AG949" s="2620"/>
      <c r="AH949" s="2620"/>
      <c r="AI949" s="2620"/>
      <c r="AJ949" s="2620"/>
      <c r="AK949" s="2620"/>
      <c r="AL949" s="2620"/>
      <c r="AM949" s="2620"/>
      <c r="AN949" s="2620"/>
      <c r="AO949" s="2620"/>
      <c r="AP949" s="2620"/>
      <c r="AQ949" s="2620"/>
      <c r="AR949" s="2620"/>
      <c r="AS949" s="2620"/>
      <c r="AT949" s="2620"/>
      <c r="AU949" s="2620"/>
      <c r="AV949" s="2620"/>
      <c r="AW949" s="2620"/>
      <c r="AX949" s="2620"/>
      <c r="AY949" s="2620"/>
      <c r="AZ949" s="2620"/>
      <c r="BA949" s="2620"/>
      <c r="BB949" s="2620"/>
      <c r="BC949" s="2620"/>
      <c r="BD949" s="2620"/>
      <c r="BE949" s="2620"/>
      <c r="BF949" s="2620"/>
      <c r="BG949" s="2620"/>
      <c r="BH949" s="2620"/>
      <c r="BI949" s="2620"/>
      <c r="BJ949" s="2620"/>
      <c r="BK949" s="2620"/>
      <c r="BL949" s="2620"/>
      <c r="BM949" s="2620"/>
      <c r="BN949" s="2620"/>
      <c r="BO949" s="2620"/>
      <c r="BP949" s="2620"/>
      <c r="BQ949" s="2620"/>
      <c r="BR949" s="2620"/>
      <c r="BS949" s="2620"/>
      <c r="BT949" s="2620"/>
      <c r="BU949" s="2620"/>
      <c r="BV949" s="2620"/>
      <c r="BW949" s="2620"/>
      <c r="BX949" s="2620"/>
    </row>
    <row r="950" spans="1:76" s="2608" customFormat="1" ht="51">
      <c r="A950" s="2570">
        <v>1</v>
      </c>
      <c r="B950" s="2340"/>
      <c r="C950" s="2567" t="s">
        <v>197</v>
      </c>
      <c r="D950" s="2567">
        <v>1</v>
      </c>
      <c r="E950" s="2567" t="s">
        <v>65</v>
      </c>
      <c r="F950" s="2567">
        <v>11</v>
      </c>
      <c r="G950" s="2567">
        <v>1</v>
      </c>
      <c r="H950" s="2567"/>
      <c r="I950" s="2335" t="s">
        <v>2153</v>
      </c>
      <c r="J950" s="2335" t="s">
        <v>3955</v>
      </c>
      <c r="K950" s="2502">
        <v>72</v>
      </c>
      <c r="L950" s="2442">
        <f>SUM(L951:L961)</f>
        <v>3387953000</v>
      </c>
      <c r="M950" s="3162">
        <v>24</v>
      </c>
      <c r="N950" s="2609">
        <f>SUM(N951:N961)</f>
        <v>1213259857</v>
      </c>
      <c r="O950" s="3162">
        <v>12</v>
      </c>
      <c r="P950" s="2442">
        <f>SUM(P951:P961)</f>
        <v>941487800</v>
      </c>
      <c r="Q950" s="3162">
        <v>3</v>
      </c>
      <c r="R950" s="2340">
        <f>SUM(R951:R961)</f>
        <v>127913340</v>
      </c>
      <c r="S950" s="2335">
        <v>3</v>
      </c>
      <c r="T950" s="3118">
        <f>SUM(T951:T961)</f>
        <v>190806977</v>
      </c>
      <c r="U950" s="2335">
        <v>3</v>
      </c>
      <c r="V950" s="2342">
        <f>SUM(V951:V961)</f>
        <v>177001427</v>
      </c>
      <c r="W950" s="2335"/>
      <c r="X950" s="2335"/>
      <c r="Y950" s="2543">
        <f t="shared" ref="Y950:Y970" si="302">Q950+S950+U950+W950</f>
        <v>9</v>
      </c>
      <c r="Z950" s="2342">
        <f t="shared" ref="Z950:Z970" si="303">R950+T950+V950+X950</f>
        <v>495721744</v>
      </c>
      <c r="AA950" s="3162">
        <f t="shared" ref="AA950:AB970" si="304">M950+Y950</f>
        <v>33</v>
      </c>
      <c r="AB950" s="2571">
        <f t="shared" si="304"/>
        <v>1708981601</v>
      </c>
      <c r="AC950" s="2610">
        <f t="shared" ref="AC950:AC970" si="305">AA950/K950*100</f>
        <v>45.833333333333329</v>
      </c>
      <c r="AD950" s="2611">
        <f>AB950/L950*100</f>
        <v>50.442895783973384</v>
      </c>
      <c r="AE950" s="3184" t="s">
        <v>2058</v>
      </c>
      <c r="AF950" s="3225"/>
      <c r="AG950" s="2318"/>
      <c r="AH950" s="2318"/>
      <c r="AI950" s="2318"/>
      <c r="AJ950" s="2318"/>
      <c r="AK950" s="2318"/>
      <c r="AL950" s="2318"/>
      <c r="AM950" s="2318"/>
      <c r="AN950" s="2318"/>
      <c r="AO950" s="2318"/>
      <c r="AP950" s="2318"/>
      <c r="AQ950" s="2318"/>
      <c r="AR950" s="2318"/>
      <c r="AS950" s="2318"/>
      <c r="AT950" s="2318"/>
      <c r="AU950" s="2318"/>
      <c r="AV950" s="2318"/>
      <c r="AW950" s="2318"/>
      <c r="AX950" s="2318"/>
      <c r="AY950" s="2318"/>
      <c r="AZ950" s="2318"/>
      <c r="BA950" s="2318"/>
      <c r="BB950" s="2318"/>
      <c r="BC950" s="2318"/>
      <c r="BD950" s="2318"/>
      <c r="BE950" s="2318"/>
      <c r="BF950" s="2318"/>
      <c r="BG950" s="2318"/>
      <c r="BH950" s="2318"/>
      <c r="BI950" s="2318"/>
      <c r="BJ950" s="2318"/>
      <c r="BK950" s="2318"/>
      <c r="BL950" s="2318"/>
      <c r="BM950" s="2318"/>
      <c r="BN950" s="2318"/>
      <c r="BO950" s="2318"/>
      <c r="BP950" s="2318"/>
      <c r="BQ950" s="2318"/>
      <c r="BR950" s="2318"/>
      <c r="BS950" s="2318"/>
      <c r="BT950" s="2318"/>
      <c r="BU950" s="2318"/>
      <c r="BV950" s="2318"/>
      <c r="BW950" s="2318"/>
      <c r="BX950" s="2318"/>
    </row>
    <row r="951" spans="1:76" s="2271" customFormat="1" ht="53.25" customHeight="1">
      <c r="A951" s="1389"/>
      <c r="B951" s="1388"/>
      <c r="C951" s="1381" t="s">
        <v>197</v>
      </c>
      <c r="D951" s="1381">
        <v>1</v>
      </c>
      <c r="E951" s="1381" t="s">
        <v>65</v>
      </c>
      <c r="F951" s="1381">
        <v>11</v>
      </c>
      <c r="G951" s="1381">
        <v>1</v>
      </c>
      <c r="H951" s="1381" t="s">
        <v>65</v>
      </c>
      <c r="I951" s="2516" t="s">
        <v>2154</v>
      </c>
      <c r="J951" s="2516" t="s">
        <v>3956</v>
      </c>
      <c r="K951" s="252">
        <f t="shared" ref="K951:K960" si="306">12*6</f>
        <v>72</v>
      </c>
      <c r="L951" s="2387">
        <v>402100000</v>
      </c>
      <c r="M951" s="1396">
        <v>24</v>
      </c>
      <c r="N951" s="2528">
        <f>(40030.82+65330.88)*1000</f>
        <v>105361700</v>
      </c>
      <c r="O951" s="1396">
        <v>12</v>
      </c>
      <c r="P951" s="2286">
        <v>200640000</v>
      </c>
      <c r="Q951" s="1396">
        <v>3</v>
      </c>
      <c r="R951" s="1387">
        <v>16058670</v>
      </c>
      <c r="S951" s="2516">
        <v>3</v>
      </c>
      <c r="T951" s="2925">
        <v>15629000</v>
      </c>
      <c r="U951" s="2516">
        <v>3</v>
      </c>
      <c r="V951" s="2307">
        <v>14215124</v>
      </c>
      <c r="W951" s="2516"/>
      <c r="X951" s="2516"/>
      <c r="Y951" s="3166">
        <f t="shared" si="302"/>
        <v>9</v>
      </c>
      <c r="Z951" s="2307">
        <f t="shared" si="303"/>
        <v>45902794</v>
      </c>
      <c r="AA951" s="1396">
        <f t="shared" si="304"/>
        <v>33</v>
      </c>
      <c r="AB951" s="2615">
        <f t="shared" si="304"/>
        <v>151264494</v>
      </c>
      <c r="AC951" s="2616">
        <f t="shared" si="305"/>
        <v>45.833333333333329</v>
      </c>
      <c r="AD951" s="2617">
        <f t="shared" ref="AD951:AD961" si="307">AB951/L951*100</f>
        <v>37.61862571499627</v>
      </c>
      <c r="AE951" s="3185"/>
      <c r="AF951" s="2620"/>
      <c r="AG951" s="2620"/>
      <c r="AH951" s="2620"/>
      <c r="AI951" s="2620"/>
      <c r="AJ951" s="2620"/>
      <c r="AK951" s="2620"/>
      <c r="AL951" s="2620"/>
      <c r="AM951" s="2620"/>
      <c r="AN951" s="2620"/>
      <c r="AO951" s="2620"/>
      <c r="AP951" s="2620"/>
      <c r="AQ951" s="2620"/>
      <c r="AR951" s="2620"/>
      <c r="AS951" s="2620"/>
      <c r="AT951" s="2620"/>
      <c r="AU951" s="2620"/>
      <c r="AV951" s="2620"/>
      <c r="AW951" s="2620"/>
      <c r="AX951" s="2620"/>
      <c r="AY951" s="2620"/>
      <c r="AZ951" s="2620"/>
      <c r="BA951" s="2620"/>
      <c r="BB951" s="2620"/>
      <c r="BC951" s="2620"/>
      <c r="BD951" s="2620"/>
      <c r="BE951" s="2620"/>
      <c r="BF951" s="2620"/>
      <c r="BG951" s="2620"/>
      <c r="BH951" s="2620"/>
      <c r="BI951" s="2620"/>
      <c r="BJ951" s="2620"/>
      <c r="BK951" s="2620"/>
      <c r="BL951" s="2620"/>
      <c r="BM951" s="2620"/>
      <c r="BN951" s="2620"/>
      <c r="BO951" s="2620"/>
      <c r="BP951" s="2620"/>
      <c r="BQ951" s="2620"/>
      <c r="BR951" s="2620"/>
      <c r="BS951" s="2620"/>
      <c r="BT951" s="2620"/>
      <c r="BU951" s="2620"/>
      <c r="BV951" s="2620"/>
      <c r="BW951" s="2620"/>
      <c r="BX951" s="2620"/>
    </row>
    <row r="952" spans="1:76" s="2608" customFormat="1" ht="44.25" customHeight="1">
      <c r="A952" s="1389"/>
      <c r="B952" s="1388"/>
      <c r="C952" s="1381" t="s">
        <v>197</v>
      </c>
      <c r="D952" s="1381">
        <v>1</v>
      </c>
      <c r="E952" s="1381" t="s">
        <v>65</v>
      </c>
      <c r="F952" s="1381">
        <v>11</v>
      </c>
      <c r="G952" s="1381">
        <v>2</v>
      </c>
      <c r="H952" s="1381" t="s">
        <v>198</v>
      </c>
      <c r="I952" s="2516" t="s">
        <v>2156</v>
      </c>
      <c r="J952" s="2516" t="s">
        <v>2157</v>
      </c>
      <c r="K952" s="252">
        <f t="shared" si="306"/>
        <v>72</v>
      </c>
      <c r="L952" s="2387">
        <v>630000000</v>
      </c>
      <c r="M952" s="1396">
        <v>24</v>
      </c>
      <c r="N952" s="2528">
        <v>193142000</v>
      </c>
      <c r="O952" s="1396">
        <v>12</v>
      </c>
      <c r="P952" s="2286">
        <v>110400000</v>
      </c>
      <c r="Q952" s="1396">
        <v>3</v>
      </c>
      <c r="R952" s="1387">
        <v>17600000</v>
      </c>
      <c r="S952" s="2516">
        <v>3</v>
      </c>
      <c r="T952" s="2925">
        <v>26400000</v>
      </c>
      <c r="U952" s="2516">
        <v>3</v>
      </c>
      <c r="V952" s="2307">
        <v>26400000</v>
      </c>
      <c r="W952" s="2516"/>
      <c r="X952" s="2516"/>
      <c r="Y952" s="3166">
        <f t="shared" si="302"/>
        <v>9</v>
      </c>
      <c r="Z952" s="2307">
        <f t="shared" si="303"/>
        <v>70400000</v>
      </c>
      <c r="AA952" s="1396">
        <f t="shared" si="304"/>
        <v>33</v>
      </c>
      <c r="AB952" s="2615">
        <f t="shared" si="304"/>
        <v>263542000</v>
      </c>
      <c r="AC952" s="2616">
        <f t="shared" si="305"/>
        <v>45.833333333333329</v>
      </c>
      <c r="AD952" s="2617">
        <f t="shared" si="307"/>
        <v>41.83206349206349</v>
      </c>
      <c r="AE952" s="3185"/>
      <c r="AF952" s="2318"/>
      <c r="AG952" s="2318"/>
      <c r="AH952" s="2318"/>
      <c r="AI952" s="2318"/>
      <c r="AJ952" s="2318"/>
      <c r="AK952" s="2318"/>
      <c r="AL952" s="2318"/>
      <c r="AM952" s="2318"/>
      <c r="AN952" s="2318"/>
      <c r="AO952" s="2318"/>
      <c r="AP952" s="2318"/>
      <c r="AQ952" s="2318"/>
      <c r="AR952" s="2318"/>
      <c r="AS952" s="2318"/>
      <c r="AT952" s="2318"/>
      <c r="AU952" s="2318"/>
      <c r="AV952" s="2318"/>
      <c r="AW952" s="2318"/>
      <c r="AX952" s="2318"/>
      <c r="AY952" s="2318"/>
      <c r="AZ952" s="2318"/>
      <c r="BA952" s="2318"/>
      <c r="BB952" s="2318"/>
      <c r="BC952" s="2318"/>
      <c r="BD952" s="2318"/>
      <c r="BE952" s="2318"/>
      <c r="BF952" s="2318"/>
      <c r="BG952" s="2318"/>
      <c r="BH952" s="2318"/>
      <c r="BI952" s="2318"/>
      <c r="BJ952" s="2318"/>
      <c r="BK952" s="2318"/>
      <c r="BL952" s="2318"/>
      <c r="BM952" s="2318"/>
      <c r="BN952" s="2318"/>
      <c r="BO952" s="2318"/>
      <c r="BP952" s="2318"/>
      <c r="BQ952" s="2318"/>
      <c r="BR952" s="2318"/>
      <c r="BS952" s="2318"/>
      <c r="BT952" s="2318"/>
      <c r="BU952" s="2318"/>
      <c r="BV952" s="2318"/>
      <c r="BW952" s="2318"/>
      <c r="BX952" s="2318"/>
    </row>
    <row r="953" spans="1:76" s="2608" customFormat="1" ht="33.75" customHeight="1">
      <c r="A953" s="1389"/>
      <c r="B953" s="2516"/>
      <c r="C953" s="1381" t="s">
        <v>197</v>
      </c>
      <c r="D953" s="1381">
        <v>1</v>
      </c>
      <c r="E953" s="1381" t="s">
        <v>65</v>
      </c>
      <c r="F953" s="1381">
        <v>11</v>
      </c>
      <c r="G953" s="1381">
        <v>2</v>
      </c>
      <c r="H953" s="1381" t="s">
        <v>93</v>
      </c>
      <c r="I953" s="2516" t="s">
        <v>149</v>
      </c>
      <c r="J953" s="2516" t="s">
        <v>3957</v>
      </c>
      <c r="K953" s="252">
        <f t="shared" si="306"/>
        <v>72</v>
      </c>
      <c r="L953" s="2387">
        <v>284964000</v>
      </c>
      <c r="M953" s="1396">
        <v>24</v>
      </c>
      <c r="N953" s="2528">
        <v>121112000</v>
      </c>
      <c r="O953" s="1396">
        <v>12</v>
      </c>
      <c r="P953" s="2286">
        <v>241993000</v>
      </c>
      <c r="Q953" s="1396">
        <v>3</v>
      </c>
      <c r="R953" s="1387">
        <v>34250500</v>
      </c>
      <c r="S953" s="2516">
        <v>3</v>
      </c>
      <c r="T953" s="3117">
        <v>85000000</v>
      </c>
      <c r="U953" s="2516">
        <v>3</v>
      </c>
      <c r="V953" s="2307">
        <v>34900000</v>
      </c>
      <c r="W953" s="2516"/>
      <c r="X953" s="2516"/>
      <c r="Y953" s="3166">
        <f t="shared" si="302"/>
        <v>9</v>
      </c>
      <c r="Z953" s="2307">
        <f t="shared" si="303"/>
        <v>154150500</v>
      </c>
      <c r="AA953" s="1396">
        <f t="shared" si="304"/>
        <v>33</v>
      </c>
      <c r="AB953" s="2615">
        <f t="shared" si="304"/>
        <v>275262500</v>
      </c>
      <c r="AC953" s="2616">
        <f t="shared" si="305"/>
        <v>45.833333333333329</v>
      </c>
      <c r="AD953" s="2617">
        <f t="shared" si="307"/>
        <v>96.59553487458065</v>
      </c>
      <c r="AE953" s="3185"/>
      <c r="AF953" s="2318"/>
      <c r="AG953" s="2318"/>
      <c r="AH953" s="2318"/>
      <c r="AI953" s="2318"/>
      <c r="AJ953" s="2318"/>
      <c r="AK953" s="2318"/>
      <c r="AL953" s="2318"/>
      <c r="AM953" s="2318"/>
      <c r="AN953" s="2318"/>
      <c r="AO953" s="2318"/>
      <c r="AP953" s="2318"/>
      <c r="AQ953" s="2318"/>
      <c r="AR953" s="2318"/>
      <c r="AS953" s="2318"/>
      <c r="AT953" s="2318"/>
      <c r="AU953" s="2318"/>
      <c r="AV953" s="2318"/>
      <c r="AW953" s="2318"/>
      <c r="AX953" s="2318"/>
      <c r="AY953" s="2318"/>
      <c r="AZ953" s="2318"/>
      <c r="BA953" s="2318"/>
      <c r="BB953" s="2318"/>
      <c r="BC953" s="2318"/>
      <c r="BD953" s="2318"/>
      <c r="BE953" s="2318"/>
      <c r="BF953" s="2318"/>
      <c r="BG953" s="2318"/>
      <c r="BH953" s="2318"/>
      <c r="BI953" s="2318"/>
      <c r="BJ953" s="2318"/>
      <c r="BK953" s="2318"/>
      <c r="BL953" s="2318"/>
      <c r="BM953" s="2318"/>
      <c r="BN953" s="2318"/>
      <c r="BO953" s="2318"/>
      <c r="BP953" s="2318"/>
      <c r="BQ953" s="2318"/>
      <c r="BR953" s="2318"/>
      <c r="BS953" s="2318"/>
      <c r="BT953" s="2318"/>
      <c r="BU953" s="2318"/>
      <c r="BV953" s="2318"/>
      <c r="BW953" s="2318"/>
      <c r="BX953" s="2318"/>
    </row>
    <row r="954" spans="1:76" s="2271" customFormat="1" ht="36" customHeight="1">
      <c r="A954" s="1389"/>
      <c r="B954" s="2516"/>
      <c r="C954" s="1381" t="s">
        <v>197</v>
      </c>
      <c r="D954" s="1381">
        <v>1</v>
      </c>
      <c r="E954" s="1381" t="s">
        <v>65</v>
      </c>
      <c r="F954" s="1381">
        <v>11</v>
      </c>
      <c r="G954" s="1381">
        <v>2</v>
      </c>
      <c r="H954" s="1381">
        <v>10</v>
      </c>
      <c r="I954" s="2516" t="s">
        <v>150</v>
      </c>
      <c r="J954" s="2516" t="s">
        <v>3707</v>
      </c>
      <c r="K954" s="252">
        <f t="shared" si="306"/>
        <v>72</v>
      </c>
      <c r="L954" s="2528">
        <v>207102300</v>
      </c>
      <c r="M954" s="1396">
        <v>24</v>
      </c>
      <c r="N954" s="2528">
        <v>75427190</v>
      </c>
      <c r="O954" s="1396">
        <v>12</v>
      </c>
      <c r="P954" s="2286">
        <v>35614900</v>
      </c>
      <c r="Q954" s="1396">
        <v>3</v>
      </c>
      <c r="R954" s="1387">
        <v>5955720</v>
      </c>
      <c r="S954" s="2516">
        <v>3</v>
      </c>
      <c r="T954" s="2925">
        <v>5528000</v>
      </c>
      <c r="U954" s="2516">
        <v>3</v>
      </c>
      <c r="V954" s="2307">
        <v>5472455</v>
      </c>
      <c r="W954" s="2516"/>
      <c r="X954" s="2516"/>
      <c r="Y954" s="3166">
        <f t="shared" si="302"/>
        <v>9</v>
      </c>
      <c r="Z954" s="2307">
        <f t="shared" si="303"/>
        <v>16956175</v>
      </c>
      <c r="AA954" s="1396">
        <f t="shared" si="304"/>
        <v>33</v>
      </c>
      <c r="AB954" s="2615">
        <f t="shared" si="304"/>
        <v>92383365</v>
      </c>
      <c r="AC954" s="2616">
        <f t="shared" si="305"/>
        <v>45.833333333333329</v>
      </c>
      <c r="AD954" s="2617">
        <f t="shared" si="307"/>
        <v>44.607599722456001</v>
      </c>
      <c r="AE954" s="3185"/>
      <c r="AF954" s="2620"/>
      <c r="AG954" s="2620"/>
      <c r="AH954" s="2620"/>
      <c r="AI954" s="2620"/>
      <c r="AJ954" s="2620"/>
      <c r="AK954" s="2620"/>
      <c r="AL954" s="2620"/>
      <c r="AM954" s="2620"/>
      <c r="AN954" s="2620"/>
      <c r="AO954" s="2620"/>
      <c r="AP954" s="2620"/>
      <c r="AQ954" s="2620"/>
      <c r="AR954" s="2620"/>
      <c r="AS954" s="2620"/>
      <c r="AT954" s="2620"/>
      <c r="AU954" s="2620"/>
      <c r="AV954" s="2620"/>
      <c r="AW954" s="2620"/>
      <c r="AX954" s="2620"/>
      <c r="AY954" s="2620"/>
      <c r="AZ954" s="2620"/>
      <c r="BA954" s="2620"/>
      <c r="BB954" s="2620"/>
      <c r="BC954" s="2620"/>
      <c r="BD954" s="2620"/>
      <c r="BE954" s="2620"/>
      <c r="BF954" s="2620"/>
      <c r="BG954" s="2620"/>
      <c r="BH954" s="2620"/>
      <c r="BI954" s="2620"/>
      <c r="BJ954" s="2620"/>
      <c r="BK954" s="2620"/>
      <c r="BL954" s="2620"/>
      <c r="BM954" s="2620"/>
      <c r="BN954" s="2620"/>
      <c r="BO954" s="2620"/>
      <c r="BP954" s="2620"/>
      <c r="BQ954" s="2620"/>
      <c r="BR954" s="2620"/>
      <c r="BS954" s="2620"/>
      <c r="BT954" s="2620"/>
      <c r="BU954" s="2620"/>
      <c r="BV954" s="2620"/>
      <c r="BW954" s="2620"/>
      <c r="BX954" s="2620"/>
    </row>
    <row r="955" spans="1:76" s="2608" customFormat="1" ht="50.25" customHeight="1">
      <c r="A955" s="1389"/>
      <c r="B955" s="2516"/>
      <c r="C955" s="1381" t="s">
        <v>197</v>
      </c>
      <c r="D955" s="1381">
        <v>1</v>
      </c>
      <c r="E955" s="1381" t="s">
        <v>65</v>
      </c>
      <c r="F955" s="1381">
        <v>11</v>
      </c>
      <c r="G955" s="1381">
        <v>2</v>
      </c>
      <c r="H955" s="1381">
        <v>11</v>
      </c>
      <c r="I955" s="2516" t="s">
        <v>151</v>
      </c>
      <c r="J955" s="2516" t="s">
        <v>3958</v>
      </c>
      <c r="K955" s="252">
        <f t="shared" si="306"/>
        <v>72</v>
      </c>
      <c r="L955" s="2528">
        <v>198786700</v>
      </c>
      <c r="M955" s="1396">
        <v>24</v>
      </c>
      <c r="N955" s="2528">
        <v>68803400</v>
      </c>
      <c r="O955" s="1396">
        <v>12</v>
      </c>
      <c r="P955" s="2286">
        <v>35324000</v>
      </c>
      <c r="Q955" s="1396">
        <v>3</v>
      </c>
      <c r="R955" s="1387">
        <v>0</v>
      </c>
      <c r="S955" s="2516">
        <v>3</v>
      </c>
      <c r="T955" s="2925">
        <v>11836000</v>
      </c>
      <c r="U955" s="2516">
        <v>3</v>
      </c>
      <c r="V955" s="2307">
        <v>8414400</v>
      </c>
      <c r="W955" s="2516"/>
      <c r="X955" s="2516"/>
      <c r="Y955" s="3166">
        <f t="shared" si="302"/>
        <v>9</v>
      </c>
      <c r="Z955" s="2307">
        <f t="shared" si="303"/>
        <v>20250400</v>
      </c>
      <c r="AA955" s="1396">
        <f t="shared" si="304"/>
        <v>33</v>
      </c>
      <c r="AB955" s="2615">
        <f t="shared" si="304"/>
        <v>89053800</v>
      </c>
      <c r="AC955" s="2616">
        <f t="shared" si="305"/>
        <v>45.833333333333329</v>
      </c>
      <c r="AD955" s="2617">
        <f t="shared" si="307"/>
        <v>44.798671138461479</v>
      </c>
      <c r="AE955" s="3185"/>
      <c r="AF955" s="2318"/>
      <c r="AG955" s="2318"/>
      <c r="AH955" s="2318"/>
      <c r="AI955" s="2318"/>
      <c r="AJ955" s="2318"/>
      <c r="AK955" s="2318"/>
      <c r="AL955" s="2318"/>
      <c r="AM955" s="2318"/>
      <c r="AN955" s="2318"/>
      <c r="AO955" s="2318"/>
      <c r="AP955" s="2318"/>
      <c r="AQ955" s="2318"/>
      <c r="AR955" s="2318"/>
      <c r="AS955" s="2318"/>
      <c r="AT955" s="2318"/>
      <c r="AU955" s="2318"/>
      <c r="AV955" s="2318"/>
      <c r="AW955" s="2318"/>
      <c r="AX955" s="2318"/>
      <c r="AY955" s="2318"/>
      <c r="AZ955" s="2318"/>
      <c r="BA955" s="2318"/>
      <c r="BB955" s="2318"/>
      <c r="BC955" s="2318"/>
      <c r="BD955" s="2318"/>
      <c r="BE955" s="2318"/>
      <c r="BF955" s="2318"/>
      <c r="BG955" s="2318"/>
      <c r="BH955" s="2318"/>
      <c r="BI955" s="2318"/>
      <c r="BJ955" s="2318"/>
      <c r="BK955" s="2318"/>
      <c r="BL955" s="2318"/>
      <c r="BM955" s="2318"/>
      <c r="BN955" s="2318"/>
      <c r="BO955" s="2318"/>
      <c r="BP955" s="2318"/>
      <c r="BQ955" s="2318"/>
      <c r="BR955" s="2318"/>
      <c r="BS955" s="2318"/>
      <c r="BT955" s="2318"/>
      <c r="BU955" s="2318"/>
      <c r="BV955" s="2318"/>
      <c r="BW955" s="2318"/>
      <c r="BX955" s="2318"/>
    </row>
    <row r="956" spans="1:76" s="2608" customFormat="1" ht="64.5" customHeight="1">
      <c r="A956" s="1389"/>
      <c r="B956" s="2516"/>
      <c r="C956" s="1381" t="s">
        <v>197</v>
      </c>
      <c r="D956" s="1381">
        <v>1</v>
      </c>
      <c r="E956" s="1381" t="s">
        <v>65</v>
      </c>
      <c r="F956" s="1381">
        <v>11</v>
      </c>
      <c r="G956" s="1381">
        <v>2</v>
      </c>
      <c r="H956" s="1381">
        <v>11</v>
      </c>
      <c r="I956" s="2516" t="s">
        <v>2161</v>
      </c>
      <c r="J956" s="2516" t="s">
        <v>3959</v>
      </c>
      <c r="K956" s="252">
        <f t="shared" si="306"/>
        <v>72</v>
      </c>
      <c r="L956" s="2528">
        <v>75000000</v>
      </c>
      <c r="M956" s="1396">
        <v>24</v>
      </c>
      <c r="N956" s="2528">
        <v>52156000</v>
      </c>
      <c r="O956" s="1396">
        <v>12</v>
      </c>
      <c r="P956" s="2286">
        <v>12455000</v>
      </c>
      <c r="Q956" s="1396">
        <v>3</v>
      </c>
      <c r="R956" s="1387">
        <v>0</v>
      </c>
      <c r="S956" s="2516">
        <v>3</v>
      </c>
      <c r="T956" s="2925">
        <v>2759000</v>
      </c>
      <c r="U956" s="2516">
        <v>3</v>
      </c>
      <c r="V956" s="2307">
        <v>1735000</v>
      </c>
      <c r="W956" s="2516"/>
      <c r="X956" s="2516"/>
      <c r="Y956" s="3166">
        <f t="shared" si="302"/>
        <v>9</v>
      </c>
      <c r="Z956" s="2307">
        <f t="shared" si="303"/>
        <v>4494000</v>
      </c>
      <c r="AA956" s="1396">
        <f t="shared" si="304"/>
        <v>33</v>
      </c>
      <c r="AB956" s="2615">
        <f t="shared" si="304"/>
        <v>56650000</v>
      </c>
      <c r="AC956" s="2616">
        <f t="shared" si="305"/>
        <v>45.833333333333329</v>
      </c>
      <c r="AD956" s="2617">
        <f t="shared" si="307"/>
        <v>75.533333333333331</v>
      </c>
      <c r="AE956" s="3185"/>
      <c r="AF956" s="2318"/>
      <c r="AG956" s="2318"/>
      <c r="AH956" s="2318"/>
      <c r="AI956" s="2318"/>
      <c r="AJ956" s="2318"/>
      <c r="AK956" s="2318"/>
      <c r="AL956" s="2318"/>
      <c r="AM956" s="2318"/>
      <c r="AN956" s="2318"/>
      <c r="AO956" s="2318"/>
      <c r="AP956" s="2318"/>
      <c r="AQ956" s="2318"/>
      <c r="AR956" s="2318"/>
      <c r="AS956" s="2318"/>
      <c r="AT956" s="2318"/>
      <c r="AU956" s="2318"/>
      <c r="AV956" s="2318"/>
      <c r="AW956" s="2318"/>
      <c r="AX956" s="2318"/>
      <c r="AY956" s="2318"/>
      <c r="AZ956" s="2318"/>
      <c r="BA956" s="2318"/>
      <c r="BB956" s="2318"/>
      <c r="BC956" s="2318"/>
      <c r="BD956" s="2318"/>
      <c r="BE956" s="2318"/>
      <c r="BF956" s="2318"/>
      <c r="BG956" s="2318"/>
      <c r="BH956" s="2318"/>
      <c r="BI956" s="2318"/>
      <c r="BJ956" s="2318"/>
      <c r="BK956" s="2318"/>
      <c r="BL956" s="2318"/>
      <c r="BM956" s="2318"/>
      <c r="BN956" s="2318"/>
      <c r="BO956" s="2318"/>
      <c r="BP956" s="2318"/>
      <c r="BQ956" s="2318"/>
      <c r="BR956" s="2318"/>
      <c r="BS956" s="2318"/>
      <c r="BT956" s="2318"/>
      <c r="BU956" s="2318"/>
      <c r="BV956" s="2318"/>
      <c r="BW956" s="2318"/>
      <c r="BX956" s="2318"/>
    </row>
    <row r="957" spans="1:76" s="2608" customFormat="1" ht="50.25" customHeight="1">
      <c r="A957" s="1389"/>
      <c r="B957" s="2516"/>
      <c r="C957" s="1381" t="s">
        <v>197</v>
      </c>
      <c r="D957" s="1381">
        <v>1</v>
      </c>
      <c r="E957" s="1381" t="s">
        <v>65</v>
      </c>
      <c r="F957" s="1381">
        <v>11</v>
      </c>
      <c r="G957" s="1381">
        <v>2</v>
      </c>
      <c r="H957" s="1381">
        <v>15</v>
      </c>
      <c r="I957" s="2516" t="s">
        <v>156</v>
      </c>
      <c r="J957" s="2516" t="s">
        <v>3960</v>
      </c>
      <c r="K957" s="252">
        <f t="shared" si="306"/>
        <v>72</v>
      </c>
      <c r="L957" s="2528">
        <v>60000000</v>
      </c>
      <c r="M957" s="1396">
        <v>24</v>
      </c>
      <c r="N957" s="2528">
        <v>19820000</v>
      </c>
      <c r="O957" s="1396">
        <v>12</v>
      </c>
      <c r="P957" s="2286">
        <v>13260000</v>
      </c>
      <c r="Q957" s="1396">
        <v>3</v>
      </c>
      <c r="R957" s="1387">
        <v>840000</v>
      </c>
      <c r="S957" s="2516">
        <v>3</v>
      </c>
      <c r="T957" s="2925">
        <v>1560000</v>
      </c>
      <c r="U957" s="2516">
        <v>3</v>
      </c>
      <c r="V957" s="2307">
        <v>1080000</v>
      </c>
      <c r="W957" s="2516"/>
      <c r="X957" s="2516"/>
      <c r="Y957" s="3166">
        <f t="shared" si="302"/>
        <v>9</v>
      </c>
      <c r="Z957" s="2307">
        <f t="shared" si="303"/>
        <v>3480000</v>
      </c>
      <c r="AA957" s="1396">
        <f t="shared" si="304"/>
        <v>33</v>
      </c>
      <c r="AB957" s="2615">
        <f t="shared" si="304"/>
        <v>23300000</v>
      </c>
      <c r="AC957" s="2616">
        <f t="shared" si="305"/>
        <v>45.833333333333329</v>
      </c>
      <c r="AD957" s="2617">
        <f t="shared" si="307"/>
        <v>38.833333333333329</v>
      </c>
      <c r="AE957" s="3185"/>
      <c r="AF957" s="2318"/>
      <c r="AG957" s="2318"/>
      <c r="AH957" s="2318"/>
      <c r="AI957" s="2318"/>
      <c r="AJ957" s="2318"/>
      <c r="AK957" s="2318"/>
      <c r="AL957" s="2318"/>
      <c r="AM957" s="2318"/>
      <c r="AN957" s="2318"/>
      <c r="AO957" s="2318"/>
      <c r="AP957" s="2318"/>
      <c r="AQ957" s="2318"/>
      <c r="AR957" s="2318"/>
      <c r="AS957" s="2318"/>
      <c r="AT957" s="2318"/>
      <c r="AU957" s="2318"/>
      <c r="AV957" s="2318"/>
      <c r="AW957" s="2318"/>
      <c r="AX957" s="2318"/>
      <c r="AY957" s="2318"/>
      <c r="AZ957" s="2318"/>
      <c r="BA957" s="2318"/>
      <c r="BB957" s="2318"/>
      <c r="BC957" s="2318"/>
      <c r="BD957" s="2318"/>
      <c r="BE957" s="2318"/>
      <c r="BF957" s="2318"/>
      <c r="BG957" s="2318"/>
      <c r="BH957" s="2318"/>
      <c r="BI957" s="2318"/>
      <c r="BJ957" s="2318"/>
      <c r="BK957" s="2318"/>
      <c r="BL957" s="2318"/>
      <c r="BM957" s="2318"/>
      <c r="BN957" s="2318"/>
      <c r="BO957" s="2318"/>
      <c r="BP957" s="2318"/>
      <c r="BQ957" s="2318"/>
      <c r="BR957" s="2318"/>
      <c r="BS957" s="2318"/>
      <c r="BT957" s="2318"/>
      <c r="BU957" s="2318"/>
      <c r="BV957" s="2318"/>
      <c r="BW957" s="2318"/>
      <c r="BX957" s="2318"/>
    </row>
    <row r="958" spans="1:76" s="2608" customFormat="1" ht="57" customHeight="1">
      <c r="A958" s="1389"/>
      <c r="B958" s="2516"/>
      <c r="C958" s="1381" t="s">
        <v>197</v>
      </c>
      <c r="D958" s="1381">
        <v>1</v>
      </c>
      <c r="E958" s="1381" t="s">
        <v>65</v>
      </c>
      <c r="F958" s="1381">
        <v>11</v>
      </c>
      <c r="G958" s="1381">
        <v>2</v>
      </c>
      <c r="H958" s="1381">
        <v>17</v>
      </c>
      <c r="I958" s="2516" t="s">
        <v>157</v>
      </c>
      <c r="J958" s="2516" t="s">
        <v>3961</v>
      </c>
      <c r="K958" s="252">
        <f t="shared" si="306"/>
        <v>72</v>
      </c>
      <c r="L958" s="2528">
        <v>230000000</v>
      </c>
      <c r="M958" s="1396">
        <v>24</v>
      </c>
      <c r="N958" s="2528">
        <v>88825000</v>
      </c>
      <c r="O958" s="1396">
        <v>12</v>
      </c>
      <c r="P958" s="2286">
        <v>50655000</v>
      </c>
      <c r="Q958" s="1396">
        <v>3</v>
      </c>
      <c r="R958" s="1387">
        <v>4345000</v>
      </c>
      <c r="S958" s="2516">
        <v>3</v>
      </c>
      <c r="T958" s="2925">
        <v>7370000</v>
      </c>
      <c r="U958" s="2516">
        <v>3</v>
      </c>
      <c r="V958" s="2307">
        <v>10975250</v>
      </c>
      <c r="W958" s="2516"/>
      <c r="X958" s="2516"/>
      <c r="Y958" s="3166">
        <f t="shared" si="302"/>
        <v>9</v>
      </c>
      <c r="Z958" s="2307">
        <f t="shared" si="303"/>
        <v>22690250</v>
      </c>
      <c r="AA958" s="1396">
        <f t="shared" si="304"/>
        <v>33</v>
      </c>
      <c r="AB958" s="2615">
        <f t="shared" si="304"/>
        <v>111515250</v>
      </c>
      <c r="AC958" s="2616">
        <f t="shared" si="305"/>
        <v>45.833333333333329</v>
      </c>
      <c r="AD958" s="2617">
        <f t="shared" si="307"/>
        <v>48.484891304347826</v>
      </c>
      <c r="AE958" s="3185"/>
      <c r="AF958" s="2318"/>
      <c r="AG958" s="2318"/>
      <c r="AH958" s="2318"/>
      <c r="AI958" s="2318"/>
      <c r="AJ958" s="2318"/>
      <c r="AK958" s="2318"/>
      <c r="AL958" s="2318"/>
      <c r="AM958" s="2318"/>
      <c r="AN958" s="2318"/>
      <c r="AO958" s="2318"/>
      <c r="AP958" s="2318"/>
      <c r="AQ958" s="2318"/>
      <c r="AR958" s="2318"/>
      <c r="AS958" s="2318"/>
      <c r="AT958" s="2318"/>
      <c r="AU958" s="2318"/>
      <c r="AV958" s="2318"/>
      <c r="AW958" s="2318"/>
      <c r="AX958" s="2318"/>
      <c r="AY958" s="2318"/>
      <c r="AZ958" s="2318"/>
      <c r="BA958" s="2318"/>
      <c r="BB958" s="2318"/>
      <c r="BC958" s="2318"/>
      <c r="BD958" s="2318"/>
      <c r="BE958" s="2318"/>
      <c r="BF958" s="2318"/>
      <c r="BG958" s="2318"/>
      <c r="BH958" s="2318"/>
      <c r="BI958" s="2318"/>
      <c r="BJ958" s="2318"/>
      <c r="BK958" s="2318"/>
      <c r="BL958" s="2318"/>
      <c r="BM958" s="2318"/>
      <c r="BN958" s="2318"/>
      <c r="BO958" s="2318"/>
      <c r="BP958" s="2318"/>
      <c r="BQ958" s="2318"/>
      <c r="BR958" s="2318"/>
      <c r="BS958" s="2318"/>
      <c r="BT958" s="2318"/>
      <c r="BU958" s="2318"/>
      <c r="BV958" s="2318"/>
      <c r="BW958" s="2318"/>
      <c r="BX958" s="2318"/>
    </row>
    <row r="959" spans="1:76" s="2271" customFormat="1" ht="64.5" customHeight="1">
      <c r="A959" s="1389"/>
      <c r="B959" s="2516"/>
      <c r="C959" s="1381" t="s">
        <v>197</v>
      </c>
      <c r="D959" s="1381">
        <v>1</v>
      </c>
      <c r="E959" s="1381" t="s">
        <v>65</v>
      </c>
      <c r="F959" s="1381">
        <v>11</v>
      </c>
      <c r="G959" s="1381">
        <v>2</v>
      </c>
      <c r="H959" s="1381">
        <v>18</v>
      </c>
      <c r="I959" s="2516" t="s">
        <v>628</v>
      </c>
      <c r="J959" s="3140" t="s">
        <v>3847</v>
      </c>
      <c r="K959" s="252">
        <f t="shared" si="306"/>
        <v>72</v>
      </c>
      <c r="L959" s="2528">
        <v>750000000</v>
      </c>
      <c r="M959" s="1396">
        <v>24</v>
      </c>
      <c r="N959" s="2528">
        <v>286547567.00000006</v>
      </c>
      <c r="O959" s="1396">
        <v>12</v>
      </c>
      <c r="P959" s="2286">
        <v>130300000</v>
      </c>
      <c r="Q959" s="1396">
        <v>3</v>
      </c>
      <c r="R959" s="1387">
        <v>31448450</v>
      </c>
      <c r="S959" s="2516">
        <v>3</v>
      </c>
      <c r="T959" s="2925">
        <v>35977</v>
      </c>
      <c r="U959" s="2516">
        <v>3</v>
      </c>
      <c r="V959" s="2307">
        <v>54680523</v>
      </c>
      <c r="W959" s="2516"/>
      <c r="X959" s="2516"/>
      <c r="Y959" s="3166">
        <f t="shared" si="302"/>
        <v>9</v>
      </c>
      <c r="Z959" s="2307">
        <f t="shared" si="303"/>
        <v>86164950</v>
      </c>
      <c r="AA959" s="1396">
        <f t="shared" si="304"/>
        <v>33</v>
      </c>
      <c r="AB959" s="2615">
        <f t="shared" si="304"/>
        <v>372712517.00000006</v>
      </c>
      <c r="AC959" s="2616">
        <f t="shared" si="305"/>
        <v>45.833333333333329</v>
      </c>
      <c r="AD959" s="2617">
        <f t="shared" si="307"/>
        <v>49.695002266666677</v>
      </c>
      <c r="AE959" s="3185"/>
      <c r="AF959" s="2620"/>
      <c r="AG959" s="2620"/>
      <c r="AH959" s="2620"/>
      <c r="AI959" s="2620"/>
      <c r="AJ959" s="2620"/>
      <c r="AK959" s="2620"/>
      <c r="AL959" s="2620"/>
      <c r="AM959" s="2620"/>
      <c r="AN959" s="2620"/>
      <c r="AO959" s="2620"/>
      <c r="AP959" s="2620"/>
      <c r="AQ959" s="2620"/>
      <c r="AR959" s="2620"/>
      <c r="AS959" s="2620"/>
      <c r="AT959" s="2620"/>
      <c r="AU959" s="2620"/>
      <c r="AV959" s="2620"/>
      <c r="AW959" s="2620"/>
      <c r="AX959" s="2620"/>
      <c r="AY959" s="2620"/>
      <c r="AZ959" s="2620"/>
      <c r="BA959" s="2620"/>
      <c r="BB959" s="2620"/>
      <c r="BC959" s="2620"/>
      <c r="BD959" s="2620"/>
      <c r="BE959" s="2620"/>
      <c r="BF959" s="2620"/>
      <c r="BG959" s="2620"/>
      <c r="BH959" s="2620"/>
      <c r="BI959" s="2620"/>
      <c r="BJ959" s="2620"/>
      <c r="BK959" s="2620"/>
      <c r="BL959" s="2620"/>
      <c r="BM959" s="2620"/>
      <c r="BN959" s="2620"/>
      <c r="BO959" s="2620"/>
      <c r="BP959" s="2620"/>
      <c r="BQ959" s="2620"/>
      <c r="BR959" s="2620"/>
      <c r="BS959" s="2620"/>
      <c r="BT959" s="2620"/>
      <c r="BU959" s="2620"/>
      <c r="BV959" s="2620"/>
      <c r="BW959" s="2620"/>
      <c r="BX959" s="2620"/>
    </row>
    <row r="960" spans="1:76" s="2608" customFormat="1" ht="64.5" customHeight="1">
      <c r="A960" s="1389"/>
      <c r="B960" s="2516"/>
      <c r="C960" s="1381" t="s">
        <v>197</v>
      </c>
      <c r="D960" s="1381">
        <v>1</v>
      </c>
      <c r="E960" s="1381" t="s">
        <v>65</v>
      </c>
      <c r="F960" s="1381">
        <v>11</v>
      </c>
      <c r="G960" s="1381">
        <v>2</v>
      </c>
      <c r="H960" s="1381">
        <v>20</v>
      </c>
      <c r="I960" s="2516" t="s">
        <v>630</v>
      </c>
      <c r="J960" s="3140" t="s">
        <v>3848</v>
      </c>
      <c r="K960" s="252">
        <f t="shared" si="306"/>
        <v>72</v>
      </c>
      <c r="L960" s="2528">
        <v>400000000</v>
      </c>
      <c r="M960" s="1396">
        <v>24</v>
      </c>
      <c r="N960" s="2528">
        <v>202065000</v>
      </c>
      <c r="O960" s="1396">
        <v>12</v>
      </c>
      <c r="P960" s="2286">
        <v>70350000</v>
      </c>
      <c r="Q960" s="1396">
        <v>3</v>
      </c>
      <c r="R960" s="1387">
        <v>17415000</v>
      </c>
      <c r="S960" s="2516">
        <v>3</v>
      </c>
      <c r="T960" s="3117">
        <v>27175000</v>
      </c>
      <c r="U960" s="2516">
        <v>3</v>
      </c>
      <c r="V960" s="2307">
        <v>10055000</v>
      </c>
      <c r="W960" s="2516"/>
      <c r="X960" s="2516"/>
      <c r="Y960" s="3166">
        <f t="shared" si="302"/>
        <v>9</v>
      </c>
      <c r="Z960" s="2307">
        <f t="shared" si="303"/>
        <v>54645000</v>
      </c>
      <c r="AA960" s="1396">
        <f t="shared" si="304"/>
        <v>33</v>
      </c>
      <c r="AB960" s="2615">
        <f t="shared" si="304"/>
        <v>256710000</v>
      </c>
      <c r="AC960" s="2616">
        <f t="shared" si="305"/>
        <v>45.833333333333329</v>
      </c>
      <c r="AD960" s="2617">
        <f t="shared" si="307"/>
        <v>64.177499999999995</v>
      </c>
      <c r="AE960" s="3185"/>
      <c r="AF960" s="2318"/>
      <c r="AG960" s="2318"/>
      <c r="AH960" s="2318"/>
      <c r="AI960" s="2318"/>
      <c r="AJ960" s="2318"/>
      <c r="AK960" s="2318"/>
      <c r="AL960" s="2318"/>
      <c r="AM960" s="2318"/>
      <c r="AN960" s="2318"/>
      <c r="AO960" s="2318"/>
      <c r="AP960" s="2318"/>
      <c r="AQ960" s="2318"/>
      <c r="AR960" s="2318"/>
      <c r="AS960" s="2318"/>
      <c r="AT960" s="2318"/>
      <c r="AU960" s="2318"/>
      <c r="AV960" s="2318"/>
      <c r="AW960" s="2318"/>
      <c r="AX960" s="2318"/>
      <c r="AY960" s="2318"/>
      <c r="AZ960" s="2318"/>
      <c r="BA960" s="2318"/>
      <c r="BB960" s="2318"/>
      <c r="BC960" s="2318"/>
      <c r="BD960" s="2318"/>
      <c r="BE960" s="2318"/>
      <c r="BF960" s="2318"/>
      <c r="BG960" s="2318"/>
      <c r="BH960" s="2318"/>
      <c r="BI960" s="2318"/>
      <c r="BJ960" s="2318"/>
      <c r="BK960" s="2318"/>
      <c r="BL960" s="2318"/>
      <c r="BM960" s="2318"/>
      <c r="BN960" s="2318"/>
      <c r="BO960" s="2318"/>
      <c r="BP960" s="2318"/>
      <c r="BQ960" s="2318"/>
      <c r="BR960" s="2318"/>
      <c r="BS960" s="2318"/>
      <c r="BT960" s="2318"/>
      <c r="BU960" s="2318"/>
      <c r="BV960" s="2318"/>
      <c r="BW960" s="2318"/>
      <c r="BX960" s="2318"/>
    </row>
    <row r="961" spans="1:76" s="2608" customFormat="1" ht="54" customHeight="1">
      <c r="A961" s="1389"/>
      <c r="B961" s="2516"/>
      <c r="C961" s="1381" t="s">
        <v>197</v>
      </c>
      <c r="D961" s="1381">
        <v>1</v>
      </c>
      <c r="E961" s="1381" t="s">
        <v>65</v>
      </c>
      <c r="F961" s="1381">
        <v>11</v>
      </c>
      <c r="G961" s="1381">
        <v>2</v>
      </c>
      <c r="H961" s="1381">
        <v>22</v>
      </c>
      <c r="I961" s="233" t="s">
        <v>2167</v>
      </c>
      <c r="J961" s="2516" t="s">
        <v>3962</v>
      </c>
      <c r="K961" s="252">
        <v>60</v>
      </c>
      <c r="L961" s="2528">
        <v>150000000</v>
      </c>
      <c r="M961" s="1396"/>
      <c r="N961" s="2528">
        <v>0</v>
      </c>
      <c r="O961" s="1396">
        <v>10</v>
      </c>
      <c r="P961" s="2286">
        <v>40495900</v>
      </c>
      <c r="Q961" s="1396">
        <v>2</v>
      </c>
      <c r="R961" s="1387">
        <v>0</v>
      </c>
      <c r="S961" s="2516"/>
      <c r="T961" s="3117">
        <v>7514000</v>
      </c>
      <c r="U961" s="2516">
        <v>9</v>
      </c>
      <c r="V961" s="2307">
        <v>9073675</v>
      </c>
      <c r="W961" s="2516"/>
      <c r="X961" s="2516"/>
      <c r="Y961" s="3166">
        <f t="shared" si="302"/>
        <v>11</v>
      </c>
      <c r="Z961" s="2307">
        <f t="shared" si="303"/>
        <v>16587675</v>
      </c>
      <c r="AA961" s="1396">
        <f t="shared" si="304"/>
        <v>11</v>
      </c>
      <c r="AB961" s="2615">
        <f t="shared" si="304"/>
        <v>16587675</v>
      </c>
      <c r="AC961" s="2616">
        <f t="shared" si="305"/>
        <v>18.333333333333332</v>
      </c>
      <c r="AD961" s="2617">
        <f t="shared" si="307"/>
        <v>11.058450000000001</v>
      </c>
      <c r="AE961" s="3185"/>
      <c r="AF961" s="2318"/>
      <c r="AG961" s="2318"/>
      <c r="AH961" s="2318"/>
      <c r="AI961" s="2318"/>
      <c r="AJ961" s="2318"/>
      <c r="AK961" s="2318"/>
      <c r="AL961" s="2318"/>
      <c r="AM961" s="2318"/>
      <c r="AN961" s="2318"/>
      <c r="AO961" s="2318"/>
      <c r="AP961" s="2318"/>
      <c r="AQ961" s="2318"/>
      <c r="AR961" s="2318"/>
      <c r="AS961" s="2318"/>
      <c r="AT961" s="2318"/>
      <c r="AU961" s="2318"/>
      <c r="AV961" s="2318"/>
      <c r="AW961" s="2318"/>
      <c r="AX961" s="2318"/>
      <c r="AY961" s="2318"/>
      <c r="AZ961" s="2318"/>
      <c r="BA961" s="2318"/>
      <c r="BB961" s="2318"/>
      <c r="BC961" s="2318"/>
      <c r="BD961" s="2318"/>
      <c r="BE961" s="2318"/>
      <c r="BF961" s="2318"/>
      <c r="BG961" s="2318"/>
      <c r="BH961" s="2318"/>
      <c r="BI961" s="2318"/>
      <c r="BJ961" s="2318"/>
      <c r="BK961" s="2318"/>
      <c r="BL961" s="2318"/>
      <c r="BM961" s="2318"/>
      <c r="BN961" s="2318"/>
      <c r="BO961" s="2318"/>
      <c r="BP961" s="2318"/>
      <c r="BQ961" s="2318"/>
      <c r="BR961" s="2318"/>
      <c r="BS961" s="2318"/>
      <c r="BT961" s="2318"/>
      <c r="BU961" s="2318"/>
      <c r="BV961" s="2318"/>
      <c r="BW961" s="2318"/>
      <c r="BX961" s="2318"/>
    </row>
    <row r="962" spans="1:76" s="2608" customFormat="1" ht="69" customHeight="1">
      <c r="A962" s="2570">
        <v>2</v>
      </c>
      <c r="B962" s="2614">
        <v>2938147000</v>
      </c>
      <c r="C962" s="2567">
        <v>1</v>
      </c>
      <c r="D962" s="2567">
        <v>1</v>
      </c>
      <c r="E962" s="2567" t="s">
        <v>65</v>
      </c>
      <c r="F962" s="2567">
        <v>11</v>
      </c>
      <c r="G962" s="2567" t="s">
        <v>65</v>
      </c>
      <c r="H962" s="2567"/>
      <c r="I962" s="2335" t="s">
        <v>2169</v>
      </c>
      <c r="J962" s="3156" t="s">
        <v>453</v>
      </c>
      <c r="K962" s="2502">
        <v>100</v>
      </c>
      <c r="L962" s="2609">
        <f>SUM(L963:L966)</f>
        <v>1814062500</v>
      </c>
      <c r="M962" s="3162">
        <v>33</v>
      </c>
      <c r="N962" s="2609">
        <f>SUM(N963:N966)</f>
        <v>70715102.600000009</v>
      </c>
      <c r="O962" s="3162">
        <v>16</v>
      </c>
      <c r="P962" s="2609">
        <f>SUM(P963:P966)</f>
        <v>362812500</v>
      </c>
      <c r="Q962" s="3162">
        <v>6</v>
      </c>
      <c r="R962" s="2340">
        <f>SUM(R963:R966)</f>
        <v>27783000</v>
      </c>
      <c r="S962" s="2335">
        <f>SUM(S964:S965)</f>
        <v>6</v>
      </c>
      <c r="T962" s="2347">
        <f>SUM(T963:T966)</f>
        <v>94828000</v>
      </c>
      <c r="U962" s="2335"/>
      <c r="V962" s="2342">
        <f>SUM(V963:V966)</f>
        <v>163874551</v>
      </c>
      <c r="W962" s="2335"/>
      <c r="X962" s="2335"/>
      <c r="Y962" s="2543">
        <f t="shared" si="302"/>
        <v>12</v>
      </c>
      <c r="Z962" s="2342">
        <f>SUM(Z963:Z968)</f>
        <v>286485551</v>
      </c>
      <c r="AA962" s="3162">
        <f t="shared" si="304"/>
        <v>45</v>
      </c>
      <c r="AB962" s="2571">
        <f t="shared" si="304"/>
        <v>357200653.60000002</v>
      </c>
      <c r="AC962" s="2610">
        <f t="shared" si="305"/>
        <v>45</v>
      </c>
      <c r="AD962" s="2611">
        <f>AB962/L962*100</f>
        <v>19.690647571403964</v>
      </c>
      <c r="AE962" s="3184" t="s">
        <v>2058</v>
      </c>
      <c r="AF962" s="2318"/>
      <c r="AG962" s="2318"/>
      <c r="AH962" s="2318"/>
      <c r="AI962" s="2318"/>
      <c r="AJ962" s="2318"/>
      <c r="AK962" s="2318"/>
      <c r="AL962" s="2318"/>
      <c r="AM962" s="2318"/>
      <c r="AN962" s="2318"/>
      <c r="AO962" s="2318"/>
      <c r="AP962" s="2318"/>
      <c r="AQ962" s="2318"/>
      <c r="AR962" s="2318"/>
      <c r="AS962" s="2318"/>
      <c r="AT962" s="2318"/>
      <c r="AU962" s="2318"/>
      <c r="AV962" s="2318"/>
      <c r="AW962" s="2318"/>
      <c r="AX962" s="2318"/>
      <c r="AY962" s="2318"/>
      <c r="AZ962" s="2318"/>
      <c r="BA962" s="2318"/>
      <c r="BB962" s="2318"/>
      <c r="BC962" s="2318"/>
      <c r="BD962" s="2318"/>
      <c r="BE962" s="2318"/>
      <c r="BF962" s="2318"/>
      <c r="BG962" s="2318"/>
      <c r="BH962" s="2318"/>
      <c r="BI962" s="2318"/>
      <c r="BJ962" s="2318"/>
      <c r="BK962" s="2318"/>
      <c r="BL962" s="2318"/>
      <c r="BM962" s="2318"/>
      <c r="BN962" s="2318"/>
      <c r="BO962" s="2318"/>
      <c r="BP962" s="2318"/>
      <c r="BQ962" s="2318"/>
      <c r="BR962" s="2318"/>
      <c r="BS962" s="2318"/>
      <c r="BT962" s="2318"/>
      <c r="BU962" s="2318"/>
      <c r="BV962" s="2318"/>
      <c r="BW962" s="2318"/>
      <c r="BX962" s="2318"/>
    </row>
    <row r="963" spans="1:76" s="2271" customFormat="1" ht="41.25" customHeight="1">
      <c r="A963" s="1389"/>
      <c r="B963" s="1388"/>
      <c r="C963" s="1381">
        <v>1</v>
      </c>
      <c r="D963" s="1381">
        <v>1</v>
      </c>
      <c r="E963" s="1381" t="s">
        <v>65</v>
      </c>
      <c r="F963" s="1381">
        <v>11</v>
      </c>
      <c r="G963" s="1381" t="s">
        <v>65</v>
      </c>
      <c r="H963" s="1381" t="s">
        <v>201</v>
      </c>
      <c r="I963" s="2516" t="s">
        <v>2170</v>
      </c>
      <c r="J963" s="2516" t="s">
        <v>3963</v>
      </c>
      <c r="K963" s="252">
        <v>80</v>
      </c>
      <c r="L963" s="2528">
        <f>5*P963</f>
        <v>772350000</v>
      </c>
      <c r="M963" s="1396">
        <v>20</v>
      </c>
      <c r="N963" s="2528">
        <v>25020850</v>
      </c>
      <c r="O963" s="1396">
        <v>29</v>
      </c>
      <c r="P963" s="2286">
        <v>154470000</v>
      </c>
      <c r="Q963" s="1396"/>
      <c r="R963" s="1387">
        <v>0</v>
      </c>
      <c r="S963" s="2516"/>
      <c r="T963" s="2857">
        <v>38104000</v>
      </c>
      <c r="U963" s="2516"/>
      <c r="V963" s="2307">
        <v>112701100</v>
      </c>
      <c r="W963" s="2516"/>
      <c r="X963" s="2516"/>
      <c r="Y963" s="3166">
        <f t="shared" si="302"/>
        <v>0</v>
      </c>
      <c r="Z963" s="2307">
        <f t="shared" si="303"/>
        <v>150805100</v>
      </c>
      <c r="AA963" s="1396">
        <f t="shared" si="304"/>
        <v>20</v>
      </c>
      <c r="AB963" s="2615">
        <f t="shared" si="304"/>
        <v>175825950</v>
      </c>
      <c r="AC963" s="2616">
        <f t="shared" si="305"/>
        <v>25</v>
      </c>
      <c r="AD963" s="2617">
        <f t="shared" ref="AD963:AD970" si="308">AB963/L963*100</f>
        <v>22.76506117692756</v>
      </c>
      <c r="AE963" s="3185"/>
      <c r="AF963" s="2620"/>
      <c r="AG963" s="2620"/>
      <c r="AH963" s="2620"/>
      <c r="AI963" s="2620"/>
      <c r="AJ963" s="2620"/>
      <c r="AK963" s="2620"/>
      <c r="AL963" s="2620"/>
      <c r="AM963" s="2620"/>
      <c r="AN963" s="2620"/>
      <c r="AO963" s="2620"/>
      <c r="AP963" s="2620"/>
      <c r="AQ963" s="2620"/>
      <c r="AR963" s="2620"/>
      <c r="AS963" s="2620"/>
      <c r="AT963" s="2620"/>
      <c r="AU963" s="2620"/>
      <c r="AV963" s="2620"/>
      <c r="AW963" s="2620"/>
      <c r="AX963" s="2620"/>
      <c r="AY963" s="2620"/>
      <c r="AZ963" s="2620"/>
      <c r="BA963" s="2620"/>
      <c r="BB963" s="2620"/>
      <c r="BC963" s="2620"/>
      <c r="BD963" s="2620"/>
      <c r="BE963" s="2620"/>
      <c r="BF963" s="2620"/>
      <c r="BG963" s="2620"/>
      <c r="BH963" s="2620"/>
      <c r="BI963" s="2620"/>
      <c r="BJ963" s="2620"/>
      <c r="BK963" s="2620"/>
      <c r="BL963" s="2620"/>
      <c r="BM963" s="2620"/>
      <c r="BN963" s="2620"/>
      <c r="BO963" s="2620"/>
      <c r="BP963" s="2620"/>
      <c r="BQ963" s="2620"/>
      <c r="BR963" s="2620"/>
      <c r="BS963" s="2620"/>
      <c r="BT963" s="2620"/>
      <c r="BU963" s="2620"/>
      <c r="BV963" s="2620"/>
      <c r="BW963" s="2620"/>
      <c r="BX963" s="2620"/>
    </row>
    <row r="964" spans="1:76" s="2608" customFormat="1" ht="57.75" customHeight="1">
      <c r="A964" s="1389"/>
      <c r="B964" s="1388"/>
      <c r="C964" s="1381">
        <v>1</v>
      </c>
      <c r="D964" s="1381">
        <v>1</v>
      </c>
      <c r="E964" s="1381" t="s">
        <v>65</v>
      </c>
      <c r="F964" s="1381">
        <v>11</v>
      </c>
      <c r="G964" s="1381" t="s">
        <v>65</v>
      </c>
      <c r="H964" s="1381">
        <v>22</v>
      </c>
      <c r="I964" s="2516" t="s">
        <v>1566</v>
      </c>
      <c r="J964" s="2516" t="s">
        <v>3964</v>
      </c>
      <c r="K964" s="252">
        <v>72</v>
      </c>
      <c r="L964" s="2528">
        <f t="shared" ref="L964:L966" si="309">5*P964</f>
        <v>150000000</v>
      </c>
      <c r="M964" s="1396">
        <v>24</v>
      </c>
      <c r="N964" s="2528">
        <v>13530037.6</v>
      </c>
      <c r="O964" s="1396">
        <v>12</v>
      </c>
      <c r="P964" s="2286">
        <v>30000000</v>
      </c>
      <c r="Q964" s="1396">
        <v>3</v>
      </c>
      <c r="R964" s="1387">
        <v>0</v>
      </c>
      <c r="S964" s="2516">
        <v>3</v>
      </c>
      <c r="T964" s="2857">
        <v>15400000</v>
      </c>
      <c r="U964" s="2516">
        <v>3</v>
      </c>
      <c r="V964" s="2307">
        <v>14600000</v>
      </c>
      <c r="W964" s="2516"/>
      <c r="X964" s="2516"/>
      <c r="Y964" s="3166">
        <f t="shared" si="302"/>
        <v>9</v>
      </c>
      <c r="Z964" s="2307">
        <f t="shared" si="303"/>
        <v>30000000</v>
      </c>
      <c r="AA964" s="1396">
        <f t="shared" si="304"/>
        <v>33</v>
      </c>
      <c r="AB964" s="2615">
        <f t="shared" si="304"/>
        <v>43530037.600000001</v>
      </c>
      <c r="AC964" s="2616">
        <f t="shared" si="305"/>
        <v>45.833333333333329</v>
      </c>
      <c r="AD964" s="2617">
        <f t="shared" si="308"/>
        <v>29.020025066666665</v>
      </c>
      <c r="AE964" s="3185"/>
      <c r="AF964" s="2318"/>
      <c r="AG964" s="2318"/>
      <c r="AH964" s="2318"/>
      <c r="AI964" s="2318"/>
      <c r="AJ964" s="2318"/>
      <c r="AK964" s="2318"/>
      <c r="AL964" s="2318"/>
      <c r="AM964" s="2318"/>
      <c r="AN964" s="2318"/>
      <c r="AO964" s="2318"/>
      <c r="AP964" s="2318"/>
      <c r="AQ964" s="2318"/>
      <c r="AR964" s="2318"/>
      <c r="AS964" s="2318"/>
      <c r="AT964" s="2318"/>
      <c r="AU964" s="2318"/>
      <c r="AV964" s="2318"/>
      <c r="AW964" s="2318"/>
      <c r="AX964" s="2318"/>
      <c r="AY964" s="2318"/>
      <c r="AZ964" s="2318"/>
      <c r="BA964" s="2318"/>
      <c r="BB964" s="2318"/>
      <c r="BC964" s="2318"/>
      <c r="BD964" s="2318"/>
      <c r="BE964" s="2318"/>
      <c r="BF964" s="2318"/>
      <c r="BG964" s="2318"/>
      <c r="BH964" s="2318"/>
      <c r="BI964" s="2318"/>
      <c r="BJ964" s="2318"/>
      <c r="BK964" s="2318"/>
      <c r="BL964" s="2318"/>
      <c r="BM964" s="2318"/>
      <c r="BN964" s="2318"/>
      <c r="BO964" s="2318"/>
      <c r="BP964" s="2318"/>
      <c r="BQ964" s="2318"/>
      <c r="BR964" s="2318"/>
      <c r="BS964" s="2318"/>
      <c r="BT964" s="2318"/>
      <c r="BU964" s="2318"/>
      <c r="BV964" s="2318"/>
      <c r="BW964" s="2318"/>
      <c r="BX964" s="2318"/>
    </row>
    <row r="965" spans="1:76" s="2608" customFormat="1" ht="75" customHeight="1">
      <c r="A965" s="1389"/>
      <c r="B965" s="2516"/>
      <c r="C965" s="1381">
        <v>1</v>
      </c>
      <c r="D965" s="1381">
        <v>1</v>
      </c>
      <c r="E965" s="1381" t="s">
        <v>65</v>
      </c>
      <c r="F965" s="1381">
        <v>11</v>
      </c>
      <c r="G965" s="1381" t="s">
        <v>65</v>
      </c>
      <c r="H965" s="1381">
        <v>24</v>
      </c>
      <c r="I965" s="2516" t="s">
        <v>2173</v>
      </c>
      <c r="J965" s="2516" t="s">
        <v>3965</v>
      </c>
      <c r="K965" s="252">
        <v>72</v>
      </c>
      <c r="L965" s="2528">
        <f t="shared" si="309"/>
        <v>834712500</v>
      </c>
      <c r="M965" s="1396">
        <v>24</v>
      </c>
      <c r="N965" s="2528">
        <v>29549215.000000004</v>
      </c>
      <c r="O965" s="1396">
        <v>12</v>
      </c>
      <c r="P965" s="2286">
        <v>166942500</v>
      </c>
      <c r="Q965" s="1396">
        <v>3</v>
      </c>
      <c r="R965" s="1387">
        <v>27083000</v>
      </c>
      <c r="S965" s="2516">
        <v>3</v>
      </c>
      <c r="T965" s="2857">
        <v>41324000</v>
      </c>
      <c r="U965" s="2516">
        <v>3</v>
      </c>
      <c r="V965" s="2307">
        <v>33223451</v>
      </c>
      <c r="W965" s="2516"/>
      <c r="X965" s="2516"/>
      <c r="Y965" s="3166">
        <f t="shared" si="302"/>
        <v>9</v>
      </c>
      <c r="Z965" s="2307">
        <f t="shared" si="303"/>
        <v>101630451</v>
      </c>
      <c r="AA965" s="1396">
        <f t="shared" si="304"/>
        <v>33</v>
      </c>
      <c r="AB965" s="2615">
        <f t="shared" si="304"/>
        <v>131179666</v>
      </c>
      <c r="AC965" s="2616">
        <f t="shared" si="305"/>
        <v>45.833333333333329</v>
      </c>
      <c r="AD965" s="2617">
        <f t="shared" si="308"/>
        <v>15.715550683618613</v>
      </c>
      <c r="AE965" s="3185"/>
      <c r="AF965" s="2318"/>
      <c r="AG965" s="2318"/>
      <c r="AH965" s="2318"/>
      <c r="AI965" s="2318"/>
      <c r="AJ965" s="2318"/>
      <c r="AK965" s="2318"/>
      <c r="AL965" s="2318"/>
      <c r="AM965" s="2318"/>
      <c r="AN965" s="2318"/>
      <c r="AO965" s="2318"/>
      <c r="AP965" s="2318"/>
      <c r="AQ965" s="2318"/>
      <c r="AR965" s="2318"/>
      <c r="AS965" s="2318"/>
      <c r="AT965" s="2318"/>
      <c r="AU965" s="2318"/>
      <c r="AV965" s="2318"/>
      <c r="AW965" s="2318"/>
      <c r="AX965" s="2318"/>
      <c r="AY965" s="2318"/>
      <c r="AZ965" s="2318"/>
      <c r="BA965" s="2318"/>
      <c r="BB965" s="2318"/>
      <c r="BC965" s="2318"/>
      <c r="BD965" s="2318"/>
      <c r="BE965" s="2318"/>
      <c r="BF965" s="2318"/>
      <c r="BG965" s="2318"/>
      <c r="BH965" s="2318"/>
      <c r="BI965" s="2318"/>
      <c r="BJ965" s="2318"/>
      <c r="BK965" s="2318"/>
      <c r="BL965" s="2318"/>
      <c r="BM965" s="2318"/>
      <c r="BN965" s="2318"/>
      <c r="BO965" s="2318"/>
      <c r="BP965" s="2318"/>
      <c r="BQ965" s="2318"/>
      <c r="BR965" s="2318"/>
      <c r="BS965" s="2318"/>
      <c r="BT965" s="2318"/>
      <c r="BU965" s="2318"/>
      <c r="BV965" s="2318"/>
      <c r="BW965" s="2318"/>
      <c r="BX965" s="2318"/>
    </row>
    <row r="966" spans="1:76" s="2608" customFormat="1" ht="75" customHeight="1">
      <c r="A966" s="1389"/>
      <c r="B966" s="2516"/>
      <c r="C966" s="1381">
        <v>1</v>
      </c>
      <c r="D966" s="1381">
        <v>1</v>
      </c>
      <c r="E966" s="1381" t="s">
        <v>65</v>
      </c>
      <c r="F966" s="1381">
        <v>11</v>
      </c>
      <c r="G966" s="1381" t="s">
        <v>65</v>
      </c>
      <c r="H966" s="1381">
        <v>26</v>
      </c>
      <c r="I966" s="2516" t="s">
        <v>2175</v>
      </c>
      <c r="J966" s="2516" t="s">
        <v>3966</v>
      </c>
      <c r="K966" s="252">
        <v>72</v>
      </c>
      <c r="L966" s="2528">
        <f t="shared" si="309"/>
        <v>57000000</v>
      </c>
      <c r="M966" s="1396">
        <v>24</v>
      </c>
      <c r="N966" s="2528">
        <v>2615000</v>
      </c>
      <c r="O966" s="1396">
        <v>12</v>
      </c>
      <c r="P966" s="2286">
        <v>11400000</v>
      </c>
      <c r="Q966" s="1396">
        <v>3</v>
      </c>
      <c r="R966" s="1387">
        <v>700000</v>
      </c>
      <c r="S966" s="2516"/>
      <c r="T966" s="1401"/>
      <c r="U966" s="2516">
        <v>3</v>
      </c>
      <c r="V966" s="2307">
        <v>3350000</v>
      </c>
      <c r="W966" s="2516"/>
      <c r="X966" s="2516"/>
      <c r="Y966" s="3166">
        <f t="shared" si="302"/>
        <v>6</v>
      </c>
      <c r="Z966" s="2307">
        <f t="shared" si="303"/>
        <v>4050000</v>
      </c>
      <c r="AA966" s="1396">
        <f t="shared" si="304"/>
        <v>30</v>
      </c>
      <c r="AB966" s="2615">
        <f t="shared" si="304"/>
        <v>6665000</v>
      </c>
      <c r="AC966" s="2616">
        <f t="shared" si="305"/>
        <v>41.666666666666671</v>
      </c>
      <c r="AD966" s="2617">
        <f t="shared" si="308"/>
        <v>11.692982456140351</v>
      </c>
      <c r="AE966" s="3186"/>
      <c r="AF966" s="2318"/>
      <c r="AG966" s="2318"/>
      <c r="AH966" s="2318"/>
      <c r="AI966" s="2318"/>
      <c r="AJ966" s="2318"/>
      <c r="AK966" s="2318"/>
      <c r="AL966" s="2318"/>
      <c r="AM966" s="2318"/>
      <c r="AN966" s="2318"/>
      <c r="AO966" s="2318"/>
      <c r="AP966" s="2318"/>
      <c r="AQ966" s="2318"/>
      <c r="AR966" s="2318"/>
      <c r="AS966" s="2318"/>
      <c r="AT966" s="2318"/>
      <c r="AU966" s="2318"/>
      <c r="AV966" s="2318"/>
      <c r="AW966" s="2318"/>
      <c r="AX966" s="2318"/>
      <c r="AY966" s="2318"/>
      <c r="AZ966" s="2318"/>
      <c r="BA966" s="2318"/>
      <c r="BB966" s="2318"/>
      <c r="BC966" s="2318"/>
      <c r="BD966" s="2318"/>
      <c r="BE966" s="2318"/>
      <c r="BF966" s="2318"/>
      <c r="BG966" s="2318"/>
      <c r="BH966" s="2318"/>
      <c r="BI966" s="2318"/>
      <c r="BJ966" s="2318"/>
      <c r="BK966" s="2318"/>
      <c r="BL966" s="2318"/>
      <c r="BM966" s="2318"/>
      <c r="BN966" s="2318"/>
      <c r="BO966" s="2318"/>
      <c r="BP966" s="2318"/>
      <c r="BQ966" s="2318"/>
      <c r="BR966" s="2318"/>
      <c r="BS966" s="2318"/>
      <c r="BT966" s="2318"/>
      <c r="BU966" s="2318"/>
      <c r="BV966" s="2318"/>
      <c r="BW966" s="2318"/>
      <c r="BX966" s="2318"/>
    </row>
    <row r="967" spans="1:76" s="2608" customFormat="1" ht="48" customHeight="1">
      <c r="A967" s="2355">
        <v>3</v>
      </c>
      <c r="B967" s="2345"/>
      <c r="C967" s="2576" t="s">
        <v>66</v>
      </c>
      <c r="D967" s="2576" t="s">
        <v>66</v>
      </c>
      <c r="E967" s="2576" t="s">
        <v>66</v>
      </c>
      <c r="F967" s="2576" t="s">
        <v>66</v>
      </c>
      <c r="G967" s="2576" t="s">
        <v>161</v>
      </c>
      <c r="H967" s="2352"/>
      <c r="I967" s="2501" t="s">
        <v>264</v>
      </c>
      <c r="J967" s="2501" t="s">
        <v>2177</v>
      </c>
      <c r="K967" s="2612">
        <v>50</v>
      </c>
      <c r="L967" s="2609">
        <f>L968</f>
        <v>283139000</v>
      </c>
      <c r="M967" s="2358">
        <v>18</v>
      </c>
      <c r="N967" s="2613">
        <f>SUM(N968)</f>
        <v>100000000</v>
      </c>
      <c r="O967" s="2358"/>
      <c r="P967" s="2599"/>
      <c r="Q967" s="2358"/>
      <c r="R967" s="2600"/>
      <c r="S967" s="2345"/>
      <c r="T967" s="2618"/>
      <c r="U967" s="2345"/>
      <c r="V967" s="2360"/>
      <c r="W967" s="2345"/>
      <c r="X967" s="2345"/>
      <c r="Y967" s="2380">
        <f t="shared" si="302"/>
        <v>0</v>
      </c>
      <c r="Z967" s="2360">
        <f t="shared" si="303"/>
        <v>0</v>
      </c>
      <c r="AA967" s="2358">
        <f t="shared" si="304"/>
        <v>18</v>
      </c>
      <c r="AB967" s="2571">
        <f t="shared" si="304"/>
        <v>100000000</v>
      </c>
      <c r="AC967" s="2610">
        <f t="shared" si="305"/>
        <v>36</v>
      </c>
      <c r="AD967" s="2611">
        <f t="shared" si="308"/>
        <v>35.318341874485675</v>
      </c>
      <c r="AE967" s="3184" t="s">
        <v>2058</v>
      </c>
      <c r="AF967" s="2318"/>
      <c r="AG967" s="2318"/>
      <c r="AH967" s="2318"/>
      <c r="AI967" s="2318"/>
      <c r="AJ967" s="2318"/>
      <c r="AK967" s="2318"/>
      <c r="AL967" s="2318"/>
      <c r="AM967" s="2318"/>
      <c r="AN967" s="2318"/>
      <c r="AO967" s="2318"/>
      <c r="AP967" s="2318"/>
      <c r="AQ967" s="2318"/>
      <c r="AR967" s="2318"/>
      <c r="AS967" s="2318"/>
      <c r="AT967" s="2318"/>
      <c r="AU967" s="2318"/>
      <c r="AV967" s="2318"/>
      <c r="AW967" s="2318"/>
      <c r="AX967" s="2318"/>
      <c r="AY967" s="2318"/>
      <c r="AZ967" s="2318"/>
      <c r="BA967" s="2318"/>
      <c r="BB967" s="2318"/>
      <c r="BC967" s="2318"/>
      <c r="BD967" s="2318"/>
      <c r="BE967" s="2318"/>
      <c r="BF967" s="2318"/>
      <c r="BG967" s="2318"/>
      <c r="BH967" s="2318"/>
      <c r="BI967" s="2318"/>
      <c r="BJ967" s="2318"/>
      <c r="BK967" s="2318"/>
      <c r="BL967" s="2318"/>
      <c r="BM967" s="2318"/>
      <c r="BN967" s="2318"/>
      <c r="BO967" s="2318"/>
      <c r="BP967" s="2318"/>
      <c r="BQ967" s="2318"/>
      <c r="BR967" s="2318"/>
      <c r="BS967" s="2318"/>
      <c r="BT967" s="2318"/>
      <c r="BU967" s="2318"/>
      <c r="BV967" s="2318"/>
      <c r="BW967" s="2318"/>
      <c r="BX967" s="2318"/>
    </row>
    <row r="968" spans="1:76" s="2608" customFormat="1" ht="38.25" customHeight="1">
      <c r="A968" s="1389"/>
      <c r="B968" s="2516"/>
      <c r="C968" s="1381"/>
      <c r="D968" s="1381"/>
      <c r="E968" s="1381"/>
      <c r="F968" s="1381"/>
      <c r="G968" s="1381"/>
      <c r="H968" s="1381"/>
      <c r="I968" s="235" t="s">
        <v>209</v>
      </c>
      <c r="J968" s="233" t="s">
        <v>3967</v>
      </c>
      <c r="K968" s="252">
        <v>24</v>
      </c>
      <c r="L968" s="2528">
        <v>283139000</v>
      </c>
      <c r="M968" s="1396">
        <v>9</v>
      </c>
      <c r="N968" s="2528">
        <v>100000000</v>
      </c>
      <c r="O968" s="1396"/>
      <c r="P968" s="2286"/>
      <c r="Q968" s="1396"/>
      <c r="R968" s="1387"/>
      <c r="S968" s="2516"/>
      <c r="T968" s="1401"/>
      <c r="U968" s="2516"/>
      <c r="V968" s="2307"/>
      <c r="W968" s="2516"/>
      <c r="X968" s="2516"/>
      <c r="Y968" s="3166">
        <f t="shared" si="302"/>
        <v>0</v>
      </c>
      <c r="Z968" s="2307">
        <f t="shared" si="303"/>
        <v>0</v>
      </c>
      <c r="AA968" s="1396">
        <f t="shared" si="304"/>
        <v>9</v>
      </c>
      <c r="AB968" s="2500">
        <f t="shared" si="304"/>
        <v>100000000</v>
      </c>
      <c r="AC968" s="2424">
        <f t="shared" si="305"/>
        <v>37.5</v>
      </c>
      <c r="AD968" s="2433">
        <f t="shared" si="308"/>
        <v>35.318341874485675</v>
      </c>
      <c r="AE968" s="3186"/>
      <c r="AF968" s="2318"/>
      <c r="AG968" s="2318"/>
      <c r="AH968" s="2318"/>
      <c r="AI968" s="2318"/>
      <c r="AJ968" s="2318"/>
      <c r="AK968" s="2318"/>
      <c r="AL968" s="2318"/>
      <c r="AM968" s="2318"/>
      <c r="AN968" s="2318"/>
      <c r="AO968" s="2318"/>
      <c r="AP968" s="2318"/>
      <c r="AQ968" s="2318"/>
      <c r="AR968" s="2318"/>
      <c r="AS968" s="2318"/>
      <c r="AT968" s="2318"/>
      <c r="AU968" s="2318"/>
      <c r="AV968" s="2318"/>
      <c r="AW968" s="2318"/>
      <c r="AX968" s="2318"/>
      <c r="AY968" s="2318"/>
      <c r="AZ968" s="2318"/>
      <c r="BA968" s="2318"/>
      <c r="BB968" s="2318"/>
      <c r="BC968" s="2318"/>
      <c r="BD968" s="2318"/>
      <c r="BE968" s="2318"/>
      <c r="BF968" s="2318"/>
      <c r="BG968" s="2318"/>
      <c r="BH968" s="2318"/>
      <c r="BI968" s="2318"/>
      <c r="BJ968" s="2318"/>
      <c r="BK968" s="2318"/>
      <c r="BL968" s="2318"/>
      <c r="BM968" s="2318"/>
      <c r="BN968" s="2318"/>
      <c r="BO968" s="2318"/>
      <c r="BP968" s="2318"/>
      <c r="BQ968" s="2318"/>
      <c r="BR968" s="2318"/>
      <c r="BS968" s="2318"/>
      <c r="BT968" s="2318"/>
      <c r="BU968" s="2318"/>
      <c r="BV968" s="2318"/>
      <c r="BW968" s="2318"/>
      <c r="BX968" s="2318"/>
    </row>
    <row r="969" spans="1:76" s="2608" customFormat="1" ht="53.25" customHeight="1">
      <c r="A969" s="2570">
        <v>4</v>
      </c>
      <c r="B969" s="2345" t="s">
        <v>2059</v>
      </c>
      <c r="C969" s="2352" t="s">
        <v>65</v>
      </c>
      <c r="D969" s="2352">
        <v>1</v>
      </c>
      <c r="E969" s="2352" t="s">
        <v>65</v>
      </c>
      <c r="F969" s="2352">
        <v>11</v>
      </c>
      <c r="G969" s="2352">
        <v>15</v>
      </c>
      <c r="H969" s="2352"/>
      <c r="I969" s="2335" t="s">
        <v>3045</v>
      </c>
      <c r="J969" s="2345" t="s">
        <v>3046</v>
      </c>
      <c r="K969" s="2502">
        <v>6</v>
      </c>
      <c r="L969" s="2609">
        <f>SUM(L970)</f>
        <v>1275584000</v>
      </c>
      <c r="M969" s="3162">
        <v>2</v>
      </c>
      <c r="N969" s="2609">
        <f>SUM(N970)</f>
        <v>139664200</v>
      </c>
      <c r="O969" s="3162">
        <v>1</v>
      </c>
      <c r="P969" s="2442">
        <f>SUM(P970)</f>
        <v>246479900</v>
      </c>
      <c r="Q969" s="3162"/>
      <c r="R969" s="2340">
        <f>SUM(R970)</f>
        <v>1200000</v>
      </c>
      <c r="S969" s="2335"/>
      <c r="T969" s="2340">
        <f>SUM(T970)</f>
        <v>225816000</v>
      </c>
      <c r="U969" s="2335"/>
      <c r="V969" s="2342">
        <f>V970</f>
        <v>499600</v>
      </c>
      <c r="W969" s="2335"/>
      <c r="X969" s="2335"/>
      <c r="Y969" s="2380">
        <f t="shared" si="302"/>
        <v>0</v>
      </c>
      <c r="Z969" s="2342">
        <f>SUM(Z970:Z979)</f>
        <v>788651600</v>
      </c>
      <c r="AA969" s="2358">
        <f t="shared" si="304"/>
        <v>2</v>
      </c>
      <c r="AB969" s="2571">
        <f t="shared" si="304"/>
        <v>928315800</v>
      </c>
      <c r="AC969" s="2610">
        <f t="shared" si="305"/>
        <v>33.333333333333329</v>
      </c>
      <c r="AD969" s="2611">
        <f t="shared" si="308"/>
        <v>72.775748206311775</v>
      </c>
      <c r="AE969" s="3184" t="s">
        <v>2058</v>
      </c>
      <c r="AF969" s="2318"/>
      <c r="AG969" s="2318"/>
      <c r="AH969" s="2318"/>
      <c r="AI969" s="2318"/>
      <c r="AJ969" s="2318"/>
      <c r="AK969" s="2318"/>
      <c r="AL969" s="2318"/>
      <c r="AM969" s="2318"/>
      <c r="AN969" s="2318"/>
      <c r="AO969" s="2318"/>
      <c r="AP969" s="2318"/>
      <c r="AQ969" s="2318"/>
      <c r="AR969" s="2318"/>
      <c r="AS969" s="2318"/>
      <c r="AT969" s="2318"/>
      <c r="AU969" s="2318"/>
      <c r="AV969" s="2318"/>
      <c r="AW969" s="2318"/>
      <c r="AX969" s="2318"/>
      <c r="AY969" s="2318"/>
      <c r="AZ969" s="2318"/>
      <c r="BA969" s="2318"/>
      <c r="BB969" s="2318"/>
      <c r="BC969" s="2318"/>
      <c r="BD969" s="2318"/>
      <c r="BE969" s="2318"/>
      <c r="BF969" s="2318"/>
      <c r="BG969" s="2318"/>
      <c r="BH969" s="2318"/>
      <c r="BI969" s="2318"/>
      <c r="BJ969" s="2318"/>
      <c r="BK969" s="2318"/>
      <c r="BL969" s="2318"/>
      <c r="BM969" s="2318"/>
      <c r="BN969" s="2318"/>
      <c r="BO969" s="2318"/>
      <c r="BP969" s="2318"/>
      <c r="BQ969" s="2318"/>
      <c r="BR969" s="2318"/>
      <c r="BS969" s="2318"/>
      <c r="BT969" s="2318"/>
      <c r="BU969" s="2318"/>
      <c r="BV969" s="2318"/>
      <c r="BW969" s="2318"/>
      <c r="BX969" s="2318"/>
    </row>
    <row r="970" spans="1:76" s="2608" customFormat="1" ht="53.25" customHeight="1">
      <c r="A970" s="1389"/>
      <c r="B970" s="2516" t="s">
        <v>2059</v>
      </c>
      <c r="C970" s="1381" t="s">
        <v>65</v>
      </c>
      <c r="D970" s="1381">
        <v>1</v>
      </c>
      <c r="E970" s="1381" t="s">
        <v>65</v>
      </c>
      <c r="F970" s="1381">
        <v>11</v>
      </c>
      <c r="G970" s="1381">
        <v>15</v>
      </c>
      <c r="H970" s="1381">
        <v>10</v>
      </c>
      <c r="I970" s="2516" t="s">
        <v>2869</v>
      </c>
      <c r="J970" s="2516" t="s">
        <v>3046</v>
      </c>
      <c r="K970" s="252">
        <v>6</v>
      </c>
      <c r="L970" s="2528">
        <v>1275584000</v>
      </c>
      <c r="M970" s="1396">
        <v>2</v>
      </c>
      <c r="N970" s="2528">
        <v>139664200</v>
      </c>
      <c r="O970" s="1396">
        <v>1</v>
      </c>
      <c r="P970" s="2286">
        <v>246479900</v>
      </c>
      <c r="Q970" s="1396"/>
      <c r="R970" s="1387">
        <v>1200000</v>
      </c>
      <c r="S970" s="2516">
        <v>1</v>
      </c>
      <c r="T970" s="1387">
        <v>225816000</v>
      </c>
      <c r="U970" s="2516"/>
      <c r="V970" s="2307">
        <v>499600</v>
      </c>
      <c r="W970" s="2516"/>
      <c r="X970" s="2516"/>
      <c r="Y970" s="3166">
        <f t="shared" si="302"/>
        <v>1</v>
      </c>
      <c r="Z970" s="2307">
        <f t="shared" si="303"/>
        <v>227515600</v>
      </c>
      <c r="AA970" s="1396">
        <f t="shared" si="304"/>
        <v>3</v>
      </c>
      <c r="AB970" s="2500">
        <f t="shared" si="304"/>
        <v>367179800</v>
      </c>
      <c r="AC970" s="2424">
        <f t="shared" si="305"/>
        <v>50</v>
      </c>
      <c r="AD970" s="2433">
        <f t="shared" si="308"/>
        <v>28.785230921679794</v>
      </c>
      <c r="AE970" s="3187"/>
      <c r="AF970" s="2318"/>
      <c r="AG970" s="2318"/>
      <c r="AH970" s="2318"/>
      <c r="AI970" s="2318"/>
      <c r="AJ970" s="2318"/>
      <c r="AK970" s="2318"/>
      <c r="AL970" s="2318"/>
      <c r="AM970" s="2318"/>
      <c r="AN970" s="2318"/>
      <c r="AO970" s="2318"/>
      <c r="AP970" s="2318"/>
      <c r="AQ970" s="2318"/>
      <c r="AR970" s="2318"/>
      <c r="AS970" s="2318"/>
      <c r="AT970" s="2318"/>
      <c r="AU970" s="2318"/>
      <c r="AV970" s="2318"/>
      <c r="AW970" s="2318"/>
      <c r="AX970" s="2318"/>
      <c r="AY970" s="2318"/>
      <c r="AZ970" s="2318"/>
      <c r="BA970" s="2318"/>
      <c r="BB970" s="2318"/>
      <c r="BC970" s="2318"/>
      <c r="BD970" s="2318"/>
      <c r="BE970" s="2318"/>
      <c r="BF970" s="2318"/>
      <c r="BG970" s="2318"/>
      <c r="BH970" s="2318"/>
      <c r="BI970" s="2318"/>
      <c r="BJ970" s="2318"/>
      <c r="BK970" s="2318"/>
      <c r="BL970" s="2318"/>
      <c r="BM970" s="2318"/>
      <c r="BN970" s="2318"/>
      <c r="BO970" s="2318"/>
      <c r="BP970" s="2318"/>
      <c r="BQ970" s="2318"/>
      <c r="BR970" s="2318"/>
      <c r="BS970" s="2318"/>
      <c r="BT970" s="2318"/>
      <c r="BU970" s="2318"/>
      <c r="BV970" s="2318"/>
      <c r="BW970" s="2318"/>
      <c r="BX970" s="2318"/>
    </row>
    <row r="971" spans="1:76" s="2608" customFormat="1" ht="68.25" customHeight="1">
      <c r="A971" s="1389"/>
      <c r="B971" s="2516"/>
      <c r="C971" s="1381"/>
      <c r="D971" s="1381"/>
      <c r="E971" s="1381"/>
      <c r="F971" s="1381"/>
      <c r="G971" s="1381"/>
      <c r="H971" s="1381"/>
      <c r="I971" s="1374" t="s">
        <v>3660</v>
      </c>
      <c r="J971" s="1374" t="s">
        <v>3968</v>
      </c>
      <c r="K971" s="294">
        <v>1800</v>
      </c>
      <c r="L971" s="3094">
        <v>649835000</v>
      </c>
      <c r="M971" s="2316">
        <v>28</v>
      </c>
      <c r="N971" s="3094">
        <v>40839000</v>
      </c>
      <c r="O971" s="2316">
        <v>100</v>
      </c>
      <c r="P971" s="2282">
        <f>SUM(P972)</f>
        <v>61480000</v>
      </c>
      <c r="Q971" s="2316">
        <v>49</v>
      </c>
      <c r="R971" s="1393">
        <v>15226000</v>
      </c>
      <c r="S971" s="2516">
        <f>SUM(S972)</f>
        <v>20</v>
      </c>
      <c r="T971" s="1387">
        <f>SUM(T972)</f>
        <v>4450000</v>
      </c>
      <c r="U971" s="2516"/>
      <c r="V971" s="2307">
        <f>V972</f>
        <v>18775500</v>
      </c>
      <c r="W971" s="2516"/>
      <c r="X971" s="2516"/>
      <c r="Y971" s="3166">
        <f t="shared" ref="Y971:Y980" si="310">Q971+S971+U971+W971</f>
        <v>69</v>
      </c>
      <c r="Z971" s="2307">
        <f>SUM(R971+T971)</f>
        <v>19676000</v>
      </c>
      <c r="AA971" s="1396">
        <f t="shared" ref="AA971:AB977" si="311">M971+Y971</f>
        <v>97</v>
      </c>
      <c r="AB971" s="2615">
        <f t="shared" si="311"/>
        <v>60515000</v>
      </c>
      <c r="AC971" s="2616">
        <f t="shared" ref="AC971:AC979" si="312">AA971/K971*100</f>
        <v>5.3888888888888893</v>
      </c>
      <c r="AD971" s="2617">
        <f t="shared" ref="AD971:AD980" si="313">AB971/L971*100</f>
        <v>9.3123639077612008</v>
      </c>
      <c r="AE971" s="3187"/>
      <c r="AF971" s="2318"/>
      <c r="AG971" s="2318"/>
      <c r="AH971" s="2318"/>
      <c r="AI971" s="2318"/>
      <c r="AJ971" s="2318"/>
      <c r="AK971" s="2318"/>
      <c r="AL971" s="2318"/>
      <c r="AM971" s="2318"/>
      <c r="AN971" s="2318"/>
      <c r="AO971" s="2318"/>
      <c r="AP971" s="2318"/>
      <c r="AQ971" s="2318"/>
      <c r="AR971" s="2318"/>
      <c r="AS971" s="2318"/>
      <c r="AT971" s="2318"/>
      <c r="AU971" s="2318"/>
      <c r="AV971" s="2318"/>
      <c r="AW971" s="2318"/>
      <c r="AX971" s="2318"/>
      <c r="AY971" s="2318"/>
      <c r="AZ971" s="2318"/>
      <c r="BA971" s="2318"/>
      <c r="BB971" s="2318"/>
      <c r="BC971" s="2318"/>
      <c r="BD971" s="2318"/>
      <c r="BE971" s="2318"/>
      <c r="BF971" s="2318"/>
      <c r="BG971" s="2318"/>
      <c r="BH971" s="2318"/>
      <c r="BI971" s="2318"/>
      <c r="BJ971" s="2318"/>
      <c r="BK971" s="2318"/>
      <c r="BL971" s="2318"/>
      <c r="BM971" s="2318"/>
      <c r="BN971" s="2318"/>
      <c r="BO971" s="2318"/>
      <c r="BP971" s="2318"/>
      <c r="BQ971" s="2318"/>
      <c r="BR971" s="2318"/>
      <c r="BS971" s="2318"/>
      <c r="BT971" s="2318"/>
      <c r="BU971" s="2318"/>
      <c r="BV971" s="2318"/>
      <c r="BW971" s="2318"/>
      <c r="BX971" s="2318"/>
    </row>
    <row r="972" spans="1:76" s="2608" customFormat="1" ht="53.25" customHeight="1">
      <c r="A972" s="1389"/>
      <c r="B972" s="2516"/>
      <c r="C972" s="1381"/>
      <c r="D972" s="1381"/>
      <c r="E972" s="1381"/>
      <c r="F972" s="1381"/>
      <c r="G972" s="1381"/>
      <c r="H972" s="1381" t="s">
        <v>66</v>
      </c>
      <c r="I972" s="2516" t="s">
        <v>3661</v>
      </c>
      <c r="J972" s="2516" t="s">
        <v>3969</v>
      </c>
      <c r="K972" s="252">
        <v>180</v>
      </c>
      <c r="L972" s="2528">
        <v>649835000</v>
      </c>
      <c r="M972" s="1396">
        <v>28</v>
      </c>
      <c r="N972" s="2528">
        <v>40839000</v>
      </c>
      <c r="O972" s="1396">
        <v>100</v>
      </c>
      <c r="P972" s="2286">
        <v>61480000</v>
      </c>
      <c r="Q972" s="1396">
        <v>49</v>
      </c>
      <c r="R972" s="1387">
        <v>15226000</v>
      </c>
      <c r="S972" s="2516">
        <v>20</v>
      </c>
      <c r="T972" s="1387">
        <v>4450000</v>
      </c>
      <c r="U972" s="2516">
        <v>56</v>
      </c>
      <c r="V972" s="2307">
        <v>18775500</v>
      </c>
      <c r="W972" s="2516"/>
      <c r="X972" s="2516"/>
      <c r="Y972" s="3166">
        <f t="shared" si="310"/>
        <v>125</v>
      </c>
      <c r="Z972" s="2307">
        <f>R972+T972+V972+X972</f>
        <v>38451500</v>
      </c>
      <c r="AA972" s="1396">
        <f t="shared" si="311"/>
        <v>153</v>
      </c>
      <c r="AB972" s="2615">
        <f t="shared" si="311"/>
        <v>79290500</v>
      </c>
      <c r="AC972" s="2616">
        <f t="shared" si="312"/>
        <v>85</v>
      </c>
      <c r="AD972" s="2617">
        <f t="shared" si="313"/>
        <v>12.201635799856888</v>
      </c>
      <c r="AE972" s="3187"/>
      <c r="AF972" s="2318"/>
      <c r="AG972" s="2318"/>
      <c r="AH972" s="2318"/>
      <c r="AI972" s="2318"/>
      <c r="AJ972" s="2318"/>
      <c r="AK972" s="2318"/>
      <c r="AL972" s="2318"/>
      <c r="AM972" s="2318"/>
      <c r="AN972" s="2318"/>
      <c r="AO972" s="2318"/>
      <c r="AP972" s="2318"/>
      <c r="AQ972" s="2318"/>
      <c r="AR972" s="2318"/>
      <c r="AS972" s="2318"/>
      <c r="AT972" s="2318"/>
      <c r="AU972" s="2318"/>
      <c r="AV972" s="2318"/>
      <c r="AW972" s="2318"/>
      <c r="AX972" s="2318"/>
      <c r="AY972" s="2318"/>
      <c r="AZ972" s="2318"/>
      <c r="BA972" s="2318"/>
      <c r="BB972" s="2318"/>
      <c r="BC972" s="2318"/>
      <c r="BD972" s="2318"/>
      <c r="BE972" s="2318"/>
      <c r="BF972" s="2318"/>
      <c r="BG972" s="2318"/>
      <c r="BH972" s="2318"/>
      <c r="BI972" s="2318"/>
      <c r="BJ972" s="2318"/>
      <c r="BK972" s="2318"/>
      <c r="BL972" s="2318"/>
      <c r="BM972" s="2318"/>
      <c r="BN972" s="2318"/>
      <c r="BO972" s="2318"/>
      <c r="BP972" s="2318"/>
      <c r="BQ972" s="2318"/>
      <c r="BR972" s="2318"/>
      <c r="BS972" s="2318"/>
      <c r="BT972" s="2318"/>
      <c r="BU972" s="2318"/>
      <c r="BV972" s="2318"/>
      <c r="BW972" s="2318"/>
      <c r="BX972" s="2318"/>
    </row>
    <row r="973" spans="1:76" s="2271" customFormat="1" ht="53.25" customHeight="1">
      <c r="A973" s="2570">
        <v>5</v>
      </c>
      <c r="B973" s="2335"/>
      <c r="C973" s="2567"/>
      <c r="D973" s="2567"/>
      <c r="E973" s="2567"/>
      <c r="F973" s="2567"/>
      <c r="G973" s="2567"/>
      <c r="H973" s="2567"/>
      <c r="I973" s="2335" t="s">
        <v>3662</v>
      </c>
      <c r="J973" s="2335" t="s">
        <v>3970</v>
      </c>
      <c r="K973" s="4139">
        <v>0.3</v>
      </c>
      <c r="L973" s="2609">
        <v>5414840000</v>
      </c>
      <c r="M973" s="2377">
        <v>0.05</v>
      </c>
      <c r="N973" s="2609"/>
      <c r="O973" s="4011"/>
      <c r="P973" s="2442">
        <f>SUM(P974:P979)</f>
        <v>422934694</v>
      </c>
      <c r="Q973" s="4011"/>
      <c r="R973" s="2340">
        <f>SUM(R974:R979)</f>
        <v>7713000</v>
      </c>
      <c r="S973" s="2335"/>
      <c r="T973" s="2340">
        <f>SUM(T974:T979)</f>
        <v>64401000</v>
      </c>
      <c r="U973" s="2335"/>
      <c r="V973" s="2342">
        <f>SUM(V974:V979)</f>
        <v>182563000</v>
      </c>
      <c r="W973" s="2335"/>
      <c r="X973" s="2335"/>
      <c r="Y973" s="2543">
        <f t="shared" si="310"/>
        <v>0</v>
      </c>
      <c r="Z973" s="2342">
        <f>R973+T973+V973+X973</f>
        <v>254677000</v>
      </c>
      <c r="AA973" s="4011">
        <f t="shared" si="311"/>
        <v>0.05</v>
      </c>
      <c r="AB973" s="2571">
        <f t="shared" si="311"/>
        <v>254677000</v>
      </c>
      <c r="AC973" s="2610">
        <f t="shared" si="312"/>
        <v>16.666666666666668</v>
      </c>
      <c r="AD973" s="2611">
        <f t="shared" si="313"/>
        <v>4.7033153334170539</v>
      </c>
      <c r="AE973" s="3184" t="s">
        <v>2058</v>
      </c>
      <c r="AF973" s="2620"/>
      <c r="AG973" s="2620"/>
      <c r="AH973" s="2620"/>
      <c r="AI973" s="2620"/>
      <c r="AJ973" s="2620"/>
      <c r="AK973" s="2620"/>
      <c r="AL973" s="2620"/>
      <c r="AM973" s="2620"/>
      <c r="AN973" s="2620"/>
      <c r="AO973" s="2620"/>
      <c r="AP973" s="2620"/>
      <c r="AQ973" s="2620"/>
      <c r="AR973" s="2620"/>
      <c r="AS973" s="2620"/>
      <c r="AT973" s="2620"/>
      <c r="AU973" s="2620"/>
      <c r="AV973" s="2620"/>
      <c r="AW973" s="2620"/>
      <c r="AX973" s="2620"/>
      <c r="AY973" s="2620"/>
      <c r="AZ973" s="2620"/>
      <c r="BA973" s="2620"/>
      <c r="BB973" s="2620"/>
      <c r="BC973" s="2620"/>
      <c r="BD973" s="2620"/>
      <c r="BE973" s="2620"/>
      <c r="BF973" s="2620"/>
      <c r="BG973" s="2620"/>
      <c r="BH973" s="2620"/>
      <c r="BI973" s="2620"/>
      <c r="BJ973" s="2620"/>
      <c r="BK973" s="2620"/>
      <c r="BL973" s="2620"/>
      <c r="BM973" s="2620"/>
      <c r="BN973" s="2620"/>
      <c r="BO973" s="2620"/>
      <c r="BP973" s="2620"/>
      <c r="BQ973" s="2620"/>
      <c r="BR973" s="2620"/>
      <c r="BS973" s="2620"/>
      <c r="BT973" s="2620"/>
      <c r="BU973" s="2620"/>
      <c r="BV973" s="2620"/>
      <c r="BW973" s="2620"/>
      <c r="BX973" s="2620"/>
    </row>
    <row r="974" spans="1:76" s="2608" customFormat="1" ht="53.25" customHeight="1">
      <c r="A974" s="1389"/>
      <c r="B974" s="2516"/>
      <c r="C974" s="1381"/>
      <c r="D974" s="1381"/>
      <c r="E974" s="1381"/>
      <c r="F974" s="1381"/>
      <c r="G974" s="1381"/>
      <c r="H974" s="1381" t="s">
        <v>197</v>
      </c>
      <c r="I974" s="2516" t="s">
        <v>3663</v>
      </c>
      <c r="J974" s="2516" t="s">
        <v>3971</v>
      </c>
      <c r="K974" s="2333">
        <v>360</v>
      </c>
      <c r="L974" s="2528">
        <v>840511000</v>
      </c>
      <c r="M974" s="3095" t="s">
        <v>2034</v>
      </c>
      <c r="N974" s="2528"/>
      <c r="O974" s="1396">
        <v>60</v>
      </c>
      <c r="P974" s="2286">
        <v>86822000</v>
      </c>
      <c r="Q974" s="1396">
        <v>0</v>
      </c>
      <c r="R974" s="1387">
        <v>963000</v>
      </c>
      <c r="S974" s="1781">
        <v>0</v>
      </c>
      <c r="T974" s="1387">
        <v>6750000</v>
      </c>
      <c r="U974" s="1374">
        <v>60</v>
      </c>
      <c r="V974" s="2496">
        <v>66327500</v>
      </c>
      <c r="W974" s="1374"/>
      <c r="X974" s="1374"/>
      <c r="Y974" s="3166">
        <f t="shared" si="310"/>
        <v>60</v>
      </c>
      <c r="Z974" s="2307">
        <f>R974+T974+V974</f>
        <v>74040500</v>
      </c>
      <c r="AA974" s="1396">
        <f t="shared" si="311"/>
        <v>60</v>
      </c>
      <c r="AB974" s="2615">
        <f t="shared" si="311"/>
        <v>74040500</v>
      </c>
      <c r="AC974" s="2616">
        <f t="shared" si="312"/>
        <v>16.666666666666664</v>
      </c>
      <c r="AD974" s="2617">
        <f t="shared" si="313"/>
        <v>8.8089864380121146</v>
      </c>
      <c r="AE974" s="3187"/>
      <c r="AF974" s="2318"/>
      <c r="AG974" s="2318"/>
      <c r="AH974" s="2318"/>
      <c r="AI974" s="2318"/>
      <c r="AJ974" s="2318"/>
      <c r="AK974" s="2318"/>
      <c r="AL974" s="2318"/>
      <c r="AM974" s="2318"/>
      <c r="AN974" s="2318"/>
      <c r="AO974" s="2318"/>
      <c r="AP974" s="2318"/>
      <c r="AQ974" s="2318"/>
      <c r="AR974" s="2318"/>
      <c r="AS974" s="2318"/>
      <c r="AT974" s="2318"/>
      <c r="AU974" s="2318"/>
      <c r="AV974" s="2318"/>
      <c r="AW974" s="2318"/>
      <c r="AX974" s="2318"/>
      <c r="AY974" s="2318"/>
      <c r="AZ974" s="2318"/>
      <c r="BA974" s="2318"/>
      <c r="BB974" s="2318"/>
      <c r="BC974" s="2318"/>
      <c r="BD974" s="2318"/>
      <c r="BE974" s="2318"/>
      <c r="BF974" s="2318"/>
      <c r="BG974" s="2318"/>
      <c r="BH974" s="2318"/>
      <c r="BI974" s="2318"/>
      <c r="BJ974" s="2318"/>
      <c r="BK974" s="2318"/>
      <c r="BL974" s="2318"/>
      <c r="BM974" s="2318"/>
      <c r="BN974" s="2318"/>
      <c r="BO974" s="2318"/>
      <c r="BP974" s="2318"/>
      <c r="BQ974" s="2318"/>
      <c r="BR974" s="2318"/>
      <c r="BS974" s="2318"/>
      <c r="BT974" s="2318"/>
      <c r="BU974" s="2318"/>
      <c r="BV974" s="2318"/>
      <c r="BW974" s="2318"/>
      <c r="BX974" s="2318"/>
    </row>
    <row r="975" spans="1:76" s="2608" customFormat="1" ht="53.25" customHeight="1">
      <c r="A975" s="1389"/>
      <c r="B975" s="2516"/>
      <c r="C975" s="1381"/>
      <c r="D975" s="1381"/>
      <c r="E975" s="1381"/>
      <c r="F975" s="1381"/>
      <c r="G975" s="1381"/>
      <c r="H975" s="1381" t="s">
        <v>396</v>
      </c>
      <c r="I975" s="2516" t="s">
        <v>3664</v>
      </c>
      <c r="J975" s="2516" t="s">
        <v>3972</v>
      </c>
      <c r="K975" s="3096" t="s">
        <v>3665</v>
      </c>
      <c r="L975" s="2528">
        <v>755000000</v>
      </c>
      <c r="M975" s="3133">
        <v>5778</v>
      </c>
      <c r="N975" s="2528">
        <v>44078000</v>
      </c>
      <c r="O975" s="1396">
        <v>750</v>
      </c>
      <c r="P975" s="2286">
        <v>49957694</v>
      </c>
      <c r="Q975" s="1396">
        <v>120</v>
      </c>
      <c r="R975" s="1387">
        <v>6250000</v>
      </c>
      <c r="S975" s="2516">
        <v>120</v>
      </c>
      <c r="T975" s="1387">
        <v>17961000</v>
      </c>
      <c r="U975" s="2516">
        <v>760</v>
      </c>
      <c r="V975" s="2496">
        <v>6345500</v>
      </c>
      <c r="W975" s="1374"/>
      <c r="X975" s="1374"/>
      <c r="Y975" s="3166">
        <f t="shared" si="310"/>
        <v>1000</v>
      </c>
      <c r="Z975" s="2307">
        <f>SUM(R975+T975)</f>
        <v>24211000</v>
      </c>
      <c r="AA975" s="1396">
        <f t="shared" si="311"/>
        <v>6778</v>
      </c>
      <c r="AB975" s="2615">
        <f t="shared" si="311"/>
        <v>68289000</v>
      </c>
      <c r="AC975" s="2616">
        <f t="shared" si="312"/>
        <v>84.724999999999994</v>
      </c>
      <c r="AD975" s="2617">
        <f t="shared" si="313"/>
        <v>9.0449006622516546</v>
      </c>
      <c r="AE975" s="3187"/>
      <c r="AF975" s="2318"/>
      <c r="AG975" s="2318"/>
      <c r="AH975" s="2318"/>
      <c r="AI975" s="2318"/>
      <c r="AJ975" s="2318"/>
      <c r="AK975" s="2318"/>
      <c r="AL975" s="2318"/>
      <c r="AM975" s="2318"/>
      <c r="AN975" s="2318"/>
      <c r="AO975" s="2318"/>
      <c r="AP975" s="2318"/>
      <c r="AQ975" s="2318"/>
      <c r="AR975" s="2318"/>
      <c r="AS975" s="2318"/>
      <c r="AT975" s="2318"/>
      <c r="AU975" s="2318"/>
      <c r="AV975" s="2318"/>
      <c r="AW975" s="2318"/>
      <c r="AX975" s="2318"/>
      <c r="AY975" s="2318"/>
      <c r="AZ975" s="2318"/>
      <c r="BA975" s="2318"/>
      <c r="BB975" s="2318"/>
      <c r="BC975" s="2318"/>
      <c r="BD975" s="2318"/>
      <c r="BE975" s="2318"/>
      <c r="BF975" s="2318"/>
      <c r="BG975" s="2318"/>
      <c r="BH975" s="2318"/>
      <c r="BI975" s="2318"/>
      <c r="BJ975" s="2318"/>
      <c r="BK975" s="2318"/>
      <c r="BL975" s="2318"/>
      <c r="BM975" s="2318"/>
      <c r="BN975" s="2318"/>
      <c r="BO975" s="2318"/>
      <c r="BP975" s="2318"/>
      <c r="BQ975" s="2318"/>
      <c r="BR975" s="2318"/>
      <c r="BS975" s="2318"/>
      <c r="BT975" s="2318"/>
      <c r="BU975" s="2318"/>
      <c r="BV975" s="2318"/>
      <c r="BW975" s="2318"/>
      <c r="BX975" s="2318"/>
    </row>
    <row r="976" spans="1:76" s="2608" customFormat="1" ht="53.25" customHeight="1">
      <c r="A976" s="1389"/>
      <c r="B976" s="2516"/>
      <c r="C976" s="1381"/>
      <c r="D976" s="1381"/>
      <c r="E976" s="1381"/>
      <c r="F976" s="1381"/>
      <c r="G976" s="1381"/>
      <c r="H976" s="1381" t="s">
        <v>166</v>
      </c>
      <c r="I976" s="2516" t="s">
        <v>3666</v>
      </c>
      <c r="J976" s="2516" t="s">
        <v>3667</v>
      </c>
      <c r="K976" s="3096" t="s">
        <v>3668</v>
      </c>
      <c r="L976" s="2528">
        <f>N976*6</f>
        <v>940218000</v>
      </c>
      <c r="M976" s="3095" t="s">
        <v>2006</v>
      </c>
      <c r="N976" s="2528">
        <v>156703000</v>
      </c>
      <c r="O976" s="2316"/>
      <c r="P976" s="2282"/>
      <c r="Q976" s="2316"/>
      <c r="R976" s="1393"/>
      <c r="S976" s="1374"/>
      <c r="T976" s="1393"/>
      <c r="U976" s="1374"/>
      <c r="V976" s="2496"/>
      <c r="W976" s="1374"/>
      <c r="X976" s="1374"/>
      <c r="Y976" s="3166">
        <f t="shared" si="310"/>
        <v>0</v>
      </c>
      <c r="Z976" s="2307">
        <f>R976+T976+V976+X976</f>
        <v>0</v>
      </c>
      <c r="AA976" s="1396">
        <f t="shared" si="311"/>
        <v>2</v>
      </c>
      <c r="AB976" s="2615">
        <f t="shared" si="311"/>
        <v>156703000</v>
      </c>
      <c r="AC976" s="2616">
        <f t="shared" si="312"/>
        <v>33.333333333333329</v>
      </c>
      <c r="AD976" s="2617">
        <f t="shared" si="313"/>
        <v>16.666666666666664</v>
      </c>
      <c r="AE976" s="3187"/>
      <c r="AF976" s="2318"/>
      <c r="AG976" s="2318"/>
      <c r="AH976" s="2318"/>
      <c r="AI976" s="2318"/>
      <c r="AJ976" s="2318"/>
      <c r="AK976" s="2318"/>
      <c r="AL976" s="2318"/>
      <c r="AM976" s="2318"/>
      <c r="AN976" s="2318"/>
      <c r="AO976" s="2318"/>
      <c r="AP976" s="2318"/>
      <c r="AQ976" s="2318"/>
      <c r="AR976" s="2318"/>
      <c r="AS976" s="2318"/>
      <c r="AT976" s="2318"/>
      <c r="AU976" s="2318"/>
      <c r="AV976" s="2318"/>
      <c r="AW976" s="2318"/>
      <c r="AX976" s="2318"/>
      <c r="AY976" s="2318"/>
      <c r="AZ976" s="2318"/>
      <c r="BA976" s="2318"/>
      <c r="BB976" s="2318"/>
      <c r="BC976" s="2318"/>
      <c r="BD976" s="2318"/>
      <c r="BE976" s="2318"/>
      <c r="BF976" s="2318"/>
      <c r="BG976" s="2318"/>
      <c r="BH976" s="2318"/>
      <c r="BI976" s="2318"/>
      <c r="BJ976" s="2318"/>
      <c r="BK976" s="2318"/>
      <c r="BL976" s="2318"/>
      <c r="BM976" s="2318"/>
      <c r="BN976" s="2318"/>
      <c r="BO976" s="2318"/>
      <c r="BP976" s="2318"/>
      <c r="BQ976" s="2318"/>
      <c r="BR976" s="2318"/>
      <c r="BS976" s="2318"/>
      <c r="BT976" s="2318"/>
      <c r="BU976" s="2318"/>
      <c r="BV976" s="2318"/>
      <c r="BW976" s="2318"/>
      <c r="BX976" s="2318"/>
    </row>
    <row r="977" spans="1:76" s="2608" customFormat="1" ht="53.25" customHeight="1">
      <c r="A977" s="1389"/>
      <c r="B977" s="2516"/>
      <c r="C977" s="1381"/>
      <c r="D977" s="1381"/>
      <c r="E977" s="1381"/>
      <c r="F977" s="1381"/>
      <c r="G977" s="1381"/>
      <c r="H977" s="1381">
        <v>17</v>
      </c>
      <c r="I977" s="2516" t="s">
        <v>3669</v>
      </c>
      <c r="J977" s="2516" t="s">
        <v>3670</v>
      </c>
      <c r="K977" s="3096" t="s">
        <v>3671</v>
      </c>
      <c r="L977" s="2528">
        <v>590000</v>
      </c>
      <c r="M977" s="3095" t="s">
        <v>3672</v>
      </c>
      <c r="N977" s="2528">
        <v>33700000</v>
      </c>
      <c r="O977" s="1396">
        <v>30</v>
      </c>
      <c r="P977" s="2286">
        <v>36404000</v>
      </c>
      <c r="Q977" s="1396">
        <v>0</v>
      </c>
      <c r="R977" s="3019" t="s">
        <v>154</v>
      </c>
      <c r="S977" s="2516">
        <v>30</v>
      </c>
      <c r="T977" s="1387">
        <v>34633000</v>
      </c>
      <c r="U977" s="1374"/>
      <c r="V977" s="2496">
        <v>0</v>
      </c>
      <c r="W977" s="1374"/>
      <c r="X977" s="1374"/>
      <c r="Y977" s="3166">
        <f t="shared" si="310"/>
        <v>30</v>
      </c>
      <c r="Z977" s="2307">
        <f>SUM(T977)</f>
        <v>34633000</v>
      </c>
      <c r="AA977" s="1396">
        <f t="shared" si="311"/>
        <v>90</v>
      </c>
      <c r="AB977" s="2615">
        <f t="shared" si="311"/>
        <v>68333000</v>
      </c>
      <c r="AC977" s="2616">
        <f t="shared" si="312"/>
        <v>15</v>
      </c>
      <c r="AD977" s="3098">
        <f t="shared" si="313"/>
        <v>11581.864406779661</v>
      </c>
      <c r="AE977" s="3187"/>
      <c r="AF977" s="2318"/>
      <c r="AG977" s="2318"/>
      <c r="AH977" s="2318"/>
      <c r="AI977" s="2318"/>
      <c r="AJ977" s="2318"/>
      <c r="AK977" s="2318"/>
      <c r="AL977" s="2318"/>
      <c r="AM977" s="2318"/>
      <c r="AN977" s="2318"/>
      <c r="AO977" s="2318"/>
      <c r="AP977" s="2318"/>
      <c r="AQ977" s="2318"/>
      <c r="AR977" s="2318"/>
      <c r="AS977" s="2318"/>
      <c r="AT977" s="2318"/>
      <c r="AU977" s="2318"/>
      <c r="AV977" s="2318"/>
      <c r="AW977" s="2318"/>
      <c r="AX977" s="2318"/>
      <c r="AY977" s="2318"/>
      <c r="AZ977" s="2318"/>
      <c r="BA977" s="2318"/>
      <c r="BB977" s="2318"/>
      <c r="BC977" s="2318"/>
      <c r="BD977" s="2318"/>
      <c r="BE977" s="2318"/>
      <c r="BF977" s="2318"/>
      <c r="BG977" s="2318"/>
      <c r="BH977" s="2318"/>
      <c r="BI977" s="2318"/>
      <c r="BJ977" s="2318"/>
      <c r="BK977" s="2318"/>
      <c r="BL977" s="2318"/>
      <c r="BM977" s="2318"/>
      <c r="BN977" s="2318"/>
      <c r="BO977" s="2318"/>
      <c r="BP977" s="2318"/>
      <c r="BQ977" s="2318"/>
      <c r="BR977" s="2318"/>
      <c r="BS977" s="2318"/>
      <c r="BT977" s="2318"/>
      <c r="BU977" s="2318"/>
      <c r="BV977" s="2318"/>
      <c r="BW977" s="2318"/>
      <c r="BX977" s="2318"/>
    </row>
    <row r="978" spans="1:76" s="2608" customFormat="1" ht="53.25" customHeight="1">
      <c r="A978" s="1389"/>
      <c r="B978" s="2516"/>
      <c r="C978" s="1381"/>
      <c r="D978" s="1381"/>
      <c r="E978" s="1381"/>
      <c r="F978" s="1381"/>
      <c r="G978" s="1381"/>
      <c r="H978" s="1381" t="s">
        <v>67</v>
      </c>
      <c r="I978" s="2516" t="s">
        <v>3673</v>
      </c>
      <c r="J978" s="2516" t="s">
        <v>3973</v>
      </c>
      <c r="K978" s="3096" t="s">
        <v>3674</v>
      </c>
      <c r="L978" s="2528">
        <v>1440000</v>
      </c>
      <c r="M978" s="3095" t="s">
        <v>3675</v>
      </c>
      <c r="N978" s="2528">
        <v>296546000</v>
      </c>
      <c r="O978" s="1396">
        <v>80</v>
      </c>
      <c r="P978" s="2286">
        <v>200000000</v>
      </c>
      <c r="Q978" s="1396">
        <v>0</v>
      </c>
      <c r="R978" s="3019" t="s">
        <v>154</v>
      </c>
      <c r="S978" s="1781" t="s">
        <v>2034</v>
      </c>
      <c r="T978" s="3019" t="s">
        <v>154</v>
      </c>
      <c r="U978" s="1374">
        <v>40</v>
      </c>
      <c r="V978" s="2496">
        <v>97576000</v>
      </c>
      <c r="W978" s="1374"/>
      <c r="X978" s="1374"/>
      <c r="Y978" s="3166">
        <f t="shared" si="310"/>
        <v>40</v>
      </c>
      <c r="Z978" s="2307">
        <f>V978</f>
        <v>97576000</v>
      </c>
      <c r="AA978" s="1396">
        <f>M978+Y978</f>
        <v>175</v>
      </c>
      <c r="AB978" s="2615">
        <f>SUM(N978)</f>
        <v>296546000</v>
      </c>
      <c r="AC978" s="2616">
        <f t="shared" si="312"/>
        <v>43.75</v>
      </c>
      <c r="AD978" s="3098">
        <f t="shared" si="313"/>
        <v>20593.472222222223</v>
      </c>
      <c r="AE978" s="3187"/>
      <c r="AF978" s="2318"/>
      <c r="AG978" s="2318"/>
      <c r="AH978" s="2318"/>
      <c r="AI978" s="2318"/>
      <c r="AJ978" s="2318"/>
      <c r="AK978" s="2318"/>
      <c r="AL978" s="2318"/>
      <c r="AM978" s="2318"/>
      <c r="AN978" s="2318"/>
      <c r="AO978" s="2318"/>
      <c r="AP978" s="2318"/>
      <c r="AQ978" s="2318"/>
      <c r="AR978" s="2318"/>
      <c r="AS978" s="2318"/>
      <c r="AT978" s="2318"/>
      <c r="AU978" s="2318"/>
      <c r="AV978" s="2318"/>
      <c r="AW978" s="2318"/>
      <c r="AX978" s="2318"/>
      <c r="AY978" s="2318"/>
      <c r="AZ978" s="2318"/>
      <c r="BA978" s="2318"/>
      <c r="BB978" s="2318"/>
      <c r="BC978" s="2318"/>
      <c r="BD978" s="2318"/>
      <c r="BE978" s="2318"/>
      <c r="BF978" s="2318"/>
      <c r="BG978" s="2318"/>
      <c r="BH978" s="2318"/>
      <c r="BI978" s="2318"/>
      <c r="BJ978" s="2318"/>
      <c r="BK978" s="2318"/>
      <c r="BL978" s="2318"/>
      <c r="BM978" s="2318"/>
      <c r="BN978" s="2318"/>
      <c r="BO978" s="2318"/>
      <c r="BP978" s="2318"/>
      <c r="BQ978" s="2318"/>
      <c r="BR978" s="2318"/>
      <c r="BS978" s="2318"/>
      <c r="BT978" s="2318"/>
      <c r="BU978" s="2318"/>
      <c r="BV978" s="2318"/>
      <c r="BW978" s="2318"/>
      <c r="BX978" s="2318"/>
    </row>
    <row r="979" spans="1:76" s="2608" customFormat="1" ht="53.25" customHeight="1">
      <c r="A979" s="1389"/>
      <c r="B979" s="2516"/>
      <c r="C979" s="1381"/>
      <c r="D979" s="1381"/>
      <c r="E979" s="1381"/>
      <c r="F979" s="1381"/>
      <c r="G979" s="1381"/>
      <c r="H979" s="1381" t="s">
        <v>165</v>
      </c>
      <c r="I979" s="2516" t="s">
        <v>3676</v>
      </c>
      <c r="J979" s="2516" t="s">
        <v>3677</v>
      </c>
      <c r="K979" s="3096" t="s">
        <v>3671</v>
      </c>
      <c r="L979" s="2528">
        <v>594031</v>
      </c>
      <c r="M979" s="3095" t="s">
        <v>3678</v>
      </c>
      <c r="N979" s="2528">
        <v>91497000</v>
      </c>
      <c r="O979" s="1396">
        <v>90</v>
      </c>
      <c r="P979" s="2286">
        <v>49751000</v>
      </c>
      <c r="Q979" s="1396"/>
      <c r="R979" s="1387">
        <v>500000</v>
      </c>
      <c r="S979" s="2516">
        <v>30</v>
      </c>
      <c r="T979" s="1387">
        <v>5057000</v>
      </c>
      <c r="U979" s="1374">
        <v>30</v>
      </c>
      <c r="V979" s="2496">
        <v>12314000</v>
      </c>
      <c r="W979" s="1374"/>
      <c r="X979" s="1374"/>
      <c r="Y979" s="3166">
        <f t="shared" si="310"/>
        <v>60</v>
      </c>
      <c r="Z979" s="2307">
        <f>R979+T979+V979</f>
        <v>17871000</v>
      </c>
      <c r="AA979" s="1396">
        <f>M979+Y979</f>
        <v>180</v>
      </c>
      <c r="AB979" s="2615">
        <f>SUM(N979+Z979)</f>
        <v>109368000</v>
      </c>
      <c r="AC979" s="2616">
        <f t="shared" si="312"/>
        <v>30</v>
      </c>
      <c r="AD979" s="3099">
        <f t="shared" si="313"/>
        <v>18411.160360317896</v>
      </c>
      <c r="AE979" s="3187"/>
      <c r="AF979" s="2318"/>
      <c r="AG979" s="2318"/>
      <c r="AH979" s="2318"/>
      <c r="AI979" s="2318"/>
      <c r="AJ979" s="2318"/>
      <c r="AK979" s="2318"/>
      <c r="AL979" s="2318"/>
      <c r="AM979" s="2318"/>
      <c r="AN979" s="2318"/>
      <c r="AO979" s="2318"/>
      <c r="AP979" s="2318"/>
      <c r="AQ979" s="2318"/>
      <c r="AR979" s="2318"/>
      <c r="AS979" s="2318"/>
      <c r="AT979" s="2318"/>
      <c r="AU979" s="2318"/>
      <c r="AV979" s="2318"/>
      <c r="AW979" s="2318"/>
      <c r="AX979" s="2318"/>
      <c r="AY979" s="2318"/>
      <c r="AZ979" s="2318"/>
      <c r="BA979" s="2318"/>
      <c r="BB979" s="2318"/>
      <c r="BC979" s="2318"/>
      <c r="BD979" s="2318"/>
      <c r="BE979" s="2318"/>
      <c r="BF979" s="2318"/>
      <c r="BG979" s="2318"/>
      <c r="BH979" s="2318"/>
      <c r="BI979" s="2318"/>
      <c r="BJ979" s="2318"/>
      <c r="BK979" s="2318"/>
      <c r="BL979" s="2318"/>
      <c r="BM979" s="2318"/>
      <c r="BN979" s="2318"/>
      <c r="BO979" s="2318"/>
      <c r="BP979" s="2318"/>
      <c r="BQ979" s="2318"/>
      <c r="BR979" s="2318"/>
      <c r="BS979" s="2318"/>
      <c r="BT979" s="2318"/>
      <c r="BU979" s="2318"/>
      <c r="BV979" s="2318"/>
      <c r="BW979" s="2318"/>
      <c r="BX979" s="2318"/>
    </row>
    <row r="980" spans="1:76" s="2271" customFormat="1" ht="53.25" customHeight="1">
      <c r="A980" s="2570">
        <v>6</v>
      </c>
      <c r="B980" s="2335"/>
      <c r="C980" s="2567"/>
      <c r="D980" s="2567"/>
      <c r="E980" s="2567"/>
      <c r="F980" s="2567"/>
      <c r="G980" s="2567"/>
      <c r="H980" s="2567"/>
      <c r="I980" s="2335" t="s">
        <v>3679</v>
      </c>
      <c r="J980" s="2335" t="s">
        <v>3680</v>
      </c>
      <c r="K980" s="4139">
        <v>0.51</v>
      </c>
      <c r="L980" s="2609">
        <f>SUM(L981:L987)</f>
        <v>1653573862</v>
      </c>
      <c r="M980" s="2377">
        <v>0.43</v>
      </c>
      <c r="N980" s="2609">
        <f>SUM(N982:N987)</f>
        <v>380112000</v>
      </c>
      <c r="O980" s="4011"/>
      <c r="P980" s="2442">
        <f>SUM(P982:P986)</f>
        <v>372162192</v>
      </c>
      <c r="Q980" s="4011"/>
      <c r="R980" s="2340">
        <f>SUM(R981:R987)</f>
        <v>10944000</v>
      </c>
      <c r="S980" s="2335"/>
      <c r="T980" s="2340">
        <f>SUM(T983:T987)</f>
        <v>94422000</v>
      </c>
      <c r="U980" s="2335"/>
      <c r="V980" s="2342">
        <f>SUM(V981:V987)</f>
        <v>163672700</v>
      </c>
      <c r="W980" s="2335"/>
      <c r="X980" s="2335"/>
      <c r="Y980" s="2543">
        <f t="shared" si="310"/>
        <v>0</v>
      </c>
      <c r="Z980" s="2342">
        <f>R980+T980+V980+X980</f>
        <v>269038700</v>
      </c>
      <c r="AA980" s="4011">
        <f>M980+Y980</f>
        <v>0.43</v>
      </c>
      <c r="AB980" s="2571">
        <f>N980+Z980</f>
        <v>649150700</v>
      </c>
      <c r="AC980" s="2610">
        <f>AA980/K980*100</f>
        <v>84.313725490196077</v>
      </c>
      <c r="AD980" s="4141">
        <f t="shared" si="313"/>
        <v>39.257435964478255</v>
      </c>
      <c r="AE980" s="3184" t="s">
        <v>2058</v>
      </c>
      <c r="AF980" s="2620"/>
      <c r="AG980" s="2620"/>
      <c r="AH980" s="2620"/>
      <c r="AI980" s="2620"/>
      <c r="AJ980" s="2620"/>
      <c r="AK980" s="2620"/>
      <c r="AL980" s="2620"/>
      <c r="AM980" s="2620"/>
      <c r="AN980" s="2620"/>
      <c r="AO980" s="2620"/>
      <c r="AP980" s="2620"/>
      <c r="AQ980" s="2620"/>
      <c r="AR980" s="2620"/>
      <c r="AS980" s="2620"/>
      <c r="AT980" s="2620"/>
      <c r="AU980" s="2620"/>
      <c r="AV980" s="2620"/>
      <c r="AW980" s="2620"/>
      <c r="AX980" s="2620"/>
      <c r="AY980" s="2620"/>
      <c r="AZ980" s="2620"/>
      <c r="BA980" s="2620"/>
      <c r="BB980" s="2620"/>
      <c r="BC980" s="2620"/>
      <c r="BD980" s="2620"/>
      <c r="BE980" s="2620"/>
      <c r="BF980" s="2620"/>
      <c r="BG980" s="2620"/>
      <c r="BH980" s="2620"/>
      <c r="BI980" s="2620"/>
      <c r="BJ980" s="2620"/>
      <c r="BK980" s="2620"/>
      <c r="BL980" s="2620"/>
      <c r="BM980" s="2620"/>
      <c r="BN980" s="2620"/>
      <c r="BO980" s="2620"/>
      <c r="BP980" s="2620"/>
      <c r="BQ980" s="2620"/>
      <c r="BR980" s="2620"/>
      <c r="BS980" s="2620"/>
      <c r="BT980" s="2620"/>
      <c r="BU980" s="2620"/>
      <c r="BV980" s="2620"/>
      <c r="BW980" s="2620"/>
      <c r="BX980" s="2620"/>
    </row>
    <row r="981" spans="1:76" s="2608" customFormat="1" ht="53.25" customHeight="1">
      <c r="A981" s="2355"/>
      <c r="B981" s="2345"/>
      <c r="C981" s="2352"/>
      <c r="D981" s="2352"/>
      <c r="E981" s="2352"/>
      <c r="F981" s="2352"/>
      <c r="G981" s="2352"/>
      <c r="H981" s="2352"/>
      <c r="I981" s="2335"/>
      <c r="J981" s="2335" t="s">
        <v>3974</v>
      </c>
      <c r="K981" s="4140" t="s">
        <v>515</v>
      </c>
      <c r="L981" s="2609"/>
      <c r="M981" s="2700" t="s">
        <v>417</v>
      </c>
      <c r="N981" s="2609"/>
      <c r="O981" s="4011"/>
      <c r="P981" s="2442"/>
      <c r="Q981" s="4011"/>
      <c r="R981" s="2340"/>
      <c r="S981" s="2335"/>
      <c r="T981" s="2340"/>
      <c r="U981" s="2335"/>
      <c r="V981" s="2342"/>
      <c r="W981" s="2335"/>
      <c r="X981" s="2335"/>
      <c r="Y981" s="2543"/>
      <c r="Z981" s="2342"/>
      <c r="AA981" s="4011"/>
      <c r="AB981" s="2571"/>
      <c r="AC981" s="2610"/>
      <c r="AD981" s="2611"/>
      <c r="AE981" s="3184"/>
      <c r="AF981" s="2318"/>
      <c r="AG981" s="2318"/>
      <c r="AH981" s="2318"/>
      <c r="AI981" s="2318"/>
      <c r="AJ981" s="2318"/>
      <c r="AK981" s="2318"/>
      <c r="AL981" s="2318"/>
      <c r="AM981" s="2318"/>
      <c r="AN981" s="2318"/>
      <c r="AO981" s="2318"/>
      <c r="AP981" s="2318"/>
      <c r="AQ981" s="2318"/>
      <c r="AR981" s="2318"/>
      <c r="AS981" s="2318"/>
      <c r="AT981" s="2318"/>
      <c r="AU981" s="2318"/>
      <c r="AV981" s="2318"/>
      <c r="AW981" s="2318"/>
      <c r="AX981" s="2318"/>
      <c r="AY981" s="2318"/>
      <c r="AZ981" s="2318"/>
      <c r="BA981" s="2318"/>
      <c r="BB981" s="2318"/>
      <c r="BC981" s="2318"/>
      <c r="BD981" s="2318"/>
      <c r="BE981" s="2318"/>
      <c r="BF981" s="2318"/>
      <c r="BG981" s="2318"/>
      <c r="BH981" s="2318"/>
      <c r="BI981" s="2318"/>
      <c r="BJ981" s="2318"/>
      <c r="BK981" s="2318"/>
      <c r="BL981" s="2318"/>
      <c r="BM981" s="2318"/>
      <c r="BN981" s="2318"/>
      <c r="BO981" s="2318"/>
      <c r="BP981" s="2318"/>
      <c r="BQ981" s="2318"/>
      <c r="BR981" s="2318"/>
      <c r="BS981" s="2318"/>
      <c r="BT981" s="2318"/>
      <c r="BU981" s="2318"/>
      <c r="BV981" s="2318"/>
      <c r="BW981" s="2318"/>
      <c r="BX981" s="2318"/>
    </row>
    <row r="982" spans="1:76" s="2608" customFormat="1" ht="53.25" customHeight="1">
      <c r="A982" s="1389"/>
      <c r="B982" s="2516"/>
      <c r="C982" s="1381"/>
      <c r="D982" s="1381"/>
      <c r="E982" s="1381"/>
      <c r="F982" s="1381"/>
      <c r="G982" s="1381"/>
      <c r="H982" s="1381" t="s">
        <v>95</v>
      </c>
      <c r="I982" s="2516" t="s">
        <v>3681</v>
      </c>
      <c r="J982" s="2516" t="s">
        <v>3682</v>
      </c>
      <c r="K982" s="3096" t="s">
        <v>3683</v>
      </c>
      <c r="L982" s="2528">
        <v>303432</v>
      </c>
      <c r="M982" s="3095" t="s">
        <v>3672</v>
      </c>
      <c r="N982" s="3097">
        <v>21642000</v>
      </c>
      <c r="O982" s="2283" t="s">
        <v>3672</v>
      </c>
      <c r="P982" s="2286">
        <v>26447579</v>
      </c>
      <c r="Q982" s="1396"/>
      <c r="R982" s="1393"/>
      <c r="S982" s="1374"/>
      <c r="T982" s="1393"/>
      <c r="U982" s="1374"/>
      <c r="V982" s="2496">
        <v>1600000</v>
      </c>
      <c r="W982" s="1374"/>
      <c r="X982" s="1374"/>
      <c r="Y982" s="3166">
        <v>0</v>
      </c>
      <c r="Z982" s="3100">
        <f>SUM(V982)</f>
        <v>1600000</v>
      </c>
      <c r="AA982" s="2590"/>
      <c r="AB982" s="2615">
        <f>SUM(N982)</f>
        <v>21642000</v>
      </c>
      <c r="AC982" s="2616">
        <f>AA982/K982*100</f>
        <v>0</v>
      </c>
      <c r="AD982" s="3098">
        <f>AB982/L982*100</f>
        <v>7132.4052835561179</v>
      </c>
      <c r="AE982" s="3187"/>
      <c r="AF982" s="2318"/>
      <c r="AG982" s="2318"/>
      <c r="AH982" s="2318"/>
      <c r="AI982" s="2318"/>
      <c r="AJ982" s="2318"/>
      <c r="AK982" s="2318"/>
      <c r="AL982" s="2318"/>
      <c r="AM982" s="2318"/>
      <c r="AN982" s="2318"/>
      <c r="AO982" s="2318"/>
      <c r="AP982" s="2318"/>
      <c r="AQ982" s="2318"/>
      <c r="AR982" s="2318"/>
      <c r="AS982" s="2318"/>
      <c r="AT982" s="2318"/>
      <c r="AU982" s="2318"/>
      <c r="AV982" s="2318"/>
      <c r="AW982" s="2318"/>
      <c r="AX982" s="2318"/>
      <c r="AY982" s="2318"/>
      <c r="AZ982" s="2318"/>
      <c r="BA982" s="2318"/>
      <c r="BB982" s="2318"/>
      <c r="BC982" s="2318"/>
      <c r="BD982" s="2318"/>
      <c r="BE982" s="2318"/>
      <c r="BF982" s="2318"/>
      <c r="BG982" s="2318"/>
      <c r="BH982" s="2318"/>
      <c r="BI982" s="2318"/>
      <c r="BJ982" s="2318"/>
      <c r="BK982" s="2318"/>
      <c r="BL982" s="2318"/>
      <c r="BM982" s="2318"/>
      <c r="BN982" s="2318"/>
      <c r="BO982" s="2318"/>
      <c r="BP982" s="2318"/>
      <c r="BQ982" s="2318"/>
      <c r="BR982" s="2318"/>
      <c r="BS982" s="2318"/>
      <c r="BT982" s="2318"/>
      <c r="BU982" s="2318"/>
      <c r="BV982" s="2318"/>
      <c r="BW982" s="2318"/>
      <c r="BX982" s="2318"/>
    </row>
    <row r="983" spans="1:76" s="2608" customFormat="1" ht="53.25" customHeight="1">
      <c r="A983" s="1389"/>
      <c r="B983" s="2516"/>
      <c r="C983" s="1381"/>
      <c r="D983" s="1381"/>
      <c r="E983" s="1381"/>
      <c r="F983" s="1381"/>
      <c r="G983" s="1381"/>
      <c r="H983" s="1381" t="s">
        <v>161</v>
      </c>
      <c r="I983" s="2516" t="s">
        <v>3684</v>
      </c>
      <c r="J983" s="2516" t="s">
        <v>3685</v>
      </c>
      <c r="K983" s="3096" t="s">
        <v>167</v>
      </c>
      <c r="L983" s="2528">
        <f>5*P983</f>
        <v>1165608430</v>
      </c>
      <c r="M983" s="3095" t="s">
        <v>3668</v>
      </c>
      <c r="N983" s="3097">
        <v>105628000</v>
      </c>
      <c r="O983" s="2283">
        <v>3</v>
      </c>
      <c r="P983" s="2286">
        <v>233121686</v>
      </c>
      <c r="Q983" s="1396"/>
      <c r="R983" s="1387">
        <v>6914000</v>
      </c>
      <c r="S983" s="2516"/>
      <c r="T983" s="1387">
        <v>57554000</v>
      </c>
      <c r="U983" s="1374">
        <v>3</v>
      </c>
      <c r="V983" s="2496">
        <v>101713500</v>
      </c>
      <c r="W983" s="1374"/>
      <c r="X983" s="1374"/>
      <c r="Y983" s="3166">
        <f>SUM(U983)</f>
        <v>3</v>
      </c>
      <c r="Z983" s="2307">
        <f>SUM(R983+T983+V983)</f>
        <v>166181500</v>
      </c>
      <c r="AA983" s="1396">
        <v>6</v>
      </c>
      <c r="AB983" s="2615">
        <f>SUM(N983+Z983)</f>
        <v>271809500</v>
      </c>
      <c r="AC983" s="2616">
        <f>AA983/K983*100</f>
        <v>33.333333333333329</v>
      </c>
      <c r="AD983" s="3098">
        <f>AB983/L983*100</f>
        <v>23.319108973842955</v>
      </c>
      <c r="AE983" s="3187"/>
      <c r="AF983" s="2318"/>
      <c r="AG983" s="2318"/>
      <c r="AH983" s="2318"/>
      <c r="AI983" s="2318"/>
      <c r="AJ983" s="2318"/>
      <c r="AK983" s="2318"/>
      <c r="AL983" s="2318"/>
      <c r="AM983" s="2318"/>
      <c r="AN983" s="2318"/>
      <c r="AO983" s="2318"/>
      <c r="AP983" s="2318"/>
      <c r="AQ983" s="2318"/>
      <c r="AR983" s="2318"/>
      <c r="AS983" s="2318"/>
      <c r="AT983" s="2318"/>
      <c r="AU983" s="2318"/>
      <c r="AV983" s="2318"/>
      <c r="AW983" s="2318"/>
      <c r="AX983" s="2318"/>
      <c r="AY983" s="2318"/>
      <c r="AZ983" s="2318"/>
      <c r="BA983" s="2318"/>
      <c r="BB983" s="2318"/>
      <c r="BC983" s="2318"/>
      <c r="BD983" s="2318"/>
      <c r="BE983" s="2318"/>
      <c r="BF983" s="2318"/>
      <c r="BG983" s="2318"/>
      <c r="BH983" s="2318"/>
      <c r="BI983" s="2318"/>
      <c r="BJ983" s="2318"/>
      <c r="BK983" s="2318"/>
      <c r="BL983" s="2318"/>
      <c r="BM983" s="2318"/>
      <c r="BN983" s="2318"/>
      <c r="BO983" s="2318"/>
      <c r="BP983" s="2318"/>
      <c r="BQ983" s="2318"/>
      <c r="BR983" s="2318"/>
      <c r="BS983" s="2318"/>
      <c r="BT983" s="2318"/>
      <c r="BU983" s="2318"/>
      <c r="BV983" s="2318"/>
      <c r="BW983" s="2318"/>
      <c r="BX983" s="2318"/>
    </row>
    <row r="984" spans="1:76" s="2608" customFormat="1" ht="53.25" customHeight="1">
      <c r="A984" s="1389"/>
      <c r="B984" s="2516"/>
      <c r="C984" s="1381"/>
      <c r="D984" s="1381"/>
      <c r="E984" s="1381"/>
      <c r="F984" s="1381"/>
      <c r="G984" s="1381"/>
      <c r="H984" s="1381"/>
      <c r="I984" s="2516"/>
      <c r="J984" s="2516" t="s">
        <v>3686</v>
      </c>
      <c r="K984" s="3096" t="s">
        <v>3687</v>
      </c>
      <c r="L984" s="2528"/>
      <c r="M984" s="3095" t="s">
        <v>3688</v>
      </c>
      <c r="N984" s="3097"/>
      <c r="O984" s="2283" t="s">
        <v>3672</v>
      </c>
      <c r="P984" s="2286"/>
      <c r="Q984" s="2283" t="s">
        <v>202</v>
      </c>
      <c r="R984" s="1387"/>
      <c r="S984" s="2283" t="s">
        <v>515</v>
      </c>
      <c r="T984" s="1387"/>
      <c r="U984" s="1374">
        <v>45</v>
      </c>
      <c r="V984" s="2496">
        <v>0</v>
      </c>
      <c r="W984" s="1374"/>
      <c r="X984" s="1374"/>
      <c r="Y984" s="3165"/>
      <c r="Z984" s="2496"/>
      <c r="AA984" s="2316"/>
      <c r="AB984" s="2500"/>
      <c r="AC984" s="2616">
        <f>AA984/K984*100</f>
        <v>0</v>
      </c>
      <c r="AD984" s="3099">
        <v>0</v>
      </c>
      <c r="AE984" s="3187"/>
      <c r="AF984" s="2318"/>
      <c r="AG984" s="2318"/>
      <c r="AH984" s="2318"/>
      <c r="AI984" s="2318"/>
      <c r="AJ984" s="2318"/>
      <c r="AK984" s="2318"/>
      <c r="AL984" s="2318"/>
      <c r="AM984" s="2318"/>
      <c r="AN984" s="2318"/>
      <c r="AO984" s="2318"/>
      <c r="AP984" s="2318"/>
      <c r="AQ984" s="2318"/>
      <c r="AR984" s="2318"/>
      <c r="AS984" s="2318"/>
      <c r="AT984" s="2318"/>
      <c r="AU984" s="2318"/>
      <c r="AV984" s="2318"/>
      <c r="AW984" s="2318"/>
      <c r="AX984" s="2318"/>
      <c r="AY984" s="2318"/>
      <c r="AZ984" s="2318"/>
      <c r="BA984" s="2318"/>
      <c r="BB984" s="2318"/>
      <c r="BC984" s="2318"/>
      <c r="BD984" s="2318"/>
      <c r="BE984" s="2318"/>
      <c r="BF984" s="2318"/>
      <c r="BG984" s="2318"/>
      <c r="BH984" s="2318"/>
      <c r="BI984" s="2318"/>
      <c r="BJ984" s="2318"/>
      <c r="BK984" s="2318"/>
      <c r="BL984" s="2318"/>
      <c r="BM984" s="2318"/>
      <c r="BN984" s="2318"/>
      <c r="BO984" s="2318"/>
      <c r="BP984" s="2318"/>
      <c r="BQ984" s="2318"/>
      <c r="BR984" s="2318"/>
      <c r="BS984" s="2318"/>
      <c r="BT984" s="2318"/>
      <c r="BU984" s="2318"/>
      <c r="BV984" s="2318"/>
      <c r="BW984" s="2318"/>
      <c r="BX984" s="2318"/>
    </row>
    <row r="985" spans="1:76" s="2608" customFormat="1" ht="53.25" customHeight="1">
      <c r="A985" s="1389"/>
      <c r="B985" s="2516"/>
      <c r="C985" s="1381"/>
      <c r="D985" s="1381"/>
      <c r="E985" s="1381"/>
      <c r="F985" s="1381"/>
      <c r="G985" s="1381"/>
      <c r="H985" s="1381">
        <v>11</v>
      </c>
      <c r="I985" s="2516" t="s">
        <v>3689</v>
      </c>
      <c r="J985" s="2516" t="s">
        <v>3975</v>
      </c>
      <c r="K985" s="3096" t="s">
        <v>3690</v>
      </c>
      <c r="L985" s="2528">
        <v>18280000</v>
      </c>
      <c r="M985" s="3095" t="s">
        <v>316</v>
      </c>
      <c r="N985" s="3097">
        <v>120353000</v>
      </c>
      <c r="O985" s="2283" t="s">
        <v>1087</v>
      </c>
      <c r="P985" s="2286">
        <v>62612979</v>
      </c>
      <c r="Q985" s="1396"/>
      <c r="R985" s="1387"/>
      <c r="S985" s="2283" t="s">
        <v>376</v>
      </c>
      <c r="T985" s="1387">
        <v>26060000</v>
      </c>
      <c r="U985" s="1374">
        <v>20</v>
      </c>
      <c r="V985" s="2496">
        <v>27649200</v>
      </c>
      <c r="W985" s="1374"/>
      <c r="X985" s="1374"/>
      <c r="Y985" s="3166">
        <f>SUM(S985+U985)</f>
        <v>40</v>
      </c>
      <c r="Z985" s="2307">
        <f>SUM(T985+V985)</f>
        <v>53709200</v>
      </c>
      <c r="AA985" s="1396">
        <v>90</v>
      </c>
      <c r="AB985" s="2615">
        <f>SUM(N985+Z985)</f>
        <v>174062200</v>
      </c>
      <c r="AC985" s="2616">
        <f>AA985/K985*100</f>
        <v>60</v>
      </c>
      <c r="AD985" s="3098">
        <f>AB985/L985*100</f>
        <v>952.20021881838068</v>
      </c>
      <c r="AE985" s="3187"/>
      <c r="AF985" s="2318"/>
      <c r="AG985" s="2318"/>
      <c r="AH985" s="2318"/>
      <c r="AI985" s="2318"/>
      <c r="AJ985" s="2318"/>
      <c r="AK985" s="2318"/>
      <c r="AL985" s="2318"/>
      <c r="AM985" s="2318"/>
      <c r="AN985" s="2318"/>
      <c r="AO985" s="2318"/>
      <c r="AP985" s="2318"/>
      <c r="AQ985" s="2318"/>
      <c r="AR985" s="2318"/>
      <c r="AS985" s="2318"/>
      <c r="AT985" s="2318"/>
      <c r="AU985" s="2318"/>
      <c r="AV985" s="2318"/>
      <c r="AW985" s="2318"/>
      <c r="AX985" s="2318"/>
      <c r="AY985" s="2318"/>
      <c r="AZ985" s="2318"/>
      <c r="BA985" s="2318"/>
      <c r="BB985" s="2318"/>
      <c r="BC985" s="2318"/>
      <c r="BD985" s="2318"/>
      <c r="BE985" s="2318"/>
      <c r="BF985" s="2318"/>
      <c r="BG985" s="2318"/>
      <c r="BH985" s="2318"/>
      <c r="BI985" s="2318"/>
      <c r="BJ985" s="2318"/>
      <c r="BK985" s="2318"/>
      <c r="BL985" s="2318"/>
      <c r="BM985" s="2318"/>
      <c r="BN985" s="2318"/>
      <c r="BO985" s="2318"/>
      <c r="BP985" s="2318"/>
      <c r="BQ985" s="2318"/>
      <c r="BR985" s="2318"/>
      <c r="BS985" s="2318"/>
      <c r="BT985" s="2318"/>
      <c r="BU985" s="2318"/>
      <c r="BV985" s="2318"/>
      <c r="BW985" s="2318"/>
      <c r="BX985" s="2318"/>
    </row>
    <row r="986" spans="1:76" s="2608" customFormat="1" ht="53.25" customHeight="1">
      <c r="A986" s="1389"/>
      <c r="B986" s="2516"/>
      <c r="C986" s="1381"/>
      <c r="D986" s="1381"/>
      <c r="E986" s="1381"/>
      <c r="F986" s="1381"/>
      <c r="G986" s="1381"/>
      <c r="H986" s="1381">
        <v>25</v>
      </c>
      <c r="I986" s="2516" t="s">
        <v>3691</v>
      </c>
      <c r="J986" s="2516" t="s">
        <v>3692</v>
      </c>
      <c r="K986" s="3096" t="s">
        <v>3683</v>
      </c>
      <c r="L986" s="2528">
        <v>182802000</v>
      </c>
      <c r="M986" s="3095" t="s">
        <v>3672</v>
      </c>
      <c r="N986" s="3097">
        <v>39323000</v>
      </c>
      <c r="O986" s="2283">
        <v>60</v>
      </c>
      <c r="P986" s="2286">
        <v>49979948</v>
      </c>
      <c r="Q986" s="1396"/>
      <c r="R986" s="1387">
        <v>4030000</v>
      </c>
      <c r="S986" s="1781">
        <v>15</v>
      </c>
      <c r="T986" s="1387">
        <v>10808000</v>
      </c>
      <c r="U986" s="1374">
        <v>25</v>
      </c>
      <c r="V986" s="2496">
        <v>32710000</v>
      </c>
      <c r="W986" s="1374"/>
      <c r="X986" s="1374"/>
      <c r="Y986" s="3166">
        <f>S986+U986</f>
        <v>40</v>
      </c>
      <c r="Z986" s="2307">
        <f>SUM(R986+T986+V986)</f>
        <v>47548000</v>
      </c>
      <c r="AA986" s="1396">
        <f>SUM(O986+S986)</f>
        <v>75</v>
      </c>
      <c r="AB986" s="2615">
        <f>SUM(N986+Z986)</f>
        <v>86871000</v>
      </c>
      <c r="AC986" s="2616">
        <f>AA986/K986*100</f>
        <v>25</v>
      </c>
      <c r="AD986" s="3098">
        <f>AB986/L986*100</f>
        <v>47.521908950667935</v>
      </c>
      <c r="AE986" s="3187"/>
      <c r="AF986" s="2318"/>
      <c r="AG986" s="2318"/>
      <c r="AH986" s="2318"/>
      <c r="AI986" s="2318"/>
      <c r="AJ986" s="2318"/>
      <c r="AK986" s="2318"/>
      <c r="AL986" s="2318"/>
      <c r="AM986" s="2318"/>
      <c r="AN986" s="2318"/>
      <c r="AO986" s="2318"/>
      <c r="AP986" s="2318"/>
      <c r="AQ986" s="2318"/>
      <c r="AR986" s="2318"/>
      <c r="AS986" s="2318"/>
      <c r="AT986" s="2318"/>
      <c r="AU986" s="2318"/>
      <c r="AV986" s="2318"/>
      <c r="AW986" s="2318"/>
      <c r="AX986" s="2318"/>
      <c r="AY986" s="2318"/>
      <c r="AZ986" s="2318"/>
      <c r="BA986" s="2318"/>
      <c r="BB986" s="2318"/>
      <c r="BC986" s="2318"/>
      <c r="BD986" s="2318"/>
      <c r="BE986" s="2318"/>
      <c r="BF986" s="2318"/>
      <c r="BG986" s="2318"/>
      <c r="BH986" s="2318"/>
      <c r="BI986" s="2318"/>
      <c r="BJ986" s="2318"/>
      <c r="BK986" s="2318"/>
      <c r="BL986" s="2318"/>
      <c r="BM986" s="2318"/>
      <c r="BN986" s="2318"/>
      <c r="BO986" s="2318"/>
      <c r="BP986" s="2318"/>
      <c r="BQ986" s="2318"/>
      <c r="BR986" s="2318"/>
      <c r="BS986" s="2318"/>
      <c r="BT986" s="2318"/>
      <c r="BU986" s="2318"/>
      <c r="BV986" s="2318"/>
      <c r="BW986" s="2318"/>
      <c r="BX986" s="2318"/>
    </row>
    <row r="987" spans="1:76" s="2608" customFormat="1" ht="53.25" customHeight="1">
      <c r="A987" s="1389"/>
      <c r="B987" s="2516"/>
      <c r="C987" s="1381"/>
      <c r="D987" s="1381"/>
      <c r="E987" s="1381"/>
      <c r="F987" s="1381"/>
      <c r="G987" s="1381"/>
      <c r="H987" s="1381">
        <v>27</v>
      </c>
      <c r="I987" s="2516" t="s">
        <v>3693</v>
      </c>
      <c r="J987" s="2516" t="s">
        <v>3976</v>
      </c>
      <c r="K987" s="3096" t="s">
        <v>3683</v>
      </c>
      <c r="L987" s="2528">
        <v>286580000</v>
      </c>
      <c r="M987" s="3095" t="s">
        <v>3678</v>
      </c>
      <c r="N987" s="3097">
        <v>93166000</v>
      </c>
      <c r="O987" s="2283"/>
      <c r="P987" s="2286"/>
      <c r="Q987" s="1396"/>
      <c r="R987" s="1387"/>
      <c r="S987" s="1781"/>
      <c r="T987" s="1387"/>
      <c r="U987" s="1374">
        <v>0</v>
      </c>
      <c r="V987" s="2496">
        <v>0</v>
      </c>
      <c r="W987" s="1374"/>
      <c r="X987" s="1374"/>
      <c r="Y987" s="3166">
        <v>0</v>
      </c>
      <c r="Z987" s="3100" t="s">
        <v>154</v>
      </c>
      <c r="AA987" s="3095" t="s">
        <v>3678</v>
      </c>
      <c r="AB987" s="2615">
        <f>SUM(N987)</f>
        <v>93166000</v>
      </c>
      <c r="AC987" s="2616">
        <f>AA987/K987*100</f>
        <v>40</v>
      </c>
      <c r="AD987" s="3098">
        <f>AB987/L987*100</f>
        <v>32.50959592434922</v>
      </c>
      <c r="AE987" s="3187"/>
      <c r="AF987" s="2318"/>
      <c r="AG987" s="2318"/>
      <c r="AH987" s="2318"/>
      <c r="AI987" s="2318"/>
      <c r="AJ987" s="2318"/>
      <c r="AK987" s="2318"/>
      <c r="AL987" s="2318"/>
      <c r="AM987" s="2318"/>
      <c r="AN987" s="2318"/>
      <c r="AO987" s="2318"/>
      <c r="AP987" s="2318"/>
      <c r="AQ987" s="2318"/>
      <c r="AR987" s="2318"/>
      <c r="AS987" s="2318"/>
      <c r="AT987" s="2318"/>
      <c r="AU987" s="2318"/>
      <c r="AV987" s="2318"/>
      <c r="AW987" s="2318"/>
      <c r="AX987" s="2318"/>
      <c r="AY987" s="2318"/>
      <c r="AZ987" s="2318"/>
      <c r="BA987" s="2318"/>
      <c r="BB987" s="2318"/>
      <c r="BC987" s="2318"/>
      <c r="BD987" s="2318"/>
      <c r="BE987" s="2318"/>
      <c r="BF987" s="2318"/>
      <c r="BG987" s="2318"/>
      <c r="BH987" s="2318"/>
      <c r="BI987" s="2318"/>
      <c r="BJ987" s="2318"/>
      <c r="BK987" s="2318"/>
      <c r="BL987" s="2318"/>
      <c r="BM987" s="2318"/>
      <c r="BN987" s="2318"/>
      <c r="BO987" s="2318"/>
      <c r="BP987" s="2318"/>
      <c r="BQ987" s="2318"/>
      <c r="BR987" s="2318"/>
      <c r="BS987" s="2318"/>
      <c r="BT987" s="2318"/>
      <c r="BU987" s="2318"/>
      <c r="BV987" s="2318"/>
      <c r="BW987" s="2318"/>
      <c r="BX987" s="2318"/>
    </row>
    <row r="988" spans="1:76" s="114" customFormat="1" ht="18.75" customHeight="1">
      <c r="A988" s="4308" t="s">
        <v>89</v>
      </c>
      <c r="B988" s="4308"/>
      <c r="C988" s="4309"/>
      <c r="D988" s="4309"/>
      <c r="E988" s="4309"/>
      <c r="F988" s="4309"/>
      <c r="G988" s="4309"/>
      <c r="H988" s="4309"/>
      <c r="I988" s="4309"/>
      <c r="J988" s="4309"/>
      <c r="K988" s="4309"/>
      <c r="L988" s="4309"/>
      <c r="M988" s="4309"/>
      <c r="N988" s="4309"/>
      <c r="O988" s="4309"/>
      <c r="P988" s="4309"/>
      <c r="Q988" s="4309"/>
      <c r="R988" s="4309"/>
      <c r="S988" s="4309"/>
      <c r="T988" s="4309"/>
      <c r="U988" s="4309"/>
      <c r="V988" s="4309"/>
      <c r="W988" s="4309"/>
      <c r="X988" s="4309"/>
      <c r="Y988" s="4309"/>
      <c r="Z988" s="4309"/>
      <c r="AA988" s="4309"/>
      <c r="AB988" s="4309"/>
      <c r="AC988" s="2423">
        <f>(AC950+AC962+AC967+AC969+AC973+AC980)/6</f>
        <v>43.524509803921568</v>
      </c>
      <c r="AD988" s="2423">
        <f>(AD950+AD962+AD967+AD969+AD973+AD980)/6</f>
        <v>37.031397455678352</v>
      </c>
      <c r="AE988" s="3183"/>
    </row>
    <row r="989" spans="1:76" s="475" customFormat="1" ht="15.75" customHeight="1">
      <c r="A989" s="4308" t="s">
        <v>90</v>
      </c>
      <c r="B989" s="4308"/>
      <c r="C989" s="4309"/>
      <c r="D989" s="4309"/>
      <c r="E989" s="4309"/>
      <c r="F989" s="4309"/>
      <c r="G989" s="4309"/>
      <c r="H989" s="4309"/>
      <c r="I989" s="4309"/>
      <c r="J989" s="4309"/>
      <c r="K989" s="4309"/>
      <c r="L989" s="4309"/>
      <c r="M989" s="4309"/>
      <c r="N989" s="4309"/>
      <c r="O989" s="4309"/>
      <c r="P989" s="4309"/>
      <c r="Q989" s="4309"/>
      <c r="R989" s="4309"/>
      <c r="S989" s="4309"/>
      <c r="T989" s="4309"/>
      <c r="U989" s="4309"/>
      <c r="V989" s="4309"/>
      <c r="W989" s="4309"/>
      <c r="X989" s="4309"/>
      <c r="Y989" s="4309"/>
      <c r="Z989" s="4309"/>
      <c r="AA989" s="4309"/>
      <c r="AB989" s="4309"/>
      <c r="AC989" s="3152" t="str">
        <f>IF(AC988&gt;=91,"ST",IF(AC988&gt;=76,"T",IF(AC988&gt;=66,"S",IF(AC988&gt;=51,"R","SR"))))</f>
        <v>SR</v>
      </c>
      <c r="AD989" s="3152" t="str">
        <f>IF(AD988&gt;=91,"ST",IF(AD988&gt;=76,"T",IF(AD988&gt;=66,"S",IF(AD988&gt;=51,"R","SR"))))</f>
        <v>SR</v>
      </c>
      <c r="AE989" s="3183"/>
    </row>
    <row r="990" spans="1:76" s="2271" customFormat="1" ht="41.25" customHeight="1">
      <c r="A990" s="2546" t="s">
        <v>3363</v>
      </c>
      <c r="B990" s="2918"/>
      <c r="C990" s="2546"/>
      <c r="D990" s="2546"/>
      <c r="E990" s="2546"/>
      <c r="F990" s="2546"/>
      <c r="G990" s="2546"/>
      <c r="H990" s="2546"/>
      <c r="I990" s="2515" t="s">
        <v>145</v>
      </c>
      <c r="J990" s="2918"/>
      <c r="K990" s="3210"/>
      <c r="L990" s="3194">
        <f>L991+L1005+L1010+L1013+L1020</f>
        <v>7844590268</v>
      </c>
      <c r="M990" s="3210"/>
      <c r="N990" s="3195">
        <f>N991+N1005+N1010+N1013+N1020</f>
        <v>1794440153</v>
      </c>
      <c r="O990" s="3210"/>
      <c r="P990" s="3195">
        <f>P991+P1005+P1010+P1013+P1020</f>
        <v>1772699669</v>
      </c>
      <c r="Q990" s="3210"/>
      <c r="R990" s="2916">
        <f>R991+R1005+R1010+R1013+R1020</f>
        <v>243975311</v>
      </c>
      <c r="S990" s="2918"/>
      <c r="T990" s="2916">
        <f>T991+T1005+T1010+T1013+T1020</f>
        <v>687754639</v>
      </c>
      <c r="U990" s="2918"/>
      <c r="V990" s="2916">
        <f>V991+V1005+V1010+V1013+V1020</f>
        <v>366048271</v>
      </c>
      <c r="W990" s="2918"/>
      <c r="X990" s="2918"/>
      <c r="Y990" s="3210">
        <f t="shared" ref="Y990:Y1024" si="314">Q990+S990+U990+W990</f>
        <v>0</v>
      </c>
      <c r="Z990" s="2916">
        <f t="shared" ref="Z990:Z1024" si="315">R990+T990+V990+X990</f>
        <v>1297778221</v>
      </c>
      <c r="AA990" s="3210"/>
      <c r="AB990" s="2916">
        <f>AB991+AB1005+AB1010+AB1013+AB1020</f>
        <v>3092218374</v>
      </c>
      <c r="AC990" s="3210"/>
      <c r="AD990" s="3210"/>
      <c r="AE990" s="3211"/>
      <c r="AF990" s="2620"/>
      <c r="AG990" s="2620"/>
      <c r="AH990" s="2620"/>
      <c r="AI990" s="2620"/>
      <c r="AJ990" s="2620"/>
      <c r="AK990" s="2620"/>
      <c r="AL990" s="2620"/>
      <c r="AM990" s="2620"/>
      <c r="AN990" s="2620"/>
      <c r="AO990" s="2620"/>
      <c r="AP990" s="2620"/>
      <c r="AQ990" s="2620"/>
      <c r="AR990" s="2620"/>
      <c r="AS990" s="2620"/>
      <c r="AT990" s="2620"/>
      <c r="AU990" s="2620"/>
      <c r="AV990" s="2620"/>
      <c r="AW990" s="2620"/>
      <c r="AX990" s="2620"/>
      <c r="AY990" s="2620"/>
      <c r="AZ990" s="2620"/>
      <c r="BA990" s="2620"/>
      <c r="BB990" s="2620"/>
      <c r="BC990" s="2620"/>
      <c r="BD990" s="2620"/>
      <c r="BE990" s="2620"/>
      <c r="BF990" s="2620"/>
      <c r="BG990" s="2620"/>
      <c r="BH990" s="2620"/>
      <c r="BI990" s="2620"/>
      <c r="BJ990" s="2620"/>
      <c r="BK990" s="2620"/>
      <c r="BL990" s="2620"/>
      <c r="BM990" s="2620"/>
      <c r="BN990" s="2620"/>
      <c r="BO990" s="2620"/>
      <c r="BP990" s="2620"/>
      <c r="BQ990" s="2620"/>
      <c r="BR990" s="2620"/>
      <c r="BS990" s="2620"/>
      <c r="BT990" s="2620"/>
      <c r="BU990" s="2620"/>
      <c r="BV990" s="2620"/>
      <c r="BW990" s="2620"/>
      <c r="BX990" s="2620"/>
    </row>
    <row r="991" spans="1:76" s="2608" customFormat="1" ht="61.5" customHeight="1">
      <c r="A991" s="2549">
        <v>1</v>
      </c>
      <c r="B991" s="2335" t="s">
        <v>1935</v>
      </c>
      <c r="C991" s="3029" t="s">
        <v>146</v>
      </c>
      <c r="D991" s="3029" t="s">
        <v>65</v>
      </c>
      <c r="E991" s="3029">
        <v>12</v>
      </c>
      <c r="F991" s="3799" t="s">
        <v>1936</v>
      </c>
      <c r="G991" s="3799"/>
      <c r="H991" s="3799"/>
      <c r="I991" s="2501" t="s">
        <v>520</v>
      </c>
      <c r="J991" s="2335" t="s">
        <v>3364</v>
      </c>
      <c r="K991" s="2412">
        <v>72</v>
      </c>
      <c r="L991" s="2523">
        <f>SUM(L992:L1003)</f>
        <v>3095812200</v>
      </c>
      <c r="M991" s="2412">
        <v>24</v>
      </c>
      <c r="N991" s="2523">
        <f>SUM(N992:N1003)</f>
        <v>652767385</v>
      </c>
      <c r="O991" s="2412">
        <v>12</v>
      </c>
      <c r="P991" s="2523">
        <f>SUM(P992:P1004)</f>
        <v>550131434</v>
      </c>
      <c r="Q991" s="2596">
        <v>3</v>
      </c>
      <c r="R991" s="2347">
        <f>SUM(R992:R1003)</f>
        <v>133602759</v>
      </c>
      <c r="S991" s="2928">
        <v>3</v>
      </c>
      <c r="T991" s="2347">
        <f>SUM(T992:T1004)</f>
        <v>291683402</v>
      </c>
      <c r="U991" s="2928">
        <v>3</v>
      </c>
      <c r="V991" s="2347">
        <f>SUM(V992:V1004)</f>
        <v>-7976322</v>
      </c>
      <c r="W991" s="2335"/>
      <c r="X991" s="2335"/>
      <c r="Y991" s="2672">
        <f t="shared" si="314"/>
        <v>9</v>
      </c>
      <c r="Z991" s="2342">
        <f t="shared" si="315"/>
        <v>417309839</v>
      </c>
      <c r="AA991" s="2412">
        <f t="shared" ref="AA991:AB1004" si="316">M991+Y991</f>
        <v>33</v>
      </c>
      <c r="AB991" s="2342">
        <f>N991+Z991</f>
        <v>1070077224</v>
      </c>
      <c r="AC991" s="2672">
        <f t="shared" ref="AC991:AC1004" si="317">AA991/K991*100</f>
        <v>45.833333333333329</v>
      </c>
      <c r="AD991" s="3022">
        <f t="shared" ref="AD991:AD1004" si="318">AB991/L991*100</f>
        <v>34.565314523923639</v>
      </c>
      <c r="AE991" s="3138" t="s">
        <v>1938</v>
      </c>
      <c r="AF991" s="3226"/>
      <c r="AG991" s="2318"/>
      <c r="AH991" s="2318"/>
      <c r="AI991" s="2318"/>
      <c r="AJ991" s="2318"/>
      <c r="AK991" s="2318"/>
      <c r="AL991" s="2318"/>
      <c r="AM991" s="2318"/>
      <c r="AN991" s="2318"/>
      <c r="AO991" s="2318"/>
      <c r="AP991" s="2318"/>
      <c r="AQ991" s="2318"/>
      <c r="AR991" s="2318"/>
      <c r="AS991" s="2318"/>
      <c r="AT991" s="2318"/>
      <c r="AU991" s="2318"/>
      <c r="AV991" s="2318"/>
      <c r="AW991" s="2318"/>
      <c r="AX991" s="2318"/>
      <c r="AY991" s="2318"/>
      <c r="AZ991" s="2318"/>
      <c r="BA991" s="2318"/>
      <c r="BB991" s="2318"/>
      <c r="BC991" s="2318"/>
      <c r="BD991" s="2318"/>
      <c r="BE991" s="2318"/>
      <c r="BF991" s="2318"/>
      <c r="BG991" s="2318"/>
      <c r="BH991" s="2318"/>
      <c r="BI991" s="2318"/>
      <c r="BJ991" s="2318"/>
      <c r="BK991" s="2318"/>
      <c r="BL991" s="2318"/>
      <c r="BM991" s="2318"/>
      <c r="BN991" s="2318"/>
      <c r="BO991" s="2318"/>
      <c r="BP991" s="2318"/>
      <c r="BQ991" s="2318"/>
      <c r="BR991" s="2318"/>
      <c r="BS991" s="2318"/>
      <c r="BT991" s="2318"/>
      <c r="BU991" s="2318"/>
      <c r="BV991" s="2318"/>
      <c r="BW991" s="2318"/>
      <c r="BX991" s="2318"/>
    </row>
    <row r="992" spans="1:76" s="2608" customFormat="1" ht="45" customHeight="1">
      <c r="A992" s="2632"/>
      <c r="B992" s="2632"/>
      <c r="C992" s="3030" t="s">
        <v>146</v>
      </c>
      <c r="D992" s="3030" t="s">
        <v>65</v>
      </c>
      <c r="E992" s="3030">
        <v>12</v>
      </c>
      <c r="F992" s="3031" t="s">
        <v>1936</v>
      </c>
      <c r="G992" s="3031"/>
      <c r="H992" s="3030" t="s">
        <v>65</v>
      </c>
      <c r="I992" s="3032" t="s">
        <v>147</v>
      </c>
      <c r="J992" s="3032" t="s">
        <v>3977</v>
      </c>
      <c r="K992" s="2399">
        <v>72</v>
      </c>
      <c r="L992" s="2388">
        <f>6*P992</f>
        <v>252000000</v>
      </c>
      <c r="M992" s="2399">
        <v>24</v>
      </c>
      <c r="N992" s="3033">
        <v>46344612</v>
      </c>
      <c r="O992" s="2399">
        <v>12</v>
      </c>
      <c r="P992" s="3033">
        <v>42000000</v>
      </c>
      <c r="Q992" s="2392">
        <v>3</v>
      </c>
      <c r="R992" s="1731">
        <v>4774559</v>
      </c>
      <c r="S992" s="3034">
        <v>3</v>
      </c>
      <c r="T992" s="1731">
        <v>17784549</v>
      </c>
      <c r="U992" s="3034">
        <v>3</v>
      </c>
      <c r="V992" s="2304">
        <v>10771378</v>
      </c>
      <c r="W992" s="2632"/>
      <c r="X992" s="2632"/>
      <c r="Y992" s="2390">
        <f t="shared" si="314"/>
        <v>9</v>
      </c>
      <c r="Z992" s="2304">
        <f t="shared" si="315"/>
        <v>33330486</v>
      </c>
      <c r="AA992" s="2399">
        <f t="shared" si="316"/>
        <v>33</v>
      </c>
      <c r="AB992" s="2304">
        <f t="shared" si="316"/>
        <v>79675098</v>
      </c>
      <c r="AC992" s="2390">
        <f t="shared" si="317"/>
        <v>45.833333333333329</v>
      </c>
      <c r="AD992" s="3035">
        <f t="shared" si="318"/>
        <v>31.617102380952382</v>
      </c>
      <c r="AE992" s="3160"/>
      <c r="AF992" s="2318"/>
      <c r="AG992" s="3259"/>
      <c r="AH992" s="3232"/>
      <c r="AI992" s="2318"/>
      <c r="AJ992" s="2318"/>
      <c r="AK992" s="2318"/>
      <c r="AL992" s="2318"/>
      <c r="AM992" s="2318"/>
      <c r="AN992" s="2318"/>
      <c r="AO992" s="2318"/>
      <c r="AP992" s="2318"/>
      <c r="AQ992" s="2318"/>
      <c r="AR992" s="2318"/>
      <c r="AS992" s="2318"/>
      <c r="AT992" s="2318"/>
      <c r="AU992" s="2318"/>
      <c r="AV992" s="2318"/>
      <c r="AW992" s="2318"/>
      <c r="AX992" s="2318"/>
      <c r="AY992" s="2318"/>
      <c r="AZ992" s="2318"/>
      <c r="BA992" s="2318"/>
      <c r="BB992" s="2318"/>
      <c r="BC992" s="2318"/>
      <c r="BD992" s="2318"/>
      <c r="BE992" s="2318"/>
      <c r="BF992" s="2318"/>
      <c r="BG992" s="2318"/>
      <c r="BH992" s="2318"/>
      <c r="BI992" s="2318"/>
      <c r="BJ992" s="2318"/>
      <c r="BK992" s="2318"/>
      <c r="BL992" s="2318"/>
      <c r="BM992" s="2318"/>
      <c r="BN992" s="2318"/>
      <c r="BO992" s="2318"/>
      <c r="BP992" s="2318"/>
      <c r="BQ992" s="2318"/>
      <c r="BR992" s="2318"/>
      <c r="BS992" s="2318"/>
      <c r="BT992" s="2318"/>
      <c r="BU992" s="2318"/>
      <c r="BV992" s="2318"/>
      <c r="BW992" s="2318"/>
      <c r="BX992" s="2318"/>
    </row>
    <row r="993" spans="1:76" s="2608" customFormat="1" ht="45" customHeight="1">
      <c r="A993" s="2632"/>
      <c r="B993" s="2632"/>
      <c r="C993" s="3030" t="s">
        <v>146</v>
      </c>
      <c r="D993" s="3030" t="s">
        <v>65</v>
      </c>
      <c r="E993" s="3030">
        <v>12</v>
      </c>
      <c r="F993" s="3031" t="s">
        <v>1936</v>
      </c>
      <c r="G993" s="3031"/>
      <c r="H993" s="3031" t="s">
        <v>1942</v>
      </c>
      <c r="I993" s="3036" t="s">
        <v>148</v>
      </c>
      <c r="J993" s="3036" t="s">
        <v>3978</v>
      </c>
      <c r="K993" s="2399">
        <v>72</v>
      </c>
      <c r="L993" s="2388">
        <f t="shared" ref="L993:L1004" si="319">6*P993</f>
        <v>406800000</v>
      </c>
      <c r="M993" s="2399">
        <v>24</v>
      </c>
      <c r="N993" s="2388">
        <v>64030000</v>
      </c>
      <c r="O993" s="2399">
        <v>12</v>
      </c>
      <c r="P993" s="2388">
        <v>67800000</v>
      </c>
      <c r="Q993" s="2392">
        <v>3</v>
      </c>
      <c r="R993" s="1731">
        <v>11250000</v>
      </c>
      <c r="S993" s="3034">
        <v>3</v>
      </c>
      <c r="T993" s="1731">
        <v>28200000</v>
      </c>
      <c r="U993" s="3034">
        <v>3</v>
      </c>
      <c r="V993" s="2304">
        <v>4950000</v>
      </c>
      <c r="W993" s="2632"/>
      <c r="X993" s="2632"/>
      <c r="Y993" s="2390">
        <f t="shared" si="314"/>
        <v>9</v>
      </c>
      <c r="Z993" s="2304">
        <f t="shared" si="315"/>
        <v>44400000</v>
      </c>
      <c r="AA993" s="2399">
        <f t="shared" si="316"/>
        <v>33</v>
      </c>
      <c r="AB993" s="2304">
        <f t="shared" si="316"/>
        <v>108430000</v>
      </c>
      <c r="AC993" s="2390">
        <f t="shared" si="317"/>
        <v>45.833333333333329</v>
      </c>
      <c r="AD993" s="3035">
        <f t="shared" si="318"/>
        <v>26.654375614552606</v>
      </c>
      <c r="AE993" s="3160"/>
      <c r="AF993" s="2318"/>
      <c r="AG993" s="3259"/>
      <c r="AH993" s="3232"/>
      <c r="AI993" s="2318"/>
      <c r="AJ993" s="2318"/>
      <c r="AK993" s="2318"/>
      <c r="AL993" s="2318"/>
      <c r="AM993" s="2318"/>
      <c r="AN993" s="2318"/>
      <c r="AO993" s="2318"/>
      <c r="AP993" s="2318"/>
      <c r="AQ993" s="2318"/>
      <c r="AR993" s="2318"/>
      <c r="AS993" s="2318"/>
      <c r="AT993" s="2318"/>
      <c r="AU993" s="2318"/>
      <c r="AV993" s="2318"/>
      <c r="AW993" s="2318"/>
      <c r="AX993" s="2318"/>
      <c r="AY993" s="2318"/>
      <c r="AZ993" s="2318"/>
      <c r="BA993" s="2318"/>
      <c r="BB993" s="2318"/>
      <c r="BC993" s="2318"/>
      <c r="BD993" s="2318"/>
      <c r="BE993" s="2318"/>
      <c r="BF993" s="2318"/>
      <c r="BG993" s="2318"/>
      <c r="BH993" s="2318"/>
      <c r="BI993" s="2318"/>
      <c r="BJ993" s="2318"/>
      <c r="BK993" s="2318"/>
      <c r="BL993" s="2318"/>
      <c r="BM993" s="2318"/>
      <c r="BN993" s="2318"/>
      <c r="BO993" s="2318"/>
      <c r="BP993" s="2318"/>
      <c r="BQ993" s="2318"/>
      <c r="BR993" s="2318"/>
      <c r="BS993" s="2318"/>
      <c r="BT993" s="2318"/>
      <c r="BU993" s="2318"/>
      <c r="BV993" s="2318"/>
      <c r="BW993" s="2318"/>
      <c r="BX993" s="2318"/>
    </row>
    <row r="994" spans="1:76" s="2608" customFormat="1" ht="45" customHeight="1">
      <c r="A994" s="2632"/>
      <c r="B994" s="2632"/>
      <c r="C994" s="3030" t="s">
        <v>146</v>
      </c>
      <c r="D994" s="3030" t="s">
        <v>65</v>
      </c>
      <c r="E994" s="3030">
        <v>12</v>
      </c>
      <c r="F994" s="3031" t="s">
        <v>1936</v>
      </c>
      <c r="G994" s="3031"/>
      <c r="H994" s="3031" t="s">
        <v>1944</v>
      </c>
      <c r="I994" s="3032" t="s">
        <v>149</v>
      </c>
      <c r="J994" s="3036" t="s">
        <v>3979</v>
      </c>
      <c r="K994" s="2399">
        <v>72</v>
      </c>
      <c r="L994" s="2388">
        <f t="shared" si="319"/>
        <v>492111000</v>
      </c>
      <c r="M994" s="2399">
        <v>24</v>
      </c>
      <c r="N994" s="2388">
        <v>13163000</v>
      </c>
      <c r="O994" s="2399">
        <v>12</v>
      </c>
      <c r="P994" s="2388">
        <v>82018500</v>
      </c>
      <c r="Q994" s="2392">
        <v>3</v>
      </c>
      <c r="R994" s="1731">
        <v>917500</v>
      </c>
      <c r="S994" s="3034">
        <v>3</v>
      </c>
      <c r="T994" s="1731">
        <v>42325500</v>
      </c>
      <c r="U994" s="3034">
        <v>3</v>
      </c>
      <c r="V994" s="2304">
        <v>21214000</v>
      </c>
      <c r="W994" s="2632"/>
      <c r="X994" s="2632"/>
      <c r="Y994" s="2390">
        <f t="shared" si="314"/>
        <v>9</v>
      </c>
      <c r="Z994" s="2304">
        <f t="shared" si="315"/>
        <v>64457000</v>
      </c>
      <c r="AA994" s="2399">
        <f t="shared" si="316"/>
        <v>33</v>
      </c>
      <c r="AB994" s="2304">
        <f t="shared" si="316"/>
        <v>77620000</v>
      </c>
      <c r="AC994" s="2390">
        <f t="shared" si="317"/>
        <v>45.833333333333329</v>
      </c>
      <c r="AD994" s="3035">
        <f t="shared" si="318"/>
        <v>15.772864252170752</v>
      </c>
      <c r="AE994" s="3160"/>
      <c r="AF994" s="2318"/>
      <c r="AG994" s="3259"/>
      <c r="AH994" s="3232"/>
      <c r="AI994" s="2318"/>
      <c r="AJ994" s="2318"/>
      <c r="AK994" s="2318"/>
      <c r="AL994" s="2318"/>
      <c r="AM994" s="2318"/>
      <c r="AN994" s="2318"/>
      <c r="AO994" s="2318"/>
      <c r="AP994" s="2318"/>
      <c r="AQ994" s="2318"/>
      <c r="AR994" s="2318"/>
      <c r="AS994" s="2318"/>
      <c r="AT994" s="2318"/>
      <c r="AU994" s="2318"/>
      <c r="AV994" s="2318"/>
      <c r="AW994" s="2318"/>
      <c r="AX994" s="2318"/>
      <c r="AY994" s="2318"/>
      <c r="AZ994" s="2318"/>
      <c r="BA994" s="2318"/>
      <c r="BB994" s="2318"/>
      <c r="BC994" s="2318"/>
      <c r="BD994" s="2318"/>
      <c r="BE994" s="2318"/>
      <c r="BF994" s="2318"/>
      <c r="BG994" s="2318"/>
      <c r="BH994" s="2318"/>
      <c r="BI994" s="2318"/>
      <c r="BJ994" s="2318"/>
      <c r="BK994" s="2318"/>
      <c r="BL994" s="2318"/>
      <c r="BM994" s="2318"/>
      <c r="BN994" s="2318"/>
      <c r="BO994" s="2318"/>
      <c r="BP994" s="2318"/>
      <c r="BQ994" s="2318"/>
      <c r="BR994" s="2318"/>
      <c r="BS994" s="2318"/>
      <c r="BT994" s="2318"/>
      <c r="BU994" s="2318"/>
      <c r="BV994" s="2318"/>
      <c r="BW994" s="2318"/>
      <c r="BX994" s="2318"/>
    </row>
    <row r="995" spans="1:76" s="2608" customFormat="1" ht="45" customHeight="1">
      <c r="A995" s="2632"/>
      <c r="B995" s="2632"/>
      <c r="C995" s="3030" t="s">
        <v>146</v>
      </c>
      <c r="D995" s="3030" t="s">
        <v>65</v>
      </c>
      <c r="E995" s="3030">
        <v>12</v>
      </c>
      <c r="F995" s="3031" t="s">
        <v>1936</v>
      </c>
      <c r="G995" s="3031"/>
      <c r="H995" s="3031" t="s">
        <v>1946</v>
      </c>
      <c r="I995" s="3032" t="s">
        <v>1410</v>
      </c>
      <c r="J995" s="3036" t="s">
        <v>3980</v>
      </c>
      <c r="K995" s="2399">
        <v>72</v>
      </c>
      <c r="L995" s="2388">
        <f t="shared" si="319"/>
        <v>91200000</v>
      </c>
      <c r="M995" s="2399">
        <v>24</v>
      </c>
      <c r="N995" s="2388">
        <v>10680000</v>
      </c>
      <c r="O995" s="2399">
        <v>12</v>
      </c>
      <c r="P995" s="2388">
        <v>15200000</v>
      </c>
      <c r="Q995" s="2392">
        <v>3</v>
      </c>
      <c r="R995" s="1731">
        <v>1950000</v>
      </c>
      <c r="S995" s="3034">
        <v>3</v>
      </c>
      <c r="T995" s="1731">
        <v>5380000</v>
      </c>
      <c r="U995" s="3034">
        <v>3</v>
      </c>
      <c r="V995" s="2304">
        <v>-1950000</v>
      </c>
      <c r="W995" s="2632"/>
      <c r="X995" s="2632"/>
      <c r="Y995" s="2390">
        <f t="shared" si="314"/>
        <v>9</v>
      </c>
      <c r="Z995" s="2304">
        <f t="shared" si="315"/>
        <v>5380000</v>
      </c>
      <c r="AA995" s="2399">
        <f t="shared" si="316"/>
        <v>33</v>
      </c>
      <c r="AB995" s="2304">
        <f t="shared" si="316"/>
        <v>16060000</v>
      </c>
      <c r="AC995" s="2390">
        <f t="shared" si="317"/>
        <v>45.833333333333329</v>
      </c>
      <c r="AD995" s="3035">
        <f t="shared" si="318"/>
        <v>17.609649122807017</v>
      </c>
      <c r="AE995" s="3160"/>
      <c r="AF995" s="2318"/>
      <c r="AG995" s="3259"/>
      <c r="AH995" s="3232"/>
      <c r="AI995" s="2318"/>
      <c r="AJ995" s="2318"/>
      <c r="AK995" s="2318"/>
      <c r="AL995" s="2318"/>
      <c r="AM995" s="2318"/>
      <c r="AN995" s="2318"/>
      <c r="AO995" s="2318"/>
      <c r="AP995" s="2318"/>
      <c r="AQ995" s="2318"/>
      <c r="AR995" s="2318"/>
      <c r="AS995" s="2318"/>
      <c r="AT995" s="2318"/>
      <c r="AU995" s="2318"/>
      <c r="AV995" s="2318"/>
      <c r="AW995" s="2318"/>
      <c r="AX995" s="2318"/>
      <c r="AY995" s="2318"/>
      <c r="AZ995" s="2318"/>
      <c r="BA995" s="2318"/>
      <c r="BB995" s="2318"/>
      <c r="BC995" s="2318"/>
      <c r="BD995" s="2318"/>
      <c r="BE995" s="2318"/>
      <c r="BF995" s="2318"/>
      <c r="BG995" s="2318"/>
      <c r="BH995" s="2318"/>
      <c r="BI995" s="2318"/>
      <c r="BJ995" s="2318"/>
      <c r="BK995" s="2318"/>
      <c r="BL995" s="2318"/>
      <c r="BM995" s="2318"/>
      <c r="BN995" s="2318"/>
      <c r="BO995" s="2318"/>
      <c r="BP995" s="2318"/>
      <c r="BQ995" s="2318"/>
      <c r="BR995" s="2318"/>
      <c r="BS995" s="2318"/>
      <c r="BT995" s="2318"/>
      <c r="BU995" s="2318"/>
      <c r="BV995" s="2318"/>
      <c r="BW995" s="2318"/>
      <c r="BX995" s="2318"/>
    </row>
    <row r="996" spans="1:76" s="2608" customFormat="1" ht="45" customHeight="1">
      <c r="A996" s="2632"/>
      <c r="B996" s="2632"/>
      <c r="C996" s="3030" t="s">
        <v>146</v>
      </c>
      <c r="D996" s="3030" t="s">
        <v>65</v>
      </c>
      <c r="E996" s="3030">
        <v>12</v>
      </c>
      <c r="F996" s="3031" t="s">
        <v>1936</v>
      </c>
      <c r="G996" s="3031"/>
      <c r="H996" s="3031" t="s">
        <v>1949</v>
      </c>
      <c r="I996" s="3032" t="s">
        <v>150</v>
      </c>
      <c r="J996" s="3036" t="s">
        <v>3761</v>
      </c>
      <c r="K996" s="2399">
        <v>72</v>
      </c>
      <c r="L996" s="2388">
        <f t="shared" si="319"/>
        <v>193947000</v>
      </c>
      <c r="M996" s="2399">
        <v>24</v>
      </c>
      <c r="N996" s="2388">
        <v>31906000</v>
      </c>
      <c r="O996" s="2399">
        <v>12</v>
      </c>
      <c r="P996" s="2388">
        <v>32324500</v>
      </c>
      <c r="Q996" s="2392">
        <v>3</v>
      </c>
      <c r="R996" s="1731">
        <v>8113500</v>
      </c>
      <c r="S996" s="3034">
        <v>3</v>
      </c>
      <c r="T996" s="1731">
        <v>11297000</v>
      </c>
      <c r="U996" s="3034">
        <v>3</v>
      </c>
      <c r="V996" s="2304">
        <v>3016500</v>
      </c>
      <c r="W996" s="2632"/>
      <c r="X996" s="2632"/>
      <c r="Y996" s="2390">
        <f t="shared" si="314"/>
        <v>9</v>
      </c>
      <c r="Z996" s="2304">
        <f t="shared" si="315"/>
        <v>22427000</v>
      </c>
      <c r="AA996" s="2399">
        <f t="shared" si="316"/>
        <v>33</v>
      </c>
      <c r="AB996" s="2304">
        <f t="shared" si="316"/>
        <v>54333000</v>
      </c>
      <c r="AC996" s="2390">
        <f t="shared" si="317"/>
        <v>45.833333333333329</v>
      </c>
      <c r="AD996" s="3035">
        <f t="shared" si="318"/>
        <v>28.014354437036921</v>
      </c>
      <c r="AE996" s="3160"/>
      <c r="AF996" s="2318"/>
      <c r="AG996" s="3259"/>
      <c r="AH996" s="3232"/>
      <c r="AI996" s="2318"/>
      <c r="AJ996" s="2318"/>
      <c r="AK996" s="2318"/>
      <c r="AL996" s="2318"/>
      <c r="AM996" s="2318"/>
      <c r="AN996" s="2318"/>
      <c r="AO996" s="2318"/>
      <c r="AP996" s="2318"/>
      <c r="AQ996" s="2318"/>
      <c r="AR996" s="2318"/>
      <c r="AS996" s="2318"/>
      <c r="AT996" s="2318"/>
      <c r="AU996" s="2318"/>
      <c r="AV996" s="2318"/>
      <c r="AW996" s="2318"/>
      <c r="AX996" s="2318"/>
      <c r="AY996" s="2318"/>
      <c r="AZ996" s="2318"/>
      <c r="BA996" s="2318"/>
      <c r="BB996" s="2318"/>
      <c r="BC996" s="2318"/>
      <c r="BD996" s="2318"/>
      <c r="BE996" s="2318"/>
      <c r="BF996" s="2318"/>
      <c r="BG996" s="2318"/>
      <c r="BH996" s="2318"/>
      <c r="BI996" s="2318"/>
      <c r="BJ996" s="2318"/>
      <c r="BK996" s="2318"/>
      <c r="BL996" s="2318"/>
      <c r="BM996" s="2318"/>
      <c r="BN996" s="2318"/>
      <c r="BO996" s="2318"/>
      <c r="BP996" s="2318"/>
      <c r="BQ996" s="2318"/>
      <c r="BR996" s="2318"/>
      <c r="BS996" s="2318"/>
      <c r="BT996" s="2318"/>
      <c r="BU996" s="2318"/>
      <c r="BV996" s="2318"/>
      <c r="BW996" s="2318"/>
      <c r="BX996" s="2318"/>
    </row>
    <row r="997" spans="1:76" s="2608" customFormat="1" ht="45" customHeight="1">
      <c r="A997" s="2632"/>
      <c r="B997" s="2632"/>
      <c r="C997" s="3030" t="s">
        <v>146</v>
      </c>
      <c r="D997" s="3030" t="s">
        <v>65</v>
      </c>
      <c r="E997" s="3030">
        <v>12</v>
      </c>
      <c r="F997" s="3031" t="s">
        <v>1936</v>
      </c>
      <c r="G997" s="3031"/>
      <c r="H997" s="3031" t="s">
        <v>1951</v>
      </c>
      <c r="I997" s="3032" t="s">
        <v>151</v>
      </c>
      <c r="J997" s="3036" t="s">
        <v>3981</v>
      </c>
      <c r="K997" s="2399">
        <v>72</v>
      </c>
      <c r="L997" s="2388">
        <f t="shared" si="319"/>
        <v>149224200</v>
      </c>
      <c r="M997" s="2399">
        <v>24</v>
      </c>
      <c r="N997" s="2388">
        <v>45274000</v>
      </c>
      <c r="O997" s="2399">
        <v>12</v>
      </c>
      <c r="P997" s="2388">
        <v>24870700</v>
      </c>
      <c r="Q997" s="2392">
        <v>3</v>
      </c>
      <c r="R997" s="1731">
        <v>7432400</v>
      </c>
      <c r="S997" s="3034">
        <v>3</v>
      </c>
      <c r="T997" s="1731">
        <v>13378000</v>
      </c>
      <c r="U997" s="3034">
        <v>3</v>
      </c>
      <c r="V997" s="2304">
        <v>-1888400</v>
      </c>
      <c r="W997" s="2632"/>
      <c r="X997" s="2632"/>
      <c r="Y997" s="2390">
        <f t="shared" si="314"/>
        <v>9</v>
      </c>
      <c r="Z997" s="2304">
        <f t="shared" si="315"/>
        <v>18922000</v>
      </c>
      <c r="AA997" s="2399">
        <f t="shared" si="316"/>
        <v>33</v>
      </c>
      <c r="AB997" s="2304">
        <f t="shared" si="316"/>
        <v>64196000</v>
      </c>
      <c r="AC997" s="2390">
        <f t="shared" si="317"/>
        <v>45.833333333333329</v>
      </c>
      <c r="AD997" s="3035">
        <f t="shared" si="318"/>
        <v>43.019831903940513</v>
      </c>
      <c r="AE997" s="3160"/>
      <c r="AF997" s="2318"/>
      <c r="AG997" s="3259"/>
      <c r="AH997" s="3232"/>
      <c r="AI997" s="2318"/>
      <c r="AJ997" s="2318"/>
      <c r="AK997" s="2318"/>
      <c r="AL997" s="2318"/>
      <c r="AM997" s="2318"/>
      <c r="AN997" s="2318"/>
      <c r="AO997" s="2318"/>
      <c r="AP997" s="2318"/>
      <c r="AQ997" s="2318"/>
      <c r="AR997" s="2318"/>
      <c r="AS997" s="2318"/>
      <c r="AT997" s="2318"/>
      <c r="AU997" s="2318"/>
      <c r="AV997" s="2318"/>
      <c r="AW997" s="2318"/>
      <c r="AX997" s="2318"/>
      <c r="AY997" s="2318"/>
      <c r="AZ997" s="2318"/>
      <c r="BA997" s="2318"/>
      <c r="BB997" s="2318"/>
      <c r="BC997" s="2318"/>
      <c r="BD997" s="2318"/>
      <c r="BE997" s="2318"/>
      <c r="BF997" s="2318"/>
      <c r="BG997" s="2318"/>
      <c r="BH997" s="2318"/>
      <c r="BI997" s="2318"/>
      <c r="BJ997" s="2318"/>
      <c r="BK997" s="2318"/>
      <c r="BL997" s="2318"/>
      <c r="BM997" s="2318"/>
      <c r="BN997" s="2318"/>
      <c r="BO997" s="2318"/>
      <c r="BP997" s="2318"/>
      <c r="BQ997" s="2318"/>
      <c r="BR997" s="2318"/>
      <c r="BS997" s="2318"/>
      <c r="BT997" s="2318"/>
      <c r="BU997" s="2318"/>
      <c r="BV997" s="2318"/>
      <c r="BW997" s="2318"/>
      <c r="BX997" s="2318"/>
    </row>
    <row r="998" spans="1:76" s="2608" customFormat="1" ht="45" customHeight="1">
      <c r="A998" s="2632"/>
      <c r="B998" s="2632"/>
      <c r="C998" s="3030" t="s">
        <v>146</v>
      </c>
      <c r="D998" s="3030" t="s">
        <v>65</v>
      </c>
      <c r="E998" s="3030">
        <v>12</v>
      </c>
      <c r="F998" s="3031" t="s">
        <v>1936</v>
      </c>
      <c r="G998" s="3031"/>
      <c r="H998" s="3031" t="s">
        <v>1954</v>
      </c>
      <c r="I998" s="3032" t="s">
        <v>152</v>
      </c>
      <c r="J998" s="3036" t="s">
        <v>3982</v>
      </c>
      <c r="K998" s="2399">
        <v>72</v>
      </c>
      <c r="L998" s="2388">
        <f t="shared" si="319"/>
        <v>88986000</v>
      </c>
      <c r="M998" s="2399">
        <v>24</v>
      </c>
      <c r="N998" s="2388">
        <v>8061700</v>
      </c>
      <c r="O998" s="2399">
        <v>12</v>
      </c>
      <c r="P998" s="2388">
        <v>14831000</v>
      </c>
      <c r="Q998" s="2392">
        <v>3</v>
      </c>
      <c r="R998" s="1731">
        <v>472200</v>
      </c>
      <c r="S998" s="3034">
        <v>3</v>
      </c>
      <c r="T998" s="1731">
        <v>3930000</v>
      </c>
      <c r="U998" s="3034">
        <v>3</v>
      </c>
      <c r="V998" s="2304">
        <v>3249300</v>
      </c>
      <c r="W998" s="2632"/>
      <c r="X998" s="2632"/>
      <c r="Y998" s="2390">
        <f t="shared" si="314"/>
        <v>9</v>
      </c>
      <c r="Z998" s="2304">
        <f t="shared" si="315"/>
        <v>7651500</v>
      </c>
      <c r="AA998" s="2399">
        <f t="shared" si="316"/>
        <v>33</v>
      </c>
      <c r="AB998" s="2304">
        <f t="shared" si="316"/>
        <v>15713200</v>
      </c>
      <c r="AC998" s="2390">
        <f t="shared" si="317"/>
        <v>45.833333333333329</v>
      </c>
      <c r="AD998" s="3035">
        <f t="shared" si="318"/>
        <v>17.658058571011171</v>
      </c>
      <c r="AE998" s="3160"/>
      <c r="AF998" s="2318"/>
      <c r="AG998" s="3259"/>
      <c r="AH998" s="3232"/>
      <c r="AI998" s="2318"/>
      <c r="AJ998" s="2318"/>
      <c r="AK998" s="2318"/>
      <c r="AL998" s="2318"/>
      <c r="AM998" s="2318"/>
      <c r="AN998" s="2318"/>
      <c r="AO998" s="2318"/>
      <c r="AP998" s="2318"/>
      <c r="AQ998" s="2318"/>
      <c r="AR998" s="2318"/>
      <c r="AS998" s="2318"/>
      <c r="AT998" s="2318"/>
      <c r="AU998" s="2318"/>
      <c r="AV998" s="2318"/>
      <c r="AW998" s="2318"/>
      <c r="AX998" s="2318"/>
      <c r="AY998" s="2318"/>
      <c r="AZ998" s="2318"/>
      <c r="BA998" s="2318"/>
      <c r="BB998" s="2318"/>
      <c r="BC998" s="2318"/>
      <c r="BD998" s="2318"/>
      <c r="BE998" s="2318"/>
      <c r="BF998" s="2318"/>
      <c r="BG998" s="2318"/>
      <c r="BH998" s="2318"/>
      <c r="BI998" s="2318"/>
      <c r="BJ998" s="2318"/>
      <c r="BK998" s="2318"/>
      <c r="BL998" s="2318"/>
      <c r="BM998" s="2318"/>
      <c r="BN998" s="2318"/>
      <c r="BO998" s="2318"/>
      <c r="BP998" s="2318"/>
      <c r="BQ998" s="2318"/>
      <c r="BR998" s="2318"/>
      <c r="BS998" s="2318"/>
      <c r="BT998" s="2318"/>
      <c r="BU998" s="2318"/>
      <c r="BV998" s="2318"/>
      <c r="BW998" s="2318"/>
      <c r="BX998" s="2318"/>
    </row>
    <row r="999" spans="1:76" s="2608" customFormat="1" ht="43.5" customHeight="1">
      <c r="A999" s="2632"/>
      <c r="B999" s="2632"/>
      <c r="C999" s="3030" t="s">
        <v>146</v>
      </c>
      <c r="D999" s="3030" t="s">
        <v>65</v>
      </c>
      <c r="E999" s="3030">
        <v>12</v>
      </c>
      <c r="F999" s="3031" t="s">
        <v>1936</v>
      </c>
      <c r="G999" s="3031"/>
      <c r="H999" s="3031"/>
      <c r="I999" s="3032" t="s">
        <v>153</v>
      </c>
      <c r="J999" s="3036" t="s">
        <v>3983</v>
      </c>
      <c r="K999" s="2399">
        <v>72</v>
      </c>
      <c r="L999" s="2388">
        <f t="shared" si="319"/>
        <v>225900000</v>
      </c>
      <c r="M999" s="2399">
        <v>24</v>
      </c>
      <c r="N999" s="2388">
        <v>57940000</v>
      </c>
      <c r="O999" s="2399">
        <v>12</v>
      </c>
      <c r="P999" s="2388">
        <v>37650000</v>
      </c>
      <c r="Q999" s="2392">
        <v>3</v>
      </c>
      <c r="R999" s="1731">
        <v>0</v>
      </c>
      <c r="S999" s="3034">
        <v>3</v>
      </c>
      <c r="T999" s="1731">
        <v>36850000</v>
      </c>
      <c r="U999" s="3034">
        <v>3</v>
      </c>
      <c r="V999" s="2304">
        <v>0</v>
      </c>
      <c r="W999" s="2632"/>
      <c r="X999" s="2632"/>
      <c r="Y999" s="2390">
        <f t="shared" si="314"/>
        <v>9</v>
      </c>
      <c r="Z999" s="2304">
        <f t="shared" si="315"/>
        <v>36850000</v>
      </c>
      <c r="AA999" s="2399">
        <f t="shared" si="316"/>
        <v>33</v>
      </c>
      <c r="AB999" s="2304">
        <f t="shared" si="316"/>
        <v>94790000</v>
      </c>
      <c r="AC999" s="2390">
        <f t="shared" si="317"/>
        <v>45.833333333333329</v>
      </c>
      <c r="AD999" s="3035">
        <f t="shared" si="318"/>
        <v>41.961044710048697</v>
      </c>
      <c r="AE999" s="3160"/>
      <c r="AF999" s="2318"/>
      <c r="AG999" s="3259"/>
      <c r="AH999" s="3232"/>
      <c r="AI999" s="2318"/>
      <c r="AJ999" s="2318"/>
      <c r="AK999" s="2318"/>
      <c r="AL999" s="2318"/>
      <c r="AM999" s="2318"/>
      <c r="AN999" s="2318"/>
      <c r="AO999" s="2318"/>
      <c r="AP999" s="2318"/>
      <c r="AQ999" s="2318"/>
      <c r="AR999" s="2318"/>
      <c r="AS999" s="2318"/>
      <c r="AT999" s="2318"/>
      <c r="AU999" s="2318"/>
      <c r="AV999" s="2318"/>
      <c r="AW999" s="2318"/>
      <c r="AX999" s="2318"/>
      <c r="AY999" s="2318"/>
      <c r="AZ999" s="2318"/>
      <c r="BA999" s="2318"/>
      <c r="BB999" s="2318"/>
      <c r="BC999" s="2318"/>
      <c r="BD999" s="2318"/>
      <c r="BE999" s="2318"/>
      <c r="BF999" s="2318"/>
      <c r="BG999" s="2318"/>
      <c r="BH999" s="2318"/>
      <c r="BI999" s="2318"/>
      <c r="BJ999" s="2318"/>
      <c r="BK999" s="2318"/>
      <c r="BL999" s="2318"/>
      <c r="BM999" s="2318"/>
      <c r="BN999" s="2318"/>
      <c r="BO999" s="2318"/>
      <c r="BP999" s="2318"/>
      <c r="BQ999" s="2318"/>
      <c r="BR999" s="2318"/>
      <c r="BS999" s="2318"/>
      <c r="BT999" s="2318"/>
      <c r="BU999" s="2318"/>
      <c r="BV999" s="2318"/>
      <c r="BW999" s="2318"/>
      <c r="BX999" s="2318"/>
    </row>
    <row r="1000" spans="1:76" s="2608" customFormat="1" ht="45" customHeight="1">
      <c r="A1000" s="2632"/>
      <c r="B1000" s="2632"/>
      <c r="C1000" s="3030" t="s">
        <v>146</v>
      </c>
      <c r="D1000" s="3030" t="s">
        <v>65</v>
      </c>
      <c r="E1000" s="3030">
        <v>12</v>
      </c>
      <c r="F1000" s="3031" t="s">
        <v>1936</v>
      </c>
      <c r="G1000" s="3031"/>
      <c r="H1000" s="3030" t="s">
        <v>155</v>
      </c>
      <c r="I1000" s="3032" t="s">
        <v>156</v>
      </c>
      <c r="J1000" s="3036" t="s">
        <v>3984</v>
      </c>
      <c r="K1000" s="2399">
        <v>72</v>
      </c>
      <c r="L1000" s="2388">
        <f t="shared" si="319"/>
        <v>83400000</v>
      </c>
      <c r="M1000" s="2399">
        <v>24</v>
      </c>
      <c r="N1000" s="2388">
        <v>18270000</v>
      </c>
      <c r="O1000" s="2399">
        <v>12</v>
      </c>
      <c r="P1000" s="2388">
        <v>13900000</v>
      </c>
      <c r="Q1000" s="2392">
        <v>3</v>
      </c>
      <c r="R1000" s="1731">
        <v>7200000</v>
      </c>
      <c r="S1000" s="3034">
        <v>3</v>
      </c>
      <c r="T1000" s="1731">
        <v>9905000</v>
      </c>
      <c r="U1000" s="3034">
        <v>3</v>
      </c>
      <c r="V1000" s="2304">
        <v>-3340000</v>
      </c>
      <c r="W1000" s="2632"/>
      <c r="X1000" s="2632"/>
      <c r="Y1000" s="2390">
        <f t="shared" si="314"/>
        <v>9</v>
      </c>
      <c r="Z1000" s="2304">
        <f t="shared" si="315"/>
        <v>13765000</v>
      </c>
      <c r="AA1000" s="2399">
        <f t="shared" si="316"/>
        <v>33</v>
      </c>
      <c r="AB1000" s="2304">
        <f t="shared" si="316"/>
        <v>32035000</v>
      </c>
      <c r="AC1000" s="2390">
        <f t="shared" si="317"/>
        <v>45.833333333333329</v>
      </c>
      <c r="AD1000" s="3035">
        <f t="shared" si="318"/>
        <v>38.411270983213427</v>
      </c>
      <c r="AE1000" s="3160"/>
      <c r="AF1000" s="2318"/>
      <c r="AG1000" s="3259"/>
      <c r="AH1000" s="3232"/>
      <c r="AI1000" s="2318"/>
      <c r="AJ1000" s="2318"/>
      <c r="AK1000" s="2318"/>
      <c r="AL1000" s="2318"/>
      <c r="AM1000" s="2318"/>
      <c r="AN1000" s="2318"/>
      <c r="AO1000" s="2318"/>
      <c r="AP1000" s="2318"/>
      <c r="AQ1000" s="2318"/>
      <c r="AR1000" s="2318"/>
      <c r="AS1000" s="2318"/>
      <c r="AT1000" s="2318"/>
      <c r="AU1000" s="2318"/>
      <c r="AV1000" s="2318"/>
      <c r="AW1000" s="2318"/>
      <c r="AX1000" s="2318"/>
      <c r="AY1000" s="2318"/>
      <c r="AZ1000" s="2318"/>
      <c r="BA1000" s="2318"/>
      <c r="BB1000" s="2318"/>
      <c r="BC1000" s="2318"/>
      <c r="BD1000" s="2318"/>
      <c r="BE1000" s="2318"/>
      <c r="BF1000" s="2318"/>
      <c r="BG1000" s="2318"/>
      <c r="BH1000" s="2318"/>
      <c r="BI1000" s="2318"/>
      <c r="BJ1000" s="2318"/>
      <c r="BK1000" s="2318"/>
      <c r="BL1000" s="2318"/>
      <c r="BM1000" s="2318"/>
      <c r="BN1000" s="2318"/>
      <c r="BO1000" s="2318"/>
      <c r="BP1000" s="2318"/>
      <c r="BQ1000" s="2318"/>
      <c r="BR1000" s="2318"/>
      <c r="BS1000" s="2318"/>
      <c r="BT1000" s="2318"/>
      <c r="BU1000" s="2318"/>
      <c r="BV1000" s="2318"/>
      <c r="BW1000" s="2318"/>
      <c r="BX1000" s="2318"/>
    </row>
    <row r="1001" spans="1:76" s="2608" customFormat="1" ht="47.25" customHeight="1">
      <c r="A1001" s="2632"/>
      <c r="B1001" s="2632"/>
      <c r="C1001" s="3030" t="s">
        <v>146</v>
      </c>
      <c r="D1001" s="3030" t="s">
        <v>65</v>
      </c>
      <c r="E1001" s="3030">
        <v>12</v>
      </c>
      <c r="F1001" s="3031" t="s">
        <v>1936</v>
      </c>
      <c r="G1001" s="3031"/>
      <c r="H1001" s="3031" t="s">
        <v>1959</v>
      </c>
      <c r="I1001" s="3037" t="s">
        <v>157</v>
      </c>
      <c r="J1001" s="3036" t="s">
        <v>3985</v>
      </c>
      <c r="K1001" s="2399">
        <v>72</v>
      </c>
      <c r="L1001" s="2388">
        <f t="shared" si="319"/>
        <v>194400000</v>
      </c>
      <c r="M1001" s="2399">
        <v>24</v>
      </c>
      <c r="N1001" s="2388">
        <v>23225000</v>
      </c>
      <c r="O1001" s="2399">
        <v>12</v>
      </c>
      <c r="P1001" s="2388">
        <v>32400000</v>
      </c>
      <c r="Q1001" s="2392">
        <v>3</v>
      </c>
      <c r="R1001" s="1731">
        <v>600000</v>
      </c>
      <c r="S1001" s="3034">
        <v>3</v>
      </c>
      <c r="T1001" s="1731">
        <v>10150000</v>
      </c>
      <c r="U1001" s="3034">
        <v>3</v>
      </c>
      <c r="V1001" s="2304">
        <v>7805000</v>
      </c>
      <c r="W1001" s="2632"/>
      <c r="X1001" s="2632"/>
      <c r="Y1001" s="2390">
        <f t="shared" si="314"/>
        <v>9</v>
      </c>
      <c r="Z1001" s="2304">
        <f t="shared" si="315"/>
        <v>18555000</v>
      </c>
      <c r="AA1001" s="2399">
        <f t="shared" si="316"/>
        <v>33</v>
      </c>
      <c r="AB1001" s="2304">
        <f t="shared" si="316"/>
        <v>41780000</v>
      </c>
      <c r="AC1001" s="2390">
        <f t="shared" si="317"/>
        <v>45.833333333333329</v>
      </c>
      <c r="AD1001" s="3035">
        <f t="shared" si="318"/>
        <v>21.491769547325106</v>
      </c>
      <c r="AE1001" s="3160"/>
      <c r="AF1001" s="2318"/>
      <c r="AG1001" s="3259"/>
      <c r="AH1001" s="3232"/>
      <c r="AI1001" s="2318"/>
      <c r="AJ1001" s="2318"/>
      <c r="AK1001" s="2318"/>
      <c r="AL1001" s="2318"/>
      <c r="AM1001" s="2318"/>
      <c r="AN1001" s="2318"/>
      <c r="AO1001" s="2318"/>
      <c r="AP1001" s="2318"/>
      <c r="AQ1001" s="2318"/>
      <c r="AR1001" s="2318"/>
      <c r="AS1001" s="2318"/>
      <c r="AT1001" s="2318"/>
      <c r="AU1001" s="2318"/>
      <c r="AV1001" s="2318"/>
      <c r="AW1001" s="2318"/>
      <c r="AX1001" s="2318"/>
      <c r="AY1001" s="2318"/>
      <c r="AZ1001" s="2318"/>
      <c r="BA1001" s="2318"/>
      <c r="BB1001" s="2318"/>
      <c r="BC1001" s="2318"/>
      <c r="BD1001" s="2318"/>
      <c r="BE1001" s="2318"/>
      <c r="BF1001" s="2318"/>
      <c r="BG1001" s="2318"/>
      <c r="BH1001" s="2318"/>
      <c r="BI1001" s="2318"/>
      <c r="BJ1001" s="2318"/>
      <c r="BK1001" s="2318"/>
      <c r="BL1001" s="2318"/>
      <c r="BM1001" s="2318"/>
      <c r="BN1001" s="2318"/>
      <c r="BO1001" s="2318"/>
      <c r="BP1001" s="2318"/>
      <c r="BQ1001" s="2318"/>
      <c r="BR1001" s="2318"/>
      <c r="BS1001" s="2318"/>
      <c r="BT1001" s="2318"/>
      <c r="BU1001" s="2318"/>
      <c r="BV1001" s="2318"/>
      <c r="BW1001" s="2318"/>
      <c r="BX1001" s="2318"/>
    </row>
    <row r="1002" spans="1:76" s="2608" customFormat="1" ht="35.25" customHeight="1">
      <c r="A1002" s="2632"/>
      <c r="B1002" s="2632"/>
      <c r="C1002" s="3030" t="s">
        <v>146</v>
      </c>
      <c r="D1002" s="3030" t="s">
        <v>65</v>
      </c>
      <c r="E1002" s="3030">
        <v>12</v>
      </c>
      <c r="F1002" s="3031" t="s">
        <v>1936</v>
      </c>
      <c r="G1002" s="3031"/>
      <c r="H1002" s="3031" t="s">
        <v>1963</v>
      </c>
      <c r="I1002" s="3032" t="s">
        <v>158</v>
      </c>
      <c r="J1002" s="3036" t="s">
        <v>3986</v>
      </c>
      <c r="K1002" s="2399">
        <v>72</v>
      </c>
      <c r="L1002" s="2388">
        <f t="shared" si="319"/>
        <v>591000000</v>
      </c>
      <c r="M1002" s="2399">
        <v>24</v>
      </c>
      <c r="N1002" s="2388">
        <v>264598823</v>
      </c>
      <c r="O1002" s="2399">
        <v>12</v>
      </c>
      <c r="P1002" s="2388">
        <v>98500000</v>
      </c>
      <c r="Q1002" s="2392">
        <v>3</v>
      </c>
      <c r="R1002" s="1731">
        <v>75256600</v>
      </c>
      <c r="S1002" s="3034">
        <v>3</v>
      </c>
      <c r="T1002" s="1731">
        <v>65123553</v>
      </c>
      <c r="U1002" s="3034">
        <v>3</v>
      </c>
      <c r="V1002" s="2304">
        <v>-65697100</v>
      </c>
      <c r="W1002" s="2632"/>
      <c r="X1002" s="2632"/>
      <c r="Y1002" s="2390">
        <f t="shared" si="314"/>
        <v>9</v>
      </c>
      <c r="Z1002" s="2304">
        <f t="shared" si="315"/>
        <v>74683053</v>
      </c>
      <c r="AA1002" s="2399">
        <f t="shared" si="316"/>
        <v>33</v>
      </c>
      <c r="AB1002" s="2304">
        <f t="shared" si="316"/>
        <v>339281876</v>
      </c>
      <c r="AC1002" s="2390">
        <f t="shared" si="317"/>
        <v>45.833333333333329</v>
      </c>
      <c r="AD1002" s="3035">
        <f t="shared" si="318"/>
        <v>57.408100846023693</v>
      </c>
      <c r="AE1002" s="3160"/>
      <c r="AF1002" s="2318"/>
      <c r="AG1002" s="3259"/>
      <c r="AH1002" s="3232"/>
      <c r="AI1002" s="2318"/>
      <c r="AJ1002" s="2318"/>
      <c r="AK1002" s="2318"/>
      <c r="AL1002" s="2318"/>
      <c r="AM1002" s="2318"/>
      <c r="AN1002" s="2318"/>
      <c r="AO1002" s="2318"/>
      <c r="AP1002" s="2318"/>
      <c r="AQ1002" s="2318"/>
      <c r="AR1002" s="2318"/>
      <c r="AS1002" s="2318"/>
      <c r="AT1002" s="2318"/>
      <c r="AU1002" s="2318"/>
      <c r="AV1002" s="2318"/>
      <c r="AW1002" s="2318"/>
      <c r="AX1002" s="2318"/>
      <c r="AY1002" s="2318"/>
      <c r="AZ1002" s="2318"/>
      <c r="BA1002" s="2318"/>
      <c r="BB1002" s="2318"/>
      <c r="BC1002" s="2318"/>
      <c r="BD1002" s="2318"/>
      <c r="BE1002" s="2318"/>
      <c r="BF1002" s="2318"/>
      <c r="BG1002" s="2318"/>
      <c r="BH1002" s="2318"/>
      <c r="BI1002" s="2318"/>
      <c r="BJ1002" s="2318"/>
      <c r="BK1002" s="2318"/>
      <c r="BL1002" s="2318"/>
      <c r="BM1002" s="2318"/>
      <c r="BN1002" s="2318"/>
      <c r="BO1002" s="2318"/>
      <c r="BP1002" s="2318"/>
      <c r="BQ1002" s="2318"/>
      <c r="BR1002" s="2318"/>
      <c r="BS1002" s="2318"/>
      <c r="BT1002" s="2318"/>
      <c r="BU1002" s="2318"/>
      <c r="BV1002" s="2318"/>
      <c r="BW1002" s="2318"/>
      <c r="BX1002" s="2318"/>
    </row>
    <row r="1003" spans="1:76" s="2319" customFormat="1" ht="35.25" customHeight="1">
      <c r="A1003" s="2632"/>
      <c r="B1003" s="2632"/>
      <c r="C1003" s="3030" t="s">
        <v>146</v>
      </c>
      <c r="D1003" s="3030" t="s">
        <v>65</v>
      </c>
      <c r="E1003" s="3030">
        <v>12</v>
      </c>
      <c r="F1003" s="3031" t="s">
        <v>1936</v>
      </c>
      <c r="G1003" s="3031"/>
      <c r="H1003" s="3031" t="s">
        <v>1966</v>
      </c>
      <c r="I1003" s="3032" t="s">
        <v>159</v>
      </c>
      <c r="J1003" s="3036" t="s">
        <v>3987</v>
      </c>
      <c r="K1003" s="2399">
        <v>72</v>
      </c>
      <c r="L1003" s="2388">
        <f t="shared" si="319"/>
        <v>326844000</v>
      </c>
      <c r="M1003" s="2399">
        <v>24</v>
      </c>
      <c r="N1003" s="2388">
        <v>69274250</v>
      </c>
      <c r="O1003" s="2399">
        <v>12</v>
      </c>
      <c r="P1003" s="2388">
        <v>54474000</v>
      </c>
      <c r="Q1003" s="2392">
        <v>3</v>
      </c>
      <c r="R1003" s="1731">
        <v>15636000</v>
      </c>
      <c r="S1003" s="3034">
        <v>3</v>
      </c>
      <c r="T1003" s="1731">
        <v>33889800</v>
      </c>
      <c r="U1003" s="3034">
        <v>3</v>
      </c>
      <c r="V1003" s="2304">
        <v>-784000</v>
      </c>
      <c r="W1003" s="2632"/>
      <c r="X1003" s="2632"/>
      <c r="Y1003" s="2390">
        <f t="shared" si="314"/>
        <v>9</v>
      </c>
      <c r="Z1003" s="2304">
        <f t="shared" si="315"/>
        <v>48741800</v>
      </c>
      <c r="AA1003" s="2399">
        <f t="shared" si="316"/>
        <v>33</v>
      </c>
      <c r="AB1003" s="2304">
        <f t="shared" si="316"/>
        <v>118016050</v>
      </c>
      <c r="AC1003" s="2390">
        <f t="shared" si="317"/>
        <v>45.833333333333329</v>
      </c>
      <c r="AD1003" s="3035">
        <f t="shared" si="318"/>
        <v>36.107760888986796</v>
      </c>
      <c r="AE1003" s="3160"/>
      <c r="AF1003" s="2320"/>
      <c r="AG1003" s="3260"/>
      <c r="AH1003" s="3232"/>
      <c r="AI1003" s="2320"/>
      <c r="AJ1003" s="2320"/>
      <c r="AK1003" s="2320"/>
      <c r="AL1003" s="2320"/>
      <c r="AM1003" s="2320"/>
      <c r="AN1003" s="2320"/>
      <c r="AO1003" s="2320"/>
      <c r="AP1003" s="2320"/>
      <c r="AQ1003" s="2320"/>
      <c r="AR1003" s="2320"/>
      <c r="AS1003" s="2320"/>
      <c r="AT1003" s="2320"/>
      <c r="AU1003" s="2320"/>
      <c r="AV1003" s="2320"/>
      <c r="AW1003" s="2320"/>
      <c r="AX1003" s="2320"/>
      <c r="AY1003" s="2320"/>
      <c r="AZ1003" s="2320"/>
      <c r="BA1003" s="2320"/>
      <c r="BB1003" s="2320"/>
      <c r="BC1003" s="2320"/>
      <c r="BD1003" s="2320"/>
      <c r="BE1003" s="2320"/>
      <c r="BF1003" s="2320"/>
      <c r="BG1003" s="2320"/>
      <c r="BH1003" s="2320"/>
      <c r="BI1003" s="2320"/>
      <c r="BJ1003" s="2320"/>
      <c r="BK1003" s="2320"/>
      <c r="BL1003" s="2320"/>
      <c r="BM1003" s="2320"/>
      <c r="BN1003" s="2320"/>
      <c r="BO1003" s="2320"/>
      <c r="BP1003" s="2320"/>
      <c r="BQ1003" s="2320"/>
      <c r="BR1003" s="2320"/>
      <c r="BS1003" s="2320"/>
      <c r="BT1003" s="2320"/>
      <c r="BU1003" s="2320"/>
      <c r="BV1003" s="2320"/>
      <c r="BW1003" s="2320"/>
      <c r="BX1003" s="2320"/>
    </row>
    <row r="1004" spans="1:76" s="2321" customFormat="1" ht="58.5" customHeight="1">
      <c r="A1004" s="2632"/>
      <c r="B1004" s="2632"/>
      <c r="C1004" s="3030" t="s">
        <v>146</v>
      </c>
      <c r="D1004" s="3030" t="s">
        <v>65</v>
      </c>
      <c r="E1004" s="3030">
        <v>12</v>
      </c>
      <c r="F1004" s="3031" t="s">
        <v>1936</v>
      </c>
      <c r="G1004" s="3031"/>
      <c r="H1004" s="3031" t="s">
        <v>1972</v>
      </c>
      <c r="I1004" s="3032" t="s">
        <v>168</v>
      </c>
      <c r="J1004" s="3036" t="s">
        <v>1973</v>
      </c>
      <c r="K1004" s="2399">
        <v>48</v>
      </c>
      <c r="L1004" s="2388">
        <f t="shared" si="319"/>
        <v>204976404</v>
      </c>
      <c r="M1004" s="2399">
        <v>0</v>
      </c>
      <c r="N1004" s="2349"/>
      <c r="O1004" s="2399">
        <v>12</v>
      </c>
      <c r="P1004" s="2388">
        <v>34162734</v>
      </c>
      <c r="Q1004" s="2392">
        <v>3</v>
      </c>
      <c r="R1004" s="1731">
        <v>0</v>
      </c>
      <c r="S1004" s="3034">
        <v>3</v>
      </c>
      <c r="T1004" s="1731">
        <v>13470000</v>
      </c>
      <c r="U1004" s="3034">
        <v>3</v>
      </c>
      <c r="V1004" s="2304">
        <v>14677000</v>
      </c>
      <c r="W1004" s="2632"/>
      <c r="X1004" s="2632"/>
      <c r="Y1004" s="2390">
        <f t="shared" si="314"/>
        <v>9</v>
      </c>
      <c r="Z1004" s="2304">
        <f t="shared" si="315"/>
        <v>28147000</v>
      </c>
      <c r="AA1004" s="2399">
        <f t="shared" si="316"/>
        <v>9</v>
      </c>
      <c r="AB1004" s="2304">
        <f t="shared" si="316"/>
        <v>28147000</v>
      </c>
      <c r="AC1004" s="2390">
        <f t="shared" si="317"/>
        <v>18.75</v>
      </c>
      <c r="AD1004" s="3035">
        <f t="shared" si="318"/>
        <v>13.731824468927654</v>
      </c>
      <c r="AE1004" s="3160"/>
      <c r="AF1004" s="2320"/>
      <c r="AG1004" s="3260"/>
      <c r="AH1004" s="3232"/>
      <c r="AI1004" s="2320"/>
      <c r="AJ1004" s="2320"/>
      <c r="AK1004" s="2320"/>
      <c r="AL1004" s="2320"/>
      <c r="AM1004" s="2320"/>
      <c r="AN1004" s="2320"/>
      <c r="AO1004" s="2320"/>
      <c r="AP1004" s="2320"/>
      <c r="AQ1004" s="2320"/>
      <c r="AR1004" s="2320"/>
      <c r="AS1004" s="2320"/>
      <c r="AT1004" s="2320"/>
      <c r="AU1004" s="2320"/>
      <c r="AV1004" s="2320"/>
      <c r="AW1004" s="2320"/>
      <c r="AX1004" s="2320"/>
      <c r="AY1004" s="2320"/>
      <c r="AZ1004" s="2320"/>
      <c r="BA1004" s="2320"/>
      <c r="BB1004" s="2320"/>
      <c r="BC1004" s="2320"/>
      <c r="BD1004" s="2320"/>
      <c r="BE1004" s="2320"/>
      <c r="BF1004" s="2320"/>
      <c r="BG1004" s="2320"/>
      <c r="BH1004" s="2320"/>
      <c r="BI1004" s="2320"/>
      <c r="BJ1004" s="2320"/>
      <c r="BK1004" s="2320"/>
      <c r="BL1004" s="2320"/>
      <c r="BM1004" s="2320"/>
      <c r="BN1004" s="2320"/>
      <c r="BO1004" s="2320"/>
      <c r="BP1004" s="2320"/>
      <c r="BQ1004" s="2320"/>
      <c r="BR1004" s="2320"/>
      <c r="BS1004" s="2320"/>
      <c r="BT1004" s="2320"/>
      <c r="BU1004" s="2320"/>
      <c r="BV1004" s="2320"/>
      <c r="BW1004" s="2320"/>
      <c r="BX1004" s="2320"/>
    </row>
    <row r="1005" spans="1:76" s="63" customFormat="1" ht="53.25" customHeight="1">
      <c r="A1005" s="2335">
        <v>2</v>
      </c>
      <c r="B1005" s="2335" t="s">
        <v>1976</v>
      </c>
      <c r="C1005" s="3029" t="s">
        <v>146</v>
      </c>
      <c r="D1005" s="3029" t="s">
        <v>65</v>
      </c>
      <c r="E1005" s="3029" t="s">
        <v>65</v>
      </c>
      <c r="F1005" s="3799"/>
      <c r="G1005" s="3799"/>
      <c r="H1005" s="3799"/>
      <c r="I1005" s="2501" t="s">
        <v>162</v>
      </c>
      <c r="J1005" s="2335" t="s">
        <v>3365</v>
      </c>
      <c r="K1005" s="2412">
        <v>72</v>
      </c>
      <c r="L1005" s="2442">
        <f>SUM(L1006:L1009)</f>
        <v>1323008791</v>
      </c>
      <c r="M1005" s="2412">
        <v>24</v>
      </c>
      <c r="N1005" s="2442">
        <f>SUM(N1006:N1009)</f>
        <v>353540486</v>
      </c>
      <c r="O1005" s="2412">
        <v>12</v>
      </c>
      <c r="P1005" s="2442">
        <f>SUM(P1006:P1009)</f>
        <v>345633600</v>
      </c>
      <c r="Q1005" s="2598">
        <v>3</v>
      </c>
      <c r="R1005" s="2340">
        <f>SUM(R1006:R1009)</f>
        <v>4769000</v>
      </c>
      <c r="S1005" s="2928">
        <v>3</v>
      </c>
      <c r="T1005" s="2340">
        <f>SUM(T1006:T1009)</f>
        <v>94269495</v>
      </c>
      <c r="U1005" s="2928">
        <v>3</v>
      </c>
      <c r="V1005" s="2340">
        <f>SUM(V1006:V1009)</f>
        <v>199869800</v>
      </c>
      <c r="W1005" s="2335"/>
      <c r="X1005" s="2335"/>
      <c r="Y1005" s="2672">
        <f t="shared" si="314"/>
        <v>9</v>
      </c>
      <c r="Z1005" s="2342">
        <f t="shared" si="315"/>
        <v>298908295</v>
      </c>
      <c r="AA1005" s="2412">
        <f t="shared" ref="AA1005:AB1012" si="320">M1005+Y1005</f>
        <v>33</v>
      </c>
      <c r="AB1005" s="2342">
        <f t="shared" si="320"/>
        <v>652448781</v>
      </c>
      <c r="AC1005" s="2672">
        <f t="shared" ref="AC1005:AD1012" si="321">AA1005/K1005*100</f>
        <v>45.833333333333329</v>
      </c>
      <c r="AD1005" s="3022">
        <f t="shared" si="321"/>
        <v>49.31552877338364</v>
      </c>
      <c r="AE1005" s="3138" t="s">
        <v>1938</v>
      </c>
    </row>
    <row r="1006" spans="1:76" s="63" customFormat="1" ht="37.5" customHeight="1">
      <c r="A1006" s="2632"/>
      <c r="B1006" s="2632"/>
      <c r="C1006" s="3030" t="s">
        <v>146</v>
      </c>
      <c r="D1006" s="3030" t="s">
        <v>65</v>
      </c>
      <c r="E1006" s="3030">
        <v>12</v>
      </c>
      <c r="F1006" s="3030" t="s">
        <v>65</v>
      </c>
      <c r="G1006" s="3030"/>
      <c r="H1006" s="3030" t="s">
        <v>163</v>
      </c>
      <c r="I1006" s="3154" t="s">
        <v>1979</v>
      </c>
      <c r="J1006" s="2632" t="s">
        <v>3988</v>
      </c>
      <c r="K1006" s="2399">
        <v>72</v>
      </c>
      <c r="L1006" s="2388">
        <v>243234500</v>
      </c>
      <c r="M1006" s="2399">
        <v>24</v>
      </c>
      <c r="N1006" s="2388">
        <v>20799000</v>
      </c>
      <c r="O1006" s="2399">
        <v>12</v>
      </c>
      <c r="P1006" s="2388">
        <v>97250000</v>
      </c>
      <c r="Q1006" s="3038">
        <v>3</v>
      </c>
      <c r="R1006" s="1731"/>
      <c r="S1006" s="2649">
        <v>3</v>
      </c>
      <c r="T1006" s="1731">
        <v>15066000</v>
      </c>
      <c r="U1006" s="3034">
        <v>3</v>
      </c>
      <c r="V1006" s="2304">
        <v>79356000</v>
      </c>
      <c r="W1006" s="2632"/>
      <c r="X1006" s="2632"/>
      <c r="Y1006" s="2390">
        <f t="shared" si="314"/>
        <v>9</v>
      </c>
      <c r="Z1006" s="2304">
        <f t="shared" si="315"/>
        <v>94422000</v>
      </c>
      <c r="AA1006" s="2399">
        <f t="shared" si="320"/>
        <v>33</v>
      </c>
      <c r="AB1006" s="2304">
        <f t="shared" si="320"/>
        <v>115221000</v>
      </c>
      <c r="AC1006" s="2390">
        <f t="shared" si="321"/>
        <v>45.833333333333329</v>
      </c>
      <c r="AD1006" s="3035">
        <f t="shared" si="321"/>
        <v>47.370336033745211</v>
      </c>
      <c r="AE1006" s="3160"/>
      <c r="AH1006" s="2863"/>
    </row>
    <row r="1007" spans="1:76" s="63" customFormat="1" ht="39.75" customHeight="1">
      <c r="A1007" s="2632"/>
      <c r="B1007" s="2632"/>
      <c r="C1007" s="3030" t="s">
        <v>146</v>
      </c>
      <c r="D1007" s="3030" t="s">
        <v>65</v>
      </c>
      <c r="E1007" s="3030">
        <v>12</v>
      </c>
      <c r="F1007" s="3030" t="s">
        <v>65</v>
      </c>
      <c r="G1007" s="3030"/>
      <c r="H1007" s="3030"/>
      <c r="I1007" s="3154" t="s">
        <v>1982</v>
      </c>
      <c r="J1007" s="2632" t="s">
        <v>3989</v>
      </c>
      <c r="K1007" s="2399">
        <v>6</v>
      </c>
      <c r="L1007" s="2388">
        <v>500000000</v>
      </c>
      <c r="M1007" s="2399">
        <v>3</v>
      </c>
      <c r="N1007" s="2388">
        <v>185210000</v>
      </c>
      <c r="O1007" s="2399">
        <v>3</v>
      </c>
      <c r="P1007" s="2388">
        <v>27750000</v>
      </c>
      <c r="Q1007" s="3038">
        <f>+R1007/P1007*100</f>
        <v>0</v>
      </c>
      <c r="R1007" s="1731">
        <v>0</v>
      </c>
      <c r="S1007" s="2649">
        <v>0</v>
      </c>
      <c r="T1007" s="1731">
        <v>0</v>
      </c>
      <c r="U1007" s="3034">
        <v>0</v>
      </c>
      <c r="V1007" s="2304">
        <v>0</v>
      </c>
      <c r="W1007" s="2632"/>
      <c r="X1007" s="2632"/>
      <c r="Y1007" s="2390">
        <f t="shared" si="314"/>
        <v>0</v>
      </c>
      <c r="Z1007" s="2304">
        <f t="shared" si="315"/>
        <v>0</v>
      </c>
      <c r="AA1007" s="2399">
        <f t="shared" si="320"/>
        <v>3</v>
      </c>
      <c r="AB1007" s="2304">
        <f t="shared" si="320"/>
        <v>185210000</v>
      </c>
      <c r="AC1007" s="2390">
        <f t="shared" si="321"/>
        <v>50</v>
      </c>
      <c r="AD1007" s="3035">
        <f t="shared" si="321"/>
        <v>37.042000000000002</v>
      </c>
      <c r="AE1007" s="3160"/>
      <c r="AH1007" s="2863"/>
    </row>
    <row r="1008" spans="1:76" ht="48" customHeight="1">
      <c r="A1008" s="2632"/>
      <c r="B1008" s="2632"/>
      <c r="C1008" s="3030" t="s">
        <v>146</v>
      </c>
      <c r="D1008" s="3030" t="s">
        <v>65</v>
      </c>
      <c r="E1008" s="3030">
        <v>12</v>
      </c>
      <c r="F1008" s="3030" t="s">
        <v>65</v>
      </c>
      <c r="G1008" s="3030"/>
      <c r="H1008" s="3030" t="s">
        <v>164</v>
      </c>
      <c r="I1008" s="3154" t="s">
        <v>1465</v>
      </c>
      <c r="J1008" s="2632" t="s">
        <v>3990</v>
      </c>
      <c r="K1008" s="2399">
        <v>4</v>
      </c>
      <c r="L1008" s="2388">
        <v>458900000</v>
      </c>
      <c r="M1008" s="2399">
        <v>2</v>
      </c>
      <c r="N1008" s="2388">
        <v>101294000</v>
      </c>
      <c r="O1008" s="2399">
        <v>2</v>
      </c>
      <c r="P1008" s="2388">
        <v>165458600</v>
      </c>
      <c r="Q1008" s="3038">
        <f>+R1008/P1008*100</f>
        <v>0</v>
      </c>
      <c r="R1008" s="1731"/>
      <c r="S1008" s="2649">
        <v>1</v>
      </c>
      <c r="T1008" s="1731">
        <v>50516600</v>
      </c>
      <c r="U1008" s="3034">
        <v>1</v>
      </c>
      <c r="V1008" s="2304">
        <v>109705400</v>
      </c>
      <c r="W1008" s="2632"/>
      <c r="X1008" s="2632"/>
      <c r="Y1008" s="2390">
        <f t="shared" si="314"/>
        <v>2</v>
      </c>
      <c r="Z1008" s="2304">
        <f t="shared" si="315"/>
        <v>160222000</v>
      </c>
      <c r="AA1008" s="2399">
        <f t="shared" si="320"/>
        <v>4</v>
      </c>
      <c r="AB1008" s="2304">
        <f t="shared" si="320"/>
        <v>261516000</v>
      </c>
      <c r="AC1008" s="2390">
        <f t="shared" si="321"/>
        <v>100</v>
      </c>
      <c r="AD1008" s="3035">
        <f t="shared" si="321"/>
        <v>56.987578993244711</v>
      </c>
      <c r="AE1008" s="3160"/>
      <c r="AH1008" s="2863"/>
    </row>
    <row r="1009" spans="1:76" ht="48" customHeight="1">
      <c r="A1009" s="2632"/>
      <c r="B1009" s="2632"/>
      <c r="C1009" s="3030" t="s">
        <v>146</v>
      </c>
      <c r="D1009" s="3030" t="s">
        <v>65</v>
      </c>
      <c r="E1009" s="3030">
        <v>12</v>
      </c>
      <c r="F1009" s="3030" t="s">
        <v>65</v>
      </c>
      <c r="G1009" s="3030"/>
      <c r="H1009" s="3030" t="s">
        <v>165</v>
      </c>
      <c r="I1009" s="3154" t="s">
        <v>1216</v>
      </c>
      <c r="J1009" s="2632" t="s">
        <v>3991</v>
      </c>
      <c r="K1009" s="2399">
        <v>72</v>
      </c>
      <c r="L1009" s="2388">
        <v>120874291</v>
      </c>
      <c r="M1009" s="2399">
        <v>24</v>
      </c>
      <c r="N1009" s="2388">
        <v>46237486</v>
      </c>
      <c r="O1009" s="2399">
        <v>12</v>
      </c>
      <c r="P1009" s="2388">
        <v>55175000</v>
      </c>
      <c r="Q1009" s="3038">
        <v>3</v>
      </c>
      <c r="R1009" s="1731">
        <v>4769000</v>
      </c>
      <c r="S1009" s="2649">
        <v>3</v>
      </c>
      <c r="T1009" s="1731">
        <v>28686895</v>
      </c>
      <c r="U1009" s="3034">
        <v>3</v>
      </c>
      <c r="V1009" s="2304">
        <v>10808400</v>
      </c>
      <c r="W1009" s="2632"/>
      <c r="X1009" s="2632"/>
      <c r="Y1009" s="2390">
        <f t="shared" si="314"/>
        <v>9</v>
      </c>
      <c r="Z1009" s="2304">
        <f t="shared" si="315"/>
        <v>44264295</v>
      </c>
      <c r="AA1009" s="2399">
        <f t="shared" si="320"/>
        <v>33</v>
      </c>
      <c r="AB1009" s="2304">
        <f t="shared" si="320"/>
        <v>90501781</v>
      </c>
      <c r="AC1009" s="2390">
        <f t="shared" si="321"/>
        <v>45.833333333333329</v>
      </c>
      <c r="AD1009" s="3035">
        <f t="shared" si="321"/>
        <v>74.872646822805351</v>
      </c>
      <c r="AE1009" s="3160"/>
      <c r="AH1009" s="2863"/>
    </row>
    <row r="1010" spans="1:76" ht="46.5" customHeight="1">
      <c r="A1010" s="2335">
        <v>3</v>
      </c>
      <c r="B1010" s="2335" t="s">
        <v>1986</v>
      </c>
      <c r="C1010" s="3029" t="s">
        <v>146</v>
      </c>
      <c r="D1010" s="3029" t="s">
        <v>65</v>
      </c>
      <c r="E1010" s="3029" t="s">
        <v>160</v>
      </c>
      <c r="F1010" s="3029" t="s">
        <v>155</v>
      </c>
      <c r="G1010" s="3029"/>
      <c r="H1010" s="3799"/>
      <c r="I1010" s="2444" t="s">
        <v>3366</v>
      </c>
      <c r="J1010" s="2501" t="s">
        <v>3367</v>
      </c>
      <c r="K1010" s="2412">
        <v>5</v>
      </c>
      <c r="L1010" s="2442">
        <f>SUM(L1011:L1012)</f>
        <v>1148948150</v>
      </c>
      <c r="M1010" s="2412">
        <v>1</v>
      </c>
      <c r="N1010" s="2442">
        <f>SUM(N1011:N1012)</f>
        <v>305204727</v>
      </c>
      <c r="O1010" s="2412">
        <v>1</v>
      </c>
      <c r="P1010" s="2442">
        <f>SUM(P1011:P1012)</f>
        <v>270185500</v>
      </c>
      <c r="Q1010" s="2598">
        <v>0</v>
      </c>
      <c r="R1010" s="2340">
        <f>SUM(R1011:R1012)</f>
        <v>28008202</v>
      </c>
      <c r="S1010" s="2928"/>
      <c r="T1010" s="2340">
        <f>SUM(T1011:T1012)</f>
        <v>73790913</v>
      </c>
      <c r="U1010" s="2928"/>
      <c r="V1010" s="2340">
        <f>SUM(V1011:V1012)</f>
        <v>94406693</v>
      </c>
      <c r="W1010" s="2335"/>
      <c r="X1010" s="2335"/>
      <c r="Y1010" s="2672">
        <f t="shared" si="314"/>
        <v>0</v>
      </c>
      <c r="Z1010" s="2342">
        <f t="shared" si="315"/>
        <v>196205808</v>
      </c>
      <c r="AA1010" s="2412">
        <f t="shared" si="320"/>
        <v>1</v>
      </c>
      <c r="AB1010" s="2342">
        <f t="shared" si="320"/>
        <v>501410535</v>
      </c>
      <c r="AC1010" s="2672">
        <f t="shared" si="321"/>
        <v>20</v>
      </c>
      <c r="AD1010" s="3022">
        <f t="shared" si="321"/>
        <v>43.640832269062798</v>
      </c>
      <c r="AE1010" s="3138" t="s">
        <v>1938</v>
      </c>
    </row>
    <row r="1011" spans="1:76" ht="35.25" customHeight="1">
      <c r="A1011" s="2632"/>
      <c r="B1011" s="2632"/>
      <c r="C1011" s="3030" t="s">
        <v>146</v>
      </c>
      <c r="D1011" s="3030" t="s">
        <v>65</v>
      </c>
      <c r="E1011" s="3030">
        <v>12</v>
      </c>
      <c r="F1011" s="3030" t="s">
        <v>155</v>
      </c>
      <c r="G1011" s="3030"/>
      <c r="H1011" s="3030" t="s">
        <v>146</v>
      </c>
      <c r="I1011" s="3039" t="s">
        <v>1988</v>
      </c>
      <c r="J1011" s="2632" t="s">
        <v>3992</v>
      </c>
      <c r="K1011" s="2399">
        <f>5*6</f>
        <v>30</v>
      </c>
      <c r="L1011" s="2388">
        <v>806063750</v>
      </c>
      <c r="M1011" s="2399">
        <v>5</v>
      </c>
      <c r="N1011" s="2388">
        <v>229847323</v>
      </c>
      <c r="O1011" s="2399">
        <v>5</v>
      </c>
      <c r="P1011" s="2388">
        <v>213038100</v>
      </c>
      <c r="Q1011" s="3038">
        <v>1</v>
      </c>
      <c r="R1011" s="1731">
        <v>23147202</v>
      </c>
      <c r="S1011" s="2649">
        <v>1</v>
      </c>
      <c r="T1011" s="1731">
        <v>58652163</v>
      </c>
      <c r="U1011" s="3034">
        <v>4</v>
      </c>
      <c r="V1011" s="2304">
        <v>93369093</v>
      </c>
      <c r="W1011" s="2632"/>
      <c r="X1011" s="2632"/>
      <c r="Y1011" s="2390">
        <f t="shared" si="314"/>
        <v>6</v>
      </c>
      <c r="Z1011" s="2304">
        <f t="shared" si="315"/>
        <v>175168458</v>
      </c>
      <c r="AA1011" s="2645">
        <f t="shared" si="320"/>
        <v>11</v>
      </c>
      <c r="AB1011" s="2304">
        <f t="shared" si="320"/>
        <v>405015781</v>
      </c>
      <c r="AC1011" s="2390">
        <f t="shared" si="321"/>
        <v>36.666666666666664</v>
      </c>
      <c r="AD1011" s="3035">
        <f t="shared" si="321"/>
        <v>50.246122716720606</v>
      </c>
      <c r="AE1011" s="3160"/>
      <c r="AH1011" s="2863"/>
    </row>
    <row r="1012" spans="1:76" s="244" customFormat="1" ht="57.75" customHeight="1">
      <c r="A1012" s="2632"/>
      <c r="B1012" s="2632"/>
      <c r="C1012" s="3030" t="s">
        <v>146</v>
      </c>
      <c r="D1012" s="3030" t="s">
        <v>65</v>
      </c>
      <c r="E1012" s="3030">
        <v>12</v>
      </c>
      <c r="F1012" s="3030" t="s">
        <v>155</v>
      </c>
      <c r="G1012" s="3030"/>
      <c r="H1012" s="3030" t="s">
        <v>146</v>
      </c>
      <c r="I1012" s="3039" t="s">
        <v>1992</v>
      </c>
      <c r="J1012" s="3154" t="s">
        <v>3993</v>
      </c>
      <c r="K1012" s="2399">
        <v>5</v>
      </c>
      <c r="L1012" s="2388">
        <f>6*P1012</f>
        <v>342884400</v>
      </c>
      <c r="M1012" s="2399">
        <v>1</v>
      </c>
      <c r="N1012" s="2388">
        <v>75357404</v>
      </c>
      <c r="O1012" s="2399">
        <v>1</v>
      </c>
      <c r="P1012" s="2388">
        <v>57147400</v>
      </c>
      <c r="Q1012" s="3038">
        <v>0</v>
      </c>
      <c r="R1012" s="1731">
        <v>4861000</v>
      </c>
      <c r="S1012" s="2649">
        <v>1</v>
      </c>
      <c r="T1012" s="1731">
        <v>15138750</v>
      </c>
      <c r="U1012" s="3034">
        <v>0</v>
      </c>
      <c r="V1012" s="2304">
        <v>1037600</v>
      </c>
      <c r="W1012" s="2632"/>
      <c r="X1012" s="2632"/>
      <c r="Y1012" s="2390">
        <f t="shared" si="314"/>
        <v>1</v>
      </c>
      <c r="Z1012" s="2304">
        <f t="shared" si="315"/>
        <v>21037350</v>
      </c>
      <c r="AA1012" s="2645">
        <f t="shared" si="320"/>
        <v>2</v>
      </c>
      <c r="AB1012" s="2304">
        <f t="shared" si="320"/>
        <v>96394754</v>
      </c>
      <c r="AC1012" s="2390">
        <f t="shared" si="321"/>
        <v>40</v>
      </c>
      <c r="AD1012" s="3035">
        <f t="shared" si="321"/>
        <v>28.112901607655527</v>
      </c>
      <c r="AE1012" s="3160"/>
      <c r="AF1012" s="2266"/>
      <c r="AG1012" s="2266"/>
      <c r="AH1012" s="2863"/>
      <c r="AI1012" s="2266"/>
      <c r="AJ1012" s="2266"/>
      <c r="AK1012" s="2266"/>
      <c r="AL1012" s="2266"/>
      <c r="AM1012" s="2266"/>
      <c r="AN1012" s="2266"/>
      <c r="AO1012" s="2266"/>
      <c r="AP1012" s="2266"/>
      <c r="AQ1012" s="2266"/>
      <c r="AR1012" s="2266"/>
      <c r="AS1012" s="2266"/>
      <c r="AT1012" s="2266"/>
      <c r="AU1012" s="2266"/>
      <c r="AV1012" s="2266"/>
      <c r="AW1012" s="2266"/>
      <c r="AX1012" s="2266"/>
      <c r="AY1012" s="2266"/>
      <c r="AZ1012" s="2266"/>
      <c r="BA1012" s="2266"/>
      <c r="BB1012" s="2266"/>
      <c r="BC1012" s="2266"/>
      <c r="BD1012" s="2266"/>
      <c r="BE1012" s="2266"/>
      <c r="BF1012" s="2266"/>
      <c r="BG1012" s="2266"/>
      <c r="BH1012" s="2266"/>
      <c r="BI1012" s="2266"/>
      <c r="BJ1012" s="2266"/>
      <c r="BK1012" s="2266"/>
      <c r="BL1012" s="2266"/>
      <c r="BM1012" s="2266"/>
      <c r="BN1012" s="2266"/>
      <c r="BO1012" s="2266"/>
      <c r="BP1012" s="2266"/>
      <c r="BQ1012" s="2266"/>
      <c r="BR1012" s="2266"/>
      <c r="BS1012" s="2266"/>
      <c r="BT1012" s="2266"/>
      <c r="BU1012" s="2266"/>
      <c r="BV1012" s="2266"/>
      <c r="BW1012" s="2266"/>
      <c r="BX1012" s="2266"/>
    </row>
    <row r="1013" spans="1:76" s="244" customFormat="1" ht="51" customHeight="1">
      <c r="A1013" s="2335">
        <v>4</v>
      </c>
      <c r="B1013" s="2335" t="s">
        <v>1996</v>
      </c>
      <c r="C1013" s="3029" t="s">
        <v>146</v>
      </c>
      <c r="D1013" s="3029" t="s">
        <v>65</v>
      </c>
      <c r="E1013" s="3029" t="s">
        <v>160</v>
      </c>
      <c r="F1013" s="3029" t="s">
        <v>166</v>
      </c>
      <c r="G1013" s="3029"/>
      <c r="H1013" s="3799"/>
      <c r="I1013" s="2444" t="s">
        <v>1997</v>
      </c>
      <c r="J1013" s="2501" t="s">
        <v>3368</v>
      </c>
      <c r="K1013" s="2412">
        <v>100</v>
      </c>
      <c r="L1013" s="2442">
        <f>SUM(L1014:L1019)</f>
        <v>1571853926</v>
      </c>
      <c r="M1013" s="2598">
        <v>90</v>
      </c>
      <c r="N1013" s="2442">
        <f>SUM(N1014:N1019)</f>
        <v>305240441</v>
      </c>
      <c r="O1013" s="2598">
        <v>10</v>
      </c>
      <c r="P1013" s="2442">
        <f>SUM(P1014:P1019)</f>
        <v>253817571</v>
      </c>
      <c r="Q1013" s="2596">
        <v>2</v>
      </c>
      <c r="R1013" s="2340">
        <f>SUM(R1014:R1019)</f>
        <v>36711350</v>
      </c>
      <c r="S1013" s="3261">
        <v>4</v>
      </c>
      <c r="T1013" s="2340">
        <f>SUM(T1014:T1019)</f>
        <v>105184121</v>
      </c>
      <c r="U1013" s="2928">
        <v>1</v>
      </c>
      <c r="V1013" s="2340">
        <f>SUM(V1014:V1019)</f>
        <v>27475800</v>
      </c>
      <c r="W1013" s="2335"/>
      <c r="X1013" s="2335"/>
      <c r="Y1013" s="2523">
        <f t="shared" si="314"/>
        <v>7</v>
      </c>
      <c r="Z1013" s="2342">
        <f t="shared" si="315"/>
        <v>169371271</v>
      </c>
      <c r="AA1013" s="2412">
        <f t="shared" ref="AA1013:AA1019" si="322">M1013+Y1013</f>
        <v>97</v>
      </c>
      <c r="AB1013" s="2342">
        <f t="shared" ref="AB1013:AB1019" si="323">N1013+Z1013</f>
        <v>474611712</v>
      </c>
      <c r="AC1013" s="2672">
        <f t="shared" ref="AC1013:AC1019" si="324">AA1013/K1013*100</f>
        <v>97</v>
      </c>
      <c r="AD1013" s="3022">
        <f t="shared" ref="AD1013:AD1019" si="325">AB1013/L1013*100</f>
        <v>30.194390467807374</v>
      </c>
      <c r="AE1013" s="3138" t="s">
        <v>1938</v>
      </c>
      <c r="AF1013" s="2266"/>
      <c r="AG1013" s="2266"/>
      <c r="AH1013" s="2266"/>
      <c r="AI1013" s="2266"/>
      <c r="AJ1013" s="2266"/>
      <c r="AK1013" s="2266"/>
      <c r="AL1013" s="2266"/>
      <c r="AM1013" s="2266"/>
      <c r="AN1013" s="2266"/>
      <c r="AO1013" s="2266"/>
      <c r="AP1013" s="2266"/>
      <c r="AQ1013" s="2266"/>
      <c r="AR1013" s="2266"/>
      <c r="AS1013" s="2266"/>
      <c r="AT1013" s="2266"/>
      <c r="AU1013" s="2266"/>
      <c r="AV1013" s="2266"/>
      <c r="AW1013" s="2266"/>
      <c r="AX1013" s="2266"/>
      <c r="AY1013" s="2266"/>
      <c r="AZ1013" s="2266"/>
      <c r="BA1013" s="2266"/>
      <c r="BB1013" s="2266"/>
      <c r="BC1013" s="2266"/>
      <c r="BD1013" s="2266"/>
      <c r="BE1013" s="2266"/>
      <c r="BF1013" s="2266"/>
      <c r="BG1013" s="2266"/>
      <c r="BH1013" s="2266"/>
      <c r="BI1013" s="2266"/>
      <c r="BJ1013" s="2266"/>
      <c r="BK1013" s="2266"/>
      <c r="BL1013" s="2266"/>
      <c r="BM1013" s="2266"/>
      <c r="BN1013" s="2266"/>
      <c r="BO1013" s="2266"/>
      <c r="BP1013" s="2266"/>
      <c r="BQ1013" s="2266"/>
      <c r="BR1013" s="2266"/>
      <c r="BS1013" s="2266"/>
      <c r="BT1013" s="2266"/>
      <c r="BU1013" s="2266"/>
      <c r="BV1013" s="2266"/>
      <c r="BW1013" s="2266"/>
      <c r="BX1013" s="2266"/>
    </row>
    <row r="1014" spans="1:76" s="244" customFormat="1" ht="80.25" customHeight="1">
      <c r="A1014" s="2632"/>
      <c r="B1014" s="2632"/>
      <c r="C1014" s="3030" t="s">
        <v>146</v>
      </c>
      <c r="D1014" s="3030" t="s">
        <v>65</v>
      </c>
      <c r="E1014" s="3030">
        <v>12</v>
      </c>
      <c r="F1014" s="3030" t="s">
        <v>166</v>
      </c>
      <c r="G1014" s="3030"/>
      <c r="H1014" s="3030" t="s">
        <v>146</v>
      </c>
      <c r="I1014" s="3040" t="s">
        <v>1999</v>
      </c>
      <c r="J1014" s="3039" t="s">
        <v>3994</v>
      </c>
      <c r="K1014" s="2399">
        <v>6</v>
      </c>
      <c r="L1014" s="2388">
        <f>6*P1014</f>
        <v>167775000</v>
      </c>
      <c r="M1014" s="2399">
        <v>2</v>
      </c>
      <c r="N1014" s="2388">
        <v>27085500</v>
      </c>
      <c r="O1014" s="2399">
        <v>1</v>
      </c>
      <c r="P1014" s="2388">
        <v>27962500</v>
      </c>
      <c r="Q1014" s="2392">
        <v>0</v>
      </c>
      <c r="R1014" s="1731">
        <v>4617250</v>
      </c>
      <c r="S1014" s="2649">
        <v>1</v>
      </c>
      <c r="T1014" s="1731">
        <v>12109100</v>
      </c>
      <c r="U1014" s="3034">
        <v>0</v>
      </c>
      <c r="V1014" s="2304">
        <v>2397000</v>
      </c>
      <c r="W1014" s="2632"/>
      <c r="X1014" s="2632"/>
      <c r="Y1014" s="2390">
        <f t="shared" si="314"/>
        <v>1</v>
      </c>
      <c r="Z1014" s="2304">
        <f t="shared" si="315"/>
        <v>19123350</v>
      </c>
      <c r="AA1014" s="2399">
        <f t="shared" si="322"/>
        <v>3</v>
      </c>
      <c r="AB1014" s="2304">
        <f t="shared" si="323"/>
        <v>46208850</v>
      </c>
      <c r="AC1014" s="2390">
        <f t="shared" si="324"/>
        <v>50</v>
      </c>
      <c r="AD1014" s="3035">
        <f t="shared" si="325"/>
        <v>27.542154671434961</v>
      </c>
      <c r="AE1014" s="3160"/>
      <c r="AF1014" s="2266"/>
      <c r="AG1014" s="2266"/>
      <c r="AH1014" s="3262"/>
      <c r="AI1014" s="2266"/>
      <c r="AJ1014" s="2266"/>
      <c r="AK1014" s="2266"/>
      <c r="AL1014" s="2266"/>
      <c r="AM1014" s="2266"/>
      <c r="AN1014" s="2266"/>
      <c r="AO1014" s="2266"/>
      <c r="AP1014" s="2266"/>
      <c r="AQ1014" s="2266"/>
      <c r="AR1014" s="2266"/>
      <c r="AS1014" s="2266"/>
      <c r="AT1014" s="2266"/>
      <c r="AU1014" s="2266"/>
      <c r="AV1014" s="2266"/>
      <c r="AW1014" s="2266"/>
      <c r="AX1014" s="2266"/>
      <c r="AY1014" s="2266"/>
      <c r="AZ1014" s="2266"/>
      <c r="BA1014" s="2266"/>
      <c r="BB1014" s="2266"/>
      <c r="BC1014" s="2266"/>
      <c r="BD1014" s="2266"/>
      <c r="BE1014" s="2266"/>
      <c r="BF1014" s="2266"/>
      <c r="BG1014" s="2266"/>
      <c r="BH1014" s="2266"/>
      <c r="BI1014" s="2266"/>
      <c r="BJ1014" s="2266"/>
      <c r="BK1014" s="2266"/>
      <c r="BL1014" s="2266"/>
      <c r="BM1014" s="2266"/>
      <c r="BN1014" s="2266"/>
      <c r="BO1014" s="2266"/>
      <c r="BP1014" s="2266"/>
      <c r="BQ1014" s="2266"/>
      <c r="BR1014" s="2266"/>
      <c r="BS1014" s="2266"/>
      <c r="BT1014" s="2266"/>
      <c r="BU1014" s="2266"/>
      <c r="BV1014" s="2266"/>
      <c r="BW1014" s="2266"/>
      <c r="BX1014" s="2266"/>
    </row>
    <row r="1015" spans="1:76" s="2266" customFormat="1" ht="89.25" customHeight="1">
      <c r="A1015" s="2632"/>
      <c r="B1015" s="2632"/>
      <c r="C1015" s="3030" t="s">
        <v>146</v>
      </c>
      <c r="D1015" s="3030" t="s">
        <v>65</v>
      </c>
      <c r="E1015" s="3030">
        <v>12</v>
      </c>
      <c r="F1015" s="3030" t="s">
        <v>166</v>
      </c>
      <c r="G1015" s="3030"/>
      <c r="H1015" s="3030" t="s">
        <v>146</v>
      </c>
      <c r="I1015" s="3041" t="s">
        <v>2002</v>
      </c>
      <c r="J1015" s="3039" t="s">
        <v>3370</v>
      </c>
      <c r="K1015" s="2399">
        <v>72</v>
      </c>
      <c r="L1015" s="2388">
        <f t="shared" ref="L1015:L1018" si="326">6*P1015</f>
        <v>319188000</v>
      </c>
      <c r="M1015" s="2399">
        <v>24</v>
      </c>
      <c r="N1015" s="2388">
        <v>55636500</v>
      </c>
      <c r="O1015" s="2399">
        <v>12</v>
      </c>
      <c r="P1015" s="2383">
        <v>53198000</v>
      </c>
      <c r="Q1015" s="2392">
        <v>3</v>
      </c>
      <c r="R1015" s="1731">
        <v>11343700</v>
      </c>
      <c r="S1015" s="2649">
        <v>3</v>
      </c>
      <c r="T1015" s="1731">
        <v>35156600</v>
      </c>
      <c r="U1015" s="3034">
        <v>3</v>
      </c>
      <c r="V1015" s="2304">
        <v>4844000</v>
      </c>
      <c r="W1015" s="2632"/>
      <c r="X1015" s="2632"/>
      <c r="Y1015" s="2387">
        <f t="shared" si="314"/>
        <v>9</v>
      </c>
      <c r="Z1015" s="2304">
        <f t="shared" si="315"/>
        <v>51344300</v>
      </c>
      <c r="AA1015" s="2399">
        <f t="shared" si="322"/>
        <v>33</v>
      </c>
      <c r="AB1015" s="2304">
        <f t="shared" si="323"/>
        <v>106980800</v>
      </c>
      <c r="AC1015" s="2390">
        <f t="shared" si="324"/>
        <v>45.833333333333329</v>
      </c>
      <c r="AD1015" s="3035">
        <f t="shared" si="325"/>
        <v>33.516548241161949</v>
      </c>
      <c r="AE1015" s="3160"/>
      <c r="AH1015" s="3262"/>
    </row>
    <row r="1016" spans="1:76" s="244" customFormat="1" ht="75.75" customHeight="1">
      <c r="A1016" s="2632"/>
      <c r="B1016" s="2632"/>
      <c r="C1016" s="3030" t="s">
        <v>146</v>
      </c>
      <c r="D1016" s="3030" t="s">
        <v>65</v>
      </c>
      <c r="E1016" s="3030">
        <v>12</v>
      </c>
      <c r="F1016" s="3030" t="s">
        <v>166</v>
      </c>
      <c r="G1016" s="3030"/>
      <c r="H1016" s="3030" t="s">
        <v>2006</v>
      </c>
      <c r="I1016" s="3039" t="s">
        <v>2007</v>
      </c>
      <c r="J1016" s="3039" t="s">
        <v>3369</v>
      </c>
      <c r="K1016" s="2399">
        <v>72</v>
      </c>
      <c r="L1016" s="2388">
        <f t="shared" si="326"/>
        <v>496777200</v>
      </c>
      <c r="M1016" s="2399">
        <v>24</v>
      </c>
      <c r="N1016" s="2388">
        <v>81332700</v>
      </c>
      <c r="O1016" s="2399">
        <v>12</v>
      </c>
      <c r="P1016" s="2388">
        <v>82796200</v>
      </c>
      <c r="Q1016" s="2392">
        <v>3</v>
      </c>
      <c r="R1016" s="1731">
        <v>0</v>
      </c>
      <c r="S1016" s="2649">
        <v>3</v>
      </c>
      <c r="T1016" s="1731">
        <v>1956000</v>
      </c>
      <c r="U1016" s="3034">
        <v>3</v>
      </c>
      <c r="V1016" s="2304">
        <v>1196000</v>
      </c>
      <c r="W1016" s="2632"/>
      <c r="X1016" s="2632"/>
      <c r="Y1016" s="2387">
        <f t="shared" si="314"/>
        <v>9</v>
      </c>
      <c r="Z1016" s="2304">
        <f t="shared" si="315"/>
        <v>3152000</v>
      </c>
      <c r="AA1016" s="2399">
        <f t="shared" si="322"/>
        <v>33</v>
      </c>
      <c r="AB1016" s="2304">
        <f t="shared" si="323"/>
        <v>84484700</v>
      </c>
      <c r="AC1016" s="2390">
        <f t="shared" si="324"/>
        <v>45.833333333333329</v>
      </c>
      <c r="AD1016" s="3035">
        <f t="shared" si="325"/>
        <v>17.006557466808058</v>
      </c>
      <c r="AE1016" s="3160"/>
      <c r="AF1016" s="2266"/>
      <c r="AG1016" s="2266"/>
      <c r="AH1016" s="3262"/>
      <c r="AI1016" s="2266"/>
      <c r="AJ1016" s="2266"/>
      <c r="AK1016" s="2266"/>
      <c r="AL1016" s="2266"/>
      <c r="AM1016" s="2266"/>
      <c r="AN1016" s="2266"/>
      <c r="AO1016" s="2266"/>
      <c r="AP1016" s="2266"/>
      <c r="AQ1016" s="2266"/>
      <c r="AR1016" s="2266"/>
      <c r="AS1016" s="2266"/>
      <c r="AT1016" s="2266"/>
      <c r="AU1016" s="2266"/>
      <c r="AV1016" s="2266"/>
      <c r="AW1016" s="2266"/>
      <c r="AX1016" s="2266"/>
      <c r="AY1016" s="2266"/>
      <c r="AZ1016" s="2266"/>
      <c r="BA1016" s="2266"/>
      <c r="BB1016" s="2266"/>
      <c r="BC1016" s="2266"/>
      <c r="BD1016" s="2266"/>
      <c r="BE1016" s="2266"/>
      <c r="BF1016" s="2266"/>
      <c r="BG1016" s="2266"/>
      <c r="BH1016" s="2266"/>
      <c r="BI1016" s="2266"/>
      <c r="BJ1016" s="2266"/>
      <c r="BK1016" s="2266"/>
      <c r="BL1016" s="2266"/>
      <c r="BM1016" s="2266"/>
      <c r="BN1016" s="2266"/>
      <c r="BO1016" s="2266"/>
      <c r="BP1016" s="2266"/>
      <c r="BQ1016" s="2266"/>
      <c r="BR1016" s="2266"/>
      <c r="BS1016" s="2266"/>
      <c r="BT1016" s="2266"/>
      <c r="BU1016" s="2266"/>
      <c r="BV1016" s="2266"/>
      <c r="BW1016" s="2266"/>
      <c r="BX1016" s="2266"/>
    </row>
    <row r="1017" spans="1:76" s="2318" customFormat="1" ht="42" customHeight="1">
      <c r="A1017" s="2632"/>
      <c r="B1017" s="2632"/>
      <c r="C1017" s="3030" t="s">
        <v>146</v>
      </c>
      <c r="D1017" s="3030" t="s">
        <v>65</v>
      </c>
      <c r="E1017" s="3030">
        <v>12</v>
      </c>
      <c r="F1017" s="3030" t="s">
        <v>166</v>
      </c>
      <c r="G1017" s="3030"/>
      <c r="H1017" s="3030" t="s">
        <v>2006</v>
      </c>
      <c r="I1017" s="3039" t="s">
        <v>2016</v>
      </c>
      <c r="J1017" s="3039" t="s">
        <v>2017</v>
      </c>
      <c r="K1017" s="2399">
        <f>40*6</f>
        <v>240</v>
      </c>
      <c r="L1017" s="2388">
        <f t="shared" si="326"/>
        <v>299478000</v>
      </c>
      <c r="M1017" s="2399">
        <v>80</v>
      </c>
      <c r="N1017" s="2388">
        <v>29925591</v>
      </c>
      <c r="O1017" s="2399">
        <v>40</v>
      </c>
      <c r="P1017" s="2388">
        <v>49913000</v>
      </c>
      <c r="Q1017" s="2392">
        <f>+R1017/P1017*100</f>
        <v>0</v>
      </c>
      <c r="R1017" s="1731">
        <v>0</v>
      </c>
      <c r="S1017" s="3034"/>
      <c r="T1017" s="1731"/>
      <c r="U1017" s="3034"/>
      <c r="V1017" s="2304">
        <v>0</v>
      </c>
      <c r="W1017" s="2632"/>
      <c r="X1017" s="2632"/>
      <c r="Y1017" s="2387">
        <f t="shared" si="314"/>
        <v>0</v>
      </c>
      <c r="Z1017" s="2304">
        <f t="shared" si="315"/>
        <v>0</v>
      </c>
      <c r="AA1017" s="2399">
        <f t="shared" si="322"/>
        <v>80</v>
      </c>
      <c r="AB1017" s="2304">
        <f t="shared" si="323"/>
        <v>29925591</v>
      </c>
      <c r="AC1017" s="2390">
        <f t="shared" si="324"/>
        <v>33.333333333333329</v>
      </c>
      <c r="AD1017" s="3035">
        <f t="shared" si="325"/>
        <v>9.9925840963276098</v>
      </c>
      <c r="AE1017" s="3160"/>
      <c r="AH1017" s="3262"/>
    </row>
    <row r="1018" spans="1:76" s="2608" customFormat="1" ht="57" customHeight="1">
      <c r="A1018" s="2632"/>
      <c r="B1018" s="2632"/>
      <c r="C1018" s="3030" t="s">
        <v>146</v>
      </c>
      <c r="D1018" s="3030" t="s">
        <v>65</v>
      </c>
      <c r="E1018" s="3030">
        <v>12</v>
      </c>
      <c r="F1018" s="3030" t="s">
        <v>166</v>
      </c>
      <c r="G1018" s="3030"/>
      <c r="H1018" s="3030" t="s">
        <v>2006</v>
      </c>
      <c r="I1018" s="3039" t="s">
        <v>2018</v>
      </c>
      <c r="J1018" s="3039" t="s">
        <v>3995</v>
      </c>
      <c r="K1018" s="2399">
        <v>72</v>
      </c>
      <c r="L1018" s="2388">
        <f t="shared" si="326"/>
        <v>172635726</v>
      </c>
      <c r="M1018" s="2399">
        <v>24</v>
      </c>
      <c r="N1018" s="2388">
        <v>68292150</v>
      </c>
      <c r="O1018" s="2399">
        <v>12</v>
      </c>
      <c r="P1018" s="2388">
        <v>28772621</v>
      </c>
      <c r="Q1018" s="2392">
        <v>3</v>
      </c>
      <c r="R1018" s="1731">
        <v>4546000</v>
      </c>
      <c r="S1018" s="2649">
        <v>3</v>
      </c>
      <c r="T1018" s="1731">
        <v>34840621</v>
      </c>
      <c r="U1018" s="3034">
        <v>3</v>
      </c>
      <c r="V1018" s="2304">
        <v>16204600</v>
      </c>
      <c r="W1018" s="2632"/>
      <c r="X1018" s="2632"/>
      <c r="Y1018" s="2387">
        <f t="shared" si="314"/>
        <v>9</v>
      </c>
      <c r="Z1018" s="2304">
        <f t="shared" si="315"/>
        <v>55591221</v>
      </c>
      <c r="AA1018" s="2399">
        <f t="shared" si="322"/>
        <v>33</v>
      </c>
      <c r="AB1018" s="2304">
        <f t="shared" si="323"/>
        <v>123883371</v>
      </c>
      <c r="AC1018" s="2390">
        <f t="shared" si="324"/>
        <v>45.833333333333329</v>
      </c>
      <c r="AD1018" s="3035">
        <f t="shared" si="325"/>
        <v>71.759984952361478</v>
      </c>
      <c r="AE1018" s="3160"/>
      <c r="AF1018" s="2318"/>
      <c r="AG1018" s="2318"/>
      <c r="AH1018" s="3262"/>
      <c r="AI1018" s="2318"/>
      <c r="AJ1018" s="2318"/>
      <c r="AK1018" s="2318"/>
      <c r="AL1018" s="2318"/>
      <c r="AM1018" s="2318"/>
      <c r="AN1018" s="2318"/>
      <c r="AO1018" s="2318"/>
      <c r="AP1018" s="2318"/>
      <c r="AQ1018" s="2318"/>
      <c r="AR1018" s="2318"/>
      <c r="AS1018" s="2318"/>
      <c r="AT1018" s="2318"/>
      <c r="AU1018" s="2318"/>
      <c r="AV1018" s="2318"/>
      <c r="AW1018" s="2318"/>
      <c r="AX1018" s="2318"/>
      <c r="AY1018" s="2318"/>
      <c r="AZ1018" s="2318"/>
      <c r="BA1018" s="2318"/>
      <c r="BB1018" s="2318"/>
      <c r="BC1018" s="2318"/>
      <c r="BD1018" s="2318"/>
      <c r="BE1018" s="2318"/>
      <c r="BF1018" s="2318"/>
      <c r="BG1018" s="2318"/>
      <c r="BH1018" s="2318"/>
      <c r="BI1018" s="2318"/>
      <c r="BJ1018" s="2318"/>
      <c r="BK1018" s="2318"/>
      <c r="BL1018" s="2318"/>
      <c r="BM1018" s="2318"/>
      <c r="BN1018" s="2318"/>
      <c r="BO1018" s="2318"/>
      <c r="BP1018" s="2318"/>
      <c r="BQ1018" s="2318"/>
      <c r="BR1018" s="2318"/>
      <c r="BS1018" s="2318"/>
      <c r="BT1018" s="2318"/>
      <c r="BU1018" s="2318"/>
      <c r="BV1018" s="2318"/>
      <c r="BW1018" s="2318"/>
      <c r="BX1018" s="2318"/>
    </row>
    <row r="1019" spans="1:76" s="2608" customFormat="1" ht="57" customHeight="1">
      <c r="A1019" s="2632"/>
      <c r="B1019" s="2632"/>
      <c r="C1019" s="3030" t="s">
        <v>146</v>
      </c>
      <c r="D1019" s="3030" t="s">
        <v>65</v>
      </c>
      <c r="E1019" s="3030">
        <v>12</v>
      </c>
      <c r="F1019" s="3030" t="s">
        <v>166</v>
      </c>
      <c r="G1019" s="3030"/>
      <c r="H1019" s="3030" t="s">
        <v>2006</v>
      </c>
      <c r="I1019" s="3169" t="s">
        <v>2024</v>
      </c>
      <c r="J1019" s="3169" t="s">
        <v>3371</v>
      </c>
      <c r="K1019" s="2399">
        <v>72</v>
      </c>
      <c r="L1019" s="2388">
        <v>116000000</v>
      </c>
      <c r="M1019" s="2399">
        <v>24</v>
      </c>
      <c r="N1019" s="2388">
        <v>42968000</v>
      </c>
      <c r="O1019" s="2399">
        <v>12</v>
      </c>
      <c r="P1019" s="2388">
        <v>11175250</v>
      </c>
      <c r="Q1019" s="2392">
        <v>3</v>
      </c>
      <c r="R1019" s="1731">
        <v>16204400</v>
      </c>
      <c r="S1019" s="3034">
        <v>3</v>
      </c>
      <c r="T1019" s="1731">
        <v>21121800</v>
      </c>
      <c r="U1019" s="3034">
        <v>3</v>
      </c>
      <c r="V1019" s="2304">
        <v>2834200</v>
      </c>
      <c r="W1019" s="2632"/>
      <c r="X1019" s="2632"/>
      <c r="Y1019" s="2387">
        <f t="shared" si="314"/>
        <v>9</v>
      </c>
      <c r="Z1019" s="2304">
        <f t="shared" si="315"/>
        <v>40160400</v>
      </c>
      <c r="AA1019" s="2399">
        <f t="shared" si="322"/>
        <v>33</v>
      </c>
      <c r="AB1019" s="2304">
        <f t="shared" si="323"/>
        <v>83128400</v>
      </c>
      <c r="AC1019" s="2390">
        <f t="shared" si="324"/>
        <v>45.833333333333329</v>
      </c>
      <c r="AD1019" s="3035">
        <f t="shared" si="325"/>
        <v>71.662413793103454</v>
      </c>
      <c r="AE1019" s="3160"/>
      <c r="AF1019" s="2318"/>
      <c r="AG1019" s="2318"/>
      <c r="AH1019" s="3262"/>
      <c r="AI1019" s="2318"/>
      <c r="AJ1019" s="2318"/>
      <c r="AK1019" s="2318"/>
      <c r="AL1019" s="2318"/>
      <c r="AM1019" s="2318"/>
      <c r="AN1019" s="2318"/>
      <c r="AO1019" s="2318"/>
      <c r="AP1019" s="2318"/>
      <c r="AQ1019" s="2318"/>
      <c r="AR1019" s="2318"/>
      <c r="AS1019" s="2318"/>
      <c r="AT1019" s="2318"/>
      <c r="AU1019" s="2318"/>
      <c r="AV1019" s="2318"/>
      <c r="AW1019" s="2318"/>
      <c r="AX1019" s="2318"/>
      <c r="AY1019" s="2318"/>
      <c r="AZ1019" s="2318"/>
      <c r="BA1019" s="2318"/>
      <c r="BB1019" s="2318"/>
      <c r="BC1019" s="2318"/>
      <c r="BD1019" s="2318"/>
      <c r="BE1019" s="2318"/>
      <c r="BF1019" s="2318"/>
      <c r="BG1019" s="2318"/>
      <c r="BH1019" s="2318"/>
      <c r="BI1019" s="2318"/>
      <c r="BJ1019" s="2318"/>
      <c r="BK1019" s="2318"/>
      <c r="BL1019" s="2318"/>
      <c r="BM1019" s="2318"/>
      <c r="BN1019" s="2318"/>
      <c r="BO1019" s="2318"/>
      <c r="BP1019" s="2318"/>
      <c r="BQ1019" s="2318"/>
      <c r="BR1019" s="2318"/>
      <c r="BS1019" s="2318"/>
      <c r="BT1019" s="2318"/>
      <c r="BU1019" s="2318"/>
      <c r="BV1019" s="2318"/>
      <c r="BW1019" s="2318"/>
      <c r="BX1019" s="2318"/>
    </row>
    <row r="1020" spans="1:76" s="2318" customFormat="1" ht="50.25" customHeight="1">
      <c r="A1020" s="2335">
        <v>5</v>
      </c>
      <c r="B1020" s="2335" t="s">
        <v>2031</v>
      </c>
      <c r="C1020" s="3029" t="s">
        <v>146</v>
      </c>
      <c r="D1020" s="3029" t="s">
        <v>65</v>
      </c>
      <c r="E1020" s="3029" t="s">
        <v>160</v>
      </c>
      <c r="F1020" s="3029" t="s">
        <v>167</v>
      </c>
      <c r="G1020" s="3029"/>
      <c r="H1020" s="3799"/>
      <c r="I1020" s="2444" t="s">
        <v>3372</v>
      </c>
      <c r="J1020" s="2501" t="s">
        <v>3373</v>
      </c>
      <c r="K1020" s="2412">
        <v>19500</v>
      </c>
      <c r="L1020" s="2442">
        <f>SUM(L1021:L1024)</f>
        <v>704967201</v>
      </c>
      <c r="M1020" s="2412">
        <v>5000</v>
      </c>
      <c r="N1020" s="2442">
        <v>177687114</v>
      </c>
      <c r="O1020" s="2412">
        <v>3000</v>
      </c>
      <c r="P1020" s="2442">
        <f>SUM(P1021:P1024)</f>
        <v>352931564</v>
      </c>
      <c r="Q1020" s="2596">
        <v>800</v>
      </c>
      <c r="R1020" s="2340">
        <f>SUM(R1021:R1024)</f>
        <v>40884000</v>
      </c>
      <c r="S1020" s="2928"/>
      <c r="T1020" s="2340">
        <f>SUM(T1021:T1023)</f>
        <v>122826708</v>
      </c>
      <c r="U1020" s="2928"/>
      <c r="V1020" s="2342">
        <f>SUM(V1021:V1023)</f>
        <v>52272300</v>
      </c>
      <c r="W1020" s="2335"/>
      <c r="X1020" s="2335"/>
      <c r="Y1020" s="2523">
        <f t="shared" si="314"/>
        <v>800</v>
      </c>
      <c r="Z1020" s="2342">
        <f t="shared" si="315"/>
        <v>215983008</v>
      </c>
      <c r="AA1020" s="2412">
        <f t="shared" ref="AA1020:AB1024" si="327">M1020+Y1020</f>
        <v>5800</v>
      </c>
      <c r="AB1020" s="2342">
        <f t="shared" si="327"/>
        <v>393670122</v>
      </c>
      <c r="AC1020" s="2672">
        <f t="shared" ref="AC1020:AD1024" si="328">AA1020/K1020*100</f>
        <v>29.743589743589745</v>
      </c>
      <c r="AD1020" s="3042">
        <f t="shared" si="328"/>
        <v>55.842331592388504</v>
      </c>
      <c r="AE1020" s="3138" t="s">
        <v>1938</v>
      </c>
    </row>
    <row r="1021" spans="1:76" s="2608" customFormat="1" ht="57" customHeight="1">
      <c r="A1021" s="2632"/>
      <c r="B1021" s="2632"/>
      <c r="C1021" s="3030" t="s">
        <v>146</v>
      </c>
      <c r="D1021" s="3030" t="s">
        <v>65</v>
      </c>
      <c r="E1021" s="3030">
        <v>12</v>
      </c>
      <c r="F1021" s="3030" t="s">
        <v>167</v>
      </c>
      <c r="G1021" s="3030"/>
      <c r="H1021" s="3030" t="s">
        <v>2034</v>
      </c>
      <c r="I1021" s="3039" t="s">
        <v>2035</v>
      </c>
      <c r="J1021" s="3039" t="s">
        <v>3996</v>
      </c>
      <c r="K1021" s="2399">
        <v>19500</v>
      </c>
      <c r="L1021" s="2388">
        <v>303600000</v>
      </c>
      <c r="M1021" s="2399">
        <v>5000</v>
      </c>
      <c r="N1021" s="2388">
        <v>62163800</v>
      </c>
      <c r="O1021" s="2399">
        <v>3000</v>
      </c>
      <c r="P1021" s="2388">
        <v>177687114</v>
      </c>
      <c r="Q1021" s="2649">
        <v>800</v>
      </c>
      <c r="R1021" s="1731">
        <v>25546750</v>
      </c>
      <c r="S1021" s="2649"/>
      <c r="T1021" s="1731">
        <v>81882008</v>
      </c>
      <c r="U1021" s="3034"/>
      <c r="V1021" s="2304">
        <v>34439800</v>
      </c>
      <c r="W1021" s="2632"/>
      <c r="X1021" s="2632"/>
      <c r="Y1021" s="2387">
        <f t="shared" si="314"/>
        <v>800</v>
      </c>
      <c r="Z1021" s="2304">
        <f t="shared" si="315"/>
        <v>141868558</v>
      </c>
      <c r="AA1021" s="2399">
        <f t="shared" si="327"/>
        <v>5800</v>
      </c>
      <c r="AB1021" s="2304">
        <f t="shared" si="327"/>
        <v>204032358</v>
      </c>
      <c r="AC1021" s="2390">
        <f t="shared" si="328"/>
        <v>29.743589743589745</v>
      </c>
      <c r="AD1021" s="3043">
        <f t="shared" si="328"/>
        <v>67.20433399209486</v>
      </c>
      <c r="AE1021" s="3160"/>
      <c r="AF1021" s="2318"/>
      <c r="AG1021" s="2318"/>
      <c r="AH1021" s="3232"/>
      <c r="AI1021" s="2318"/>
      <c r="AJ1021" s="2318"/>
      <c r="AK1021" s="2318"/>
      <c r="AL1021" s="2318"/>
      <c r="AM1021" s="2318"/>
      <c r="AN1021" s="2318"/>
      <c r="AO1021" s="2318"/>
      <c r="AP1021" s="2318"/>
      <c r="AQ1021" s="2318"/>
      <c r="AR1021" s="2318"/>
      <c r="AS1021" s="2318"/>
      <c r="AT1021" s="2318"/>
      <c r="AU1021" s="2318"/>
      <c r="AV1021" s="2318"/>
      <c r="AW1021" s="2318"/>
      <c r="AX1021" s="2318"/>
      <c r="AY1021" s="2318"/>
      <c r="AZ1021" s="2318"/>
      <c r="BA1021" s="2318"/>
      <c r="BB1021" s="2318"/>
      <c r="BC1021" s="2318"/>
      <c r="BD1021" s="2318"/>
      <c r="BE1021" s="2318"/>
      <c r="BF1021" s="2318"/>
      <c r="BG1021" s="2318"/>
      <c r="BH1021" s="2318"/>
      <c r="BI1021" s="2318"/>
      <c r="BJ1021" s="2318"/>
      <c r="BK1021" s="2318"/>
      <c r="BL1021" s="2318"/>
      <c r="BM1021" s="2318"/>
      <c r="BN1021" s="2318"/>
      <c r="BO1021" s="2318"/>
      <c r="BP1021" s="2318"/>
      <c r="BQ1021" s="2318"/>
      <c r="BR1021" s="2318"/>
      <c r="BS1021" s="2318"/>
      <c r="BT1021" s="2318"/>
      <c r="BU1021" s="2318"/>
      <c r="BV1021" s="2318"/>
      <c r="BW1021" s="2318"/>
      <c r="BX1021" s="2318"/>
    </row>
    <row r="1022" spans="1:76" s="2608" customFormat="1" ht="42.75" customHeight="1">
      <c r="A1022" s="2632"/>
      <c r="B1022" s="2632"/>
      <c r="C1022" s="3030" t="s">
        <v>146</v>
      </c>
      <c r="D1022" s="3030" t="s">
        <v>65</v>
      </c>
      <c r="E1022" s="3030">
        <v>12</v>
      </c>
      <c r="F1022" s="3030" t="s">
        <v>167</v>
      </c>
      <c r="G1022" s="3030"/>
      <c r="H1022" s="3030" t="s">
        <v>2034</v>
      </c>
      <c r="I1022" s="3039" t="s">
        <v>2037</v>
      </c>
      <c r="J1022" s="3039" t="s">
        <v>3997</v>
      </c>
      <c r="K1022" s="2399">
        <v>24</v>
      </c>
      <c r="L1022" s="2388">
        <v>141093801</v>
      </c>
      <c r="M1022" s="2399">
        <v>8</v>
      </c>
      <c r="N1022" s="2388">
        <v>0</v>
      </c>
      <c r="O1022" s="2399">
        <v>4</v>
      </c>
      <c r="P1022" s="2388">
        <v>62163800</v>
      </c>
      <c r="Q1022" s="2392">
        <v>1</v>
      </c>
      <c r="R1022" s="1731">
        <v>11305500</v>
      </c>
      <c r="S1022" s="2392">
        <v>1</v>
      </c>
      <c r="T1022" s="1731">
        <v>32640200</v>
      </c>
      <c r="U1022" s="3034">
        <v>1</v>
      </c>
      <c r="V1022" s="2304">
        <v>7343000</v>
      </c>
      <c r="W1022" s="2632"/>
      <c r="X1022" s="2632"/>
      <c r="Y1022" s="2387">
        <f t="shared" si="314"/>
        <v>3</v>
      </c>
      <c r="Z1022" s="2304">
        <f t="shared" si="315"/>
        <v>51288700</v>
      </c>
      <c r="AA1022" s="2399">
        <f t="shared" si="327"/>
        <v>11</v>
      </c>
      <c r="AB1022" s="2304">
        <f t="shared" si="327"/>
        <v>51288700</v>
      </c>
      <c r="AC1022" s="2390">
        <f t="shared" si="328"/>
        <v>45.833333333333329</v>
      </c>
      <c r="AD1022" s="3043">
        <f t="shared" si="328"/>
        <v>36.350781987934397</v>
      </c>
      <c r="AE1022" s="3160"/>
      <c r="AF1022" s="2318"/>
      <c r="AG1022" s="2318"/>
      <c r="AH1022" s="3232"/>
      <c r="AI1022" s="2318"/>
      <c r="AJ1022" s="2318"/>
      <c r="AK1022" s="2318"/>
      <c r="AL1022" s="2318"/>
      <c r="AM1022" s="2318"/>
      <c r="AN1022" s="2318"/>
      <c r="AO1022" s="2318"/>
      <c r="AP1022" s="2318"/>
      <c r="AQ1022" s="2318"/>
      <c r="AR1022" s="2318"/>
      <c r="AS1022" s="2318"/>
      <c r="AT1022" s="2318"/>
      <c r="AU1022" s="2318"/>
      <c r="AV1022" s="2318"/>
      <c r="AW1022" s="2318"/>
      <c r="AX1022" s="2318"/>
      <c r="AY1022" s="2318"/>
      <c r="AZ1022" s="2318"/>
      <c r="BA1022" s="2318"/>
      <c r="BB1022" s="2318"/>
      <c r="BC1022" s="2318"/>
      <c r="BD1022" s="2318"/>
      <c r="BE1022" s="2318"/>
      <c r="BF1022" s="2318"/>
      <c r="BG1022" s="2318"/>
      <c r="BH1022" s="2318"/>
      <c r="BI1022" s="2318"/>
      <c r="BJ1022" s="2318"/>
      <c r="BK1022" s="2318"/>
      <c r="BL1022" s="2318"/>
      <c r="BM1022" s="2318"/>
      <c r="BN1022" s="2318"/>
      <c r="BO1022" s="2318"/>
      <c r="BP1022" s="2318"/>
      <c r="BQ1022" s="2318"/>
      <c r="BR1022" s="2318"/>
      <c r="BS1022" s="2318"/>
      <c r="BT1022" s="2318"/>
      <c r="BU1022" s="2318"/>
      <c r="BV1022" s="2318"/>
      <c r="BW1022" s="2318"/>
      <c r="BX1022" s="2318"/>
    </row>
    <row r="1023" spans="1:76" s="2608" customFormat="1" ht="57" customHeight="1">
      <c r="A1023" s="2632"/>
      <c r="B1023" s="2632"/>
      <c r="C1023" s="3030" t="s">
        <v>146</v>
      </c>
      <c r="D1023" s="3030" t="s">
        <v>65</v>
      </c>
      <c r="E1023" s="3030">
        <v>12</v>
      </c>
      <c r="F1023" s="3030" t="s">
        <v>167</v>
      </c>
      <c r="G1023" s="3030"/>
      <c r="H1023" s="3030" t="s">
        <v>2034</v>
      </c>
      <c r="I1023" s="3039" t="s">
        <v>2041</v>
      </c>
      <c r="J1023" s="3039" t="s">
        <v>3374</v>
      </c>
      <c r="K1023" s="2399">
        <v>6</v>
      </c>
      <c r="L1023" s="2648">
        <f>6*P1023</f>
        <v>176631300</v>
      </c>
      <c r="M1023" s="2399">
        <v>2</v>
      </c>
      <c r="N1023" s="2388">
        <v>44252600</v>
      </c>
      <c r="O1023" s="2399">
        <v>1</v>
      </c>
      <c r="P1023" s="2388">
        <v>29438550</v>
      </c>
      <c r="Q1023" s="2649">
        <v>0</v>
      </c>
      <c r="R1023" s="1731">
        <v>4031750</v>
      </c>
      <c r="S1023" s="2392">
        <v>1</v>
      </c>
      <c r="T1023" s="1731">
        <v>8304500</v>
      </c>
      <c r="U1023" s="3034">
        <v>0</v>
      </c>
      <c r="V1023" s="2304">
        <v>10489500</v>
      </c>
      <c r="W1023" s="2632"/>
      <c r="X1023" s="2632"/>
      <c r="Y1023" s="2387">
        <f t="shared" si="314"/>
        <v>1</v>
      </c>
      <c r="Z1023" s="2304">
        <f t="shared" si="315"/>
        <v>22825750</v>
      </c>
      <c r="AA1023" s="2399">
        <f t="shared" si="327"/>
        <v>3</v>
      </c>
      <c r="AB1023" s="2304">
        <f t="shared" si="327"/>
        <v>67078350</v>
      </c>
      <c r="AC1023" s="2390">
        <f t="shared" si="328"/>
        <v>50</v>
      </c>
      <c r="AD1023" s="3043">
        <f t="shared" si="328"/>
        <v>37.976479819828086</v>
      </c>
      <c r="AE1023" s="3160"/>
      <c r="AF1023" s="2318"/>
      <c r="AG1023" s="2318"/>
      <c r="AH1023" s="3232"/>
      <c r="AI1023" s="2318"/>
      <c r="AJ1023" s="2318"/>
      <c r="AK1023" s="2318"/>
      <c r="AL1023" s="2318"/>
      <c r="AM1023" s="2318"/>
      <c r="AN1023" s="2318"/>
      <c r="AO1023" s="2318"/>
      <c r="AP1023" s="2318"/>
      <c r="AQ1023" s="2318"/>
      <c r="AR1023" s="2318"/>
      <c r="AS1023" s="2318"/>
      <c r="AT1023" s="2318"/>
      <c r="AU1023" s="2318"/>
      <c r="AV1023" s="2318"/>
      <c r="AW1023" s="2318"/>
      <c r="AX1023" s="2318"/>
      <c r="AY1023" s="2318"/>
      <c r="AZ1023" s="2318"/>
      <c r="BA1023" s="2318"/>
      <c r="BB1023" s="2318"/>
      <c r="BC1023" s="2318"/>
      <c r="BD1023" s="2318"/>
      <c r="BE1023" s="2318"/>
      <c r="BF1023" s="2318"/>
      <c r="BG1023" s="2318"/>
      <c r="BH1023" s="2318"/>
      <c r="BI1023" s="2318"/>
      <c r="BJ1023" s="2318"/>
      <c r="BK1023" s="2318"/>
      <c r="BL1023" s="2318"/>
      <c r="BM1023" s="2318"/>
      <c r="BN1023" s="2318"/>
      <c r="BO1023" s="2318"/>
      <c r="BP1023" s="2318"/>
      <c r="BQ1023" s="2318"/>
      <c r="BR1023" s="2318"/>
      <c r="BS1023" s="2318"/>
      <c r="BT1023" s="2318"/>
      <c r="BU1023" s="2318"/>
      <c r="BV1023" s="2318"/>
      <c r="BW1023" s="2318"/>
      <c r="BX1023" s="2318"/>
    </row>
    <row r="1024" spans="1:76" s="2608" customFormat="1" ht="44.25" customHeight="1">
      <c r="A1024" s="2632"/>
      <c r="B1024" s="2632"/>
      <c r="C1024" s="3030" t="s">
        <v>146</v>
      </c>
      <c r="D1024" s="3030" t="s">
        <v>65</v>
      </c>
      <c r="E1024" s="3030">
        <v>12</v>
      </c>
      <c r="F1024" s="3030" t="s">
        <v>167</v>
      </c>
      <c r="G1024" s="3030"/>
      <c r="H1024" s="3030" t="s">
        <v>2034</v>
      </c>
      <c r="I1024" s="3039" t="s">
        <v>2046</v>
      </c>
      <c r="J1024" s="3039" t="s">
        <v>3998</v>
      </c>
      <c r="K1024" s="2399">
        <v>1</v>
      </c>
      <c r="L1024" s="2406">
        <f>P1024</f>
        <v>83642100</v>
      </c>
      <c r="M1024" s="2399">
        <v>0</v>
      </c>
      <c r="N1024" s="2349"/>
      <c r="O1024" s="2399">
        <v>1</v>
      </c>
      <c r="P1024" s="2388">
        <v>83642100</v>
      </c>
      <c r="Q1024" s="2649">
        <f>+R1024/P1024*100</f>
        <v>0</v>
      </c>
      <c r="R1024" s="1731">
        <v>0</v>
      </c>
      <c r="S1024" s="2632"/>
      <c r="T1024" s="1731"/>
      <c r="U1024" s="3034"/>
      <c r="V1024" s="2304">
        <v>0</v>
      </c>
      <c r="W1024" s="2632"/>
      <c r="X1024" s="2632"/>
      <c r="Y1024" s="2387">
        <f t="shared" si="314"/>
        <v>0</v>
      </c>
      <c r="Z1024" s="2304">
        <f t="shared" si="315"/>
        <v>0</v>
      </c>
      <c r="AA1024" s="2399">
        <f t="shared" si="327"/>
        <v>0</v>
      </c>
      <c r="AB1024" s="2304">
        <f t="shared" si="327"/>
        <v>0</v>
      </c>
      <c r="AC1024" s="2390">
        <f t="shared" si="328"/>
        <v>0</v>
      </c>
      <c r="AD1024" s="3043">
        <f t="shared" si="328"/>
        <v>0</v>
      </c>
      <c r="AE1024" s="3160"/>
      <c r="AF1024" s="2318"/>
      <c r="AG1024" s="2318"/>
      <c r="AH1024" s="3232"/>
      <c r="AI1024" s="2318"/>
      <c r="AJ1024" s="2318"/>
      <c r="AK1024" s="2318"/>
      <c r="AL1024" s="2318"/>
      <c r="AM1024" s="2318"/>
      <c r="AN1024" s="2318"/>
      <c r="AO1024" s="2318"/>
      <c r="AP1024" s="2318"/>
      <c r="AQ1024" s="2318"/>
      <c r="AR1024" s="2318"/>
      <c r="AS1024" s="2318"/>
      <c r="AT1024" s="2318"/>
      <c r="AU1024" s="2318"/>
      <c r="AV1024" s="2318"/>
      <c r="AW1024" s="2318"/>
      <c r="AX1024" s="2318"/>
      <c r="AY1024" s="2318"/>
      <c r="AZ1024" s="2318"/>
      <c r="BA1024" s="2318"/>
      <c r="BB1024" s="2318"/>
      <c r="BC1024" s="2318"/>
      <c r="BD1024" s="2318"/>
      <c r="BE1024" s="2318"/>
      <c r="BF1024" s="2318"/>
      <c r="BG1024" s="2318"/>
      <c r="BH1024" s="2318"/>
      <c r="BI1024" s="2318"/>
      <c r="BJ1024" s="2318"/>
      <c r="BK1024" s="2318"/>
      <c r="BL1024" s="2318"/>
      <c r="BM1024" s="2318"/>
      <c r="BN1024" s="2318"/>
      <c r="BO1024" s="2318"/>
      <c r="BP1024" s="2318"/>
      <c r="BQ1024" s="2318"/>
      <c r="BR1024" s="2318"/>
      <c r="BS1024" s="2318"/>
      <c r="BT1024" s="2318"/>
      <c r="BU1024" s="2318"/>
      <c r="BV1024" s="2318"/>
      <c r="BW1024" s="2318"/>
      <c r="BX1024" s="2318"/>
    </row>
    <row r="1025" spans="1:76" s="114" customFormat="1" ht="18.75" customHeight="1">
      <c r="A1025" s="4244" t="s">
        <v>89</v>
      </c>
      <c r="B1025" s="4244"/>
      <c r="C1025" s="4245"/>
      <c r="D1025" s="4245"/>
      <c r="E1025" s="4245"/>
      <c r="F1025" s="4245"/>
      <c r="G1025" s="4245"/>
      <c r="H1025" s="4245"/>
      <c r="I1025" s="4245"/>
      <c r="J1025" s="4245"/>
      <c r="K1025" s="4245"/>
      <c r="L1025" s="4245"/>
      <c r="M1025" s="4245"/>
      <c r="N1025" s="4245"/>
      <c r="O1025" s="4245"/>
      <c r="P1025" s="4245"/>
      <c r="Q1025" s="4245"/>
      <c r="R1025" s="4245"/>
      <c r="S1025" s="4245"/>
      <c r="T1025" s="4245"/>
      <c r="U1025" s="4245"/>
      <c r="V1025" s="4245"/>
      <c r="W1025" s="4245"/>
      <c r="X1025" s="4245"/>
      <c r="Y1025" s="4245"/>
      <c r="Z1025" s="4245"/>
      <c r="AA1025" s="4245"/>
      <c r="AB1025" s="4245"/>
      <c r="AC1025" s="2030">
        <f>(AC991+AC1005+AC1010+AC1013+AC1020)/5</f>
        <v>47.682051282051283</v>
      </c>
      <c r="AD1025" s="2030">
        <f>(AD991+AD1005+AD1010+AD1013+AD1020)/5</f>
        <v>42.711679525313194</v>
      </c>
      <c r="AE1025" s="390"/>
    </row>
    <row r="1026" spans="1:76" s="475" customFormat="1" ht="15.75" customHeight="1">
      <c r="A1026" s="4244" t="s">
        <v>90</v>
      </c>
      <c r="B1026" s="4244"/>
      <c r="C1026" s="4245"/>
      <c r="D1026" s="4245"/>
      <c r="E1026" s="4245"/>
      <c r="F1026" s="4245"/>
      <c r="G1026" s="4245"/>
      <c r="H1026" s="4245"/>
      <c r="I1026" s="4245"/>
      <c r="J1026" s="4245"/>
      <c r="K1026" s="4245"/>
      <c r="L1026" s="4245"/>
      <c r="M1026" s="4245"/>
      <c r="N1026" s="4245"/>
      <c r="O1026" s="4245"/>
      <c r="P1026" s="4245"/>
      <c r="Q1026" s="4245"/>
      <c r="R1026" s="4245"/>
      <c r="S1026" s="4245"/>
      <c r="T1026" s="4245"/>
      <c r="U1026" s="4245"/>
      <c r="V1026" s="4245"/>
      <c r="W1026" s="4245"/>
      <c r="X1026" s="4245"/>
      <c r="Y1026" s="4245"/>
      <c r="Z1026" s="4245"/>
      <c r="AA1026" s="4245"/>
      <c r="AB1026" s="4245"/>
      <c r="AC1026" s="3152" t="str">
        <f>IF(AC1025&gt;=91,"ST",IF(AC1025&gt;=76,"T",IF(AC1025&gt;=66,"S",IF(AC1025&gt;=51,"R","SR"))))</f>
        <v>SR</v>
      </c>
      <c r="AD1026" s="3152" t="str">
        <f>IF(AD1025&gt;=91,"ST",IF(AD1025&gt;=76,"T",IF(AD1025&gt;=66,"S",IF(AD1025&gt;=51,"R","SR"))))</f>
        <v>SR</v>
      </c>
      <c r="AE1026" s="390"/>
    </row>
    <row r="1027" spans="1:76" s="2624" customFormat="1" ht="25.5">
      <c r="A1027" s="2546" t="s">
        <v>3363</v>
      </c>
      <c r="B1027" s="2918"/>
      <c r="C1027" s="2546"/>
      <c r="D1027" s="2546"/>
      <c r="E1027" s="2546"/>
      <c r="F1027" s="2546"/>
      <c r="G1027" s="2546"/>
      <c r="H1027" s="2546"/>
      <c r="I1027" s="2515" t="s">
        <v>169</v>
      </c>
      <c r="J1027" s="2918"/>
      <c r="K1027" s="3210"/>
      <c r="L1027" s="3194">
        <f>L1028+L1041+L1045+L1051+L1056</f>
        <v>15324154586</v>
      </c>
      <c r="M1027" s="3210"/>
      <c r="N1027" s="3195">
        <f>N1028+N1041+N1045+N1051+N1056</f>
        <v>3601155756</v>
      </c>
      <c r="O1027" s="3210"/>
      <c r="P1027" s="3195">
        <f>SUM(P1028+P1041+P1045+P1051+P1056)</f>
        <v>2573682997</v>
      </c>
      <c r="Q1027" s="3210"/>
      <c r="R1027" s="2916">
        <f>R1028+R1041+R1045+R1051+R1056</f>
        <v>292869457</v>
      </c>
      <c r="S1027" s="2918"/>
      <c r="T1027" s="2916">
        <f>T1028+T1041+T1045+T1051+T1056</f>
        <v>552632069</v>
      </c>
      <c r="U1027" s="2918"/>
      <c r="V1027" s="2916">
        <f>V1028+V1041+V1045+V1051+V1057</f>
        <v>753739998</v>
      </c>
      <c r="W1027" s="2918"/>
      <c r="X1027" s="2918"/>
      <c r="Y1027" s="3210"/>
      <c r="Z1027" s="2916">
        <f t="shared" ref="Z1027:Z1057" si="329">R1027+T1027+V1027+X1027</f>
        <v>1599241524</v>
      </c>
      <c r="AA1027" s="3210"/>
      <c r="AB1027" s="2916">
        <f>AB1028+AB1041+AB1045+AB1051+AB1056</f>
        <v>5200397280</v>
      </c>
      <c r="AC1027" s="3210"/>
      <c r="AD1027" s="3210"/>
      <c r="AE1027" s="3211"/>
      <c r="AF1027" s="2810"/>
      <c r="AG1027" s="2810"/>
      <c r="AH1027" s="2810"/>
      <c r="AI1027" s="2810"/>
      <c r="AJ1027" s="2810"/>
      <c r="AK1027" s="2810"/>
      <c r="AL1027" s="2810"/>
      <c r="AM1027" s="2810"/>
      <c r="AN1027" s="2810"/>
      <c r="AO1027" s="2810"/>
      <c r="AP1027" s="2810"/>
      <c r="AQ1027" s="2810"/>
      <c r="AR1027" s="2810"/>
      <c r="AS1027" s="2810"/>
      <c r="AT1027" s="2810"/>
      <c r="AU1027" s="2810"/>
      <c r="AV1027" s="2810"/>
      <c r="AW1027" s="2810"/>
      <c r="AX1027" s="2810"/>
      <c r="AY1027" s="2810"/>
      <c r="AZ1027" s="2810"/>
      <c r="BA1027" s="2810"/>
      <c r="BB1027" s="2810"/>
      <c r="BC1027" s="2810"/>
      <c r="BD1027" s="2810"/>
      <c r="BE1027" s="2810"/>
      <c r="BF1027" s="2810"/>
      <c r="BG1027" s="2810"/>
      <c r="BH1027" s="2810"/>
      <c r="BI1027" s="2810"/>
      <c r="BJ1027" s="2810"/>
      <c r="BK1027" s="2810"/>
      <c r="BL1027" s="2810"/>
      <c r="BM1027" s="2810"/>
      <c r="BN1027" s="2810"/>
      <c r="BO1027" s="2810"/>
      <c r="BP1027" s="2810"/>
      <c r="BQ1027" s="2810"/>
      <c r="BR1027" s="2810"/>
      <c r="BS1027" s="2810"/>
      <c r="BT1027" s="2810"/>
      <c r="BU1027" s="2810"/>
      <c r="BV1027" s="2810"/>
      <c r="BW1027" s="2810"/>
      <c r="BX1027" s="2810"/>
    </row>
    <row r="1028" spans="1:76" s="2624" customFormat="1" ht="51.75" customHeight="1">
      <c r="A1028" s="3155">
        <v>1</v>
      </c>
      <c r="B1028" s="2570"/>
      <c r="C1028" s="2575">
        <v>3</v>
      </c>
      <c r="D1028" s="2579" t="s">
        <v>107</v>
      </c>
      <c r="E1028" s="2579" t="s">
        <v>95</v>
      </c>
      <c r="F1028" s="2579" t="s">
        <v>66</v>
      </c>
      <c r="G1028" s="2579" t="s">
        <v>66</v>
      </c>
      <c r="H1028" s="3796"/>
      <c r="I1028" s="2501" t="s">
        <v>221</v>
      </c>
      <c r="J1028" s="2501" t="s">
        <v>3375</v>
      </c>
      <c r="K1028" s="2543">
        <v>600</v>
      </c>
      <c r="L1028" s="2587">
        <f t="shared" ref="L1028:R1028" si="330">SUM(L1029:L1040)</f>
        <v>3254776316</v>
      </c>
      <c r="M1028" s="2543">
        <v>200</v>
      </c>
      <c r="N1028" s="2587">
        <f t="shared" si="330"/>
        <v>1254804777</v>
      </c>
      <c r="O1028" s="2543">
        <v>100</v>
      </c>
      <c r="P1028" s="2587">
        <f>SUM(P1029:P1040)</f>
        <v>475364398</v>
      </c>
      <c r="Q1028" s="2621">
        <v>25</v>
      </c>
      <c r="R1028" s="2569">
        <f t="shared" si="330"/>
        <v>159618971</v>
      </c>
      <c r="S1028" s="2570"/>
      <c r="T1028" s="2594">
        <f>SUM(T1029:T1040)</f>
        <v>77765139</v>
      </c>
      <c r="U1028" s="2570"/>
      <c r="V1028" s="2571">
        <f>SUM(V1029:V1040)</f>
        <v>103464095</v>
      </c>
      <c r="W1028" s="2570"/>
      <c r="X1028" s="2570"/>
      <c r="Y1028" s="2621">
        <f t="shared" ref="Y1028:Y1057" si="331">Q1028+S1028+U1028+W1028</f>
        <v>25</v>
      </c>
      <c r="Z1028" s="2571">
        <f t="shared" si="329"/>
        <v>340848205</v>
      </c>
      <c r="AA1028" s="2621">
        <f t="shared" ref="AA1028:AA1040" si="332">M1028+Y1028</f>
        <v>225</v>
      </c>
      <c r="AB1028" s="2571">
        <f t="shared" ref="AB1028:AB1040" si="333">N1028+Z1028</f>
        <v>1595652982</v>
      </c>
      <c r="AC1028" s="2622">
        <f t="shared" ref="AC1028:AC1040" si="334">AA1028/K1028*100</f>
        <v>37.5</v>
      </c>
      <c r="AD1028" s="2623">
        <f t="shared" ref="AD1028:AD1040" si="335">AB1028/L1028*100</f>
        <v>49.024965990934781</v>
      </c>
      <c r="AE1028" s="2680" t="s">
        <v>2418</v>
      </c>
      <c r="AF1028" s="2866"/>
      <c r="AG1028" s="2810"/>
      <c r="AH1028" s="2810"/>
      <c r="AI1028" s="2810"/>
      <c r="AJ1028" s="2810"/>
      <c r="AK1028" s="2810"/>
      <c r="AL1028" s="2810"/>
      <c r="AM1028" s="2810"/>
      <c r="AN1028" s="2810"/>
      <c r="AO1028" s="2810"/>
      <c r="AP1028" s="2810"/>
      <c r="AQ1028" s="2810"/>
      <c r="AR1028" s="2810"/>
      <c r="AS1028" s="2810"/>
      <c r="AT1028" s="2810"/>
      <c r="AU1028" s="2810"/>
      <c r="AV1028" s="2810"/>
      <c r="AW1028" s="2810"/>
      <c r="AX1028" s="2810"/>
      <c r="AY1028" s="2810"/>
      <c r="AZ1028" s="2810"/>
      <c r="BA1028" s="2810"/>
      <c r="BB1028" s="2810"/>
      <c r="BC1028" s="2810"/>
      <c r="BD1028" s="2810"/>
      <c r="BE1028" s="2810"/>
      <c r="BF1028" s="2810"/>
      <c r="BG1028" s="2810"/>
      <c r="BH1028" s="2810"/>
      <c r="BI1028" s="2810"/>
      <c r="BJ1028" s="2810"/>
      <c r="BK1028" s="2810"/>
      <c r="BL1028" s="2810"/>
      <c r="BM1028" s="2810"/>
      <c r="BN1028" s="2810"/>
      <c r="BO1028" s="2810"/>
      <c r="BP1028" s="2810"/>
      <c r="BQ1028" s="2810"/>
      <c r="BR1028" s="2810"/>
      <c r="BS1028" s="2810"/>
      <c r="BT1028" s="2810"/>
      <c r="BU1028" s="2810"/>
      <c r="BV1028" s="2810"/>
      <c r="BW1028" s="2810"/>
      <c r="BX1028" s="2810"/>
    </row>
    <row r="1029" spans="1:76" s="2608" customFormat="1" ht="46.5" customHeight="1">
      <c r="A1029" s="3146"/>
      <c r="B1029" s="2516"/>
      <c r="C1029" s="3797"/>
      <c r="D1029" s="238"/>
      <c r="E1029" s="238"/>
      <c r="F1029" s="238"/>
      <c r="G1029" s="238"/>
      <c r="H1029" s="3146"/>
      <c r="I1029" s="3154" t="s">
        <v>2420</v>
      </c>
      <c r="J1029" s="3154" t="s">
        <v>3999</v>
      </c>
      <c r="K1029" s="3136">
        <v>72</v>
      </c>
      <c r="L1029" s="2529">
        <v>56355000</v>
      </c>
      <c r="M1029" s="3136">
        <v>24</v>
      </c>
      <c r="N1029" s="2529">
        <v>9999000</v>
      </c>
      <c r="O1029" s="3136">
        <v>12</v>
      </c>
      <c r="P1029" s="2530">
        <f>'[4]April 2018'!$E$16</f>
        <v>11589000</v>
      </c>
      <c r="Q1029" s="2430">
        <v>3</v>
      </c>
      <c r="R1029" s="1690">
        <v>3735000</v>
      </c>
      <c r="S1029" s="64">
        <v>3</v>
      </c>
      <c r="T1029" s="1689">
        <v>1950000</v>
      </c>
      <c r="U1029" s="64">
        <v>3</v>
      </c>
      <c r="V1029" s="2280">
        <v>1050000</v>
      </c>
      <c r="W1029" s="64"/>
      <c r="X1029" s="64"/>
      <c r="Y1029" s="2385">
        <f t="shared" si="331"/>
        <v>9</v>
      </c>
      <c r="Z1029" s="2280">
        <f t="shared" si="329"/>
        <v>6735000</v>
      </c>
      <c r="AA1029" s="2385">
        <f t="shared" si="332"/>
        <v>33</v>
      </c>
      <c r="AB1029" s="2280">
        <f t="shared" si="333"/>
        <v>16734000</v>
      </c>
      <c r="AC1029" s="2425">
        <f t="shared" si="334"/>
        <v>45.833333333333329</v>
      </c>
      <c r="AD1029" s="2322">
        <f t="shared" si="335"/>
        <v>29.69390471120575</v>
      </c>
      <c r="AE1029" s="2679"/>
      <c r="AF1029" s="2318"/>
      <c r="AG1029" s="2318"/>
      <c r="AH1029" s="2318"/>
      <c r="AI1029" s="2318"/>
      <c r="AJ1029" s="2318"/>
      <c r="AK1029" s="2318"/>
      <c r="AL1029" s="2318"/>
      <c r="AM1029" s="2318"/>
      <c r="AN1029" s="2318"/>
      <c r="AO1029" s="2318"/>
      <c r="AP1029" s="2318"/>
      <c r="AQ1029" s="2318"/>
      <c r="AR1029" s="2318"/>
      <c r="AS1029" s="2318"/>
      <c r="AT1029" s="2318"/>
      <c r="AU1029" s="2318"/>
      <c r="AV1029" s="2318"/>
      <c r="AW1029" s="2318"/>
      <c r="AX1029" s="2318"/>
      <c r="AY1029" s="2318"/>
      <c r="AZ1029" s="2318"/>
      <c r="BA1029" s="2318"/>
      <c r="BB1029" s="2318"/>
      <c r="BC1029" s="2318"/>
      <c r="BD1029" s="2318"/>
      <c r="BE1029" s="2318"/>
      <c r="BF1029" s="2318"/>
      <c r="BG1029" s="2318"/>
      <c r="BH1029" s="2318"/>
      <c r="BI1029" s="2318"/>
      <c r="BJ1029" s="2318"/>
      <c r="BK1029" s="2318"/>
      <c r="BL1029" s="2318"/>
      <c r="BM1029" s="2318"/>
      <c r="BN1029" s="2318"/>
      <c r="BO1029" s="2318"/>
      <c r="BP1029" s="2318"/>
      <c r="BQ1029" s="2318"/>
      <c r="BR1029" s="2318"/>
      <c r="BS1029" s="2318"/>
      <c r="BT1029" s="2318"/>
      <c r="BU1029" s="2318"/>
      <c r="BV1029" s="2318"/>
      <c r="BW1029" s="2318"/>
      <c r="BX1029" s="2318"/>
    </row>
    <row r="1030" spans="1:76" s="2608" customFormat="1" ht="53.25" customHeight="1">
      <c r="A1030" s="64"/>
      <c r="B1030" s="2516"/>
      <c r="C1030" s="3137"/>
      <c r="D1030" s="3137"/>
      <c r="E1030" s="3137"/>
      <c r="F1030" s="3137"/>
      <c r="G1030" s="3137"/>
      <c r="H1030" s="3137"/>
      <c r="I1030" s="3154" t="s">
        <v>1283</v>
      </c>
      <c r="J1030" s="3154" t="s">
        <v>3505</v>
      </c>
      <c r="K1030" s="3136">
        <v>72</v>
      </c>
      <c r="L1030" s="2529">
        <v>309900000</v>
      </c>
      <c r="M1030" s="3136">
        <v>24</v>
      </c>
      <c r="N1030" s="2529">
        <v>75563339</v>
      </c>
      <c r="O1030" s="3136">
        <v>12</v>
      </c>
      <c r="P1030" s="2530">
        <f>'[4]April 2018'!$E$19</f>
        <v>52800000</v>
      </c>
      <c r="Q1030" s="2430">
        <v>3</v>
      </c>
      <c r="R1030" s="1690">
        <v>13059151</v>
      </c>
      <c r="S1030" s="2430">
        <v>3</v>
      </c>
      <c r="T1030" s="1689">
        <v>3528939</v>
      </c>
      <c r="U1030" s="64">
        <v>3</v>
      </c>
      <c r="V1030" s="2280">
        <v>10733868</v>
      </c>
      <c r="W1030" s="64"/>
      <c r="X1030" s="64"/>
      <c r="Y1030" s="2385">
        <f t="shared" si="331"/>
        <v>9</v>
      </c>
      <c r="Z1030" s="2280">
        <f t="shared" si="329"/>
        <v>27321958</v>
      </c>
      <c r="AA1030" s="2385">
        <f t="shared" si="332"/>
        <v>33</v>
      </c>
      <c r="AB1030" s="2280">
        <f t="shared" si="333"/>
        <v>102885297</v>
      </c>
      <c r="AC1030" s="2425">
        <f t="shared" si="334"/>
        <v>45.833333333333329</v>
      </c>
      <c r="AD1030" s="2322">
        <f t="shared" si="335"/>
        <v>33.199515004840272</v>
      </c>
      <c r="AE1030" s="2679"/>
      <c r="AF1030" s="2318"/>
      <c r="AG1030" s="2318"/>
      <c r="AH1030" s="2318"/>
      <c r="AI1030" s="2318"/>
      <c r="AJ1030" s="2318"/>
      <c r="AK1030" s="2318"/>
      <c r="AL1030" s="2318"/>
      <c r="AM1030" s="2318"/>
      <c r="AN1030" s="2318"/>
      <c r="AO1030" s="2318"/>
      <c r="AP1030" s="2318"/>
      <c r="AQ1030" s="2318"/>
      <c r="AR1030" s="2318"/>
      <c r="AS1030" s="2318"/>
      <c r="AT1030" s="2318"/>
      <c r="AU1030" s="2318"/>
      <c r="AV1030" s="2318"/>
      <c r="AW1030" s="2318"/>
      <c r="AX1030" s="2318"/>
      <c r="AY1030" s="2318"/>
      <c r="AZ1030" s="2318"/>
      <c r="BA1030" s="2318"/>
      <c r="BB1030" s="2318"/>
      <c r="BC1030" s="2318"/>
      <c r="BD1030" s="2318"/>
      <c r="BE1030" s="2318"/>
      <c r="BF1030" s="2318"/>
      <c r="BG1030" s="2318"/>
      <c r="BH1030" s="2318"/>
      <c r="BI1030" s="2318"/>
      <c r="BJ1030" s="2318"/>
      <c r="BK1030" s="2318"/>
      <c r="BL1030" s="2318"/>
      <c r="BM1030" s="2318"/>
      <c r="BN1030" s="2318"/>
      <c r="BO1030" s="2318"/>
      <c r="BP1030" s="2318"/>
      <c r="BQ1030" s="2318"/>
      <c r="BR1030" s="2318"/>
      <c r="BS1030" s="2318"/>
      <c r="BT1030" s="2318"/>
      <c r="BU1030" s="2318"/>
      <c r="BV1030" s="2318"/>
      <c r="BW1030" s="2318"/>
      <c r="BX1030" s="2318"/>
    </row>
    <row r="1031" spans="1:76" s="2271" customFormat="1" ht="60.75" customHeight="1">
      <c r="A1031" s="64"/>
      <c r="B1031" s="2516"/>
      <c r="C1031" s="3137"/>
      <c r="D1031" s="3137"/>
      <c r="E1031" s="3137"/>
      <c r="F1031" s="3137"/>
      <c r="G1031" s="3137"/>
      <c r="H1031" s="3137"/>
      <c r="I1031" s="3154" t="s">
        <v>1287</v>
      </c>
      <c r="J1031" s="3154" t="s">
        <v>4000</v>
      </c>
      <c r="K1031" s="3136">
        <v>72</v>
      </c>
      <c r="L1031" s="2529">
        <v>451800000</v>
      </c>
      <c r="M1031" s="3136">
        <v>24</v>
      </c>
      <c r="N1031" s="2529">
        <v>127200000</v>
      </c>
      <c r="O1031" s="3136">
        <v>12</v>
      </c>
      <c r="P1031" s="2530">
        <f>'[4]April 2018'!$E$22</f>
        <v>79800000</v>
      </c>
      <c r="Q1031" s="2430">
        <v>3</v>
      </c>
      <c r="R1031" s="1690">
        <v>21900000</v>
      </c>
      <c r="S1031" s="2430">
        <v>3</v>
      </c>
      <c r="T1031" s="1689">
        <v>13750000</v>
      </c>
      <c r="U1031" s="64">
        <v>3</v>
      </c>
      <c r="V1031" s="2280">
        <v>26000000</v>
      </c>
      <c r="W1031" s="64"/>
      <c r="X1031" s="64"/>
      <c r="Y1031" s="2385">
        <f t="shared" si="331"/>
        <v>9</v>
      </c>
      <c r="Z1031" s="2280">
        <f>R1031+T1031+V1031</f>
        <v>61650000</v>
      </c>
      <c r="AA1031" s="2385">
        <f t="shared" si="332"/>
        <v>33</v>
      </c>
      <c r="AB1031" s="2280">
        <f t="shared" si="333"/>
        <v>188850000</v>
      </c>
      <c r="AC1031" s="2425">
        <f t="shared" si="334"/>
        <v>45.833333333333329</v>
      </c>
      <c r="AD1031" s="2322">
        <f t="shared" si="335"/>
        <v>41.799468791500665</v>
      </c>
      <c r="AE1031" s="2679"/>
      <c r="AF1031" s="2620"/>
      <c r="AG1031" s="2620"/>
      <c r="AH1031" s="2620"/>
      <c r="AI1031" s="2620"/>
      <c r="AJ1031" s="2620"/>
      <c r="AK1031" s="2620"/>
      <c r="AL1031" s="2620"/>
      <c r="AM1031" s="2620"/>
      <c r="AN1031" s="2620"/>
      <c r="AO1031" s="2620"/>
      <c r="AP1031" s="2620"/>
      <c r="AQ1031" s="2620"/>
      <c r="AR1031" s="2620"/>
      <c r="AS1031" s="2620"/>
      <c r="AT1031" s="2620"/>
      <c r="AU1031" s="2620"/>
      <c r="AV1031" s="2620"/>
      <c r="AW1031" s="2620"/>
      <c r="AX1031" s="2620"/>
      <c r="AY1031" s="2620"/>
      <c r="AZ1031" s="2620"/>
      <c r="BA1031" s="2620"/>
      <c r="BB1031" s="2620"/>
      <c r="BC1031" s="2620"/>
      <c r="BD1031" s="2620"/>
      <c r="BE1031" s="2620"/>
      <c r="BF1031" s="2620"/>
      <c r="BG1031" s="2620"/>
      <c r="BH1031" s="2620"/>
      <c r="BI1031" s="2620"/>
      <c r="BJ1031" s="2620"/>
      <c r="BK1031" s="2620"/>
      <c r="BL1031" s="2620"/>
      <c r="BM1031" s="2620"/>
      <c r="BN1031" s="2620"/>
      <c r="BO1031" s="2620"/>
      <c r="BP1031" s="2620"/>
      <c r="BQ1031" s="2620"/>
      <c r="BR1031" s="2620"/>
      <c r="BS1031" s="2620"/>
      <c r="BT1031" s="2620"/>
      <c r="BU1031" s="2620"/>
      <c r="BV1031" s="2620"/>
      <c r="BW1031" s="2620"/>
      <c r="BX1031" s="2620"/>
    </row>
    <row r="1032" spans="1:76" s="2608" customFormat="1" ht="46.5" customHeight="1">
      <c r="A1032" s="64"/>
      <c r="B1032" s="2516"/>
      <c r="C1032" s="3137"/>
      <c r="D1032" s="3137"/>
      <c r="E1032" s="3137"/>
      <c r="F1032" s="3137"/>
      <c r="G1032" s="3137"/>
      <c r="H1032" s="3137"/>
      <c r="I1032" s="3154" t="s">
        <v>149</v>
      </c>
      <c r="J1032" s="3154" t="s">
        <v>3507</v>
      </c>
      <c r="K1032" s="3136">
        <v>72</v>
      </c>
      <c r="L1032" s="2529">
        <v>259514000</v>
      </c>
      <c r="M1032" s="3136">
        <v>24</v>
      </c>
      <c r="N1032" s="2529">
        <v>97814000</v>
      </c>
      <c r="O1032" s="3136">
        <v>12</v>
      </c>
      <c r="P1032" s="2530">
        <f>'[4]April 2018'!$E$24</f>
        <v>40229350</v>
      </c>
      <c r="Q1032" s="2430">
        <v>3</v>
      </c>
      <c r="R1032" s="1690">
        <v>13075500</v>
      </c>
      <c r="S1032" s="2430">
        <v>3</v>
      </c>
      <c r="T1032" s="1689">
        <v>9235000</v>
      </c>
      <c r="U1032" s="64">
        <v>3</v>
      </c>
      <c r="V1032" s="2280">
        <v>9554000</v>
      </c>
      <c r="W1032" s="64"/>
      <c r="X1032" s="64"/>
      <c r="Y1032" s="2385">
        <f t="shared" si="331"/>
        <v>9</v>
      </c>
      <c r="Z1032" s="2280">
        <f t="shared" si="329"/>
        <v>31864500</v>
      </c>
      <c r="AA1032" s="2385">
        <f t="shared" si="332"/>
        <v>33</v>
      </c>
      <c r="AB1032" s="2280">
        <f t="shared" si="333"/>
        <v>129678500</v>
      </c>
      <c r="AC1032" s="2425">
        <f t="shared" si="334"/>
        <v>45.833333333333329</v>
      </c>
      <c r="AD1032" s="2322">
        <f t="shared" si="335"/>
        <v>49.969751150226962</v>
      </c>
      <c r="AE1032" s="2679"/>
      <c r="AF1032" s="2318"/>
      <c r="AG1032" s="2318"/>
      <c r="AH1032" s="2318"/>
      <c r="AI1032" s="2318"/>
      <c r="AJ1032" s="2318"/>
      <c r="AK1032" s="2318"/>
      <c r="AL1032" s="2318"/>
      <c r="AM1032" s="2318"/>
      <c r="AN1032" s="2318"/>
      <c r="AO1032" s="2318"/>
      <c r="AP1032" s="2318"/>
      <c r="AQ1032" s="2318"/>
      <c r="AR1032" s="2318"/>
      <c r="AS1032" s="2318"/>
      <c r="AT1032" s="2318"/>
      <c r="AU1032" s="2318"/>
      <c r="AV1032" s="2318"/>
      <c r="AW1032" s="2318"/>
      <c r="AX1032" s="2318"/>
      <c r="AY1032" s="2318"/>
      <c r="AZ1032" s="2318"/>
      <c r="BA1032" s="2318"/>
      <c r="BB1032" s="2318"/>
      <c r="BC1032" s="2318"/>
      <c r="BD1032" s="2318"/>
      <c r="BE1032" s="2318"/>
      <c r="BF1032" s="2318"/>
      <c r="BG1032" s="2318"/>
      <c r="BH1032" s="2318"/>
      <c r="BI1032" s="2318"/>
      <c r="BJ1032" s="2318"/>
      <c r="BK1032" s="2318"/>
      <c r="BL1032" s="2318"/>
      <c r="BM1032" s="2318"/>
      <c r="BN1032" s="2318"/>
      <c r="BO1032" s="2318"/>
      <c r="BP1032" s="2318"/>
      <c r="BQ1032" s="2318"/>
      <c r="BR1032" s="2318"/>
      <c r="BS1032" s="2318"/>
      <c r="BT1032" s="2318"/>
      <c r="BU1032" s="2318"/>
      <c r="BV1032" s="2318"/>
      <c r="BW1032" s="2318"/>
      <c r="BX1032" s="2318"/>
    </row>
    <row r="1033" spans="1:76" s="2318" customFormat="1" ht="46.5" customHeight="1">
      <c r="A1033" s="64"/>
      <c r="B1033" s="2516"/>
      <c r="C1033" s="3137"/>
      <c r="D1033" s="3137"/>
      <c r="E1033" s="3137"/>
      <c r="F1033" s="3137"/>
      <c r="G1033" s="3137"/>
      <c r="H1033" s="3137"/>
      <c r="I1033" s="3154" t="str">
        <f>'[4]April 2018'!$C$28</f>
        <v>Penyediaan Jasa Perbaikan Peralatan Kerja</v>
      </c>
      <c r="J1033" s="3154" t="s">
        <v>4001</v>
      </c>
      <c r="K1033" s="3136">
        <v>72</v>
      </c>
      <c r="L1033" s="2529">
        <v>128883000</v>
      </c>
      <c r="M1033" s="3136">
        <v>24</v>
      </c>
      <c r="N1033" s="2529">
        <v>52947500</v>
      </c>
      <c r="O1033" s="3136">
        <v>12</v>
      </c>
      <c r="P1033" s="2530">
        <f>'[4]April 2018'!$E$29</f>
        <v>18968000</v>
      </c>
      <c r="Q1033" s="2430">
        <v>3</v>
      </c>
      <c r="R1033" s="1690">
        <v>2501920</v>
      </c>
      <c r="S1033" s="2430">
        <v>3</v>
      </c>
      <c r="T1033" s="1689">
        <v>963800</v>
      </c>
      <c r="U1033" s="64">
        <v>3</v>
      </c>
      <c r="V1033" s="2280">
        <v>1654000</v>
      </c>
      <c r="W1033" s="64"/>
      <c r="X1033" s="64"/>
      <c r="Y1033" s="2385">
        <f t="shared" si="331"/>
        <v>9</v>
      </c>
      <c r="Z1033" s="2280">
        <f t="shared" si="329"/>
        <v>5119720</v>
      </c>
      <c r="AA1033" s="2385">
        <f t="shared" si="332"/>
        <v>33</v>
      </c>
      <c r="AB1033" s="2280">
        <f t="shared" si="333"/>
        <v>58067220</v>
      </c>
      <c r="AC1033" s="2425">
        <f t="shared" si="334"/>
        <v>45.833333333333329</v>
      </c>
      <c r="AD1033" s="2322">
        <f t="shared" si="335"/>
        <v>45.054211959684366</v>
      </c>
      <c r="AE1033" s="2679"/>
    </row>
    <row r="1034" spans="1:76" s="2620" customFormat="1" ht="46.5" customHeight="1">
      <c r="A1034" s="64"/>
      <c r="B1034" s="2516"/>
      <c r="C1034" s="3137"/>
      <c r="D1034" s="3137"/>
      <c r="E1034" s="3137"/>
      <c r="F1034" s="3137"/>
      <c r="G1034" s="3137"/>
      <c r="H1034" s="3137"/>
      <c r="I1034" s="3154" t="s">
        <v>150</v>
      </c>
      <c r="J1034" s="3154" t="s">
        <v>3707</v>
      </c>
      <c r="K1034" s="3136">
        <v>72</v>
      </c>
      <c r="L1034" s="2529">
        <v>189374496</v>
      </c>
      <c r="M1034" s="3136">
        <v>24</v>
      </c>
      <c r="N1034" s="2530">
        <f>'[5]Desember 2017'!$I$31+[6]Sheet1!$D$15</f>
        <v>65841000</v>
      </c>
      <c r="O1034" s="3136">
        <v>12</v>
      </c>
      <c r="P1034" s="2530">
        <f>'[4]April 2018'!$E$32</f>
        <v>30877724</v>
      </c>
      <c r="Q1034" s="2430">
        <v>3</v>
      </c>
      <c r="R1034" s="1690">
        <v>8765100</v>
      </c>
      <c r="S1034" s="2430">
        <v>3</v>
      </c>
      <c r="T1034" s="1689">
        <v>5036000</v>
      </c>
      <c r="U1034" s="64">
        <v>3</v>
      </c>
      <c r="V1034" s="2280">
        <v>5728800</v>
      </c>
      <c r="W1034" s="64"/>
      <c r="X1034" s="64"/>
      <c r="Y1034" s="2385">
        <f t="shared" si="331"/>
        <v>9</v>
      </c>
      <c r="Z1034" s="2280">
        <f t="shared" si="329"/>
        <v>19529900</v>
      </c>
      <c r="AA1034" s="2385">
        <f t="shared" si="332"/>
        <v>33</v>
      </c>
      <c r="AB1034" s="2280">
        <f t="shared" si="333"/>
        <v>85370900</v>
      </c>
      <c r="AC1034" s="2425">
        <f t="shared" si="334"/>
        <v>45.833333333333329</v>
      </c>
      <c r="AD1034" s="2322">
        <f t="shared" si="335"/>
        <v>45.080463210843348</v>
      </c>
      <c r="AE1034" s="2679"/>
    </row>
    <row r="1035" spans="1:76" s="2318" customFormat="1" ht="58.5" customHeight="1">
      <c r="A1035" s="64"/>
      <c r="B1035" s="2516"/>
      <c r="C1035" s="3137"/>
      <c r="D1035" s="3137"/>
      <c r="E1035" s="3137"/>
      <c r="F1035" s="3137"/>
      <c r="G1035" s="3137"/>
      <c r="H1035" s="3137"/>
      <c r="I1035" s="3154" t="s">
        <v>151</v>
      </c>
      <c r="J1035" s="3154" t="s">
        <v>4002</v>
      </c>
      <c r="K1035" s="3136">
        <v>72</v>
      </c>
      <c r="L1035" s="2529">
        <v>175469200</v>
      </c>
      <c r="M1035" s="3136">
        <v>24</v>
      </c>
      <c r="N1035" s="2530">
        <f>'[5]Desember 2017'!$I$34+[6]Sheet1!$D$16</f>
        <v>69983800</v>
      </c>
      <c r="O1035" s="3136">
        <v>12</v>
      </c>
      <c r="P1035" s="2530">
        <f>'[4]April 2018'!$E$35</f>
        <v>26367300</v>
      </c>
      <c r="Q1035" s="2430">
        <v>3</v>
      </c>
      <c r="R1035" s="1690">
        <v>6602000</v>
      </c>
      <c r="S1035" s="2430">
        <v>3</v>
      </c>
      <c r="T1035" s="1689">
        <v>4955200</v>
      </c>
      <c r="U1035" s="64">
        <v>3</v>
      </c>
      <c r="V1035" s="2280">
        <v>4238400</v>
      </c>
      <c r="W1035" s="64"/>
      <c r="X1035" s="64"/>
      <c r="Y1035" s="2385">
        <f t="shared" si="331"/>
        <v>9</v>
      </c>
      <c r="Z1035" s="2280">
        <f t="shared" si="329"/>
        <v>15795600</v>
      </c>
      <c r="AA1035" s="2385">
        <f t="shared" si="332"/>
        <v>33</v>
      </c>
      <c r="AB1035" s="2280">
        <f t="shared" si="333"/>
        <v>85779400</v>
      </c>
      <c r="AC1035" s="2425">
        <f t="shared" si="334"/>
        <v>45.833333333333329</v>
      </c>
      <c r="AD1035" s="2322">
        <f t="shared" si="335"/>
        <v>48.885730373193695</v>
      </c>
      <c r="AE1035" s="2679"/>
    </row>
    <row r="1036" spans="1:76" s="2321" customFormat="1" ht="58.5" customHeight="1">
      <c r="A1036" s="64"/>
      <c r="B1036" s="2516"/>
      <c r="C1036" s="3137"/>
      <c r="D1036" s="3137"/>
      <c r="E1036" s="3137"/>
      <c r="F1036" s="3137"/>
      <c r="G1036" s="3137"/>
      <c r="H1036" s="3137"/>
      <c r="I1036" s="3154" t="s">
        <v>152</v>
      </c>
      <c r="J1036" s="3154" t="s">
        <v>4003</v>
      </c>
      <c r="K1036" s="3136">
        <v>72</v>
      </c>
      <c r="L1036" s="2529">
        <v>60452620</v>
      </c>
      <c r="M1036" s="3136">
        <v>24</v>
      </c>
      <c r="N1036" s="2530">
        <f>'[5]Desember 2017'!$I$45+[6]Sheet1!$D$17</f>
        <v>17174000</v>
      </c>
      <c r="O1036" s="3136">
        <v>12</v>
      </c>
      <c r="P1036" s="2530">
        <f>'[4]April 2018'!$E$38</f>
        <v>10799024</v>
      </c>
      <c r="Q1036" s="2430">
        <v>3</v>
      </c>
      <c r="R1036" s="1690">
        <v>2462000</v>
      </c>
      <c r="S1036" s="2430">
        <v>3</v>
      </c>
      <c r="T1036" s="1689">
        <v>515000</v>
      </c>
      <c r="U1036" s="64">
        <v>3</v>
      </c>
      <c r="V1036" s="2280">
        <v>2770000</v>
      </c>
      <c r="W1036" s="64"/>
      <c r="X1036" s="64"/>
      <c r="Y1036" s="2385">
        <f t="shared" si="331"/>
        <v>9</v>
      </c>
      <c r="Z1036" s="2280">
        <f t="shared" si="329"/>
        <v>5747000</v>
      </c>
      <c r="AA1036" s="2385">
        <f t="shared" si="332"/>
        <v>33</v>
      </c>
      <c r="AB1036" s="2280">
        <f t="shared" si="333"/>
        <v>22921000</v>
      </c>
      <c r="AC1036" s="2425">
        <f t="shared" si="334"/>
        <v>45.833333333333329</v>
      </c>
      <c r="AD1036" s="2322">
        <f t="shared" si="335"/>
        <v>37.915643689223067</v>
      </c>
      <c r="AE1036" s="2679"/>
      <c r="AF1036" s="2320"/>
      <c r="AG1036" s="2320"/>
      <c r="AH1036" s="2320"/>
      <c r="AI1036" s="2320"/>
      <c r="AJ1036" s="2320"/>
      <c r="AK1036" s="2320"/>
      <c r="AL1036" s="2320"/>
      <c r="AM1036" s="2320"/>
      <c r="AN1036" s="2320"/>
      <c r="AO1036" s="2320"/>
      <c r="AP1036" s="2320"/>
      <c r="AQ1036" s="2320"/>
      <c r="AR1036" s="2320"/>
      <c r="AS1036" s="2320"/>
      <c r="AT1036" s="2320"/>
      <c r="AU1036" s="2320"/>
      <c r="AV1036" s="2320"/>
      <c r="AW1036" s="2320"/>
      <c r="AX1036" s="2320"/>
      <c r="AY1036" s="2320"/>
      <c r="AZ1036" s="2320"/>
      <c r="BA1036" s="2320"/>
      <c r="BB1036" s="2320"/>
      <c r="BC1036" s="2320"/>
      <c r="BD1036" s="2320"/>
      <c r="BE1036" s="2320"/>
      <c r="BF1036" s="2320"/>
      <c r="BG1036" s="2320"/>
      <c r="BH1036" s="2320"/>
      <c r="BI1036" s="2320"/>
      <c r="BJ1036" s="2320"/>
      <c r="BK1036" s="2320"/>
      <c r="BL1036" s="2320"/>
      <c r="BM1036" s="2320"/>
      <c r="BN1036" s="2320"/>
      <c r="BO1036" s="2320"/>
      <c r="BP1036" s="2320"/>
      <c r="BQ1036" s="2320"/>
      <c r="BR1036" s="2320"/>
      <c r="BS1036" s="2320"/>
      <c r="BT1036" s="2320"/>
      <c r="BU1036" s="2320"/>
      <c r="BV1036" s="2320"/>
      <c r="BW1036" s="2320"/>
      <c r="BX1036" s="2320"/>
    </row>
    <row r="1037" spans="1:76" s="2321" customFormat="1" ht="66" customHeight="1">
      <c r="A1037" s="64"/>
      <c r="B1037" s="2516"/>
      <c r="C1037" s="3137"/>
      <c r="D1037" s="3137"/>
      <c r="E1037" s="3137"/>
      <c r="F1037" s="3137"/>
      <c r="G1037" s="3137"/>
      <c r="H1037" s="3137"/>
      <c r="I1037" s="3154" t="s">
        <v>1293</v>
      </c>
      <c r="J1037" s="3154" t="s">
        <v>3511</v>
      </c>
      <c r="K1037" s="3136">
        <v>72</v>
      </c>
      <c r="L1037" s="2529">
        <v>79065000</v>
      </c>
      <c r="M1037" s="3136">
        <v>24</v>
      </c>
      <c r="N1037" s="2530">
        <f>'[5]Desember 2017'!$I$48+[6]Sheet1!$D$23</f>
        <v>36990000</v>
      </c>
      <c r="O1037" s="3136">
        <v>12</v>
      </c>
      <c r="P1037" s="2530">
        <f>'[4]April 2018'!$E$41</f>
        <v>10500000</v>
      </c>
      <c r="Q1037" s="2430">
        <v>3</v>
      </c>
      <c r="R1037" s="1690">
        <v>1560000</v>
      </c>
      <c r="S1037" s="2430">
        <v>3</v>
      </c>
      <c r="T1037" s="1689">
        <v>2220000</v>
      </c>
      <c r="U1037" s="64">
        <v>3</v>
      </c>
      <c r="V1037" s="2280">
        <v>1750000</v>
      </c>
      <c r="W1037" s="64"/>
      <c r="X1037" s="64"/>
      <c r="Y1037" s="2385">
        <f t="shared" si="331"/>
        <v>9</v>
      </c>
      <c r="Z1037" s="2280">
        <f t="shared" si="329"/>
        <v>5530000</v>
      </c>
      <c r="AA1037" s="2385">
        <f t="shared" si="332"/>
        <v>33</v>
      </c>
      <c r="AB1037" s="2280">
        <f t="shared" si="333"/>
        <v>42520000</v>
      </c>
      <c r="AC1037" s="2425">
        <f t="shared" si="334"/>
        <v>45.833333333333329</v>
      </c>
      <c r="AD1037" s="2322">
        <f t="shared" si="335"/>
        <v>53.778536647062545</v>
      </c>
      <c r="AE1037" s="2679"/>
      <c r="AF1037" s="2320"/>
      <c r="AG1037" s="2320"/>
      <c r="AH1037" s="2320"/>
      <c r="AI1037" s="2320"/>
      <c r="AJ1037" s="2320"/>
      <c r="AK1037" s="2320"/>
      <c r="AL1037" s="2320"/>
      <c r="AM1037" s="2320"/>
      <c r="AN1037" s="2320"/>
      <c r="AO1037" s="2320"/>
      <c r="AP1037" s="2320"/>
      <c r="AQ1037" s="2320"/>
      <c r="AR1037" s="2320"/>
      <c r="AS1037" s="2320"/>
      <c r="AT1037" s="2320"/>
      <c r="AU1037" s="2320"/>
      <c r="AV1037" s="2320"/>
      <c r="AW1037" s="2320"/>
      <c r="AX1037" s="2320"/>
      <c r="AY1037" s="2320"/>
      <c r="AZ1037" s="2320"/>
      <c r="BA1037" s="2320"/>
      <c r="BB1037" s="2320"/>
      <c r="BC1037" s="2320"/>
      <c r="BD1037" s="2320"/>
      <c r="BE1037" s="2320"/>
      <c r="BF1037" s="2320"/>
      <c r="BG1037" s="2320"/>
      <c r="BH1037" s="2320"/>
      <c r="BI1037" s="2320"/>
      <c r="BJ1037" s="2320"/>
      <c r="BK1037" s="2320"/>
      <c r="BL1037" s="2320"/>
      <c r="BM1037" s="2320"/>
      <c r="BN1037" s="2320"/>
      <c r="BO1037" s="2320"/>
      <c r="BP1037" s="2320"/>
      <c r="BQ1037" s="2320"/>
      <c r="BR1037" s="2320"/>
      <c r="BS1037" s="2320"/>
      <c r="BT1037" s="2320"/>
      <c r="BU1037" s="2320"/>
      <c r="BV1037" s="2320"/>
      <c r="BW1037" s="2320"/>
      <c r="BX1037" s="2320"/>
    </row>
    <row r="1038" spans="1:76" s="2321" customFormat="1" ht="46.5" customHeight="1">
      <c r="A1038" s="64"/>
      <c r="B1038" s="2516"/>
      <c r="C1038" s="3137"/>
      <c r="D1038" s="3137"/>
      <c r="E1038" s="3137"/>
      <c r="F1038" s="3137"/>
      <c r="G1038" s="3137"/>
      <c r="H1038" s="3137"/>
      <c r="I1038" s="3154" t="s">
        <v>157</v>
      </c>
      <c r="J1038" s="3154" t="s">
        <v>4004</v>
      </c>
      <c r="K1038" s="3136">
        <v>72</v>
      </c>
      <c r="L1038" s="2529">
        <v>316641000</v>
      </c>
      <c r="M1038" s="3136">
        <v>24</v>
      </c>
      <c r="N1038" s="2530">
        <f>'[5]Desember 2017'!$I$51+[6]Sheet1!$D$24</f>
        <v>187096400</v>
      </c>
      <c r="O1038" s="3136">
        <v>12</v>
      </c>
      <c r="P1038" s="2530">
        <f>'[4]April 2018'!$E$46</f>
        <v>32384000</v>
      </c>
      <c r="Q1038" s="2430">
        <v>3</v>
      </c>
      <c r="R1038" s="1690">
        <v>10967500</v>
      </c>
      <c r="S1038" s="2430">
        <v>3</v>
      </c>
      <c r="T1038" s="1689">
        <v>4392000</v>
      </c>
      <c r="U1038" s="64">
        <v>3</v>
      </c>
      <c r="V1038" s="2280">
        <v>7728800</v>
      </c>
      <c r="W1038" s="64"/>
      <c r="X1038" s="64"/>
      <c r="Y1038" s="2385">
        <f t="shared" si="331"/>
        <v>9</v>
      </c>
      <c r="Z1038" s="2280">
        <f t="shared" si="329"/>
        <v>23088300</v>
      </c>
      <c r="AA1038" s="2385">
        <f t="shared" si="332"/>
        <v>33</v>
      </c>
      <c r="AB1038" s="2280">
        <f t="shared" si="333"/>
        <v>210184700</v>
      </c>
      <c r="AC1038" s="2425">
        <f t="shared" si="334"/>
        <v>45.833333333333329</v>
      </c>
      <c r="AD1038" s="2322">
        <f t="shared" si="335"/>
        <v>66.379496022309183</v>
      </c>
      <c r="AE1038" s="2679"/>
      <c r="AF1038" s="2320"/>
      <c r="AG1038" s="2320"/>
      <c r="AH1038" s="2320"/>
      <c r="AI1038" s="2320"/>
      <c r="AJ1038" s="2320"/>
      <c r="AK1038" s="2320"/>
      <c r="AL1038" s="2320"/>
      <c r="AM1038" s="2320"/>
      <c r="AN1038" s="2320"/>
      <c r="AO1038" s="2320"/>
      <c r="AP1038" s="2320"/>
      <c r="AQ1038" s="2320"/>
      <c r="AR1038" s="2320"/>
      <c r="AS1038" s="2320"/>
      <c r="AT1038" s="2320"/>
      <c r="AU1038" s="2320"/>
      <c r="AV1038" s="2320"/>
      <c r="AW1038" s="2320"/>
      <c r="AX1038" s="2320"/>
      <c r="AY1038" s="2320"/>
      <c r="AZ1038" s="2320"/>
      <c r="BA1038" s="2320"/>
      <c r="BB1038" s="2320"/>
      <c r="BC1038" s="2320"/>
      <c r="BD1038" s="2320"/>
      <c r="BE1038" s="2320"/>
      <c r="BF1038" s="2320"/>
      <c r="BG1038" s="2320"/>
      <c r="BH1038" s="2320"/>
      <c r="BI1038" s="2320"/>
      <c r="BJ1038" s="2320"/>
      <c r="BK1038" s="2320"/>
      <c r="BL1038" s="2320"/>
      <c r="BM1038" s="2320"/>
      <c r="BN1038" s="2320"/>
      <c r="BO1038" s="2320"/>
      <c r="BP1038" s="2320"/>
      <c r="BQ1038" s="2320"/>
      <c r="BR1038" s="2320"/>
      <c r="BS1038" s="2320"/>
      <c r="BT1038" s="2320"/>
      <c r="BU1038" s="2320"/>
      <c r="BV1038" s="2320"/>
      <c r="BW1038" s="2320"/>
      <c r="BX1038" s="2320"/>
    </row>
    <row r="1039" spans="1:76" s="2608" customFormat="1" ht="72" customHeight="1">
      <c r="A1039" s="64"/>
      <c r="B1039" s="2516"/>
      <c r="C1039" s="3137"/>
      <c r="D1039" s="3137"/>
      <c r="E1039" s="3137"/>
      <c r="F1039" s="3137"/>
      <c r="G1039" s="3137"/>
      <c r="H1039" s="3137"/>
      <c r="I1039" s="3154" t="s">
        <v>244</v>
      </c>
      <c r="J1039" s="3036" t="s">
        <v>3986</v>
      </c>
      <c r="K1039" s="3136">
        <v>72</v>
      </c>
      <c r="L1039" s="2529">
        <v>798022000</v>
      </c>
      <c r="M1039" s="3136">
        <v>24</v>
      </c>
      <c r="N1039" s="2531">
        <f>'[5]Desember 2017'!$I$54+[6]Sheet1!$D$25</f>
        <v>317970738</v>
      </c>
      <c r="O1039" s="3136">
        <v>12</v>
      </c>
      <c r="P1039" s="2530">
        <f>'[4]April 2018'!$E$49</f>
        <v>102850000</v>
      </c>
      <c r="Q1039" s="2430">
        <v>3</v>
      </c>
      <c r="R1039" s="1690">
        <v>37135800</v>
      </c>
      <c r="S1039" s="2430">
        <v>3</v>
      </c>
      <c r="T1039" s="1689">
        <v>15969200</v>
      </c>
      <c r="U1039" s="64">
        <v>3</v>
      </c>
      <c r="V1039" s="2280">
        <v>32256227</v>
      </c>
      <c r="W1039" s="64"/>
      <c r="X1039" s="64"/>
      <c r="Y1039" s="2385">
        <f t="shared" si="331"/>
        <v>9</v>
      </c>
      <c r="Z1039" s="2280">
        <f>R1039+T1039+V1039</f>
        <v>85361227</v>
      </c>
      <c r="AA1039" s="2385">
        <f t="shared" si="332"/>
        <v>33</v>
      </c>
      <c r="AB1039" s="2280">
        <f t="shared" si="333"/>
        <v>403331965</v>
      </c>
      <c r="AC1039" s="2425">
        <f t="shared" si="334"/>
        <v>45.833333333333329</v>
      </c>
      <c r="AD1039" s="2322">
        <f t="shared" si="335"/>
        <v>50.541459383325268</v>
      </c>
      <c r="AE1039" s="2679"/>
      <c r="AF1039" s="2318"/>
      <c r="AG1039" s="2318"/>
      <c r="AH1039" s="2318"/>
      <c r="AI1039" s="2318"/>
      <c r="AJ1039" s="2318"/>
      <c r="AK1039" s="2318"/>
      <c r="AL1039" s="2318"/>
      <c r="AM1039" s="2318"/>
      <c r="AN1039" s="2318"/>
      <c r="AO1039" s="2318"/>
      <c r="AP1039" s="2318"/>
      <c r="AQ1039" s="2318"/>
      <c r="AR1039" s="2318"/>
      <c r="AS1039" s="2318"/>
      <c r="AT1039" s="2318"/>
      <c r="AU1039" s="2318"/>
      <c r="AV1039" s="2318"/>
      <c r="AW1039" s="2318"/>
      <c r="AX1039" s="2318"/>
      <c r="AY1039" s="2318"/>
      <c r="AZ1039" s="2318"/>
      <c r="BA1039" s="2318"/>
      <c r="BB1039" s="2318"/>
      <c r="BC1039" s="2318"/>
      <c r="BD1039" s="2318"/>
      <c r="BE1039" s="2318"/>
      <c r="BF1039" s="2318"/>
      <c r="BG1039" s="2318"/>
      <c r="BH1039" s="2318"/>
      <c r="BI1039" s="2318"/>
      <c r="BJ1039" s="2318"/>
      <c r="BK1039" s="2318"/>
      <c r="BL1039" s="2318"/>
      <c r="BM1039" s="2318"/>
      <c r="BN1039" s="2318"/>
      <c r="BO1039" s="2318"/>
      <c r="BP1039" s="2318"/>
      <c r="BQ1039" s="2318"/>
      <c r="BR1039" s="2318"/>
      <c r="BS1039" s="2318"/>
      <c r="BT1039" s="2318"/>
      <c r="BU1039" s="2318"/>
      <c r="BV1039" s="2318"/>
      <c r="BW1039" s="2318"/>
      <c r="BX1039" s="2318"/>
    </row>
    <row r="1040" spans="1:76" s="2608" customFormat="1" ht="51">
      <c r="A1040" s="64"/>
      <c r="B1040" s="2516"/>
      <c r="C1040" s="3137"/>
      <c r="D1040" s="3137"/>
      <c r="E1040" s="3137"/>
      <c r="F1040" s="3137"/>
      <c r="G1040" s="3137"/>
      <c r="H1040" s="3137"/>
      <c r="I1040" s="3154" t="s">
        <v>246</v>
      </c>
      <c r="J1040" s="3036" t="s">
        <v>4005</v>
      </c>
      <c r="K1040" s="3136">
        <v>72</v>
      </c>
      <c r="L1040" s="2529">
        <v>429300000</v>
      </c>
      <c r="M1040" s="3136">
        <v>24</v>
      </c>
      <c r="N1040" s="2530">
        <f>'[5]Desember 2017'!$I$56+[6]Sheet1!$D$26</f>
        <v>196225000</v>
      </c>
      <c r="O1040" s="3136">
        <v>12</v>
      </c>
      <c r="P1040" s="2530">
        <f>'[4]April 2018'!$E$52</f>
        <v>58200000</v>
      </c>
      <c r="Q1040" s="2430">
        <v>3</v>
      </c>
      <c r="R1040" s="1690">
        <v>37855000</v>
      </c>
      <c r="S1040" s="2430">
        <v>3</v>
      </c>
      <c r="T1040" s="1689">
        <v>15250000</v>
      </c>
      <c r="U1040" s="64">
        <v>3</v>
      </c>
      <c r="V1040" s="2280"/>
      <c r="W1040" s="64"/>
      <c r="X1040" s="64"/>
      <c r="Y1040" s="2385">
        <f t="shared" si="331"/>
        <v>9</v>
      </c>
      <c r="Z1040" s="2280">
        <f t="shared" si="329"/>
        <v>53105000</v>
      </c>
      <c r="AA1040" s="2385">
        <f t="shared" si="332"/>
        <v>33</v>
      </c>
      <c r="AB1040" s="2280">
        <f t="shared" si="333"/>
        <v>249330000</v>
      </c>
      <c r="AC1040" s="2425">
        <f t="shared" si="334"/>
        <v>45.833333333333329</v>
      </c>
      <c r="AD1040" s="2322">
        <f t="shared" si="335"/>
        <v>58.078266946191469</v>
      </c>
      <c r="AE1040" s="2679"/>
      <c r="AF1040" s="2318"/>
      <c r="AG1040" s="2318"/>
      <c r="AH1040" s="2318"/>
      <c r="AI1040" s="2318"/>
      <c r="AJ1040" s="2318"/>
      <c r="AK1040" s="2318"/>
      <c r="AL1040" s="2318"/>
      <c r="AM1040" s="2318"/>
      <c r="AN1040" s="2318"/>
      <c r="AO1040" s="2318"/>
      <c r="AP1040" s="2318"/>
      <c r="AQ1040" s="2318"/>
      <c r="AR1040" s="2318"/>
      <c r="AS1040" s="2318"/>
      <c r="AT1040" s="2318"/>
      <c r="AU1040" s="2318"/>
      <c r="AV1040" s="2318"/>
      <c r="AW1040" s="2318"/>
      <c r="AX1040" s="2318"/>
      <c r="AY1040" s="2318"/>
      <c r="AZ1040" s="2318"/>
      <c r="BA1040" s="2318"/>
      <c r="BB1040" s="2318"/>
      <c r="BC1040" s="2318"/>
      <c r="BD1040" s="2318"/>
      <c r="BE1040" s="2318"/>
      <c r="BF1040" s="2318"/>
      <c r="BG1040" s="2318"/>
      <c r="BH1040" s="2318"/>
      <c r="BI1040" s="2318"/>
      <c r="BJ1040" s="2318"/>
      <c r="BK1040" s="2318"/>
      <c r="BL1040" s="2318"/>
      <c r="BM1040" s="2318"/>
      <c r="BN1040" s="2318"/>
      <c r="BO1040" s="2318"/>
      <c r="BP1040" s="2318"/>
      <c r="BQ1040" s="2318"/>
      <c r="BR1040" s="2318"/>
      <c r="BS1040" s="2318"/>
      <c r="BT1040" s="2318"/>
      <c r="BU1040" s="2318"/>
      <c r="BV1040" s="2318"/>
      <c r="BW1040" s="2318"/>
      <c r="BX1040" s="2318"/>
    </row>
    <row r="1041" spans="1:76" s="2608" customFormat="1" ht="63.75" customHeight="1">
      <c r="A1041" s="2570">
        <v>2</v>
      </c>
      <c r="B1041" s="2570"/>
      <c r="C1041" s="2575">
        <v>3</v>
      </c>
      <c r="D1041" s="2579" t="s">
        <v>107</v>
      </c>
      <c r="E1041" s="2579" t="s">
        <v>95</v>
      </c>
      <c r="F1041" s="2579" t="s">
        <v>66</v>
      </c>
      <c r="G1041" s="2579" t="s">
        <v>65</v>
      </c>
      <c r="H1041" s="3796"/>
      <c r="I1041" s="2501" t="s">
        <v>257</v>
      </c>
      <c r="J1041" s="2501" t="s">
        <v>3376</v>
      </c>
      <c r="K1041" s="2543">
        <v>600</v>
      </c>
      <c r="L1041" s="2587">
        <f t="shared" ref="L1041:R1041" si="336">SUM(L1042:L1044)</f>
        <v>1919225150</v>
      </c>
      <c r="M1041" s="2621">
        <v>200</v>
      </c>
      <c r="N1041" s="2587">
        <f t="shared" si="336"/>
        <v>524624622</v>
      </c>
      <c r="O1041" s="2543">
        <v>100</v>
      </c>
      <c r="P1041" s="2587">
        <f>SUM(P1042:P1044)</f>
        <v>360285500</v>
      </c>
      <c r="Q1041" s="2621">
        <v>25</v>
      </c>
      <c r="R1041" s="2569">
        <f t="shared" si="336"/>
        <v>78062886</v>
      </c>
      <c r="S1041" s="2570"/>
      <c r="T1041" s="2594">
        <f>SUM(T1042:T1043)</f>
        <v>60192700</v>
      </c>
      <c r="U1041" s="2570">
        <v>3</v>
      </c>
      <c r="V1041" s="2571">
        <v>3265000</v>
      </c>
      <c r="W1041" s="2570"/>
      <c r="X1041" s="2570"/>
      <c r="Y1041" s="2621">
        <f t="shared" si="331"/>
        <v>28</v>
      </c>
      <c r="Z1041" s="2571">
        <f t="shared" si="329"/>
        <v>141520586</v>
      </c>
      <c r="AA1041" s="2621">
        <f t="shared" ref="AA1041:AB1044" si="337">M1041+Y1041</f>
        <v>228</v>
      </c>
      <c r="AB1041" s="2571">
        <f t="shared" si="337"/>
        <v>666145208</v>
      </c>
      <c r="AC1041" s="2622">
        <f t="shared" ref="AC1041:AD1044" si="338">AA1041/K1041*100</f>
        <v>38</v>
      </c>
      <c r="AD1041" s="2623">
        <f t="shared" si="338"/>
        <v>34.709070376656953</v>
      </c>
      <c r="AE1041" s="2680" t="s">
        <v>2418</v>
      </c>
      <c r="AF1041" s="2318"/>
      <c r="AG1041" s="2318"/>
      <c r="AH1041" s="2318"/>
      <c r="AI1041" s="2318"/>
      <c r="AJ1041" s="2318"/>
      <c r="AK1041" s="2318"/>
      <c r="AL1041" s="2318"/>
      <c r="AM1041" s="2318"/>
      <c r="AN1041" s="2318"/>
      <c r="AO1041" s="2318"/>
      <c r="AP1041" s="2318"/>
      <c r="AQ1041" s="2318"/>
      <c r="AR1041" s="2318"/>
      <c r="AS1041" s="2318"/>
      <c r="AT1041" s="2318"/>
      <c r="AU1041" s="2318"/>
      <c r="AV1041" s="2318"/>
      <c r="AW1041" s="2318"/>
      <c r="AX1041" s="2318"/>
      <c r="AY1041" s="2318"/>
      <c r="AZ1041" s="2318"/>
      <c r="BA1041" s="2318"/>
      <c r="BB1041" s="2318"/>
      <c r="BC1041" s="2318"/>
      <c r="BD1041" s="2318"/>
      <c r="BE1041" s="2318"/>
      <c r="BF1041" s="2318"/>
      <c r="BG1041" s="2318"/>
      <c r="BH1041" s="2318"/>
      <c r="BI1041" s="2318"/>
      <c r="BJ1041" s="2318"/>
      <c r="BK1041" s="2318"/>
      <c r="BL1041" s="2318"/>
      <c r="BM1041" s="2318"/>
      <c r="BN1041" s="2318"/>
      <c r="BO1041" s="2318"/>
      <c r="BP1041" s="2318"/>
      <c r="BQ1041" s="2318"/>
      <c r="BR1041" s="2318"/>
      <c r="BS1041" s="2318"/>
      <c r="BT1041" s="2318"/>
      <c r="BU1041" s="2318"/>
      <c r="BV1041" s="2318"/>
      <c r="BW1041" s="2318"/>
      <c r="BX1041" s="2318"/>
    </row>
    <row r="1042" spans="1:76" s="2608" customFormat="1" ht="50.25" customHeight="1">
      <c r="A1042" s="64"/>
      <c r="B1042" s="2632"/>
      <c r="C1042" s="3137"/>
      <c r="D1042" s="3137"/>
      <c r="E1042" s="3137"/>
      <c r="F1042" s="3137"/>
      <c r="G1042" s="3137"/>
      <c r="H1042" s="3137"/>
      <c r="I1042" s="3154" t="s">
        <v>1301</v>
      </c>
      <c r="J1042" s="1703" t="s">
        <v>4006</v>
      </c>
      <c r="K1042" s="3136">
        <v>72</v>
      </c>
      <c r="L1042" s="2529">
        <v>404720000</v>
      </c>
      <c r="M1042" s="2430">
        <v>24</v>
      </c>
      <c r="N1042" s="2530">
        <f>'[5]Desember 2017'!$I$61+[6]Sheet1!$D$29</f>
        <v>168686000</v>
      </c>
      <c r="O1042" s="3136">
        <v>12</v>
      </c>
      <c r="P1042" s="2530">
        <f>'[4]Maret 2018'!$E$56</f>
        <v>59000000</v>
      </c>
      <c r="Q1042" s="2430">
        <v>3</v>
      </c>
      <c r="R1042" s="1690">
        <f>'[4]Maret 2018'!$H$56</f>
        <v>17176000</v>
      </c>
      <c r="S1042" s="64">
        <v>3</v>
      </c>
      <c r="T1042" s="1689">
        <v>17838000</v>
      </c>
      <c r="U1042" s="64">
        <v>3</v>
      </c>
      <c r="V1042" s="2280">
        <v>5186000</v>
      </c>
      <c r="W1042" s="64"/>
      <c r="X1042" s="64"/>
      <c r="Y1042" s="2385">
        <f t="shared" si="331"/>
        <v>9</v>
      </c>
      <c r="Z1042" s="2280">
        <f t="shared" si="329"/>
        <v>40200000</v>
      </c>
      <c r="AA1042" s="2385">
        <f t="shared" si="337"/>
        <v>33</v>
      </c>
      <c r="AB1042" s="2280">
        <f t="shared" si="337"/>
        <v>208886000</v>
      </c>
      <c r="AC1042" s="2425">
        <f t="shared" si="338"/>
        <v>45.833333333333329</v>
      </c>
      <c r="AD1042" s="2322">
        <f t="shared" si="338"/>
        <v>51.61247282071556</v>
      </c>
      <c r="AE1042" s="2679"/>
      <c r="AF1042" s="2318"/>
      <c r="AG1042" s="2318"/>
      <c r="AH1042" s="2318"/>
      <c r="AI1042" s="2318"/>
      <c r="AJ1042" s="2318"/>
      <c r="AK1042" s="2318"/>
      <c r="AL1042" s="2318"/>
      <c r="AM1042" s="2318"/>
      <c r="AN1042" s="2318"/>
      <c r="AO1042" s="2318"/>
      <c r="AP1042" s="2318"/>
      <c r="AQ1042" s="2318"/>
      <c r="AR1042" s="2318"/>
      <c r="AS1042" s="2318"/>
      <c r="AT1042" s="2318"/>
      <c r="AU1042" s="2318"/>
      <c r="AV1042" s="2318"/>
      <c r="AW1042" s="2318"/>
      <c r="AX1042" s="2318"/>
      <c r="AY1042" s="2318"/>
      <c r="AZ1042" s="2318"/>
      <c r="BA1042" s="2318"/>
      <c r="BB1042" s="2318"/>
      <c r="BC1042" s="2318"/>
      <c r="BD1042" s="2318"/>
      <c r="BE1042" s="2318"/>
      <c r="BF1042" s="2318"/>
      <c r="BG1042" s="2318"/>
      <c r="BH1042" s="2318"/>
      <c r="BI1042" s="2318"/>
      <c r="BJ1042" s="2318"/>
      <c r="BK1042" s="2318"/>
      <c r="BL1042" s="2318"/>
      <c r="BM1042" s="2318"/>
      <c r="BN1042" s="2318"/>
      <c r="BO1042" s="2318"/>
      <c r="BP1042" s="2318"/>
      <c r="BQ1042" s="2318"/>
      <c r="BR1042" s="2318"/>
      <c r="BS1042" s="2318"/>
      <c r="BT1042" s="2318"/>
      <c r="BU1042" s="2318"/>
      <c r="BV1042" s="2318"/>
      <c r="BW1042" s="2318"/>
      <c r="BX1042" s="2318"/>
    </row>
    <row r="1043" spans="1:76" s="2608" customFormat="1" ht="72.75" customHeight="1">
      <c r="A1043" s="64"/>
      <c r="B1043" s="2632"/>
      <c r="C1043" s="3137"/>
      <c r="D1043" s="3137"/>
      <c r="E1043" s="3137"/>
      <c r="F1043" s="3137"/>
      <c r="G1043" s="3137"/>
      <c r="H1043" s="3137"/>
      <c r="I1043" s="3154" t="s">
        <v>1303</v>
      </c>
      <c r="J1043" s="1703" t="s">
        <v>4007</v>
      </c>
      <c r="K1043" s="3136">
        <v>72</v>
      </c>
      <c r="L1043" s="2529">
        <v>1298965150</v>
      </c>
      <c r="M1043" s="2430">
        <v>24</v>
      </c>
      <c r="N1043" s="2530">
        <f>'[5]Desember 2017'!$I$64+[6]Sheet1!$D$30</f>
        <v>355938622</v>
      </c>
      <c r="O1043" s="3136">
        <v>12</v>
      </c>
      <c r="P1043" s="2530">
        <f>'[4]Maret 2018'!$E$60</f>
        <v>235745500</v>
      </c>
      <c r="Q1043" s="2430">
        <v>3</v>
      </c>
      <c r="R1043" s="1690">
        <f>'[4]Maret 2018'!$H$60</f>
        <v>60886886</v>
      </c>
      <c r="S1043" s="64">
        <v>3</v>
      </c>
      <c r="T1043" s="1689">
        <v>42354700</v>
      </c>
      <c r="U1043" s="64">
        <v>3</v>
      </c>
      <c r="V1043" s="2280">
        <v>52197200</v>
      </c>
      <c r="W1043" s="64"/>
      <c r="X1043" s="64"/>
      <c r="Y1043" s="2385">
        <f t="shared" si="331"/>
        <v>9</v>
      </c>
      <c r="Z1043" s="2280">
        <f t="shared" si="329"/>
        <v>155438786</v>
      </c>
      <c r="AA1043" s="2385">
        <f t="shared" si="337"/>
        <v>33</v>
      </c>
      <c r="AB1043" s="2280">
        <f t="shared" si="337"/>
        <v>511377408</v>
      </c>
      <c r="AC1043" s="2425">
        <f t="shared" si="338"/>
        <v>45.833333333333329</v>
      </c>
      <c r="AD1043" s="2322">
        <f t="shared" si="338"/>
        <v>39.368062183962365</v>
      </c>
      <c r="AE1043" s="2679"/>
      <c r="AF1043" s="2318"/>
      <c r="AG1043" s="2318"/>
      <c r="AH1043" s="2318"/>
      <c r="AI1043" s="2318"/>
      <c r="AJ1043" s="2318"/>
      <c r="AK1043" s="2318"/>
      <c r="AL1043" s="2318"/>
      <c r="AM1043" s="2318"/>
      <c r="AN1043" s="2318"/>
      <c r="AO1043" s="2318"/>
      <c r="AP1043" s="2318"/>
      <c r="AQ1043" s="2318"/>
      <c r="AR1043" s="2318"/>
      <c r="AS1043" s="2318"/>
      <c r="AT1043" s="2318"/>
      <c r="AU1043" s="2318"/>
      <c r="AV1043" s="2318"/>
      <c r="AW1043" s="2318"/>
      <c r="AX1043" s="2318"/>
      <c r="AY1043" s="2318"/>
      <c r="AZ1043" s="2318"/>
      <c r="BA1043" s="2318"/>
      <c r="BB1043" s="2318"/>
      <c r="BC1043" s="2318"/>
      <c r="BD1043" s="2318"/>
      <c r="BE1043" s="2318"/>
      <c r="BF1043" s="2318"/>
      <c r="BG1043" s="2318"/>
      <c r="BH1043" s="2318"/>
      <c r="BI1043" s="2318"/>
      <c r="BJ1043" s="2318"/>
      <c r="BK1043" s="2318"/>
      <c r="BL1043" s="2318"/>
      <c r="BM1043" s="2318"/>
      <c r="BN1043" s="2318"/>
      <c r="BO1043" s="2318"/>
      <c r="BP1043" s="2318"/>
      <c r="BQ1043" s="2318"/>
      <c r="BR1043" s="2318"/>
      <c r="BS1043" s="2318"/>
      <c r="BT1043" s="2318"/>
      <c r="BU1043" s="2318"/>
      <c r="BV1043" s="2318"/>
      <c r="BW1043" s="2318"/>
      <c r="BX1043" s="2318"/>
    </row>
    <row r="1044" spans="1:76" s="2608" customFormat="1" ht="43.5" customHeight="1">
      <c r="A1044" s="64"/>
      <c r="B1044" s="2632"/>
      <c r="C1044" s="3137"/>
      <c r="D1044" s="3137"/>
      <c r="E1044" s="3137"/>
      <c r="F1044" s="3137"/>
      <c r="G1044" s="3137"/>
      <c r="H1044" s="3137"/>
      <c r="I1044" s="3154" t="s">
        <v>2433</v>
      </c>
      <c r="J1044" s="2632" t="s">
        <v>4008</v>
      </c>
      <c r="K1044" s="3136">
        <v>2</v>
      </c>
      <c r="L1044" s="2529">
        <v>215540000</v>
      </c>
      <c r="M1044" s="3136">
        <v>0</v>
      </c>
      <c r="N1044" s="3136">
        <v>0</v>
      </c>
      <c r="O1044" s="3136">
        <v>1</v>
      </c>
      <c r="P1044" s="2530">
        <f>'[4]Maret 2018'!$E$63</f>
        <v>65540000</v>
      </c>
      <c r="Q1044" s="3136"/>
      <c r="R1044" s="64"/>
      <c r="S1044" s="64"/>
      <c r="T1044" s="64"/>
      <c r="U1044" s="64"/>
      <c r="V1044" s="2280"/>
      <c r="W1044" s="64"/>
      <c r="X1044" s="64"/>
      <c r="Y1044" s="3136">
        <f t="shared" si="331"/>
        <v>0</v>
      </c>
      <c r="Z1044" s="2280">
        <f t="shared" si="329"/>
        <v>0</v>
      </c>
      <c r="AA1044" s="3136">
        <f t="shared" si="337"/>
        <v>0</v>
      </c>
      <c r="AB1044" s="2280">
        <f t="shared" si="337"/>
        <v>0</v>
      </c>
      <c r="AC1044" s="3158">
        <f t="shared" si="338"/>
        <v>0</v>
      </c>
      <c r="AD1044" s="2322">
        <f t="shared" si="338"/>
        <v>0</v>
      </c>
      <c r="AE1044" s="2679"/>
      <c r="AF1044" s="2318"/>
      <c r="AG1044" s="2318"/>
      <c r="AH1044" s="2318"/>
      <c r="AI1044" s="2318"/>
      <c r="AJ1044" s="2318"/>
      <c r="AK1044" s="2318"/>
      <c r="AL1044" s="2318"/>
      <c r="AM1044" s="2318"/>
      <c r="AN1044" s="2318"/>
      <c r="AO1044" s="2318"/>
      <c r="AP1044" s="2318"/>
      <c r="AQ1044" s="2318"/>
      <c r="AR1044" s="2318"/>
      <c r="AS1044" s="2318"/>
      <c r="AT1044" s="2318"/>
      <c r="AU1044" s="2318"/>
      <c r="AV1044" s="2318"/>
      <c r="AW1044" s="2318"/>
      <c r="AX1044" s="2318"/>
      <c r="AY1044" s="2318"/>
      <c r="AZ1044" s="2318"/>
      <c r="BA1044" s="2318"/>
      <c r="BB1044" s="2318"/>
      <c r="BC1044" s="2318"/>
      <c r="BD1044" s="2318"/>
      <c r="BE1044" s="2318"/>
      <c r="BF1044" s="2318"/>
      <c r="BG1044" s="2318"/>
      <c r="BH1044" s="2318"/>
      <c r="BI1044" s="2318"/>
      <c r="BJ1044" s="2318"/>
      <c r="BK1044" s="2318"/>
      <c r="BL1044" s="2318"/>
      <c r="BM1044" s="2318"/>
      <c r="BN1044" s="2318"/>
      <c r="BO1044" s="2318"/>
      <c r="BP1044" s="2318"/>
      <c r="BQ1044" s="2318"/>
      <c r="BR1044" s="2318"/>
      <c r="BS1044" s="2318"/>
      <c r="BT1044" s="2318"/>
      <c r="BU1044" s="2318"/>
      <c r="BV1044" s="2318"/>
      <c r="BW1044" s="2318"/>
      <c r="BX1044" s="2318"/>
    </row>
    <row r="1045" spans="1:76" s="2608" customFormat="1" ht="58.5" customHeight="1">
      <c r="A1045" s="2570">
        <v>3</v>
      </c>
      <c r="B1045" s="2335" t="s">
        <v>2478</v>
      </c>
      <c r="C1045" s="2374">
        <v>13</v>
      </c>
      <c r="D1045" s="2374">
        <v>1</v>
      </c>
      <c r="E1045" s="2374">
        <v>2</v>
      </c>
      <c r="F1045" s="2374">
        <v>13</v>
      </c>
      <c r="G1045" s="2374">
        <v>16</v>
      </c>
      <c r="H1045" s="3795"/>
      <c r="I1045" s="2363" t="s">
        <v>2479</v>
      </c>
      <c r="J1045" s="2359" t="s">
        <v>2480</v>
      </c>
      <c r="K1045" s="3162">
        <v>80</v>
      </c>
      <c r="L1045" s="2442">
        <f>SUM(L1046:L1050)</f>
        <v>4874759675</v>
      </c>
      <c r="M1045" s="3162">
        <v>50</v>
      </c>
      <c r="N1045" s="2442">
        <f>SUM(N1046:N1050)</f>
        <v>964411138</v>
      </c>
      <c r="O1045" s="3162">
        <v>10</v>
      </c>
      <c r="P1045" s="2442">
        <f>SUM(P1046:P1050)</f>
        <v>925875640</v>
      </c>
      <c r="Q1045" s="3162">
        <v>1</v>
      </c>
      <c r="R1045" s="2340">
        <f>SUM(R1046:R1050)</f>
        <v>25130400</v>
      </c>
      <c r="S1045" s="2335"/>
      <c r="T1045" s="2347">
        <f>SUM(T1046:T1048)</f>
        <v>76603300</v>
      </c>
      <c r="U1045" s="2335"/>
      <c r="V1045" s="2342">
        <f>SUM(V1046:V1047)</f>
        <v>633258903</v>
      </c>
      <c r="W1045" s="2335"/>
      <c r="X1045" s="2335"/>
      <c r="Y1045" s="3162">
        <f t="shared" si="331"/>
        <v>1</v>
      </c>
      <c r="Z1045" s="2342">
        <f t="shared" si="329"/>
        <v>734992603</v>
      </c>
      <c r="AA1045" s="3162">
        <f t="shared" ref="AA1045:AA1050" si="339">M1045+Y1045</f>
        <v>51</v>
      </c>
      <c r="AB1045" s="2342">
        <f t="shared" ref="AB1045:AB1050" si="340">N1045+Z1045</f>
        <v>1699403741</v>
      </c>
      <c r="AC1045" s="2625">
        <f t="shared" ref="AC1045:AC1050" si="341">AA1045/K1045*100</f>
        <v>63.749999999999993</v>
      </c>
      <c r="AD1045" s="2625">
        <f t="shared" ref="AD1045:AD1050" si="342">AB1045/L1045*100</f>
        <v>34.861282489787563</v>
      </c>
      <c r="AE1045" s="2680" t="s">
        <v>2418</v>
      </c>
      <c r="AF1045" s="2318"/>
      <c r="AG1045" s="2318"/>
      <c r="AH1045" s="2318"/>
      <c r="AI1045" s="2318"/>
      <c r="AJ1045" s="2318"/>
      <c r="AK1045" s="2318"/>
      <c r="AL1045" s="2318"/>
      <c r="AM1045" s="2318"/>
      <c r="AN1045" s="2318"/>
      <c r="AO1045" s="2318"/>
      <c r="AP1045" s="2318"/>
      <c r="AQ1045" s="2318"/>
      <c r="AR1045" s="2318"/>
      <c r="AS1045" s="2318"/>
      <c r="AT1045" s="2318"/>
      <c r="AU1045" s="2318"/>
      <c r="AV1045" s="2318"/>
      <c r="AW1045" s="2318"/>
      <c r="AX1045" s="2318"/>
      <c r="AY1045" s="2318"/>
      <c r="AZ1045" s="2318"/>
      <c r="BA1045" s="2318"/>
      <c r="BB1045" s="2318"/>
      <c r="BC1045" s="2318"/>
      <c r="BD1045" s="2318"/>
      <c r="BE1045" s="2318"/>
      <c r="BF1045" s="2318"/>
      <c r="BG1045" s="2318"/>
      <c r="BH1045" s="2318"/>
      <c r="BI1045" s="2318"/>
      <c r="BJ1045" s="2318"/>
      <c r="BK1045" s="2318"/>
      <c r="BL1045" s="2318"/>
      <c r="BM1045" s="2318"/>
      <c r="BN1045" s="2318"/>
      <c r="BO1045" s="2318"/>
      <c r="BP1045" s="2318"/>
      <c r="BQ1045" s="2318"/>
      <c r="BR1045" s="2318"/>
      <c r="BS1045" s="2318"/>
      <c r="BT1045" s="2318"/>
      <c r="BU1045" s="2318"/>
      <c r="BV1045" s="2318"/>
      <c r="BW1045" s="2318"/>
      <c r="BX1045" s="2318"/>
    </row>
    <row r="1046" spans="1:76" s="2608" customFormat="1" ht="51.75" customHeight="1">
      <c r="A1046" s="64"/>
      <c r="B1046" s="2632"/>
      <c r="C1046" s="2446">
        <v>13</v>
      </c>
      <c r="D1046" s="2446">
        <v>1</v>
      </c>
      <c r="E1046" s="2446">
        <v>2</v>
      </c>
      <c r="F1046" s="2446">
        <v>13</v>
      </c>
      <c r="G1046" s="2446">
        <v>16</v>
      </c>
      <c r="H1046" s="3794">
        <v>2</v>
      </c>
      <c r="I1046" s="2634" t="s">
        <v>2481</v>
      </c>
      <c r="J1046" s="2631" t="s">
        <v>2482</v>
      </c>
      <c r="K1046" s="2349">
        <v>5</v>
      </c>
      <c r="L1046" s="2533">
        <v>4116009675</v>
      </c>
      <c r="M1046" s="2389">
        <v>1</v>
      </c>
      <c r="N1046" s="2387">
        <v>831775050</v>
      </c>
      <c r="O1046" s="2349">
        <v>1</v>
      </c>
      <c r="P1046" s="2388">
        <v>767792780</v>
      </c>
      <c r="Q1046" s="2386">
        <v>0</v>
      </c>
      <c r="R1046" s="1731">
        <v>1250000</v>
      </c>
      <c r="S1046" s="2632">
        <v>1.63</v>
      </c>
      <c r="T1046" s="1731">
        <v>12483000</v>
      </c>
      <c r="U1046" s="2632"/>
      <c r="V1046" s="2304">
        <v>633258903</v>
      </c>
      <c r="W1046" s="2632"/>
      <c r="X1046" s="2632"/>
      <c r="Y1046" s="2386">
        <f t="shared" si="331"/>
        <v>1.63</v>
      </c>
      <c r="Z1046" s="2304">
        <f t="shared" si="329"/>
        <v>646991903</v>
      </c>
      <c r="AA1046" s="2386">
        <f t="shared" si="339"/>
        <v>2.63</v>
      </c>
      <c r="AB1046" s="2304">
        <f t="shared" si="340"/>
        <v>1478766953</v>
      </c>
      <c r="AC1046" s="2426">
        <f t="shared" si="341"/>
        <v>52.6</v>
      </c>
      <c r="AD1046" s="2426">
        <f t="shared" si="342"/>
        <v>35.927198178901271</v>
      </c>
      <c r="AE1046" s="3183"/>
      <c r="AF1046" s="2318"/>
      <c r="AG1046" s="2318"/>
      <c r="AH1046" s="2318"/>
      <c r="AI1046" s="2318"/>
      <c r="AJ1046" s="2318"/>
      <c r="AK1046" s="2318"/>
      <c r="AL1046" s="2318"/>
      <c r="AM1046" s="2318"/>
      <c r="AN1046" s="2318"/>
      <c r="AO1046" s="2318"/>
      <c r="AP1046" s="2318"/>
      <c r="AQ1046" s="2318"/>
      <c r="AR1046" s="2318"/>
      <c r="AS1046" s="2318"/>
      <c r="AT1046" s="2318"/>
      <c r="AU1046" s="2318"/>
      <c r="AV1046" s="2318"/>
      <c r="AW1046" s="2318"/>
      <c r="AX1046" s="2318"/>
      <c r="AY1046" s="2318"/>
      <c r="AZ1046" s="2318"/>
      <c r="BA1046" s="2318"/>
      <c r="BB1046" s="2318"/>
      <c r="BC1046" s="2318"/>
      <c r="BD1046" s="2318"/>
      <c r="BE1046" s="2318"/>
      <c r="BF1046" s="2318"/>
      <c r="BG1046" s="2318"/>
      <c r="BH1046" s="2318"/>
      <c r="BI1046" s="2318"/>
      <c r="BJ1046" s="2318"/>
      <c r="BK1046" s="2318"/>
      <c r="BL1046" s="2318"/>
      <c r="BM1046" s="2318"/>
      <c r="BN1046" s="2318"/>
      <c r="BO1046" s="2318"/>
      <c r="BP1046" s="2318"/>
      <c r="BQ1046" s="2318"/>
      <c r="BR1046" s="2318"/>
      <c r="BS1046" s="2318"/>
      <c r="BT1046" s="2318"/>
      <c r="BU1046" s="2318"/>
      <c r="BV1046" s="2318"/>
      <c r="BW1046" s="2318"/>
      <c r="BX1046" s="2318"/>
    </row>
    <row r="1047" spans="1:76" s="2608" customFormat="1" ht="36.75" customHeight="1">
      <c r="A1047" s="64"/>
      <c r="B1047" s="2632"/>
      <c r="C1047" s="2446">
        <v>13</v>
      </c>
      <c r="D1047" s="2446">
        <v>1</v>
      </c>
      <c r="E1047" s="2446">
        <v>2</v>
      </c>
      <c r="F1047" s="2446">
        <v>13</v>
      </c>
      <c r="G1047" s="2446">
        <v>16</v>
      </c>
      <c r="H1047" s="3794">
        <v>3</v>
      </c>
      <c r="I1047" s="2634" t="s">
        <v>2483</v>
      </c>
      <c r="J1047" s="2631" t="s">
        <v>3379</v>
      </c>
      <c r="K1047" s="2349">
        <v>400</v>
      </c>
      <c r="L1047" s="2846">
        <v>80000000</v>
      </c>
      <c r="M1047" s="2349"/>
      <c r="N1047" s="2388"/>
      <c r="O1047" s="2349">
        <v>100</v>
      </c>
      <c r="P1047" s="2388">
        <v>26285320</v>
      </c>
      <c r="Q1047" s="2386">
        <v>0</v>
      </c>
      <c r="R1047" s="1731">
        <v>3154000</v>
      </c>
      <c r="S1047" s="2632">
        <v>68.75</v>
      </c>
      <c r="T1047" s="1731">
        <v>18420300</v>
      </c>
      <c r="U1047" s="2632"/>
      <c r="V1047" s="2304"/>
      <c r="W1047" s="2632"/>
      <c r="X1047" s="2632"/>
      <c r="Y1047" s="2386">
        <f t="shared" si="331"/>
        <v>68.75</v>
      </c>
      <c r="Z1047" s="2304">
        <f t="shared" si="329"/>
        <v>21574300</v>
      </c>
      <c r="AA1047" s="2386">
        <f t="shared" si="339"/>
        <v>68.75</v>
      </c>
      <c r="AB1047" s="2304">
        <f t="shared" si="340"/>
        <v>21574300</v>
      </c>
      <c r="AC1047" s="2426">
        <f t="shared" si="341"/>
        <v>17.1875</v>
      </c>
      <c r="AD1047" s="2426">
        <f t="shared" si="342"/>
        <v>26.967875000000003</v>
      </c>
      <c r="AE1047" s="3183"/>
      <c r="AF1047" s="2318"/>
      <c r="AG1047" s="2318"/>
      <c r="AH1047" s="2318"/>
      <c r="AI1047" s="2318"/>
      <c r="AJ1047" s="2318"/>
      <c r="AK1047" s="2318"/>
      <c r="AL1047" s="2318"/>
      <c r="AM1047" s="2318"/>
      <c r="AN1047" s="2318"/>
      <c r="AO1047" s="2318"/>
      <c r="AP1047" s="2318"/>
      <c r="AQ1047" s="2318"/>
      <c r="AR1047" s="2318"/>
      <c r="AS1047" s="2318"/>
      <c r="AT1047" s="2318"/>
      <c r="AU1047" s="2318"/>
      <c r="AV1047" s="2318"/>
      <c r="AW1047" s="2318"/>
      <c r="AX1047" s="2318"/>
      <c r="AY1047" s="2318"/>
      <c r="AZ1047" s="2318"/>
      <c r="BA1047" s="2318"/>
      <c r="BB1047" s="2318"/>
      <c r="BC1047" s="2318"/>
      <c r="BD1047" s="2318"/>
      <c r="BE1047" s="2318"/>
      <c r="BF1047" s="2318"/>
      <c r="BG1047" s="2318"/>
      <c r="BH1047" s="2318"/>
      <c r="BI1047" s="2318"/>
      <c r="BJ1047" s="2318"/>
      <c r="BK1047" s="2318"/>
      <c r="BL1047" s="2318"/>
      <c r="BM1047" s="2318"/>
      <c r="BN1047" s="2318"/>
      <c r="BO1047" s="2318"/>
      <c r="BP1047" s="2318"/>
      <c r="BQ1047" s="2318"/>
      <c r="BR1047" s="2318"/>
      <c r="BS1047" s="2318"/>
      <c r="BT1047" s="2318"/>
      <c r="BU1047" s="2318"/>
      <c r="BV1047" s="2318"/>
      <c r="BW1047" s="2318"/>
      <c r="BX1047" s="2318"/>
    </row>
    <row r="1048" spans="1:76" s="2318" customFormat="1" ht="61.5" customHeight="1">
      <c r="A1048" s="64"/>
      <c r="B1048" s="2632"/>
      <c r="C1048" s="2446">
        <v>13</v>
      </c>
      <c r="D1048" s="2446">
        <v>1</v>
      </c>
      <c r="E1048" s="2446">
        <v>2</v>
      </c>
      <c r="F1048" s="2446">
        <v>13</v>
      </c>
      <c r="G1048" s="2446">
        <v>16</v>
      </c>
      <c r="H1048" s="3794">
        <v>14</v>
      </c>
      <c r="I1048" s="2634" t="s">
        <v>2485</v>
      </c>
      <c r="J1048" s="2631" t="s">
        <v>3378</v>
      </c>
      <c r="K1048" s="2349">
        <v>500</v>
      </c>
      <c r="L1048" s="2533">
        <v>303750000</v>
      </c>
      <c r="M1048" s="2387">
        <v>96.8</v>
      </c>
      <c r="N1048" s="2387">
        <v>59901900</v>
      </c>
      <c r="O1048" s="2399">
        <v>100</v>
      </c>
      <c r="P1048" s="2388">
        <v>70571200</v>
      </c>
      <c r="Q1048" s="2386">
        <v>2.7142306066071682</v>
      </c>
      <c r="R1048" s="1731">
        <v>20726400</v>
      </c>
      <c r="S1048" s="2632">
        <v>64</v>
      </c>
      <c r="T1048" s="1731">
        <v>45700000</v>
      </c>
      <c r="U1048" s="2632"/>
      <c r="V1048" s="2304"/>
      <c r="W1048" s="2632"/>
      <c r="X1048" s="2632"/>
      <c r="Y1048" s="2386">
        <f t="shared" si="331"/>
        <v>66.714230606607174</v>
      </c>
      <c r="Z1048" s="2304">
        <f t="shared" si="329"/>
        <v>66426400</v>
      </c>
      <c r="AA1048" s="2386">
        <f t="shared" si="339"/>
        <v>163.51423060660716</v>
      </c>
      <c r="AB1048" s="2304">
        <f t="shared" si="340"/>
        <v>126328300</v>
      </c>
      <c r="AC1048" s="2426">
        <f t="shared" si="341"/>
        <v>32.702846121321436</v>
      </c>
      <c r="AD1048" s="2426">
        <f t="shared" si="342"/>
        <v>41.589563786008235</v>
      </c>
      <c r="AE1048" s="3183"/>
    </row>
    <row r="1049" spans="1:76" s="2321" customFormat="1" ht="51.75" customHeight="1">
      <c r="A1049" s="1389"/>
      <c r="B1049" s="2516"/>
      <c r="C1049" s="2446">
        <v>13</v>
      </c>
      <c r="D1049" s="2448">
        <v>1</v>
      </c>
      <c r="E1049" s="2448">
        <v>2</v>
      </c>
      <c r="F1049" s="2448">
        <v>13</v>
      </c>
      <c r="G1049" s="2446">
        <v>16</v>
      </c>
      <c r="H1049" s="3794">
        <v>15</v>
      </c>
      <c r="I1049" s="2634" t="s">
        <v>2487</v>
      </c>
      <c r="J1049" s="2631" t="s">
        <v>3377</v>
      </c>
      <c r="K1049" s="2349">
        <v>500</v>
      </c>
      <c r="L1049" s="2388">
        <v>250000000</v>
      </c>
      <c r="M1049" s="2387">
        <v>95.47</v>
      </c>
      <c r="N1049" s="2387">
        <v>47734188</v>
      </c>
      <c r="O1049" s="2349">
        <v>100</v>
      </c>
      <c r="P1049" s="2388">
        <v>30000100</v>
      </c>
      <c r="Q1049" s="2349"/>
      <c r="R1049" s="1731"/>
      <c r="S1049" s="2632"/>
      <c r="T1049" s="2632"/>
      <c r="U1049" s="2632"/>
      <c r="V1049" s="2304"/>
      <c r="W1049" s="2632"/>
      <c r="X1049" s="2632"/>
      <c r="Y1049" s="2349">
        <f t="shared" si="331"/>
        <v>0</v>
      </c>
      <c r="Z1049" s="2304">
        <f t="shared" si="329"/>
        <v>0</v>
      </c>
      <c r="AA1049" s="2386">
        <f t="shared" si="339"/>
        <v>95.47</v>
      </c>
      <c r="AB1049" s="2304">
        <f t="shared" si="340"/>
        <v>47734188</v>
      </c>
      <c r="AC1049" s="2426">
        <f t="shared" si="341"/>
        <v>19.094000000000001</v>
      </c>
      <c r="AD1049" s="2426">
        <f t="shared" si="342"/>
        <v>19.0936752</v>
      </c>
      <c r="AE1049" s="3183"/>
      <c r="AF1049" s="2626"/>
      <c r="AG1049" s="2320"/>
      <c r="AH1049" s="2320"/>
      <c r="AI1049" s="2320"/>
      <c r="AJ1049" s="2320"/>
      <c r="AK1049" s="2320"/>
      <c r="AL1049" s="2320"/>
      <c r="AM1049" s="2320"/>
      <c r="AN1049" s="2320"/>
      <c r="AO1049" s="2320"/>
      <c r="AP1049" s="2320"/>
      <c r="AQ1049" s="2320"/>
      <c r="AR1049" s="2320"/>
      <c r="AS1049" s="2320"/>
      <c r="AT1049" s="2320"/>
      <c r="AU1049" s="2320"/>
      <c r="AV1049" s="2320"/>
      <c r="AW1049" s="2320"/>
      <c r="AX1049" s="2320"/>
      <c r="AY1049" s="2320"/>
      <c r="AZ1049" s="2320"/>
      <c r="BA1049" s="2320"/>
      <c r="BB1049" s="2320"/>
      <c r="BC1049" s="2320"/>
      <c r="BD1049" s="2320"/>
      <c r="BE1049" s="2320"/>
      <c r="BF1049" s="2320"/>
      <c r="BG1049" s="2320"/>
      <c r="BH1049" s="2320"/>
      <c r="BI1049" s="2320"/>
      <c r="BJ1049" s="2320"/>
      <c r="BK1049" s="2320"/>
      <c r="BL1049" s="2320"/>
      <c r="BM1049" s="2320"/>
      <c r="BN1049" s="2320"/>
      <c r="BO1049" s="2320"/>
      <c r="BP1049" s="2320"/>
      <c r="BQ1049" s="2320"/>
      <c r="BR1049" s="2320"/>
      <c r="BS1049" s="2320"/>
      <c r="BT1049" s="2320"/>
      <c r="BU1049" s="2320"/>
      <c r="BV1049" s="2320"/>
      <c r="BW1049" s="2320"/>
      <c r="BX1049" s="2320"/>
    </row>
    <row r="1050" spans="1:76" s="2321" customFormat="1" ht="51.75" customHeight="1">
      <c r="A1050" s="1389"/>
      <c r="B1050" s="2516"/>
      <c r="C1050" s="2448">
        <v>13</v>
      </c>
      <c r="D1050" s="2448">
        <v>1</v>
      </c>
      <c r="E1050" s="2448">
        <v>2</v>
      </c>
      <c r="F1050" s="2448">
        <v>13</v>
      </c>
      <c r="G1050" s="2448">
        <v>16</v>
      </c>
      <c r="H1050" s="3794">
        <v>20</v>
      </c>
      <c r="I1050" s="2634" t="s">
        <v>2489</v>
      </c>
      <c r="J1050" s="2631" t="s">
        <v>2490</v>
      </c>
      <c r="K1050" s="2349">
        <v>5</v>
      </c>
      <c r="L1050" s="2388">
        <v>125000000</v>
      </c>
      <c r="M1050" s="2389">
        <v>1</v>
      </c>
      <c r="N1050" s="2387">
        <f>'[7]November 2017'!$I$197</f>
        <v>25000000</v>
      </c>
      <c r="O1050" s="2349">
        <v>1</v>
      </c>
      <c r="P1050" s="2388">
        <v>31226240</v>
      </c>
      <c r="Q1050" s="2349"/>
      <c r="R1050" s="1731"/>
      <c r="S1050" s="2632"/>
      <c r="T1050" s="2632"/>
      <c r="U1050" s="2632"/>
      <c r="V1050" s="2304"/>
      <c r="W1050" s="2632"/>
      <c r="X1050" s="2632"/>
      <c r="Y1050" s="2349">
        <f t="shared" si="331"/>
        <v>0</v>
      </c>
      <c r="Z1050" s="2304">
        <f t="shared" si="329"/>
        <v>0</v>
      </c>
      <c r="AA1050" s="2386">
        <f t="shared" si="339"/>
        <v>1</v>
      </c>
      <c r="AB1050" s="2304">
        <f t="shared" si="340"/>
        <v>25000000</v>
      </c>
      <c r="AC1050" s="2426">
        <f t="shared" si="341"/>
        <v>20</v>
      </c>
      <c r="AD1050" s="2426">
        <f t="shared" si="342"/>
        <v>20</v>
      </c>
      <c r="AE1050" s="3183"/>
      <c r="AF1050" s="2626"/>
      <c r="AG1050" s="2320"/>
      <c r="AH1050" s="2320"/>
      <c r="AI1050" s="2320"/>
      <c r="AJ1050" s="2320"/>
      <c r="AK1050" s="2320"/>
      <c r="AL1050" s="2320"/>
      <c r="AM1050" s="2320"/>
      <c r="AN1050" s="2320"/>
      <c r="AO1050" s="2320"/>
      <c r="AP1050" s="2320"/>
      <c r="AQ1050" s="2320"/>
      <c r="AR1050" s="2320"/>
      <c r="AS1050" s="2320"/>
      <c r="AT1050" s="2320"/>
      <c r="AU1050" s="2320"/>
      <c r="AV1050" s="2320"/>
      <c r="AW1050" s="2320"/>
      <c r="AX1050" s="2320"/>
      <c r="AY1050" s="2320"/>
      <c r="AZ1050" s="2320"/>
      <c r="BA1050" s="2320"/>
      <c r="BB1050" s="2320"/>
      <c r="BC1050" s="2320"/>
      <c r="BD1050" s="2320"/>
      <c r="BE1050" s="2320"/>
      <c r="BF1050" s="2320"/>
      <c r="BG1050" s="2320"/>
      <c r="BH1050" s="2320"/>
      <c r="BI1050" s="2320"/>
      <c r="BJ1050" s="2320"/>
      <c r="BK1050" s="2320"/>
      <c r="BL1050" s="2320"/>
      <c r="BM1050" s="2320"/>
      <c r="BN1050" s="2320"/>
      <c r="BO1050" s="2320"/>
      <c r="BP1050" s="2320"/>
      <c r="BQ1050" s="2320"/>
      <c r="BR1050" s="2320"/>
      <c r="BS1050" s="2320"/>
      <c r="BT1050" s="2320"/>
      <c r="BU1050" s="2320"/>
      <c r="BV1050" s="2320"/>
      <c r="BW1050" s="2320"/>
      <c r="BX1050" s="2320"/>
    </row>
    <row r="1051" spans="1:76" s="2320" customFormat="1" ht="51">
      <c r="A1051" s="2543">
        <v>4</v>
      </c>
      <c r="B1051" s="2335" t="s">
        <v>2491</v>
      </c>
      <c r="C1051" s="2374">
        <v>13</v>
      </c>
      <c r="D1051" s="2374">
        <v>1</v>
      </c>
      <c r="E1051" s="2374">
        <v>2</v>
      </c>
      <c r="F1051" s="2374">
        <v>13</v>
      </c>
      <c r="G1051" s="3795">
        <v>20</v>
      </c>
      <c r="H1051" s="3795"/>
      <c r="I1051" s="2335" t="s">
        <v>2492</v>
      </c>
      <c r="J1051" s="3156" t="s">
        <v>3380</v>
      </c>
      <c r="K1051" s="3162">
        <v>215</v>
      </c>
      <c r="L1051" s="2442">
        <f>SUM(L1052:L1055)</f>
        <v>5025393445</v>
      </c>
      <c r="M1051" s="3162">
        <v>45</v>
      </c>
      <c r="N1051" s="2442">
        <f>SUM(N1052:N1055)</f>
        <v>807315619</v>
      </c>
      <c r="O1051" s="3162">
        <v>35</v>
      </c>
      <c r="P1051" s="2442">
        <f>SUM(P1052:P1055)</f>
        <v>782157459</v>
      </c>
      <c r="Q1051" s="3162">
        <v>0</v>
      </c>
      <c r="R1051" s="2340">
        <f>SUM(R1052:R1055)</f>
        <v>17557200</v>
      </c>
      <c r="S1051" s="2335"/>
      <c r="T1051" s="2347">
        <f>SUM(T1052:T1055)</f>
        <v>338070930</v>
      </c>
      <c r="U1051" s="2335"/>
      <c r="V1051" s="2342">
        <f>SUM(V1052:V1055)</f>
        <v>5036000</v>
      </c>
      <c r="W1051" s="2335"/>
      <c r="X1051" s="2335"/>
      <c r="Y1051" s="3162">
        <f t="shared" si="331"/>
        <v>0</v>
      </c>
      <c r="Z1051" s="2342">
        <f t="shared" si="329"/>
        <v>360664130</v>
      </c>
      <c r="AA1051" s="3162">
        <f t="shared" ref="AA1051:AB1057" si="343">M1051+Y1051</f>
        <v>45</v>
      </c>
      <c r="AB1051" s="2342">
        <f t="shared" si="343"/>
        <v>1167979749</v>
      </c>
      <c r="AC1051" s="2625">
        <f t="shared" ref="AC1051:AD1057" si="344">AA1051/K1051*100</f>
        <v>20.930232558139537</v>
      </c>
      <c r="AD1051" s="2625">
        <f t="shared" si="344"/>
        <v>23.241558333349559</v>
      </c>
      <c r="AE1051" s="2680" t="s">
        <v>2418</v>
      </c>
      <c r="AF1051" s="2626"/>
    </row>
    <row r="1052" spans="1:76" s="2320" customFormat="1" ht="59.25" customHeight="1">
      <c r="A1052" s="385"/>
      <c r="B1052" s="384"/>
      <c r="C1052" s="1218">
        <v>13</v>
      </c>
      <c r="D1052" s="1218">
        <v>1</v>
      </c>
      <c r="E1052" s="1218">
        <v>2</v>
      </c>
      <c r="F1052" s="1218">
        <v>13</v>
      </c>
      <c r="G1052" s="3790">
        <v>20</v>
      </c>
      <c r="H1052" s="3790">
        <v>19</v>
      </c>
      <c r="I1052" s="728" t="s">
        <v>2494</v>
      </c>
      <c r="J1052" s="1200" t="s">
        <v>2495</v>
      </c>
      <c r="K1052" s="2627">
        <v>6</v>
      </c>
      <c r="L1052" s="3044">
        <v>2085681345</v>
      </c>
      <c r="M1052" s="2291">
        <v>1</v>
      </c>
      <c r="N1052" s="2291">
        <f>'[8]triwulan II (2)'!$AH$53</f>
        <v>347051059</v>
      </c>
      <c r="O1052" s="1259">
        <v>1</v>
      </c>
      <c r="P1052" s="1232">
        <v>326109059</v>
      </c>
      <c r="Q1052" s="2628">
        <v>0</v>
      </c>
      <c r="R1052" s="590">
        <v>7362200</v>
      </c>
      <c r="S1052" s="384">
        <v>1</v>
      </c>
      <c r="T1052" s="590">
        <v>318088430</v>
      </c>
      <c r="U1052" s="384"/>
      <c r="V1052" s="1202"/>
      <c r="W1052" s="384"/>
      <c r="X1052" s="384"/>
      <c r="Y1052" s="2628">
        <f t="shared" si="331"/>
        <v>1</v>
      </c>
      <c r="Z1052" s="1202">
        <f t="shared" si="329"/>
        <v>325450630</v>
      </c>
      <c r="AA1052" s="2628">
        <f t="shared" si="343"/>
        <v>2</v>
      </c>
      <c r="AB1052" s="1202">
        <f t="shared" si="343"/>
        <v>672501689</v>
      </c>
      <c r="AC1052" s="2427">
        <f t="shared" si="344"/>
        <v>33.333333333333329</v>
      </c>
      <c r="AD1052" s="2427">
        <f t="shared" si="344"/>
        <v>32.24374090568471</v>
      </c>
      <c r="AE1052" s="3183"/>
      <c r="AF1052" s="2626"/>
    </row>
    <row r="1053" spans="1:76" s="2320" customFormat="1" ht="59.25" customHeight="1">
      <c r="A1053" s="385"/>
      <c r="B1053" s="384"/>
      <c r="C1053" s="1218">
        <v>13</v>
      </c>
      <c r="D1053" s="1218">
        <v>1</v>
      </c>
      <c r="E1053" s="1218">
        <v>2</v>
      </c>
      <c r="F1053" s="1218">
        <v>13</v>
      </c>
      <c r="G1053" s="3790">
        <v>20</v>
      </c>
      <c r="H1053" s="3790">
        <v>20</v>
      </c>
      <c r="I1053" s="728" t="s">
        <v>2496</v>
      </c>
      <c r="J1053" s="1200" t="s">
        <v>2497</v>
      </c>
      <c r="K1053" s="2627">
        <v>6</v>
      </c>
      <c r="L1053" s="3044">
        <v>2149712100</v>
      </c>
      <c r="M1053" s="1259">
        <v>1</v>
      </c>
      <c r="N1053" s="3045">
        <v>304681560</v>
      </c>
      <c r="O1053" s="1259">
        <v>1</v>
      </c>
      <c r="P1053" s="1232">
        <v>350716040</v>
      </c>
      <c r="Q1053" s="2628">
        <v>0</v>
      </c>
      <c r="R1053" s="590">
        <v>1002000</v>
      </c>
      <c r="S1053" s="384">
        <v>2</v>
      </c>
      <c r="T1053" s="590">
        <v>5791000</v>
      </c>
      <c r="U1053" s="384"/>
      <c r="V1053" s="1202"/>
      <c r="W1053" s="384"/>
      <c r="X1053" s="384"/>
      <c r="Y1053" s="2628">
        <f t="shared" si="331"/>
        <v>2</v>
      </c>
      <c r="Z1053" s="1202">
        <f t="shared" si="329"/>
        <v>6793000</v>
      </c>
      <c r="AA1053" s="2628">
        <f t="shared" si="343"/>
        <v>3</v>
      </c>
      <c r="AB1053" s="1202">
        <f t="shared" si="343"/>
        <v>311474560</v>
      </c>
      <c r="AC1053" s="2427">
        <f t="shared" si="344"/>
        <v>50</v>
      </c>
      <c r="AD1053" s="2427">
        <f t="shared" si="344"/>
        <v>14.489129032673725</v>
      </c>
      <c r="AE1053" s="3183"/>
      <c r="AF1053" s="2626"/>
    </row>
    <row r="1054" spans="1:76" s="2320" customFormat="1" ht="59.25" customHeight="1">
      <c r="A1054" s="3164"/>
      <c r="B1054" s="3164"/>
      <c r="C1054" s="1218">
        <v>13</v>
      </c>
      <c r="D1054" s="1218">
        <v>1</v>
      </c>
      <c r="E1054" s="1218">
        <v>2</v>
      </c>
      <c r="F1054" s="1218">
        <v>13</v>
      </c>
      <c r="G1054" s="3790">
        <v>20</v>
      </c>
      <c r="H1054" s="3790">
        <v>37</v>
      </c>
      <c r="I1054" s="728" t="s">
        <v>2498</v>
      </c>
      <c r="J1054" s="1200" t="s">
        <v>4010</v>
      </c>
      <c r="K1054" s="2627">
        <v>500</v>
      </c>
      <c r="L1054" s="3044">
        <v>500000000</v>
      </c>
      <c r="M1054" s="1259">
        <v>95.78</v>
      </c>
      <c r="N1054" s="2802">
        <v>97583000</v>
      </c>
      <c r="O1054" s="1259">
        <v>100</v>
      </c>
      <c r="P1054" s="1232">
        <v>75010200</v>
      </c>
      <c r="Q1054" s="1259"/>
      <c r="R1054" s="590"/>
      <c r="S1054" s="384"/>
      <c r="T1054" s="590"/>
      <c r="U1054" s="384">
        <v>6.15</v>
      </c>
      <c r="V1054" s="1202">
        <v>4616000</v>
      </c>
      <c r="W1054" s="384"/>
      <c r="X1054" s="384"/>
      <c r="Y1054" s="1259">
        <f t="shared" si="331"/>
        <v>6.15</v>
      </c>
      <c r="Z1054" s="1202">
        <f t="shared" si="329"/>
        <v>4616000</v>
      </c>
      <c r="AA1054" s="2628">
        <f t="shared" si="343"/>
        <v>101.93</v>
      </c>
      <c r="AB1054" s="1202">
        <f t="shared" si="343"/>
        <v>102199000</v>
      </c>
      <c r="AC1054" s="2427">
        <f t="shared" si="344"/>
        <v>20.386000000000003</v>
      </c>
      <c r="AD1054" s="2427">
        <f t="shared" si="344"/>
        <v>20.439799999999998</v>
      </c>
      <c r="AE1054" s="3183"/>
      <c r="AF1054" s="2626"/>
    </row>
    <row r="1055" spans="1:76" s="2320" customFormat="1" ht="59.25" customHeight="1">
      <c r="A1055" s="3164"/>
      <c r="B1055" s="3164"/>
      <c r="C1055" s="1218">
        <v>13</v>
      </c>
      <c r="D1055" s="1218">
        <v>1</v>
      </c>
      <c r="E1055" s="1218">
        <v>2</v>
      </c>
      <c r="F1055" s="1218">
        <v>13</v>
      </c>
      <c r="G1055" s="3790">
        <v>20</v>
      </c>
      <c r="H1055" s="3790">
        <v>38</v>
      </c>
      <c r="I1055" s="728" t="s">
        <v>2500</v>
      </c>
      <c r="J1055" s="1200" t="s">
        <v>4009</v>
      </c>
      <c r="K1055" s="2627">
        <v>500</v>
      </c>
      <c r="L1055" s="3044">
        <f>N1055*5</f>
        <v>290000000</v>
      </c>
      <c r="M1055" s="1259">
        <v>100</v>
      </c>
      <c r="N1055" s="2802">
        <v>58000000</v>
      </c>
      <c r="O1055" s="1259">
        <v>80</v>
      </c>
      <c r="P1055" s="1232">
        <v>30322160</v>
      </c>
      <c r="Q1055" s="2524">
        <v>7</v>
      </c>
      <c r="R1055" s="590">
        <v>9193000</v>
      </c>
      <c r="S1055" s="384">
        <v>46.8</v>
      </c>
      <c r="T1055" s="590">
        <v>14191500</v>
      </c>
      <c r="U1055" s="384">
        <v>1.39</v>
      </c>
      <c r="V1055" s="1202">
        <v>420000</v>
      </c>
      <c r="W1055" s="384"/>
      <c r="X1055" s="384"/>
      <c r="Y1055" s="2628">
        <f t="shared" si="331"/>
        <v>55.19</v>
      </c>
      <c r="Z1055" s="1202">
        <f t="shared" si="329"/>
        <v>23804500</v>
      </c>
      <c r="AA1055" s="2628">
        <f t="shared" si="343"/>
        <v>155.19</v>
      </c>
      <c r="AB1055" s="1202">
        <f t="shared" si="343"/>
        <v>81804500</v>
      </c>
      <c r="AC1055" s="2427">
        <f t="shared" si="344"/>
        <v>31.038</v>
      </c>
      <c r="AD1055" s="2427">
        <f t="shared" si="344"/>
        <v>28.208448275862068</v>
      </c>
      <c r="AE1055" s="3183"/>
      <c r="AF1055" s="2626"/>
    </row>
    <row r="1056" spans="1:76" s="2320" customFormat="1" ht="61.5" customHeight="1">
      <c r="A1056" s="2543">
        <v>5</v>
      </c>
      <c r="B1056" s="2543"/>
      <c r="C1056" s="2374">
        <v>13</v>
      </c>
      <c r="D1056" s="2374">
        <v>1</v>
      </c>
      <c r="E1056" s="2374">
        <v>2</v>
      </c>
      <c r="F1056" s="2374">
        <v>13</v>
      </c>
      <c r="G1056" s="3795">
        <v>22</v>
      </c>
      <c r="H1056" s="3795"/>
      <c r="I1056" s="2363" t="s">
        <v>2503</v>
      </c>
      <c r="J1056" s="2359" t="s">
        <v>2504</v>
      </c>
      <c r="K1056" s="3162">
        <v>215</v>
      </c>
      <c r="L1056" s="2442">
        <f>SUM(L1057)</f>
        <v>250000000</v>
      </c>
      <c r="M1056" s="3162">
        <v>45</v>
      </c>
      <c r="N1056" s="2442">
        <f>SUM(N1057)</f>
        <v>49999600</v>
      </c>
      <c r="O1056" s="3162">
        <v>35</v>
      </c>
      <c r="P1056" s="2442">
        <f>P1057</f>
        <v>30000000</v>
      </c>
      <c r="Q1056" s="3162">
        <v>0</v>
      </c>
      <c r="R1056" s="2340">
        <f>SUM(R1057)</f>
        <v>12500000</v>
      </c>
      <c r="S1056" s="2335"/>
      <c r="T1056" s="2335"/>
      <c r="U1056" s="2335"/>
      <c r="V1056" s="2342">
        <f>SUM(V1057)</f>
        <v>8716000</v>
      </c>
      <c r="W1056" s="2335"/>
      <c r="X1056" s="2335"/>
      <c r="Y1056" s="3162">
        <f t="shared" si="331"/>
        <v>0</v>
      </c>
      <c r="Z1056" s="2342">
        <f t="shared" si="329"/>
        <v>21216000</v>
      </c>
      <c r="AA1056" s="3162">
        <f t="shared" si="343"/>
        <v>45</v>
      </c>
      <c r="AB1056" s="2342">
        <f t="shared" si="343"/>
        <v>71215600</v>
      </c>
      <c r="AC1056" s="2625">
        <f t="shared" si="344"/>
        <v>20.930232558139537</v>
      </c>
      <c r="AD1056" s="2625">
        <f t="shared" si="344"/>
        <v>28.486240000000002</v>
      </c>
      <c r="AE1056" s="2680" t="s">
        <v>2418</v>
      </c>
      <c r="AF1056" s="2626"/>
    </row>
    <row r="1057" spans="1:76" s="2320" customFormat="1" ht="45" customHeight="1">
      <c r="A1057" s="3164"/>
      <c r="B1057" s="3164"/>
      <c r="C1057" s="1218">
        <v>13</v>
      </c>
      <c r="D1057" s="1218">
        <v>1</v>
      </c>
      <c r="E1057" s="1218">
        <v>2</v>
      </c>
      <c r="F1057" s="1218">
        <v>13</v>
      </c>
      <c r="G1057" s="3790">
        <v>22</v>
      </c>
      <c r="H1057" s="3790">
        <v>2</v>
      </c>
      <c r="I1057" s="1200" t="s">
        <v>2505</v>
      </c>
      <c r="J1057" s="1200" t="s">
        <v>4011</v>
      </c>
      <c r="K1057" s="2627">
        <v>500</v>
      </c>
      <c r="L1057" s="3044">
        <v>250000000</v>
      </c>
      <c r="M1057" s="1259">
        <v>100</v>
      </c>
      <c r="N1057" s="2802">
        <v>49999600</v>
      </c>
      <c r="O1057" s="1259">
        <v>100</v>
      </c>
      <c r="P1057" s="1232">
        <v>30000000</v>
      </c>
      <c r="Q1057" s="2628">
        <v>41.67</v>
      </c>
      <c r="R1057" s="590">
        <v>12500000</v>
      </c>
      <c r="S1057" s="384"/>
      <c r="T1057" s="384"/>
      <c r="U1057" s="384">
        <v>29.05</v>
      </c>
      <c r="V1057" s="1202">
        <v>8716000</v>
      </c>
      <c r="W1057" s="384"/>
      <c r="X1057" s="384"/>
      <c r="Y1057" s="2628">
        <f t="shared" si="331"/>
        <v>70.72</v>
      </c>
      <c r="Z1057" s="1202">
        <f t="shared" si="329"/>
        <v>21216000</v>
      </c>
      <c r="AA1057" s="2628">
        <f t="shared" si="343"/>
        <v>170.72</v>
      </c>
      <c r="AB1057" s="1202">
        <f t="shared" si="343"/>
        <v>71215600</v>
      </c>
      <c r="AC1057" s="2427">
        <f t="shared" si="344"/>
        <v>34.144000000000005</v>
      </c>
      <c r="AD1057" s="2427">
        <f t="shared" si="344"/>
        <v>28.486240000000002</v>
      </c>
      <c r="AE1057" s="3183"/>
      <c r="AF1057" s="2626"/>
    </row>
    <row r="1058" spans="1:76" s="114" customFormat="1" ht="18.75" customHeight="1">
      <c r="A1058" s="4244" t="s">
        <v>89</v>
      </c>
      <c r="B1058" s="4244"/>
      <c r="C1058" s="4245"/>
      <c r="D1058" s="4245"/>
      <c r="E1058" s="4245"/>
      <c r="F1058" s="4245"/>
      <c r="G1058" s="4245"/>
      <c r="H1058" s="4245"/>
      <c r="I1058" s="4245"/>
      <c r="J1058" s="4245"/>
      <c r="K1058" s="4245"/>
      <c r="L1058" s="4245"/>
      <c r="M1058" s="4245"/>
      <c r="N1058" s="4245"/>
      <c r="O1058" s="4245"/>
      <c r="P1058" s="4245"/>
      <c r="Q1058" s="4245"/>
      <c r="R1058" s="4245"/>
      <c r="S1058" s="4245"/>
      <c r="T1058" s="4245"/>
      <c r="U1058" s="4245"/>
      <c r="V1058" s="4245"/>
      <c r="W1058" s="4245"/>
      <c r="X1058" s="4245"/>
      <c r="Y1058" s="4245"/>
      <c r="Z1058" s="4245"/>
      <c r="AA1058" s="4245"/>
      <c r="AB1058" s="4245"/>
      <c r="AC1058" s="2030">
        <f>(AC1028+AC1041+AC1051+AC1056)/4</f>
        <v>29.340116279069768</v>
      </c>
      <c r="AD1058" s="2030">
        <f>(AD1028+AD1041+AD1051+AD1056)/4</f>
        <v>33.865458675235324</v>
      </c>
      <c r="AE1058" s="390"/>
    </row>
    <row r="1059" spans="1:76" s="475" customFormat="1" ht="15.75" customHeight="1">
      <c r="A1059" s="4244" t="s">
        <v>90</v>
      </c>
      <c r="B1059" s="4244"/>
      <c r="C1059" s="4245"/>
      <c r="D1059" s="4245"/>
      <c r="E1059" s="4245"/>
      <c r="F1059" s="4245"/>
      <c r="G1059" s="4245"/>
      <c r="H1059" s="4245"/>
      <c r="I1059" s="4245"/>
      <c r="J1059" s="4245"/>
      <c r="K1059" s="4245"/>
      <c r="L1059" s="4245"/>
      <c r="M1059" s="4245"/>
      <c r="N1059" s="4245"/>
      <c r="O1059" s="4245"/>
      <c r="P1059" s="4245"/>
      <c r="Q1059" s="4245"/>
      <c r="R1059" s="4245"/>
      <c r="S1059" s="4245"/>
      <c r="T1059" s="4245"/>
      <c r="U1059" s="4245"/>
      <c r="V1059" s="4245"/>
      <c r="W1059" s="4245"/>
      <c r="X1059" s="4245"/>
      <c r="Y1059" s="4245"/>
      <c r="Z1059" s="4245"/>
      <c r="AA1059" s="4245"/>
      <c r="AB1059" s="4245"/>
      <c r="AC1059" s="3152" t="str">
        <f>IF(AC1058&gt;=91,"ST",IF(AC1058&gt;=76,"T",IF(AC1058&gt;=66,"S",IF(AC1058&gt;=51,"R","SR"))))</f>
        <v>SR</v>
      </c>
      <c r="AD1059" s="3152" t="str">
        <f>IF(AD1058&gt;=91,"ST",IF(AD1058&gt;=76,"T",IF(AD1058&gt;=66,"S",IF(AD1058&gt;=51,"R","SR"))))</f>
        <v>SR</v>
      </c>
      <c r="AE1059" s="390"/>
    </row>
    <row r="1060" spans="1:76" s="2321" customFormat="1" ht="23.25" customHeight="1">
      <c r="A1060" s="2918" t="s">
        <v>3381</v>
      </c>
      <c r="B1060" s="2918"/>
      <c r="C1060" s="2546"/>
      <c r="D1060" s="2546"/>
      <c r="E1060" s="2546"/>
      <c r="F1060" s="2546"/>
      <c r="G1060" s="2546"/>
      <c r="H1060" s="2546"/>
      <c r="I1060" s="2515" t="s">
        <v>170</v>
      </c>
      <c r="J1060" s="2918"/>
      <c r="K1060" s="3210"/>
      <c r="L1060" s="3194">
        <f>L1061</f>
        <v>850570800</v>
      </c>
      <c r="M1060" s="3210"/>
      <c r="N1060" s="3195">
        <f>N1061</f>
        <v>114778000</v>
      </c>
      <c r="O1060" s="3210"/>
      <c r="P1060" s="3195">
        <f>P1061</f>
        <v>212642700</v>
      </c>
      <c r="Q1060" s="3210"/>
      <c r="R1060" s="2916">
        <f>R1061</f>
        <v>14791000</v>
      </c>
      <c r="S1060" s="2918"/>
      <c r="T1060" s="2916">
        <f>T1061</f>
        <v>16145000</v>
      </c>
      <c r="U1060" s="2918"/>
      <c r="V1060" s="2916">
        <f>SUM(V1061)</f>
        <v>3443000</v>
      </c>
      <c r="W1060" s="2918"/>
      <c r="X1060" s="2918"/>
      <c r="Y1060" s="3210"/>
      <c r="Z1060" s="2916">
        <f>R1060+T1060+V1060+X1060</f>
        <v>34379000</v>
      </c>
      <c r="AA1060" s="3210"/>
      <c r="AB1060" s="2916">
        <f>AB1061</f>
        <v>149157000</v>
      </c>
      <c r="AC1060" s="3210"/>
      <c r="AD1060" s="3210"/>
      <c r="AE1060" s="3211"/>
      <c r="AF1060" s="2320"/>
      <c r="AG1060" s="2320"/>
      <c r="AH1060" s="2320"/>
      <c r="AI1060" s="2320"/>
      <c r="AJ1060" s="2320"/>
      <c r="AK1060" s="2320"/>
      <c r="AL1060" s="2320"/>
      <c r="AM1060" s="2320"/>
      <c r="AN1060" s="2320"/>
      <c r="AO1060" s="2320"/>
      <c r="AP1060" s="2320"/>
      <c r="AQ1060" s="2320"/>
      <c r="AR1060" s="2320"/>
      <c r="AS1060" s="2320"/>
      <c r="AT1060" s="2320"/>
      <c r="AU1060" s="2320"/>
      <c r="AV1060" s="2320"/>
      <c r="AW1060" s="2320"/>
      <c r="AX1060" s="2320"/>
      <c r="AY1060" s="2320"/>
      <c r="AZ1060" s="2320"/>
      <c r="BA1060" s="2320"/>
      <c r="BB1060" s="2320"/>
      <c r="BC1060" s="2320"/>
      <c r="BD1060" s="2320"/>
      <c r="BE1060" s="2320"/>
      <c r="BF1060" s="2320"/>
      <c r="BG1060" s="2320"/>
      <c r="BH1060" s="2320"/>
      <c r="BI1060" s="2320"/>
      <c r="BJ1060" s="2320"/>
      <c r="BK1060" s="2320"/>
      <c r="BL1060" s="2320"/>
      <c r="BM1060" s="2320"/>
      <c r="BN1060" s="2320"/>
      <c r="BO1060" s="2320"/>
      <c r="BP1060" s="2320"/>
      <c r="BQ1060" s="2320"/>
      <c r="BR1060" s="2320"/>
      <c r="BS1060" s="2320"/>
      <c r="BT1060" s="2320"/>
      <c r="BU1060" s="2320"/>
      <c r="BV1060" s="2320"/>
      <c r="BW1060" s="2320"/>
      <c r="BX1060" s="2320"/>
    </row>
    <row r="1061" spans="1:76" s="2321" customFormat="1" ht="53.25" customHeight="1">
      <c r="A1061" s="2335">
        <v>1</v>
      </c>
      <c r="B1061" s="2335" t="s">
        <v>685</v>
      </c>
      <c r="C1061" s="2567">
        <v>1</v>
      </c>
      <c r="D1061" s="2567" t="s">
        <v>65</v>
      </c>
      <c r="E1061" s="2567">
        <v>10</v>
      </c>
      <c r="F1061" s="2567" t="s">
        <v>66</v>
      </c>
      <c r="G1061" s="2567">
        <v>19</v>
      </c>
      <c r="H1061" s="2567"/>
      <c r="I1061" s="2335" t="s">
        <v>651</v>
      </c>
      <c r="J1061" s="2335" t="s">
        <v>686</v>
      </c>
      <c r="K1061" s="3162">
        <v>24</v>
      </c>
      <c r="L1061" s="2442">
        <f>SUM(L1062:L1064)</f>
        <v>850570800</v>
      </c>
      <c r="M1061" s="3162">
        <v>8</v>
      </c>
      <c r="N1061" s="2442">
        <f>SUM(N1062:N1064)</f>
        <v>114778000</v>
      </c>
      <c r="O1061" s="3162">
        <v>4</v>
      </c>
      <c r="P1061" s="2442">
        <f>SUM(P1062:P1064)</f>
        <v>212642700</v>
      </c>
      <c r="Q1061" s="3162">
        <v>1</v>
      </c>
      <c r="R1061" s="2340">
        <f>SUM(R1062:R1064)</f>
        <v>14791000</v>
      </c>
      <c r="S1061" s="2335"/>
      <c r="T1061" s="2347">
        <f>SUM(T1062:T1064)</f>
        <v>16145000</v>
      </c>
      <c r="U1061" s="2335"/>
      <c r="V1061" s="2342">
        <f>SUM(V1062:V1064)</f>
        <v>3443000</v>
      </c>
      <c r="W1061" s="2335"/>
      <c r="X1061" s="2335"/>
      <c r="Y1061" s="3162">
        <f>Q1061+S1061+U1061+W1061</f>
        <v>1</v>
      </c>
      <c r="Z1061" s="2342">
        <f>R1061+T1061+V1061+X1061</f>
        <v>34379000</v>
      </c>
      <c r="AA1061" s="2543">
        <f t="shared" ref="AA1061:AB1064" si="345">M1061+Y1061</f>
        <v>9</v>
      </c>
      <c r="AB1061" s="2571">
        <f t="shared" si="345"/>
        <v>149157000</v>
      </c>
      <c r="AC1061" s="2544">
        <f t="shared" ref="AC1061:AD1064" si="346">AA1061/K1061*100</f>
        <v>37.5</v>
      </c>
      <c r="AD1061" s="2544">
        <f t="shared" si="346"/>
        <v>17.53610634176485</v>
      </c>
      <c r="AE1061" s="3138" t="s">
        <v>612</v>
      </c>
      <c r="AF1061" s="2320"/>
      <c r="AG1061" s="2320"/>
      <c r="AH1061" s="2320"/>
      <c r="AI1061" s="2320"/>
      <c r="AJ1061" s="2320"/>
      <c r="AK1061" s="2320"/>
      <c r="AL1061" s="2320"/>
      <c r="AM1061" s="2320"/>
      <c r="AN1061" s="2320"/>
      <c r="AO1061" s="2320"/>
      <c r="AP1061" s="2320"/>
      <c r="AQ1061" s="2320"/>
      <c r="AR1061" s="2320"/>
      <c r="AS1061" s="2320"/>
      <c r="AT1061" s="2320"/>
      <c r="AU1061" s="2320"/>
      <c r="AV1061" s="2320"/>
      <c r="AW1061" s="2320"/>
      <c r="AX1061" s="2320"/>
      <c r="AY1061" s="2320"/>
      <c r="AZ1061" s="2320"/>
      <c r="BA1061" s="2320"/>
      <c r="BB1061" s="2320"/>
      <c r="BC1061" s="2320"/>
      <c r="BD1061" s="2320"/>
      <c r="BE1061" s="2320"/>
      <c r="BF1061" s="2320"/>
      <c r="BG1061" s="2320"/>
      <c r="BH1061" s="2320"/>
      <c r="BI1061" s="2320"/>
      <c r="BJ1061" s="2320"/>
      <c r="BK1061" s="2320"/>
      <c r="BL1061" s="2320"/>
      <c r="BM1061" s="2320"/>
      <c r="BN1061" s="2320"/>
      <c r="BO1061" s="2320"/>
      <c r="BP1061" s="2320"/>
      <c r="BQ1061" s="2320"/>
      <c r="BR1061" s="2320"/>
      <c r="BS1061" s="2320"/>
      <c r="BT1061" s="2320"/>
      <c r="BU1061" s="2320"/>
      <c r="BV1061" s="2320"/>
      <c r="BW1061" s="2320"/>
      <c r="BX1061" s="2320"/>
    </row>
    <row r="1062" spans="1:76" s="2606" customFormat="1" ht="45.75" customHeight="1">
      <c r="A1062" s="384"/>
      <c r="B1062" s="384"/>
      <c r="C1062" s="3792">
        <v>1</v>
      </c>
      <c r="D1062" s="3792" t="s">
        <v>65</v>
      </c>
      <c r="E1062" s="3792">
        <v>10</v>
      </c>
      <c r="F1062" s="3792" t="s">
        <v>66</v>
      </c>
      <c r="G1062" s="3792">
        <v>19</v>
      </c>
      <c r="H1062" s="3792">
        <v>21</v>
      </c>
      <c r="I1062" s="384" t="s">
        <v>687</v>
      </c>
      <c r="J1062" s="384" t="s">
        <v>688</v>
      </c>
      <c r="K1062" s="1259">
        <f>45*5</f>
        <v>225</v>
      </c>
      <c r="L1062" s="1232">
        <f>4*P1062</f>
        <v>344860800</v>
      </c>
      <c r="M1062" s="1259">
        <v>0</v>
      </c>
      <c r="N1062" s="1232">
        <v>0</v>
      </c>
      <c r="O1062" s="1259">
        <v>45</v>
      </c>
      <c r="P1062" s="1232">
        <v>86215200</v>
      </c>
      <c r="Q1062" s="1259">
        <v>0</v>
      </c>
      <c r="R1062" s="590">
        <v>0</v>
      </c>
      <c r="S1062" s="384">
        <v>13</v>
      </c>
      <c r="T1062" s="590">
        <v>10921000</v>
      </c>
      <c r="U1062" s="384">
        <v>0</v>
      </c>
      <c r="V1062" s="1202">
        <v>2184000</v>
      </c>
      <c r="W1062" s="384"/>
      <c r="X1062" s="384"/>
      <c r="Y1062" s="1259">
        <f>Q1062+S1062+U1062+W1062</f>
        <v>13</v>
      </c>
      <c r="Z1062" s="1202">
        <f>R1062+T1062+V1062+X1062</f>
        <v>13105000</v>
      </c>
      <c r="AA1062" s="3143">
        <f t="shared" si="345"/>
        <v>13</v>
      </c>
      <c r="AB1062" s="597">
        <f t="shared" si="345"/>
        <v>13105000</v>
      </c>
      <c r="AC1062" s="3142">
        <f t="shared" si="346"/>
        <v>5.7777777777777777</v>
      </c>
      <c r="AD1062" s="3142">
        <f t="shared" si="346"/>
        <v>3.8000839759114404</v>
      </c>
      <c r="AE1062" s="390" t="s">
        <v>612</v>
      </c>
      <c r="AF1062" s="2647"/>
      <c r="AG1062" s="2647"/>
      <c r="AH1062" s="2647"/>
      <c r="AI1062" s="2647"/>
      <c r="AJ1062" s="2647"/>
      <c r="AK1062" s="2647"/>
      <c r="AL1062" s="2647"/>
      <c r="AM1062" s="2647"/>
      <c r="AN1062" s="2647"/>
      <c r="AO1062" s="2647"/>
      <c r="AP1062" s="2647"/>
      <c r="AQ1062" s="2647"/>
      <c r="AR1062" s="2647"/>
      <c r="AS1062" s="2647"/>
      <c r="AT1062" s="2647"/>
      <c r="AU1062" s="2647"/>
      <c r="AV1062" s="2647"/>
      <c r="AW1062" s="2647"/>
      <c r="AX1062" s="2647"/>
      <c r="AY1062" s="2647"/>
      <c r="AZ1062" s="2647"/>
      <c r="BA1062" s="2647"/>
      <c r="BB1062" s="2647"/>
      <c r="BC1062" s="2647"/>
      <c r="BD1062" s="2647"/>
      <c r="BE1062" s="2647"/>
      <c r="BF1062" s="2647"/>
      <c r="BG1062" s="2647"/>
      <c r="BH1062" s="2647"/>
      <c r="BI1062" s="2647"/>
      <c r="BJ1062" s="2647"/>
      <c r="BK1062" s="2647"/>
      <c r="BL1062" s="2647"/>
      <c r="BM1062" s="2647"/>
      <c r="BN1062" s="2647"/>
      <c r="BO1062" s="2647"/>
      <c r="BP1062" s="2647"/>
      <c r="BQ1062" s="2647"/>
      <c r="BR1062" s="2647"/>
      <c r="BS1062" s="2647"/>
      <c r="BT1062" s="2647"/>
      <c r="BU1062" s="2647"/>
      <c r="BV1062" s="2647"/>
      <c r="BW1062" s="2647"/>
      <c r="BX1062" s="2647"/>
    </row>
    <row r="1063" spans="1:76" s="2606" customFormat="1" ht="45.75" customHeight="1">
      <c r="A1063" s="384"/>
      <c r="B1063" s="384"/>
      <c r="C1063" s="3792">
        <v>1</v>
      </c>
      <c r="D1063" s="3792" t="s">
        <v>65</v>
      </c>
      <c r="E1063" s="3792">
        <v>10</v>
      </c>
      <c r="F1063" s="3792" t="s">
        <v>66</v>
      </c>
      <c r="G1063" s="3792">
        <v>19</v>
      </c>
      <c r="H1063" s="3792">
        <v>21</v>
      </c>
      <c r="I1063" s="384" t="s">
        <v>689</v>
      </c>
      <c r="J1063" s="384" t="s">
        <v>690</v>
      </c>
      <c r="K1063" s="3145">
        <f>250*5</f>
        <v>1250</v>
      </c>
      <c r="L1063" s="3141">
        <f>4*P1063</f>
        <v>291876000</v>
      </c>
      <c r="M1063" s="3143">
        <v>250</v>
      </c>
      <c r="N1063" s="3141">
        <v>57389000</v>
      </c>
      <c r="O1063" s="3143">
        <v>0</v>
      </c>
      <c r="P1063" s="3141">
        <v>72969000</v>
      </c>
      <c r="Q1063" s="3143">
        <v>0</v>
      </c>
      <c r="R1063" s="387">
        <v>1000000</v>
      </c>
      <c r="S1063" s="385">
        <v>1</v>
      </c>
      <c r="T1063" s="386">
        <v>1000000</v>
      </c>
      <c r="U1063" s="385">
        <v>0</v>
      </c>
      <c r="V1063" s="597">
        <v>829000</v>
      </c>
      <c r="W1063" s="385"/>
      <c r="X1063" s="385"/>
      <c r="Y1063" s="3143">
        <f>Q1063+S1063+U1063+W1063</f>
        <v>1</v>
      </c>
      <c r="Z1063" s="597">
        <f>R1063+T1063+V1063+X1063</f>
        <v>2829000</v>
      </c>
      <c r="AA1063" s="3143">
        <f t="shared" si="345"/>
        <v>251</v>
      </c>
      <c r="AB1063" s="597">
        <f t="shared" si="345"/>
        <v>60218000</v>
      </c>
      <c r="AC1063" s="3142">
        <f t="shared" si="346"/>
        <v>20.080000000000002</v>
      </c>
      <c r="AD1063" s="3142">
        <f t="shared" si="346"/>
        <v>20.631364003892063</v>
      </c>
      <c r="AE1063" s="390" t="s">
        <v>612</v>
      </c>
      <c r="AF1063" s="2647"/>
      <c r="AG1063" s="2647"/>
      <c r="AH1063" s="2647"/>
      <c r="AI1063" s="2647"/>
      <c r="AJ1063" s="2647"/>
      <c r="AK1063" s="2647"/>
      <c r="AL1063" s="2647"/>
      <c r="AM1063" s="2647"/>
      <c r="AN1063" s="2647"/>
      <c r="AO1063" s="2647"/>
      <c r="AP1063" s="2647"/>
      <c r="AQ1063" s="2647"/>
      <c r="AR1063" s="2647"/>
      <c r="AS1063" s="2647"/>
      <c r="AT1063" s="2647"/>
      <c r="AU1063" s="2647"/>
      <c r="AV1063" s="2647"/>
      <c r="AW1063" s="2647"/>
      <c r="AX1063" s="2647"/>
      <c r="AY1063" s="2647"/>
      <c r="AZ1063" s="2647"/>
      <c r="BA1063" s="2647"/>
      <c r="BB1063" s="2647"/>
      <c r="BC1063" s="2647"/>
      <c r="BD1063" s="2647"/>
      <c r="BE1063" s="2647"/>
      <c r="BF1063" s="2647"/>
      <c r="BG1063" s="2647"/>
      <c r="BH1063" s="2647"/>
      <c r="BI1063" s="2647"/>
      <c r="BJ1063" s="2647"/>
      <c r="BK1063" s="2647"/>
      <c r="BL1063" s="2647"/>
      <c r="BM1063" s="2647"/>
      <c r="BN1063" s="2647"/>
      <c r="BO1063" s="2647"/>
      <c r="BP1063" s="2647"/>
      <c r="BQ1063" s="2647"/>
      <c r="BR1063" s="2647"/>
      <c r="BS1063" s="2647"/>
      <c r="BT1063" s="2647"/>
      <c r="BU1063" s="2647"/>
      <c r="BV1063" s="2647"/>
      <c r="BW1063" s="2647"/>
      <c r="BX1063" s="2647"/>
    </row>
    <row r="1064" spans="1:76" s="2321" customFormat="1" ht="45.75" customHeight="1">
      <c r="A1064" s="384"/>
      <c r="B1064" s="384"/>
      <c r="C1064" s="3792">
        <v>1</v>
      </c>
      <c r="D1064" s="3792" t="s">
        <v>65</v>
      </c>
      <c r="E1064" s="3792">
        <v>10</v>
      </c>
      <c r="F1064" s="3792" t="s">
        <v>66</v>
      </c>
      <c r="G1064" s="3792">
        <v>19</v>
      </c>
      <c r="H1064" s="3792">
        <v>21</v>
      </c>
      <c r="I1064" s="384" t="s">
        <v>691</v>
      </c>
      <c r="J1064" s="384"/>
      <c r="K1064" s="3145">
        <f>8*5</f>
        <v>40</v>
      </c>
      <c r="L1064" s="3141">
        <f>4*P1064</f>
        <v>213834000</v>
      </c>
      <c r="M1064" s="3143">
        <v>7</v>
      </c>
      <c r="N1064" s="3141">
        <v>57389000</v>
      </c>
      <c r="O1064" s="3143">
        <v>5</v>
      </c>
      <c r="P1064" s="3141">
        <v>53458500</v>
      </c>
      <c r="Q1064" s="3143">
        <v>0</v>
      </c>
      <c r="R1064" s="387">
        <v>13791000</v>
      </c>
      <c r="S1064" s="385">
        <v>0</v>
      </c>
      <c r="T1064" s="386">
        <v>4224000</v>
      </c>
      <c r="U1064" s="385">
        <v>3</v>
      </c>
      <c r="V1064" s="597">
        <v>430000</v>
      </c>
      <c r="W1064" s="385"/>
      <c r="X1064" s="385"/>
      <c r="Y1064" s="3143">
        <f>Q1064+S1064+U1064+W1064</f>
        <v>3</v>
      </c>
      <c r="Z1064" s="597">
        <f>R1064+T1064+V1064+X1064</f>
        <v>18445000</v>
      </c>
      <c r="AA1064" s="3143">
        <f t="shared" si="345"/>
        <v>10</v>
      </c>
      <c r="AB1064" s="597">
        <f t="shared" si="345"/>
        <v>75834000</v>
      </c>
      <c r="AC1064" s="3142">
        <f t="shared" si="346"/>
        <v>25</v>
      </c>
      <c r="AD1064" s="3142">
        <f t="shared" si="346"/>
        <v>35.463958023513563</v>
      </c>
      <c r="AE1064" s="390" t="s">
        <v>612</v>
      </c>
      <c r="AF1064" s="2320"/>
      <c r="AG1064" s="2320"/>
      <c r="AH1064" s="2320"/>
      <c r="AI1064" s="2320"/>
      <c r="AJ1064" s="2320"/>
      <c r="AK1064" s="2320"/>
      <c r="AL1064" s="2320"/>
      <c r="AM1064" s="2320"/>
      <c r="AN1064" s="2320"/>
      <c r="AO1064" s="2320"/>
      <c r="AP1064" s="2320"/>
      <c r="AQ1064" s="2320"/>
      <c r="AR1064" s="2320"/>
      <c r="AS1064" s="2320"/>
      <c r="AT1064" s="2320"/>
      <c r="AU1064" s="2320"/>
      <c r="AV1064" s="2320"/>
      <c r="AW1064" s="2320"/>
      <c r="AX1064" s="2320"/>
      <c r="AY1064" s="2320"/>
      <c r="AZ1064" s="2320"/>
      <c r="BA1064" s="2320"/>
      <c r="BB1064" s="2320"/>
      <c r="BC1064" s="2320"/>
      <c r="BD1064" s="2320"/>
      <c r="BE1064" s="2320"/>
      <c r="BF1064" s="2320"/>
      <c r="BG1064" s="2320"/>
      <c r="BH1064" s="2320"/>
      <c r="BI1064" s="2320"/>
      <c r="BJ1064" s="2320"/>
      <c r="BK1064" s="2320"/>
      <c r="BL1064" s="2320"/>
      <c r="BM1064" s="2320"/>
      <c r="BN1064" s="2320"/>
      <c r="BO1064" s="2320"/>
      <c r="BP1064" s="2320"/>
      <c r="BQ1064" s="2320"/>
      <c r="BR1064" s="2320"/>
      <c r="BS1064" s="2320"/>
      <c r="BT1064" s="2320"/>
      <c r="BU1064" s="2320"/>
      <c r="BV1064" s="2320"/>
      <c r="BW1064" s="2320"/>
      <c r="BX1064" s="2320"/>
    </row>
    <row r="1065" spans="1:76" s="114" customFormat="1" ht="18.75" customHeight="1">
      <c r="A1065" s="4244" t="s">
        <v>89</v>
      </c>
      <c r="B1065" s="4244"/>
      <c r="C1065" s="4245"/>
      <c r="D1065" s="4245"/>
      <c r="E1065" s="4245"/>
      <c r="F1065" s="4245"/>
      <c r="G1065" s="4245"/>
      <c r="H1065" s="4245"/>
      <c r="I1065" s="4245"/>
      <c r="J1065" s="4245"/>
      <c r="K1065" s="4245"/>
      <c r="L1065" s="4245"/>
      <c r="M1065" s="4245"/>
      <c r="N1065" s="4245"/>
      <c r="O1065" s="4245"/>
      <c r="P1065" s="4245"/>
      <c r="Q1065" s="4245"/>
      <c r="R1065" s="4245"/>
      <c r="S1065" s="4245"/>
      <c r="T1065" s="4245"/>
      <c r="U1065" s="4245"/>
      <c r="V1065" s="4245"/>
      <c r="W1065" s="4245"/>
      <c r="X1065" s="4245"/>
      <c r="Y1065" s="4245"/>
      <c r="Z1065" s="4245"/>
      <c r="AA1065" s="4245"/>
      <c r="AB1065" s="4245"/>
      <c r="AC1065" s="2030">
        <f>AC1061</f>
        <v>37.5</v>
      </c>
      <c r="AD1065" s="2030">
        <f>AD1061</f>
        <v>17.53610634176485</v>
      </c>
      <c r="AE1065" s="390"/>
    </row>
    <row r="1066" spans="1:76" s="475" customFormat="1" ht="15.75" customHeight="1">
      <c r="A1066" s="4244" t="s">
        <v>90</v>
      </c>
      <c r="B1066" s="4244"/>
      <c r="C1066" s="4245"/>
      <c r="D1066" s="4245"/>
      <c r="E1066" s="4245"/>
      <c r="F1066" s="4245"/>
      <c r="G1066" s="4245"/>
      <c r="H1066" s="4245"/>
      <c r="I1066" s="4245"/>
      <c r="J1066" s="4245"/>
      <c r="K1066" s="4245"/>
      <c r="L1066" s="4245"/>
      <c r="M1066" s="4245"/>
      <c r="N1066" s="4245"/>
      <c r="O1066" s="4245"/>
      <c r="P1066" s="4245"/>
      <c r="Q1066" s="4245"/>
      <c r="R1066" s="4245"/>
      <c r="S1066" s="4245"/>
      <c r="T1066" s="4245"/>
      <c r="U1066" s="4245"/>
      <c r="V1066" s="4245"/>
      <c r="W1066" s="4245"/>
      <c r="X1066" s="4245"/>
      <c r="Y1066" s="4245"/>
      <c r="Z1066" s="4245"/>
      <c r="AA1066" s="4245"/>
      <c r="AB1066" s="4245"/>
      <c r="AC1066" s="3152" t="str">
        <f>IF(AC1065&gt;=91,"ST",IF(AC1065&gt;=76,"T",IF(AC1065&gt;=66,"S",IF(AC1065&gt;=51,"R","SR"))))</f>
        <v>SR</v>
      </c>
      <c r="AD1066" s="3999" t="str">
        <f>IF(AD1065&gt;=91,"ST",IF(AD1065&gt;=76,"T",IF(AD1065&gt;=66,"S",IF(AD1065&gt;=51,"R","SR"))))</f>
        <v>SR</v>
      </c>
      <c r="AE1066" s="390"/>
    </row>
    <row r="1067" spans="1:76" s="2982" customFormat="1" ht="30.75" customHeight="1">
      <c r="A1067" s="2546" t="s">
        <v>3382</v>
      </c>
      <c r="B1067" s="2515"/>
      <c r="C1067" s="2546"/>
      <c r="D1067" s="2546"/>
      <c r="E1067" s="2546"/>
      <c r="F1067" s="2546"/>
      <c r="G1067" s="2546"/>
      <c r="H1067" s="2546"/>
      <c r="I1067" s="2515" t="s">
        <v>172</v>
      </c>
      <c r="J1067" s="2918"/>
      <c r="K1067" s="3210"/>
      <c r="L1067" s="3194">
        <f>L1068+L1074</f>
        <v>12179769000</v>
      </c>
      <c r="M1067" s="3210"/>
      <c r="N1067" s="3195">
        <f>N1068+N1074</f>
        <v>4847558000</v>
      </c>
      <c r="O1067" s="3210"/>
      <c r="P1067" s="3195">
        <f>SUM(P1068+P1074)</f>
        <v>1957074110</v>
      </c>
      <c r="Q1067" s="3210"/>
      <c r="R1067" s="2916">
        <f>R1068+R1074</f>
        <v>397565500</v>
      </c>
      <c r="S1067" s="2918"/>
      <c r="T1067" s="2916">
        <f>T1068+T1074</f>
        <v>1249745620</v>
      </c>
      <c r="U1067" s="2918"/>
      <c r="V1067" s="2916">
        <f>V1068+V1074</f>
        <v>74653500</v>
      </c>
      <c r="W1067" s="2918"/>
      <c r="X1067" s="2918"/>
      <c r="Y1067" s="3210"/>
      <c r="Z1067" s="2916">
        <f>R1067+T1067+V1067</f>
        <v>1721964620</v>
      </c>
      <c r="AA1067" s="3210"/>
      <c r="AB1067" s="2916">
        <f>AB1068+AB1074</f>
        <v>6524633520</v>
      </c>
      <c r="AC1067" s="3210"/>
      <c r="AD1067" s="3210"/>
      <c r="AE1067" s="3211"/>
      <c r="AF1067" s="3227"/>
      <c r="AG1067" s="2811"/>
      <c r="AH1067" s="2811"/>
      <c r="AI1067" s="2811"/>
      <c r="AJ1067" s="2811"/>
      <c r="AK1067" s="2811"/>
      <c r="AL1067" s="2811"/>
      <c r="AM1067" s="2811"/>
      <c r="AN1067" s="2811"/>
      <c r="AO1067" s="2811"/>
      <c r="AP1067" s="2811"/>
      <c r="AQ1067" s="2811"/>
      <c r="AR1067" s="2811"/>
      <c r="AS1067" s="2811"/>
      <c r="AT1067" s="2811"/>
      <c r="AU1067" s="2811"/>
      <c r="AV1067" s="2811"/>
      <c r="AW1067" s="2811"/>
      <c r="AX1067" s="2811"/>
      <c r="AY1067" s="2811"/>
      <c r="AZ1067" s="2811"/>
      <c r="BA1067" s="2811"/>
      <c r="BB1067" s="2811"/>
      <c r="BC1067" s="2811"/>
      <c r="BD1067" s="2811"/>
      <c r="BE1067" s="2811"/>
      <c r="BF1067" s="2811"/>
      <c r="BG1067" s="2811"/>
      <c r="BH1067" s="2811"/>
      <c r="BI1067" s="2811"/>
      <c r="BJ1067" s="2811"/>
      <c r="BK1067" s="2811"/>
      <c r="BL1067" s="2811"/>
      <c r="BM1067" s="2811"/>
      <c r="BN1067" s="2811"/>
      <c r="BO1067" s="2811"/>
      <c r="BP1067" s="2811"/>
      <c r="BQ1067" s="2811"/>
      <c r="BR1067" s="2811"/>
      <c r="BS1067" s="2811"/>
      <c r="BT1067" s="2811"/>
      <c r="BU1067" s="2811"/>
      <c r="BV1067" s="2811"/>
      <c r="BW1067" s="2811"/>
      <c r="BX1067" s="2811"/>
    </row>
    <row r="1068" spans="1:76" s="2606" customFormat="1" ht="64.5" customHeight="1">
      <c r="A1068" s="2577">
        <v>1</v>
      </c>
      <c r="B1068" s="2501"/>
      <c r="C1068" s="2579" t="s">
        <v>66</v>
      </c>
      <c r="D1068" s="2579" t="s">
        <v>66</v>
      </c>
      <c r="E1068" s="2579" t="s">
        <v>66</v>
      </c>
      <c r="F1068" s="2579" t="s">
        <v>66</v>
      </c>
      <c r="G1068" s="2579" t="s">
        <v>155</v>
      </c>
      <c r="H1068" s="2579"/>
      <c r="I1068" s="2443" t="s">
        <v>173</v>
      </c>
      <c r="J1068" s="2501" t="s">
        <v>174</v>
      </c>
      <c r="K1068" s="2636">
        <v>100</v>
      </c>
      <c r="L1068" s="2636">
        <f>SUM(L1069:L1073)</f>
        <v>10098866000</v>
      </c>
      <c r="M1068" s="2636">
        <f>M1074</f>
        <v>12</v>
      </c>
      <c r="N1068" s="2636">
        <f>SUM(N1069:N1073)</f>
        <v>4227558000</v>
      </c>
      <c r="O1068" s="2637">
        <f>O1074</f>
        <v>37</v>
      </c>
      <c r="P1068" s="2636">
        <f>SUM(P1069:P1073)</f>
        <v>1470470200</v>
      </c>
      <c r="Q1068" s="2636">
        <f>SUM(Q1069:Q1073)</f>
        <v>0.31764705882352939</v>
      </c>
      <c r="R1068" s="2636">
        <f>SUM(R1069:R1073)</f>
        <v>135000000</v>
      </c>
      <c r="S1068" s="3135">
        <f>SUM(S1069:S1073)</f>
        <v>1.7</v>
      </c>
      <c r="T1068" s="2667">
        <f>SUM(T1069:T1073)</f>
        <v>1231257620</v>
      </c>
      <c r="U1068" s="2502"/>
      <c r="V1068" s="2445">
        <f>SUM(V1069:V1073)</f>
        <v>65641300</v>
      </c>
      <c r="W1068" s="2502"/>
      <c r="X1068" s="2502"/>
      <c r="Y1068" s="2584">
        <f t="shared" ref="Y1068:Y1077" si="347">Q1068+S1068+U1068+W1068</f>
        <v>2.0176470588235293</v>
      </c>
      <c r="Z1068" s="2638">
        <f>SUM(Z1069:Z1073)</f>
        <v>1396022020</v>
      </c>
      <c r="AA1068" s="2584">
        <f t="shared" ref="AA1068:AA1077" si="348">M1068+Y1068</f>
        <v>14.017647058823529</v>
      </c>
      <c r="AB1068" s="2638">
        <f t="shared" ref="AB1068:AB1077" si="349">N1068+Z1068</f>
        <v>5623580020</v>
      </c>
      <c r="AC1068" s="2584">
        <f t="shared" ref="AC1068:AC1077" si="350">AA1068/K1068*100</f>
        <v>14.017647058823529</v>
      </c>
      <c r="AD1068" s="2584">
        <f t="shared" ref="AD1068:AD1077" si="351">AB1068/L1068*100</f>
        <v>55.685262285884377</v>
      </c>
      <c r="AE1068" s="3135" t="s">
        <v>175</v>
      </c>
      <c r="AF1068" s="3228"/>
      <c r="AG1068" s="2647"/>
      <c r="AH1068" s="2647"/>
      <c r="AI1068" s="2647"/>
      <c r="AJ1068" s="2647"/>
      <c r="AK1068" s="2647"/>
      <c r="AL1068" s="2647"/>
      <c r="AM1068" s="2647"/>
      <c r="AN1068" s="2647"/>
      <c r="AO1068" s="2647"/>
      <c r="AP1068" s="2647"/>
      <c r="AQ1068" s="2647"/>
      <c r="AR1068" s="2647"/>
      <c r="AS1068" s="2647"/>
      <c r="AT1068" s="2647"/>
      <c r="AU1068" s="2647"/>
      <c r="AV1068" s="2647"/>
      <c r="AW1068" s="2647"/>
      <c r="AX1068" s="2647"/>
      <c r="AY1068" s="2647"/>
      <c r="AZ1068" s="2647"/>
      <c r="BA1068" s="2647"/>
      <c r="BB1068" s="2647"/>
      <c r="BC1068" s="2647"/>
      <c r="BD1068" s="2647"/>
      <c r="BE1068" s="2647"/>
      <c r="BF1068" s="2647"/>
      <c r="BG1068" s="2647"/>
      <c r="BH1068" s="2647"/>
      <c r="BI1068" s="2647"/>
      <c r="BJ1068" s="2647"/>
      <c r="BK1068" s="2647"/>
      <c r="BL1068" s="2647"/>
      <c r="BM1068" s="2647"/>
      <c r="BN1068" s="2647"/>
      <c r="BO1068" s="2647"/>
      <c r="BP1068" s="2647"/>
      <c r="BQ1068" s="2647"/>
      <c r="BR1068" s="2647"/>
      <c r="BS1068" s="2647"/>
      <c r="BT1068" s="2647"/>
      <c r="BU1068" s="2647"/>
      <c r="BV1068" s="2647"/>
      <c r="BW1068" s="2647"/>
      <c r="BX1068" s="2647"/>
    </row>
    <row r="1069" spans="1:76" s="2606" customFormat="1" ht="78" customHeight="1">
      <c r="A1069" s="3148"/>
      <c r="B1069" s="233"/>
      <c r="C1069" s="238" t="s">
        <v>66</v>
      </c>
      <c r="D1069" s="238" t="s">
        <v>66</v>
      </c>
      <c r="E1069" s="238" t="s">
        <v>66</v>
      </c>
      <c r="F1069" s="238" t="s">
        <v>66</v>
      </c>
      <c r="G1069" s="238" t="s">
        <v>155</v>
      </c>
      <c r="H1069" s="238" t="s">
        <v>165</v>
      </c>
      <c r="I1069" s="233" t="s">
        <v>176</v>
      </c>
      <c r="J1069" s="233" t="s">
        <v>4012</v>
      </c>
      <c r="K1069" s="310">
        <v>4</v>
      </c>
      <c r="L1069" s="237">
        <v>1254144000</v>
      </c>
      <c r="M1069" s="2332">
        <v>0</v>
      </c>
      <c r="N1069" s="268">
        <v>0</v>
      </c>
      <c r="O1069" s="310">
        <v>1</v>
      </c>
      <c r="P1069" s="237">
        <v>313536800</v>
      </c>
      <c r="Q1069" s="2332">
        <v>0</v>
      </c>
      <c r="R1069" s="268">
        <v>0</v>
      </c>
      <c r="S1069" s="245">
        <v>1</v>
      </c>
      <c r="T1069" s="2823">
        <v>296773800</v>
      </c>
      <c r="U1069" s="252">
        <v>1</v>
      </c>
      <c r="V1069" s="2403">
        <v>12749000</v>
      </c>
      <c r="W1069" s="252"/>
      <c r="X1069" s="252"/>
      <c r="Y1069" s="298">
        <f t="shared" si="347"/>
        <v>2</v>
      </c>
      <c r="Z1069" s="2493">
        <f>R1069+T1069+V1069+X1069</f>
        <v>309522800</v>
      </c>
      <c r="AA1069" s="310">
        <f t="shared" si="348"/>
        <v>2</v>
      </c>
      <c r="AB1069" s="2493">
        <f t="shared" si="349"/>
        <v>309522800</v>
      </c>
      <c r="AC1069" s="298">
        <f t="shared" si="350"/>
        <v>50</v>
      </c>
      <c r="AD1069" s="298">
        <f t="shared" si="351"/>
        <v>24.680004847928149</v>
      </c>
      <c r="AE1069" s="245"/>
      <c r="AF1069" s="2812"/>
      <c r="AG1069" s="2647"/>
      <c r="AH1069" s="2647"/>
      <c r="AI1069" s="2647"/>
      <c r="AJ1069" s="2647"/>
      <c r="AK1069" s="2647"/>
      <c r="AL1069" s="2647"/>
      <c r="AM1069" s="2647"/>
      <c r="AN1069" s="2647"/>
      <c r="AO1069" s="2647"/>
      <c r="AP1069" s="2647"/>
      <c r="AQ1069" s="2647"/>
      <c r="AR1069" s="2647"/>
      <c r="AS1069" s="2647"/>
      <c r="AT1069" s="2647"/>
      <c r="AU1069" s="2647"/>
      <c r="AV1069" s="2647"/>
      <c r="AW1069" s="2647"/>
      <c r="AX1069" s="2647"/>
      <c r="AY1069" s="2647"/>
      <c r="AZ1069" s="2647"/>
      <c r="BA1069" s="2647"/>
      <c r="BB1069" s="2647"/>
      <c r="BC1069" s="2647"/>
      <c r="BD1069" s="2647"/>
      <c r="BE1069" s="2647"/>
      <c r="BF1069" s="2647"/>
      <c r="BG1069" s="2647"/>
      <c r="BH1069" s="2647"/>
      <c r="BI1069" s="2647"/>
      <c r="BJ1069" s="2647"/>
      <c r="BK1069" s="2647"/>
      <c r="BL1069" s="2647"/>
      <c r="BM1069" s="2647"/>
      <c r="BN1069" s="2647"/>
      <c r="BO1069" s="2647"/>
      <c r="BP1069" s="2647"/>
      <c r="BQ1069" s="2647"/>
      <c r="BR1069" s="2647"/>
      <c r="BS1069" s="2647"/>
      <c r="BT1069" s="2647"/>
      <c r="BU1069" s="2647"/>
      <c r="BV1069" s="2647"/>
      <c r="BW1069" s="2647"/>
      <c r="BX1069" s="2647"/>
    </row>
    <row r="1070" spans="1:76" s="2606" customFormat="1" ht="58.5" customHeight="1">
      <c r="A1070" s="3139"/>
      <c r="B1070" s="233"/>
      <c r="C1070" s="238" t="s">
        <v>66</v>
      </c>
      <c r="D1070" s="238" t="s">
        <v>66</v>
      </c>
      <c r="E1070" s="238" t="s">
        <v>66</v>
      </c>
      <c r="F1070" s="238" t="s">
        <v>66</v>
      </c>
      <c r="G1070" s="238" t="s">
        <v>155</v>
      </c>
      <c r="H1070" s="238" t="s">
        <v>178</v>
      </c>
      <c r="I1070" s="233" t="s">
        <v>179</v>
      </c>
      <c r="J1070" s="233" t="s">
        <v>4013</v>
      </c>
      <c r="K1070" s="310">
        <v>4</v>
      </c>
      <c r="L1070" s="237">
        <v>1226048000</v>
      </c>
      <c r="M1070" s="2332">
        <v>0</v>
      </c>
      <c r="N1070" s="268">
        <v>0</v>
      </c>
      <c r="O1070" s="310">
        <v>1</v>
      </c>
      <c r="P1070" s="237">
        <v>306512300</v>
      </c>
      <c r="Q1070" s="2332">
        <v>0</v>
      </c>
      <c r="R1070" s="268">
        <v>0</v>
      </c>
      <c r="S1070" s="245">
        <v>0</v>
      </c>
      <c r="T1070" s="2823">
        <v>192192000</v>
      </c>
      <c r="U1070" s="252">
        <v>1</v>
      </c>
      <c r="V1070" s="2403"/>
      <c r="W1070" s="252"/>
      <c r="X1070" s="252"/>
      <c r="Y1070" s="298">
        <f t="shared" si="347"/>
        <v>1</v>
      </c>
      <c r="Z1070" s="2493">
        <f>R1070+T1070+V1070+X1070</f>
        <v>192192000</v>
      </c>
      <c r="AA1070" s="310">
        <f t="shared" si="348"/>
        <v>1</v>
      </c>
      <c r="AB1070" s="2493">
        <f t="shared" si="349"/>
        <v>192192000</v>
      </c>
      <c r="AC1070" s="298">
        <f t="shared" si="350"/>
        <v>25</v>
      </c>
      <c r="AD1070" s="298">
        <f t="shared" si="351"/>
        <v>15.675732108367699</v>
      </c>
      <c r="AE1070" s="245"/>
      <c r="AF1070" s="2647"/>
      <c r="AG1070" s="2647"/>
      <c r="AH1070" s="2647"/>
      <c r="AI1070" s="2647"/>
      <c r="AJ1070" s="2647"/>
      <c r="AK1070" s="2647"/>
      <c r="AL1070" s="2647"/>
      <c r="AM1070" s="2647"/>
      <c r="AN1070" s="2647"/>
      <c r="AO1070" s="2647"/>
      <c r="AP1070" s="2647"/>
      <c r="AQ1070" s="2647"/>
      <c r="AR1070" s="2647"/>
      <c r="AS1070" s="2647"/>
      <c r="AT1070" s="2647"/>
      <c r="AU1070" s="2647"/>
      <c r="AV1070" s="2647"/>
      <c r="AW1070" s="2647"/>
      <c r="AX1070" s="2647"/>
      <c r="AY1070" s="2647"/>
      <c r="AZ1070" s="2647"/>
      <c r="BA1070" s="2647"/>
      <c r="BB1070" s="2647"/>
      <c r="BC1070" s="2647"/>
      <c r="BD1070" s="2647"/>
      <c r="BE1070" s="2647"/>
      <c r="BF1070" s="2647"/>
      <c r="BG1070" s="2647"/>
      <c r="BH1070" s="2647"/>
      <c r="BI1070" s="2647"/>
      <c r="BJ1070" s="2647"/>
      <c r="BK1070" s="2647"/>
      <c r="BL1070" s="2647"/>
      <c r="BM1070" s="2647"/>
      <c r="BN1070" s="2647"/>
      <c r="BO1070" s="2647"/>
      <c r="BP1070" s="2647"/>
      <c r="BQ1070" s="2647"/>
      <c r="BR1070" s="2647"/>
      <c r="BS1070" s="2647"/>
      <c r="BT1070" s="2647"/>
      <c r="BU1070" s="2647"/>
      <c r="BV1070" s="2647"/>
      <c r="BW1070" s="2647"/>
      <c r="BX1070" s="2647"/>
    </row>
    <row r="1071" spans="1:76" s="2606" customFormat="1" ht="33.75" customHeight="1">
      <c r="A1071" s="3139"/>
      <c r="B1071" s="233"/>
      <c r="C1071" s="238" t="s">
        <v>66</v>
      </c>
      <c r="D1071" s="238" t="s">
        <v>66</v>
      </c>
      <c r="E1071" s="238" t="s">
        <v>66</v>
      </c>
      <c r="F1071" s="238" t="s">
        <v>66</v>
      </c>
      <c r="G1071" s="238" t="s">
        <v>155</v>
      </c>
      <c r="H1071" s="238" t="s">
        <v>181</v>
      </c>
      <c r="I1071" s="233" t="s">
        <v>182</v>
      </c>
      <c r="J1071" s="233" t="s">
        <v>435</v>
      </c>
      <c r="K1071" s="310">
        <v>6</v>
      </c>
      <c r="L1071" s="237">
        <v>2457348000</v>
      </c>
      <c r="M1071" s="2332">
        <v>2</v>
      </c>
      <c r="N1071" s="237">
        <v>819116000</v>
      </c>
      <c r="O1071" s="310">
        <v>1</v>
      </c>
      <c r="P1071" s="237">
        <v>425000000</v>
      </c>
      <c r="Q1071" s="2329">
        <f>R1071/P1071</f>
        <v>0.31764705882352939</v>
      </c>
      <c r="R1071" s="237">
        <v>135000000</v>
      </c>
      <c r="S1071" s="3139">
        <v>0.7</v>
      </c>
      <c r="T1071" s="2824">
        <v>347902720</v>
      </c>
      <c r="U1071" s="310">
        <v>0</v>
      </c>
      <c r="V1071" s="2493">
        <v>35876900</v>
      </c>
      <c r="W1071" s="310"/>
      <c r="X1071" s="310"/>
      <c r="Y1071" s="298">
        <f t="shared" si="347"/>
        <v>1.0176470588235293</v>
      </c>
      <c r="Z1071" s="2493">
        <f>SUM(R1071+T1071)</f>
        <v>482902720</v>
      </c>
      <c r="AA1071" s="298">
        <f t="shared" si="348"/>
        <v>3.0176470588235293</v>
      </c>
      <c r="AB1071" s="2493">
        <f t="shared" si="349"/>
        <v>1302018720</v>
      </c>
      <c r="AC1071" s="298">
        <f t="shared" si="350"/>
        <v>50.294117647058826</v>
      </c>
      <c r="AD1071" s="298">
        <f t="shared" si="351"/>
        <v>52.98471034627574</v>
      </c>
      <c r="AE1071" s="245"/>
      <c r="AF1071" s="2647"/>
      <c r="AG1071" s="2647"/>
      <c r="AH1071" s="2647"/>
      <c r="AI1071" s="2647"/>
      <c r="AJ1071" s="2647"/>
      <c r="AK1071" s="2647"/>
      <c r="AL1071" s="2647"/>
      <c r="AM1071" s="2647"/>
      <c r="AN1071" s="2647"/>
      <c r="AO1071" s="2647"/>
      <c r="AP1071" s="2647"/>
      <c r="AQ1071" s="2647"/>
      <c r="AR1071" s="2647"/>
      <c r="AS1071" s="2647"/>
      <c r="AT1071" s="2647"/>
      <c r="AU1071" s="2647"/>
      <c r="AV1071" s="2647"/>
      <c r="AW1071" s="2647"/>
      <c r="AX1071" s="2647"/>
      <c r="AY1071" s="2647"/>
      <c r="AZ1071" s="2647"/>
      <c r="BA1071" s="2647"/>
      <c r="BB1071" s="2647"/>
      <c r="BC1071" s="2647"/>
      <c r="BD1071" s="2647"/>
      <c r="BE1071" s="2647"/>
      <c r="BF1071" s="2647"/>
      <c r="BG1071" s="2647"/>
      <c r="BH1071" s="2647"/>
      <c r="BI1071" s="2647"/>
      <c r="BJ1071" s="2647"/>
      <c r="BK1071" s="2647"/>
      <c r="BL1071" s="2647"/>
      <c r="BM1071" s="2647"/>
      <c r="BN1071" s="2647"/>
      <c r="BO1071" s="2647"/>
      <c r="BP1071" s="2647"/>
      <c r="BQ1071" s="2647"/>
      <c r="BR1071" s="2647"/>
      <c r="BS1071" s="2647"/>
      <c r="BT1071" s="2647"/>
      <c r="BU1071" s="2647"/>
      <c r="BV1071" s="2647"/>
      <c r="BW1071" s="2647"/>
      <c r="BX1071" s="2647"/>
    </row>
    <row r="1072" spans="1:76" s="2606" customFormat="1" ht="32.25" customHeight="1">
      <c r="A1072" s="3139"/>
      <c r="B1072" s="233"/>
      <c r="C1072" s="238" t="s">
        <v>66</v>
      </c>
      <c r="D1072" s="238" t="s">
        <v>66</v>
      </c>
      <c r="E1072" s="238" t="s">
        <v>66</v>
      </c>
      <c r="F1072" s="238" t="s">
        <v>66</v>
      </c>
      <c r="G1072" s="238" t="s">
        <v>155</v>
      </c>
      <c r="H1072" s="238" t="s">
        <v>183</v>
      </c>
      <c r="I1072" s="233" t="s">
        <v>184</v>
      </c>
      <c r="J1072" s="233" t="s">
        <v>436</v>
      </c>
      <c r="K1072" s="310">
        <v>6</v>
      </c>
      <c r="L1072" s="237">
        <v>2161326000</v>
      </c>
      <c r="M1072" s="2332">
        <v>2</v>
      </c>
      <c r="N1072" s="237">
        <v>720442000</v>
      </c>
      <c r="O1072" s="310">
        <v>1</v>
      </c>
      <c r="P1072" s="237">
        <v>360221100</v>
      </c>
      <c r="Q1072" s="2332">
        <v>0</v>
      </c>
      <c r="R1072" s="268">
        <v>0</v>
      </c>
      <c r="S1072" s="245"/>
      <c r="T1072" s="2823">
        <v>343543100</v>
      </c>
      <c r="U1072" s="252">
        <v>1</v>
      </c>
      <c r="V1072" s="2403">
        <v>7450000</v>
      </c>
      <c r="W1072" s="252"/>
      <c r="X1072" s="252"/>
      <c r="Y1072" s="298">
        <f t="shared" si="347"/>
        <v>1</v>
      </c>
      <c r="Z1072" s="2493">
        <f>R1072+T1072+V1072+X1072</f>
        <v>350993100</v>
      </c>
      <c r="AA1072" s="310">
        <f t="shared" si="348"/>
        <v>3</v>
      </c>
      <c r="AB1072" s="2493">
        <f t="shared" si="349"/>
        <v>1071435100</v>
      </c>
      <c r="AC1072" s="298">
        <f t="shared" si="350"/>
        <v>50</v>
      </c>
      <c r="AD1072" s="298">
        <f t="shared" si="351"/>
        <v>49.573044510638375</v>
      </c>
      <c r="AE1072" s="245"/>
      <c r="AF1072" s="2812"/>
      <c r="AG1072" s="2647"/>
      <c r="AH1072" s="2647"/>
      <c r="AI1072" s="2647"/>
      <c r="AJ1072" s="2647"/>
      <c r="AK1072" s="2647"/>
      <c r="AL1072" s="2647"/>
      <c r="AM1072" s="2647"/>
      <c r="AN1072" s="2647"/>
      <c r="AO1072" s="2647"/>
      <c r="AP1072" s="2647"/>
      <c r="AQ1072" s="2647"/>
      <c r="AR1072" s="2647"/>
      <c r="AS1072" s="2647"/>
      <c r="AT1072" s="2647"/>
      <c r="AU1072" s="2647"/>
      <c r="AV1072" s="2647"/>
      <c r="AW1072" s="2647"/>
      <c r="AX1072" s="2647"/>
      <c r="AY1072" s="2647"/>
      <c r="AZ1072" s="2647"/>
      <c r="BA1072" s="2647"/>
      <c r="BB1072" s="2647"/>
      <c r="BC1072" s="2647"/>
      <c r="BD1072" s="2647"/>
      <c r="BE1072" s="2647"/>
      <c r="BF1072" s="2647"/>
      <c r="BG1072" s="2647"/>
      <c r="BH1072" s="2647"/>
      <c r="BI1072" s="2647"/>
      <c r="BJ1072" s="2647"/>
      <c r="BK1072" s="2647"/>
      <c r="BL1072" s="2647"/>
      <c r="BM1072" s="2647"/>
      <c r="BN1072" s="2647"/>
      <c r="BO1072" s="2647"/>
      <c r="BP1072" s="2647"/>
      <c r="BQ1072" s="2647"/>
      <c r="BR1072" s="2647"/>
      <c r="BS1072" s="2647"/>
      <c r="BT1072" s="2647"/>
      <c r="BU1072" s="2647"/>
      <c r="BV1072" s="2647"/>
      <c r="BW1072" s="2647"/>
      <c r="BX1072" s="2647"/>
    </row>
    <row r="1073" spans="1:76" s="2606" customFormat="1" ht="76.5">
      <c r="A1073" s="3139"/>
      <c r="B1073" s="233"/>
      <c r="C1073" s="238" t="s">
        <v>66</v>
      </c>
      <c r="D1073" s="238" t="s">
        <v>66</v>
      </c>
      <c r="E1073" s="238" t="s">
        <v>66</v>
      </c>
      <c r="F1073" s="238" t="s">
        <v>66</v>
      </c>
      <c r="G1073" s="238" t="s">
        <v>155</v>
      </c>
      <c r="H1073" s="238">
        <v>54</v>
      </c>
      <c r="I1073" s="235" t="s">
        <v>4227</v>
      </c>
      <c r="J1073" s="233" t="s">
        <v>437</v>
      </c>
      <c r="K1073" s="252">
        <f>20+20+18+25+25+25</f>
        <v>133</v>
      </c>
      <c r="L1073" s="256">
        <v>3000000000</v>
      </c>
      <c r="M1073" s="252">
        <v>40</v>
      </c>
      <c r="N1073" s="256">
        <v>2688000000</v>
      </c>
      <c r="O1073" s="252">
        <v>18</v>
      </c>
      <c r="P1073" s="256">
        <v>65200000</v>
      </c>
      <c r="Q1073" s="2332">
        <v>0</v>
      </c>
      <c r="R1073" s="268">
        <v>0</v>
      </c>
      <c r="S1073" s="245"/>
      <c r="T1073" s="2823">
        <v>50846000</v>
      </c>
      <c r="U1073" s="252">
        <v>18</v>
      </c>
      <c r="V1073" s="2403">
        <v>9565400</v>
      </c>
      <c r="W1073" s="252"/>
      <c r="X1073" s="252"/>
      <c r="Y1073" s="298">
        <f t="shared" si="347"/>
        <v>18</v>
      </c>
      <c r="Z1073" s="2493">
        <f>R1073+T1073+V1073+X1073</f>
        <v>60411400</v>
      </c>
      <c r="AA1073" s="310">
        <f t="shared" si="348"/>
        <v>58</v>
      </c>
      <c r="AB1073" s="2493">
        <f t="shared" si="349"/>
        <v>2748411400</v>
      </c>
      <c r="AC1073" s="298">
        <f t="shared" si="350"/>
        <v>43.609022556390975</v>
      </c>
      <c r="AD1073" s="298">
        <f t="shared" si="351"/>
        <v>91.613713333333337</v>
      </c>
      <c r="AE1073" s="245"/>
      <c r="AF1073" s="2647"/>
      <c r="AG1073" s="2647"/>
      <c r="AH1073" s="2647"/>
      <c r="AI1073" s="2647"/>
      <c r="AJ1073" s="2647"/>
      <c r="AK1073" s="2647"/>
      <c r="AL1073" s="2647"/>
      <c r="AM1073" s="2647"/>
      <c r="AN1073" s="2647"/>
      <c r="AO1073" s="2647"/>
      <c r="AP1073" s="2647"/>
      <c r="AQ1073" s="2647"/>
      <c r="AR1073" s="2647"/>
      <c r="AS1073" s="2647"/>
      <c r="AT1073" s="2647"/>
      <c r="AU1073" s="2647"/>
      <c r="AV1073" s="2647"/>
      <c r="AW1073" s="2647"/>
      <c r="AX1073" s="2647"/>
      <c r="AY1073" s="2647"/>
      <c r="AZ1073" s="2647"/>
      <c r="BA1073" s="2647"/>
      <c r="BB1073" s="2647"/>
      <c r="BC1073" s="2647"/>
      <c r="BD1073" s="2647"/>
      <c r="BE1073" s="2647"/>
      <c r="BF1073" s="2647"/>
      <c r="BG1073" s="2647"/>
      <c r="BH1073" s="2647"/>
      <c r="BI1073" s="2647"/>
      <c r="BJ1073" s="2647"/>
      <c r="BK1073" s="2647"/>
      <c r="BL1073" s="2647"/>
      <c r="BM1073" s="2647"/>
      <c r="BN1073" s="2647"/>
      <c r="BO1073" s="2647"/>
      <c r="BP1073" s="2647"/>
      <c r="BQ1073" s="2647"/>
      <c r="BR1073" s="2647"/>
      <c r="BS1073" s="2647"/>
      <c r="BT1073" s="2647"/>
      <c r="BU1073" s="2647"/>
      <c r="BV1073" s="2647"/>
      <c r="BW1073" s="2647"/>
      <c r="BX1073" s="2647"/>
    </row>
    <row r="1074" spans="1:76" s="2982" customFormat="1" ht="63.75" customHeight="1">
      <c r="A1074" s="2577">
        <v>2</v>
      </c>
      <c r="B1074" s="2501"/>
      <c r="C1074" s="2579" t="s">
        <v>66</v>
      </c>
      <c r="D1074" s="2579" t="s">
        <v>66</v>
      </c>
      <c r="E1074" s="2579" t="s">
        <v>66</v>
      </c>
      <c r="F1074" s="2579" t="s">
        <v>66</v>
      </c>
      <c r="G1074" s="2579">
        <v>16</v>
      </c>
      <c r="H1074" s="2579"/>
      <c r="I1074" s="2501" t="s">
        <v>186</v>
      </c>
      <c r="J1074" s="2501" t="s">
        <v>187</v>
      </c>
      <c r="K1074" s="2636">
        <v>100</v>
      </c>
      <c r="L1074" s="2636">
        <f>SUM(L1075:L1077)</f>
        <v>2080903000</v>
      </c>
      <c r="M1074" s="2637">
        <v>12</v>
      </c>
      <c r="N1074" s="2636">
        <f>SUM(N1075:N1077)</f>
        <v>620000000</v>
      </c>
      <c r="O1074" s="2829">
        <v>37</v>
      </c>
      <c r="P1074" s="2636">
        <f>SUM(P1075:P1077)</f>
        <v>486603910</v>
      </c>
      <c r="Q1074" s="2637">
        <v>37</v>
      </c>
      <c r="R1074" s="2639">
        <f>SUM(R1075:R1077)</f>
        <v>262565500</v>
      </c>
      <c r="S1074" s="2640">
        <f>SUM(S1075:S1077)</f>
        <v>47</v>
      </c>
      <c r="T1074" s="2667">
        <f>SUM(T1075:T1077)</f>
        <v>18488000</v>
      </c>
      <c r="U1074" s="3135"/>
      <c r="V1074" s="2445">
        <f>SUM(V1075:V1077)</f>
        <v>9012200</v>
      </c>
      <c r="W1074" s="3135"/>
      <c r="X1074" s="2502"/>
      <c r="Y1074" s="2584">
        <f t="shared" si="347"/>
        <v>84</v>
      </c>
      <c r="Z1074" s="2581">
        <f>SUM(Z1075:Z1077)</f>
        <v>281053500</v>
      </c>
      <c r="AA1074" s="2577">
        <f t="shared" si="348"/>
        <v>96</v>
      </c>
      <c r="AB1074" s="2581">
        <f t="shared" si="349"/>
        <v>901053500</v>
      </c>
      <c r="AC1074" s="2584">
        <f t="shared" si="350"/>
        <v>96</v>
      </c>
      <c r="AD1074" s="2584">
        <f t="shared" si="351"/>
        <v>43.301081309412311</v>
      </c>
      <c r="AE1074" s="3135" t="s">
        <v>175</v>
      </c>
      <c r="AF1074" s="2981"/>
      <c r="AG1074" s="2811"/>
      <c r="AH1074" s="2811"/>
      <c r="AI1074" s="2811"/>
      <c r="AJ1074" s="2811"/>
      <c r="AK1074" s="2811"/>
      <c r="AL1074" s="2811"/>
      <c r="AM1074" s="2811"/>
      <c r="AN1074" s="2811"/>
      <c r="AO1074" s="2811"/>
      <c r="AP1074" s="2811"/>
      <c r="AQ1074" s="2811"/>
      <c r="AR1074" s="2811"/>
      <c r="AS1074" s="2811"/>
      <c r="AT1074" s="2811"/>
      <c r="AU1074" s="2811"/>
      <c r="AV1074" s="2811"/>
      <c r="AW1074" s="2811"/>
      <c r="AX1074" s="2811"/>
      <c r="AY1074" s="2811"/>
      <c r="AZ1074" s="2811"/>
      <c r="BA1074" s="2811"/>
      <c r="BB1074" s="2811"/>
      <c r="BC1074" s="2811"/>
      <c r="BD1074" s="2811"/>
      <c r="BE1074" s="2811"/>
      <c r="BF1074" s="2811"/>
      <c r="BG1074" s="2811"/>
      <c r="BH1074" s="2811"/>
      <c r="BI1074" s="2811"/>
      <c r="BJ1074" s="2811"/>
      <c r="BK1074" s="2811"/>
      <c r="BL1074" s="2811"/>
      <c r="BM1074" s="2811"/>
      <c r="BN1074" s="2811"/>
      <c r="BO1074" s="2811"/>
      <c r="BP1074" s="2811"/>
      <c r="BQ1074" s="2811"/>
      <c r="BR1074" s="2811"/>
      <c r="BS1074" s="2811"/>
      <c r="BT1074" s="2811"/>
      <c r="BU1074" s="2811"/>
      <c r="BV1074" s="2811"/>
      <c r="BW1074" s="2811"/>
      <c r="BX1074" s="2811"/>
    </row>
    <row r="1075" spans="1:76" s="2606" customFormat="1" ht="93" customHeight="1">
      <c r="A1075" s="3139"/>
      <c r="B1075" s="233"/>
      <c r="C1075" s="238" t="s">
        <v>66</v>
      </c>
      <c r="D1075" s="238" t="s">
        <v>66</v>
      </c>
      <c r="E1075" s="238" t="s">
        <v>66</v>
      </c>
      <c r="F1075" s="238" t="s">
        <v>66</v>
      </c>
      <c r="G1075" s="238">
        <v>16</v>
      </c>
      <c r="H1075" s="238">
        <v>15</v>
      </c>
      <c r="I1075" s="233" t="s">
        <v>188</v>
      </c>
      <c r="J1075" s="233" t="s">
        <v>189</v>
      </c>
      <c r="K1075" s="252">
        <v>1</v>
      </c>
      <c r="L1075" s="256">
        <v>128722000</v>
      </c>
      <c r="M1075" s="252">
        <v>0</v>
      </c>
      <c r="N1075" s="268">
        <v>0</v>
      </c>
      <c r="O1075" s="252">
        <v>1</v>
      </c>
      <c r="P1075" s="256">
        <v>134422000</v>
      </c>
      <c r="Q1075" s="252">
        <v>1</v>
      </c>
      <c r="R1075" s="256">
        <v>2396000</v>
      </c>
      <c r="S1075" s="245">
        <v>1</v>
      </c>
      <c r="T1075" s="2823">
        <v>2396200</v>
      </c>
      <c r="U1075" s="245">
        <v>1</v>
      </c>
      <c r="V1075" s="2403">
        <v>3806200</v>
      </c>
      <c r="W1075" s="245"/>
      <c r="X1075" s="252"/>
      <c r="Y1075" s="298">
        <f t="shared" si="347"/>
        <v>3</v>
      </c>
      <c r="Z1075" s="2493">
        <f>SUM(R1075+T1075)</f>
        <v>4792200</v>
      </c>
      <c r="AA1075" s="310">
        <f t="shared" si="348"/>
        <v>3</v>
      </c>
      <c r="AB1075" s="2493">
        <f t="shared" si="349"/>
        <v>4792200</v>
      </c>
      <c r="AC1075" s="298">
        <f t="shared" si="350"/>
        <v>300</v>
      </c>
      <c r="AD1075" s="298">
        <f t="shared" si="351"/>
        <v>3.7229067292304343</v>
      </c>
      <c r="AE1075" s="245"/>
      <c r="AF1075" s="2647"/>
      <c r="AG1075" s="2647"/>
      <c r="AH1075" s="2647"/>
      <c r="AI1075" s="2647"/>
      <c r="AJ1075" s="2647"/>
      <c r="AK1075" s="2647"/>
      <c r="AL1075" s="2647"/>
      <c r="AM1075" s="2647"/>
      <c r="AN1075" s="2647"/>
      <c r="AO1075" s="2647"/>
      <c r="AP1075" s="2647"/>
      <c r="AQ1075" s="2647"/>
      <c r="AR1075" s="2647"/>
      <c r="AS1075" s="2647"/>
      <c r="AT1075" s="2647"/>
      <c r="AU1075" s="2647"/>
      <c r="AV1075" s="2647"/>
      <c r="AW1075" s="2647"/>
      <c r="AX1075" s="2647"/>
      <c r="AY1075" s="2647"/>
      <c r="AZ1075" s="2647"/>
      <c r="BA1075" s="2647"/>
      <c r="BB1075" s="2647"/>
      <c r="BC1075" s="2647"/>
      <c r="BD1075" s="2647"/>
      <c r="BE1075" s="2647"/>
      <c r="BF1075" s="2647"/>
      <c r="BG1075" s="2647"/>
      <c r="BH1075" s="2647"/>
      <c r="BI1075" s="2647"/>
      <c r="BJ1075" s="2647"/>
      <c r="BK1075" s="2647"/>
      <c r="BL1075" s="2647"/>
      <c r="BM1075" s="2647"/>
      <c r="BN1075" s="2647"/>
      <c r="BO1075" s="2647"/>
      <c r="BP1075" s="2647"/>
      <c r="BQ1075" s="2647"/>
      <c r="BR1075" s="2647"/>
      <c r="BS1075" s="2647"/>
      <c r="BT1075" s="2647"/>
      <c r="BU1075" s="2647"/>
      <c r="BV1075" s="2647"/>
      <c r="BW1075" s="2647"/>
      <c r="BX1075" s="2647"/>
    </row>
    <row r="1076" spans="1:76" s="2809" customFormat="1" ht="39" customHeight="1">
      <c r="A1076" s="3139"/>
      <c r="B1076" s="233"/>
      <c r="C1076" s="238" t="s">
        <v>66</v>
      </c>
      <c r="D1076" s="238" t="s">
        <v>66</v>
      </c>
      <c r="E1076" s="238" t="s">
        <v>66</v>
      </c>
      <c r="F1076" s="238" t="s">
        <v>66</v>
      </c>
      <c r="G1076" s="238" t="s">
        <v>166</v>
      </c>
      <c r="H1076" s="238" t="s">
        <v>164</v>
      </c>
      <c r="I1076" s="233" t="s">
        <v>190</v>
      </c>
      <c r="J1076" s="233" t="s">
        <v>4014</v>
      </c>
      <c r="K1076" s="310">
        <f>6*6</f>
        <v>36</v>
      </c>
      <c r="L1076" s="237">
        <v>1860000000</v>
      </c>
      <c r="M1076" s="2332">
        <f>6*2</f>
        <v>12</v>
      </c>
      <c r="N1076" s="237">
        <v>620000000</v>
      </c>
      <c r="O1076" s="310">
        <v>6</v>
      </c>
      <c r="P1076" s="237">
        <v>310000000</v>
      </c>
      <c r="Q1076" s="2332">
        <v>6</v>
      </c>
      <c r="R1076" s="237">
        <v>248165500</v>
      </c>
      <c r="S1076" s="3139">
        <v>6</v>
      </c>
      <c r="T1076" s="2824">
        <v>492560</v>
      </c>
      <c r="U1076" s="3139">
        <v>6</v>
      </c>
      <c r="V1076" s="2493"/>
      <c r="W1076" s="3139"/>
      <c r="X1076" s="310"/>
      <c r="Y1076" s="298">
        <f t="shared" si="347"/>
        <v>18</v>
      </c>
      <c r="Z1076" s="2493">
        <f>R1076+T1076</f>
        <v>248658060</v>
      </c>
      <c r="AA1076" s="310">
        <f t="shared" si="348"/>
        <v>30</v>
      </c>
      <c r="AB1076" s="2493">
        <f t="shared" si="349"/>
        <v>868658060</v>
      </c>
      <c r="AC1076" s="298">
        <f t="shared" si="350"/>
        <v>83.333333333333343</v>
      </c>
      <c r="AD1076" s="298">
        <f t="shared" si="351"/>
        <v>46.702046236559141</v>
      </c>
      <c r="AE1076" s="245"/>
    </row>
    <row r="1077" spans="1:76" s="2606" customFormat="1" ht="64.5" customHeight="1">
      <c r="A1077" s="3139"/>
      <c r="B1077" s="233"/>
      <c r="C1077" s="238" t="s">
        <v>66</v>
      </c>
      <c r="D1077" s="238" t="s">
        <v>66</v>
      </c>
      <c r="E1077" s="238" t="s">
        <v>66</v>
      </c>
      <c r="F1077" s="238" t="s">
        <v>66</v>
      </c>
      <c r="G1077" s="238">
        <v>16</v>
      </c>
      <c r="H1077" s="238">
        <v>47</v>
      </c>
      <c r="I1077" s="233" t="s">
        <v>192</v>
      </c>
      <c r="J1077" s="233" t="s">
        <v>4015</v>
      </c>
      <c r="K1077" s="310">
        <v>60</v>
      </c>
      <c r="L1077" s="237">
        <v>92181000</v>
      </c>
      <c r="M1077" s="2332">
        <v>0</v>
      </c>
      <c r="N1077" s="268">
        <v>0</v>
      </c>
      <c r="O1077" s="310">
        <v>30</v>
      </c>
      <c r="P1077" s="240">
        <v>42181910</v>
      </c>
      <c r="Q1077" s="2629">
        <v>20</v>
      </c>
      <c r="R1077" s="237">
        <v>12004000</v>
      </c>
      <c r="S1077" s="245">
        <v>40</v>
      </c>
      <c r="T1077" s="2823">
        <v>15599240</v>
      </c>
      <c r="U1077" s="245">
        <v>40</v>
      </c>
      <c r="V1077" s="2403">
        <v>5206000</v>
      </c>
      <c r="W1077" s="245"/>
      <c r="X1077" s="252"/>
      <c r="Y1077" s="298">
        <f t="shared" si="347"/>
        <v>100</v>
      </c>
      <c r="Z1077" s="2493">
        <f>SUM(R1077+T1077)</f>
        <v>27603240</v>
      </c>
      <c r="AA1077" s="310">
        <f t="shared" si="348"/>
        <v>100</v>
      </c>
      <c r="AB1077" s="2493">
        <f t="shared" si="349"/>
        <v>27603240</v>
      </c>
      <c r="AC1077" s="298">
        <f t="shared" si="350"/>
        <v>166.66666666666669</v>
      </c>
      <c r="AD1077" s="298">
        <f t="shared" si="351"/>
        <v>29.944608975819314</v>
      </c>
      <c r="AE1077" s="245"/>
      <c r="AF1077" s="3227"/>
      <c r="AG1077" s="2647"/>
      <c r="AH1077" s="2647"/>
      <c r="AI1077" s="2647"/>
      <c r="AJ1077" s="2647"/>
      <c r="AK1077" s="2647"/>
      <c r="AL1077" s="2647"/>
      <c r="AM1077" s="2647"/>
      <c r="AN1077" s="2647"/>
      <c r="AO1077" s="2647"/>
      <c r="AP1077" s="2647"/>
      <c r="AQ1077" s="2647"/>
      <c r="AR1077" s="2647"/>
      <c r="AS1077" s="2647"/>
      <c r="AT1077" s="2647"/>
      <c r="AU1077" s="2647"/>
      <c r="AV1077" s="2647"/>
      <c r="AW1077" s="2647"/>
      <c r="AX1077" s="2647"/>
      <c r="AY1077" s="2647"/>
      <c r="AZ1077" s="2647"/>
      <c r="BA1077" s="2647"/>
      <c r="BB1077" s="2647"/>
      <c r="BC1077" s="2647"/>
      <c r="BD1077" s="2647"/>
      <c r="BE1077" s="2647"/>
      <c r="BF1077" s="2647"/>
      <c r="BG1077" s="2647"/>
      <c r="BH1077" s="2647"/>
      <c r="BI1077" s="2647"/>
      <c r="BJ1077" s="2647"/>
      <c r="BK1077" s="2647"/>
      <c r="BL1077" s="2647"/>
      <c r="BM1077" s="2647"/>
      <c r="BN1077" s="2647"/>
      <c r="BO1077" s="2647"/>
      <c r="BP1077" s="2647"/>
      <c r="BQ1077" s="2647"/>
      <c r="BR1077" s="2647"/>
      <c r="BS1077" s="2647"/>
      <c r="BT1077" s="2647"/>
      <c r="BU1077" s="2647"/>
      <c r="BV1077" s="2647"/>
      <c r="BW1077" s="2647"/>
      <c r="BX1077" s="2647"/>
    </row>
    <row r="1078" spans="1:76" s="114" customFormat="1" ht="18.75" customHeight="1">
      <c r="A1078" s="4244" t="s">
        <v>89</v>
      </c>
      <c r="B1078" s="4244"/>
      <c r="C1078" s="4245"/>
      <c r="D1078" s="4245"/>
      <c r="E1078" s="4245"/>
      <c r="F1078" s="4245"/>
      <c r="G1078" s="4245"/>
      <c r="H1078" s="4245"/>
      <c r="I1078" s="4245"/>
      <c r="J1078" s="4245"/>
      <c r="K1078" s="4245"/>
      <c r="L1078" s="4245"/>
      <c r="M1078" s="4245"/>
      <c r="N1078" s="4245"/>
      <c r="O1078" s="4245"/>
      <c r="P1078" s="4245"/>
      <c r="Q1078" s="4245"/>
      <c r="R1078" s="4245"/>
      <c r="S1078" s="4245"/>
      <c r="T1078" s="4245"/>
      <c r="U1078" s="4245"/>
      <c r="V1078" s="4245"/>
      <c r="W1078" s="4245"/>
      <c r="X1078" s="4245"/>
      <c r="Y1078" s="4245"/>
      <c r="Z1078" s="4245"/>
      <c r="AA1078" s="4245"/>
      <c r="AB1078" s="4245"/>
      <c r="AC1078" s="2030">
        <f>(AC1068+AC1074)/2</f>
        <v>55.008823529411764</v>
      </c>
      <c r="AD1078" s="2030">
        <f>(AD1068+AD1074)/2</f>
        <v>49.493171797648344</v>
      </c>
      <c r="AE1078" s="390"/>
    </row>
    <row r="1079" spans="1:76" s="475" customFormat="1" ht="15.75" customHeight="1">
      <c r="A1079" s="4244" t="s">
        <v>90</v>
      </c>
      <c r="B1079" s="4244"/>
      <c r="C1079" s="4245"/>
      <c r="D1079" s="4245"/>
      <c r="E1079" s="4245"/>
      <c r="F1079" s="4245"/>
      <c r="G1079" s="4245"/>
      <c r="H1079" s="4245"/>
      <c r="I1079" s="4245"/>
      <c r="J1079" s="4245"/>
      <c r="K1079" s="4245"/>
      <c r="L1079" s="4245"/>
      <c r="M1079" s="4245"/>
      <c r="N1079" s="4245"/>
      <c r="O1079" s="4245"/>
      <c r="P1079" s="4245"/>
      <c r="Q1079" s="4245"/>
      <c r="R1079" s="4245"/>
      <c r="S1079" s="4245"/>
      <c r="T1079" s="4245"/>
      <c r="U1079" s="4245"/>
      <c r="V1079" s="4245"/>
      <c r="W1079" s="4245"/>
      <c r="X1079" s="4245"/>
      <c r="Y1079" s="4245"/>
      <c r="Z1079" s="4245"/>
      <c r="AA1079" s="4245"/>
      <c r="AB1079" s="4245"/>
      <c r="AC1079" s="3152" t="str">
        <f>IF(AC1078&gt;=91,"ST",IF(AC1078&gt;=76,"T",IF(AC1078&gt;=66,"S",IF(AC1078&gt;=51,"R","SR"))))</f>
        <v>R</v>
      </c>
      <c r="AD1079" s="3152" t="str">
        <f>IF(AD1078&gt;=91,"ST",IF(AD1078&gt;=76,"T",IF(AD1078&gt;=66,"S",IF(AD1078&gt;=51,"R","SR"))))</f>
        <v>SR</v>
      </c>
      <c r="AE1079" s="390"/>
    </row>
    <row r="1080" spans="1:76" s="2982" customFormat="1" ht="31.5" customHeight="1">
      <c r="A1080" s="2546" t="s">
        <v>3383</v>
      </c>
      <c r="B1080" s="2918"/>
      <c r="C1080" s="2546"/>
      <c r="D1080" s="2546"/>
      <c r="E1080" s="2546"/>
      <c r="F1080" s="2546"/>
      <c r="G1080" s="2546"/>
      <c r="H1080" s="2546"/>
      <c r="I1080" s="2515" t="s">
        <v>194</v>
      </c>
      <c r="J1080" s="2918"/>
      <c r="K1080" s="3210"/>
      <c r="L1080" s="3194">
        <f>L1081</f>
        <v>2982476994</v>
      </c>
      <c r="M1080" s="3210"/>
      <c r="N1080" s="3195">
        <f>N1081</f>
        <v>890144010</v>
      </c>
      <c r="O1080" s="3210"/>
      <c r="P1080" s="3195">
        <f>SUM(P1081)</f>
        <v>718752291</v>
      </c>
      <c r="Q1080" s="3210"/>
      <c r="R1080" s="2916">
        <f>R1081</f>
        <v>117463500</v>
      </c>
      <c r="S1080" s="2918"/>
      <c r="T1080" s="2916">
        <f>T1081</f>
        <v>285016600</v>
      </c>
      <c r="U1080" s="2918"/>
      <c r="V1080" s="2916">
        <f>V1081</f>
        <v>230339849</v>
      </c>
      <c r="W1080" s="2918"/>
      <c r="X1080" s="2918"/>
      <c r="Y1080" s="3210"/>
      <c r="Z1080" s="2916">
        <f t="shared" ref="Z1080:Z1087" si="352">R1080+T1080+V1080+X1080</f>
        <v>632819949</v>
      </c>
      <c r="AA1080" s="3210"/>
      <c r="AB1080" s="2916">
        <f>AB1081</f>
        <v>1522963959</v>
      </c>
      <c r="AC1080" s="3210"/>
      <c r="AD1080" s="3210"/>
      <c r="AE1080" s="3211"/>
      <c r="AF1080" s="2811"/>
      <c r="AG1080" s="2811"/>
      <c r="AH1080" s="2811"/>
      <c r="AI1080" s="2811"/>
      <c r="AJ1080" s="2811"/>
      <c r="AK1080" s="2811"/>
      <c r="AL1080" s="2811"/>
      <c r="AM1080" s="2811"/>
      <c r="AN1080" s="2811"/>
      <c r="AO1080" s="2811"/>
      <c r="AP1080" s="2811"/>
      <c r="AQ1080" s="2811"/>
      <c r="AR1080" s="2811"/>
      <c r="AS1080" s="2811"/>
      <c r="AT1080" s="2811"/>
      <c r="AU1080" s="2811"/>
      <c r="AV1080" s="2811"/>
      <c r="AW1080" s="2811"/>
      <c r="AX1080" s="2811"/>
      <c r="AY1080" s="2811"/>
      <c r="AZ1080" s="2811"/>
      <c r="BA1080" s="2811"/>
      <c r="BB1080" s="2811"/>
      <c r="BC1080" s="2811"/>
      <c r="BD1080" s="2811"/>
      <c r="BE1080" s="2811"/>
      <c r="BF1080" s="2811"/>
      <c r="BG1080" s="2811"/>
      <c r="BH1080" s="2811"/>
      <c r="BI1080" s="2811"/>
      <c r="BJ1080" s="2811"/>
      <c r="BK1080" s="2811"/>
      <c r="BL1080" s="2811"/>
      <c r="BM1080" s="2811"/>
      <c r="BN1080" s="2811"/>
      <c r="BO1080" s="2811"/>
      <c r="BP1080" s="2811"/>
      <c r="BQ1080" s="2811"/>
      <c r="BR1080" s="2811"/>
      <c r="BS1080" s="2811"/>
      <c r="BT1080" s="2811"/>
      <c r="BU1080" s="2811"/>
      <c r="BV1080" s="2811"/>
      <c r="BW1080" s="2811"/>
      <c r="BX1080" s="2811"/>
    </row>
    <row r="1081" spans="1:76" s="2606" customFormat="1" ht="105.75" customHeight="1">
      <c r="A1081" s="3138">
        <v>1</v>
      </c>
      <c r="B1081" s="2619"/>
      <c r="C1081" s="2374">
        <v>18</v>
      </c>
      <c r="D1081" s="2374">
        <v>19</v>
      </c>
      <c r="E1081" s="2374"/>
      <c r="F1081" s="2374"/>
      <c r="G1081" s="2374"/>
      <c r="H1081" s="3795"/>
      <c r="I1081" s="2359" t="s">
        <v>3038</v>
      </c>
      <c r="J1081" s="2335" t="s">
        <v>3385</v>
      </c>
      <c r="K1081" s="2361">
        <v>160160</v>
      </c>
      <c r="L1081" s="2596">
        <f>SUM(L1082:L1086)</f>
        <v>2982476994</v>
      </c>
      <c r="M1081" s="2361">
        <v>20160</v>
      </c>
      <c r="N1081" s="2442">
        <f>SUM(N1082:N1087)</f>
        <v>890144010</v>
      </c>
      <c r="O1081" s="2361">
        <v>20000</v>
      </c>
      <c r="P1081" s="2442">
        <f>SUM(P1082:P1087)</f>
        <v>718752291</v>
      </c>
      <c r="Q1081" s="2467">
        <f>16*O1081/100</f>
        <v>3200</v>
      </c>
      <c r="R1081" s="3159">
        <f>SUM(R1082:R1087)</f>
        <v>117463500</v>
      </c>
      <c r="S1081" s="2340"/>
      <c r="T1081" s="2340">
        <f>SUM(T1082:T1087)</f>
        <v>285016600</v>
      </c>
      <c r="U1081" s="2340">
        <v>0</v>
      </c>
      <c r="V1081" s="2340">
        <f>SUM(V1082:V1087)</f>
        <v>230339849</v>
      </c>
      <c r="W1081" s="2340">
        <v>0</v>
      </c>
      <c r="X1081" s="2347">
        <v>0</v>
      </c>
      <c r="Y1081" s="2467">
        <f t="shared" ref="Y1081:Y1087" si="353">Q1081+S1081+U1081+W1081</f>
        <v>3200</v>
      </c>
      <c r="Z1081" s="3149">
        <f t="shared" si="352"/>
        <v>632819949</v>
      </c>
      <c r="AA1081" s="2361">
        <f t="shared" ref="AA1081:AA1087" si="354">M1081+Y1081</f>
        <v>23360</v>
      </c>
      <c r="AB1081" s="3149">
        <f t="shared" ref="AB1081:AB1087" si="355">N1081+Z1081</f>
        <v>1522963959</v>
      </c>
      <c r="AC1081" s="2505">
        <f t="shared" ref="AC1081:AC1087" si="356">AA1081/K1081*100</f>
        <v>14.585414585414586</v>
      </c>
      <c r="AD1081" s="2505">
        <f t="shared" ref="AD1081:AD1087" si="357">AB1081/L1081*100</f>
        <v>51.063728641120242</v>
      </c>
      <c r="AE1081" s="3138" t="s">
        <v>3386</v>
      </c>
      <c r="AF1081" s="2811"/>
      <c r="AG1081" s="2647"/>
      <c r="AH1081" s="2647"/>
      <c r="AI1081" s="2647"/>
      <c r="AJ1081" s="2647"/>
      <c r="AK1081" s="2647"/>
      <c r="AL1081" s="2647"/>
      <c r="AM1081" s="2647"/>
      <c r="AN1081" s="2647"/>
      <c r="AO1081" s="2647"/>
      <c r="AP1081" s="2647"/>
      <c r="AQ1081" s="2647"/>
      <c r="AR1081" s="2647"/>
      <c r="AS1081" s="2647"/>
      <c r="AT1081" s="2647"/>
      <c r="AU1081" s="2647"/>
      <c r="AV1081" s="2647"/>
      <c r="AW1081" s="2647"/>
      <c r="AX1081" s="2647"/>
      <c r="AY1081" s="2647"/>
      <c r="AZ1081" s="2647"/>
      <c r="BA1081" s="2647"/>
      <c r="BB1081" s="2647"/>
      <c r="BC1081" s="2647"/>
      <c r="BD1081" s="2647"/>
      <c r="BE1081" s="2647"/>
      <c r="BF1081" s="2647"/>
      <c r="BG1081" s="2647"/>
      <c r="BH1081" s="2647"/>
      <c r="BI1081" s="2647"/>
      <c r="BJ1081" s="2647"/>
      <c r="BK1081" s="2647"/>
      <c r="BL1081" s="2647"/>
      <c r="BM1081" s="2647"/>
      <c r="BN1081" s="2647"/>
      <c r="BO1081" s="2647"/>
      <c r="BP1081" s="2647"/>
      <c r="BQ1081" s="2647"/>
      <c r="BR1081" s="2647"/>
      <c r="BS1081" s="2647"/>
      <c r="BT1081" s="2647"/>
      <c r="BU1081" s="2647"/>
      <c r="BV1081" s="2647"/>
      <c r="BW1081" s="2647"/>
      <c r="BX1081" s="2647"/>
    </row>
    <row r="1082" spans="1:76" s="2606" customFormat="1" ht="48" customHeight="1">
      <c r="A1082" s="4310"/>
      <c r="B1082" s="4302" t="s">
        <v>3037</v>
      </c>
      <c r="C1082" s="2446">
        <v>18</v>
      </c>
      <c r="D1082" s="2446">
        <v>19</v>
      </c>
      <c r="E1082" s="2446" t="s">
        <v>196</v>
      </c>
      <c r="F1082" s="3137"/>
      <c r="G1082" s="3137"/>
      <c r="H1082" s="3137"/>
      <c r="I1082" s="2631" t="s">
        <v>3039</v>
      </c>
      <c r="J1082" s="2632" t="s">
        <v>3388</v>
      </c>
      <c r="K1082" s="2349">
        <v>100</v>
      </c>
      <c r="L1082" s="2392">
        <v>305759454</v>
      </c>
      <c r="M1082" s="2642">
        <v>33</v>
      </c>
      <c r="N1082" s="2388">
        <v>148626000</v>
      </c>
      <c r="O1082" s="2349">
        <v>20</v>
      </c>
      <c r="P1082" s="2388">
        <v>77133464</v>
      </c>
      <c r="Q1082" s="2529">
        <v>0</v>
      </c>
      <c r="R1082" s="2643">
        <v>0</v>
      </c>
      <c r="S1082" s="1731">
        <v>22</v>
      </c>
      <c r="T1082" s="1731">
        <v>11031000</v>
      </c>
      <c r="U1082" s="1731">
        <v>4</v>
      </c>
      <c r="V1082" s="2304">
        <v>59862450</v>
      </c>
      <c r="W1082" s="2644">
        <v>0</v>
      </c>
      <c r="X1082" s="1114">
        <v>0</v>
      </c>
      <c r="Y1082" s="2529">
        <f t="shared" si="353"/>
        <v>26</v>
      </c>
      <c r="Z1082" s="2872">
        <f t="shared" si="352"/>
        <v>70893450</v>
      </c>
      <c r="AA1082" s="2645">
        <f t="shared" si="354"/>
        <v>59</v>
      </c>
      <c r="AB1082" s="2872">
        <f t="shared" si="355"/>
        <v>219519450</v>
      </c>
      <c r="AC1082" s="2645">
        <f t="shared" si="356"/>
        <v>59</v>
      </c>
      <c r="AD1082" s="2645">
        <f t="shared" si="357"/>
        <v>71.794820120263552</v>
      </c>
      <c r="AE1082" s="3160"/>
      <c r="AF1082" s="2812"/>
      <c r="AG1082" s="2647"/>
      <c r="AH1082" s="2647"/>
      <c r="AI1082" s="2647"/>
      <c r="AJ1082" s="2647"/>
      <c r="AK1082" s="2647"/>
      <c r="AL1082" s="2647"/>
      <c r="AM1082" s="2647"/>
      <c r="AN1082" s="2647"/>
      <c r="AO1082" s="2647"/>
      <c r="AP1082" s="2647"/>
      <c r="AQ1082" s="2647"/>
      <c r="AR1082" s="2647"/>
      <c r="AS1082" s="2647"/>
      <c r="AT1082" s="2647"/>
      <c r="AU1082" s="2647"/>
      <c r="AV1082" s="2647"/>
      <c r="AW1082" s="2647"/>
      <c r="AX1082" s="2647"/>
      <c r="AY1082" s="2647"/>
      <c r="AZ1082" s="2647"/>
      <c r="BA1082" s="2647"/>
      <c r="BB1082" s="2647"/>
      <c r="BC1082" s="2647"/>
      <c r="BD1082" s="2647"/>
      <c r="BE1082" s="2647"/>
      <c r="BF1082" s="2647"/>
      <c r="BG1082" s="2647"/>
      <c r="BH1082" s="2647"/>
      <c r="BI1082" s="2647"/>
      <c r="BJ1082" s="2647"/>
      <c r="BK1082" s="2647"/>
      <c r="BL1082" s="2647"/>
      <c r="BM1082" s="2647"/>
      <c r="BN1082" s="2647"/>
      <c r="BO1082" s="2647"/>
      <c r="BP1082" s="2647"/>
      <c r="BQ1082" s="2647"/>
      <c r="BR1082" s="2647"/>
      <c r="BS1082" s="2647"/>
      <c r="BT1082" s="2647"/>
      <c r="BU1082" s="2647"/>
      <c r="BV1082" s="2647"/>
      <c r="BW1082" s="2647"/>
      <c r="BX1082" s="2647"/>
    </row>
    <row r="1083" spans="1:76" s="2606" customFormat="1" ht="55.5" customHeight="1">
      <c r="A1083" s="4310"/>
      <c r="B1083" s="4302"/>
      <c r="C1083" s="2446">
        <v>18</v>
      </c>
      <c r="D1083" s="2446">
        <v>19</v>
      </c>
      <c r="E1083" s="2446" t="s">
        <v>161</v>
      </c>
      <c r="F1083" s="3137"/>
      <c r="G1083" s="3137"/>
      <c r="H1083" s="3137"/>
      <c r="I1083" s="2631" t="s">
        <v>3040</v>
      </c>
      <c r="J1083" s="2632" t="s">
        <v>4016</v>
      </c>
      <c r="K1083" s="2349">
        <v>2500</v>
      </c>
      <c r="L1083" s="2392">
        <v>924898054</v>
      </c>
      <c r="M1083" s="2642">
        <v>600</v>
      </c>
      <c r="N1083" s="1232">
        <v>227200500</v>
      </c>
      <c r="O1083" s="2349">
        <v>300</v>
      </c>
      <c r="P1083" s="2388">
        <v>92697554</v>
      </c>
      <c r="Q1083" s="2529">
        <v>10</v>
      </c>
      <c r="R1083" s="2643">
        <v>12237500</v>
      </c>
      <c r="S1083" s="1731">
        <v>25</v>
      </c>
      <c r="T1083" s="1731">
        <v>32865000</v>
      </c>
      <c r="U1083" s="1731">
        <v>100</v>
      </c>
      <c r="V1083" s="2304">
        <v>36882000</v>
      </c>
      <c r="W1083" s="2644">
        <v>0</v>
      </c>
      <c r="X1083" s="1114">
        <v>0</v>
      </c>
      <c r="Y1083" s="2529">
        <f t="shared" si="353"/>
        <v>135</v>
      </c>
      <c r="Z1083" s="2872">
        <f t="shared" si="352"/>
        <v>81984500</v>
      </c>
      <c r="AA1083" s="2645">
        <f t="shared" si="354"/>
        <v>735</v>
      </c>
      <c r="AB1083" s="2872">
        <f t="shared" si="355"/>
        <v>309185000</v>
      </c>
      <c r="AC1083" s="2645">
        <f t="shared" si="356"/>
        <v>29.4</v>
      </c>
      <c r="AD1083" s="2645">
        <f t="shared" si="357"/>
        <v>33.429089688624217</v>
      </c>
      <c r="AE1083" s="3160"/>
      <c r="AF1083" s="2812"/>
      <c r="AG1083" s="2647"/>
      <c r="AH1083" s="2647"/>
      <c r="AI1083" s="2647"/>
      <c r="AJ1083" s="2647"/>
      <c r="AK1083" s="2647"/>
      <c r="AL1083" s="2647"/>
      <c r="AM1083" s="2647"/>
      <c r="AN1083" s="2647"/>
      <c r="AO1083" s="2647"/>
      <c r="AP1083" s="2647"/>
      <c r="AQ1083" s="2647"/>
      <c r="AR1083" s="2647"/>
      <c r="AS1083" s="2647"/>
      <c r="AT1083" s="2647"/>
      <c r="AU1083" s="2647"/>
      <c r="AV1083" s="2647"/>
      <c r="AW1083" s="2647"/>
      <c r="AX1083" s="2647"/>
      <c r="AY1083" s="2647"/>
      <c r="AZ1083" s="2647"/>
      <c r="BA1083" s="2647"/>
      <c r="BB1083" s="2647"/>
      <c r="BC1083" s="2647"/>
      <c r="BD1083" s="2647"/>
      <c r="BE1083" s="2647"/>
      <c r="BF1083" s="2647"/>
      <c r="BG1083" s="2647"/>
      <c r="BH1083" s="2647"/>
      <c r="BI1083" s="2647"/>
      <c r="BJ1083" s="2647"/>
      <c r="BK1083" s="2647"/>
      <c r="BL1083" s="2647"/>
      <c r="BM1083" s="2647"/>
      <c r="BN1083" s="2647"/>
      <c r="BO1083" s="2647"/>
      <c r="BP1083" s="2647"/>
      <c r="BQ1083" s="2647"/>
      <c r="BR1083" s="2647"/>
      <c r="BS1083" s="2647"/>
      <c r="BT1083" s="2647"/>
      <c r="BU1083" s="2647"/>
      <c r="BV1083" s="2647"/>
      <c r="BW1083" s="2647"/>
      <c r="BX1083" s="2647"/>
    </row>
    <row r="1084" spans="1:76" s="2606" customFormat="1" ht="56.25" customHeight="1">
      <c r="A1084" s="4310"/>
      <c r="B1084" s="4302"/>
      <c r="C1084" s="2446">
        <v>18</v>
      </c>
      <c r="D1084" s="2446">
        <v>19</v>
      </c>
      <c r="E1084" s="2446" t="s">
        <v>197</v>
      </c>
      <c r="F1084" s="3137"/>
      <c r="G1084" s="3137"/>
      <c r="H1084" s="3137"/>
      <c r="I1084" s="2631" t="s">
        <v>3041</v>
      </c>
      <c r="J1084" s="2632" t="s">
        <v>3387</v>
      </c>
      <c r="K1084" s="2349">
        <v>48</v>
      </c>
      <c r="L1084" s="2641">
        <v>311000000</v>
      </c>
      <c r="M1084" s="2642"/>
      <c r="N1084" s="2388">
        <v>0</v>
      </c>
      <c r="O1084" s="2349">
        <v>12</v>
      </c>
      <c r="P1084" s="2388">
        <v>57388958</v>
      </c>
      <c r="Q1084" s="2529">
        <v>3</v>
      </c>
      <c r="R1084" s="2643">
        <v>9623500</v>
      </c>
      <c r="S1084" s="1731">
        <v>3</v>
      </c>
      <c r="T1084" s="1731">
        <v>26300100</v>
      </c>
      <c r="U1084" s="1731">
        <v>3</v>
      </c>
      <c r="V1084" s="2304">
        <v>13385399</v>
      </c>
      <c r="W1084" s="2644"/>
      <c r="X1084" s="1114"/>
      <c r="Y1084" s="2529">
        <f t="shared" si="353"/>
        <v>9</v>
      </c>
      <c r="Z1084" s="2872">
        <f t="shared" si="352"/>
        <v>49308999</v>
      </c>
      <c r="AA1084" s="2645">
        <f t="shared" si="354"/>
        <v>9</v>
      </c>
      <c r="AB1084" s="2872">
        <f t="shared" si="355"/>
        <v>49308999</v>
      </c>
      <c r="AC1084" s="2645">
        <f t="shared" si="356"/>
        <v>18.75</v>
      </c>
      <c r="AD1084" s="2645">
        <f t="shared" si="357"/>
        <v>15.854983601286174</v>
      </c>
      <c r="AE1084" s="3160"/>
      <c r="AF1084" s="2812"/>
      <c r="AG1084" s="2647"/>
      <c r="AH1084" s="2647"/>
      <c r="AI1084" s="2647"/>
      <c r="AJ1084" s="2647"/>
      <c r="AK1084" s="2647"/>
      <c r="AL1084" s="2647"/>
      <c r="AM1084" s="2647"/>
      <c r="AN1084" s="2647"/>
      <c r="AO1084" s="2647"/>
      <c r="AP1084" s="2647"/>
      <c r="AQ1084" s="2647"/>
      <c r="AR1084" s="2647"/>
      <c r="AS1084" s="2647"/>
      <c r="AT1084" s="2647"/>
      <c r="AU1084" s="2647"/>
      <c r="AV1084" s="2647"/>
      <c r="AW1084" s="2647"/>
      <c r="AX1084" s="2647"/>
      <c r="AY1084" s="2647"/>
      <c r="AZ1084" s="2647"/>
      <c r="BA1084" s="2647"/>
      <c r="BB1084" s="2647"/>
      <c r="BC1084" s="2647"/>
      <c r="BD1084" s="2647"/>
      <c r="BE1084" s="2647"/>
      <c r="BF1084" s="2647"/>
      <c r="BG1084" s="2647"/>
      <c r="BH1084" s="2647"/>
      <c r="BI1084" s="2647"/>
      <c r="BJ1084" s="2647"/>
      <c r="BK1084" s="2647"/>
      <c r="BL1084" s="2647"/>
      <c r="BM1084" s="2647"/>
      <c r="BN1084" s="2647"/>
      <c r="BO1084" s="2647"/>
      <c r="BP1084" s="2647"/>
      <c r="BQ1084" s="2647"/>
      <c r="BR1084" s="2647"/>
      <c r="BS1084" s="2647"/>
      <c r="BT1084" s="2647"/>
      <c r="BU1084" s="2647"/>
      <c r="BV1084" s="2647"/>
      <c r="BW1084" s="2647"/>
      <c r="BX1084" s="2647"/>
    </row>
    <row r="1085" spans="1:76" s="2606" customFormat="1" ht="55.5" customHeight="1">
      <c r="A1085" s="4310"/>
      <c r="B1085" s="4302"/>
      <c r="C1085" s="2446">
        <v>18</v>
      </c>
      <c r="D1085" s="2446">
        <v>19</v>
      </c>
      <c r="E1085" s="2446" t="s">
        <v>198</v>
      </c>
      <c r="F1085" s="2446"/>
      <c r="G1085" s="2446"/>
      <c r="H1085" s="3137"/>
      <c r="I1085" s="2634" t="s">
        <v>3042</v>
      </c>
      <c r="J1085" s="2632" t="s">
        <v>4017</v>
      </c>
      <c r="K1085" s="2349">
        <v>72</v>
      </c>
      <c r="L1085" s="2392">
        <v>833244056</v>
      </c>
      <c r="M1085" s="2642">
        <v>24</v>
      </c>
      <c r="N1085" s="2388">
        <v>379094510</v>
      </c>
      <c r="O1085" s="2349">
        <v>12</v>
      </c>
      <c r="P1085" s="2388">
        <v>253349546</v>
      </c>
      <c r="Q1085" s="2529">
        <v>3</v>
      </c>
      <c r="R1085" s="2643">
        <v>68078400</v>
      </c>
      <c r="S1085" s="1731">
        <v>3</v>
      </c>
      <c r="T1085" s="1731">
        <v>115624000</v>
      </c>
      <c r="U1085" s="1731">
        <v>3</v>
      </c>
      <c r="V1085" s="2304">
        <v>84256100</v>
      </c>
      <c r="W1085" s="2644">
        <v>0</v>
      </c>
      <c r="X1085" s="1114">
        <v>0</v>
      </c>
      <c r="Y1085" s="2529">
        <f t="shared" si="353"/>
        <v>9</v>
      </c>
      <c r="Z1085" s="2872">
        <f t="shared" si="352"/>
        <v>267958500</v>
      </c>
      <c r="AA1085" s="2645">
        <f t="shared" si="354"/>
        <v>33</v>
      </c>
      <c r="AB1085" s="2872">
        <f t="shared" si="355"/>
        <v>647053010</v>
      </c>
      <c r="AC1085" s="2645">
        <f t="shared" si="356"/>
        <v>45.833333333333329</v>
      </c>
      <c r="AD1085" s="2645">
        <f t="shared" si="357"/>
        <v>77.65468056336185</v>
      </c>
      <c r="AE1085" s="3160"/>
      <c r="AF1085" s="2812"/>
      <c r="AG1085" s="2647"/>
      <c r="AH1085" s="2647"/>
      <c r="AI1085" s="2647"/>
      <c r="AJ1085" s="2647"/>
      <c r="AK1085" s="2647"/>
      <c r="AL1085" s="2647"/>
      <c r="AM1085" s="2647"/>
      <c r="AN1085" s="2647"/>
      <c r="AO1085" s="2647"/>
      <c r="AP1085" s="2647"/>
      <c r="AQ1085" s="2647"/>
      <c r="AR1085" s="2647"/>
      <c r="AS1085" s="2647"/>
      <c r="AT1085" s="2647"/>
      <c r="AU1085" s="2647"/>
      <c r="AV1085" s="2647"/>
      <c r="AW1085" s="2647"/>
      <c r="AX1085" s="2647"/>
      <c r="AY1085" s="2647"/>
      <c r="AZ1085" s="2647"/>
      <c r="BA1085" s="2647"/>
      <c r="BB1085" s="2647"/>
      <c r="BC1085" s="2647"/>
      <c r="BD1085" s="2647"/>
      <c r="BE1085" s="2647"/>
      <c r="BF1085" s="2647"/>
      <c r="BG1085" s="2647"/>
      <c r="BH1085" s="2647"/>
      <c r="BI1085" s="2647"/>
      <c r="BJ1085" s="2647"/>
      <c r="BK1085" s="2647"/>
      <c r="BL1085" s="2647"/>
      <c r="BM1085" s="2647"/>
      <c r="BN1085" s="2647"/>
      <c r="BO1085" s="2647"/>
      <c r="BP1085" s="2647"/>
      <c r="BQ1085" s="2647"/>
      <c r="BR1085" s="2647"/>
      <c r="BS1085" s="2647"/>
      <c r="BT1085" s="2647"/>
      <c r="BU1085" s="2647"/>
      <c r="BV1085" s="2647"/>
      <c r="BW1085" s="2647"/>
      <c r="BX1085" s="2647"/>
    </row>
    <row r="1086" spans="1:76" s="2606" customFormat="1" ht="57.75" customHeight="1">
      <c r="A1086" s="4310"/>
      <c r="B1086" s="4302"/>
      <c r="C1086" s="2446">
        <v>18</v>
      </c>
      <c r="D1086" s="2446">
        <v>19</v>
      </c>
      <c r="E1086" s="1218">
        <v>13</v>
      </c>
      <c r="F1086" s="2446"/>
      <c r="G1086" s="2446"/>
      <c r="H1086" s="3137"/>
      <c r="I1086" s="2634" t="s">
        <v>3043</v>
      </c>
      <c r="J1086" s="2632" t="s">
        <v>4018</v>
      </c>
      <c r="K1086" s="2349">
        <v>72</v>
      </c>
      <c r="L1086" s="2392">
        <v>607575430</v>
      </c>
      <c r="M1086" s="2642">
        <v>24</v>
      </c>
      <c r="N1086" s="2388">
        <v>135223000</v>
      </c>
      <c r="O1086" s="2349">
        <v>12</v>
      </c>
      <c r="P1086" s="2388">
        <v>172352430</v>
      </c>
      <c r="Q1086" s="2529">
        <v>3</v>
      </c>
      <c r="R1086" s="2643">
        <v>27524100</v>
      </c>
      <c r="S1086" s="1731">
        <v>3</v>
      </c>
      <c r="T1086" s="1731">
        <v>63017100</v>
      </c>
      <c r="U1086" s="1731">
        <v>3</v>
      </c>
      <c r="V1086" s="2304">
        <v>35953900</v>
      </c>
      <c r="W1086" s="2644">
        <v>0</v>
      </c>
      <c r="X1086" s="1114">
        <v>0</v>
      </c>
      <c r="Y1086" s="2529">
        <f t="shared" si="353"/>
        <v>9</v>
      </c>
      <c r="Z1086" s="2872">
        <f t="shared" si="352"/>
        <v>126495100</v>
      </c>
      <c r="AA1086" s="2645">
        <f t="shared" si="354"/>
        <v>33</v>
      </c>
      <c r="AB1086" s="2872">
        <f t="shared" si="355"/>
        <v>261718100</v>
      </c>
      <c r="AC1086" s="2645">
        <f t="shared" si="356"/>
        <v>45.833333333333329</v>
      </c>
      <c r="AD1086" s="2645">
        <f t="shared" si="357"/>
        <v>43.075820231901083</v>
      </c>
      <c r="AE1086" s="3160"/>
      <c r="AF1086" s="2812"/>
      <c r="AG1086" s="2647"/>
      <c r="AH1086" s="2647"/>
      <c r="AI1086" s="2647"/>
      <c r="AJ1086" s="2647"/>
      <c r="AK1086" s="2647"/>
      <c r="AL1086" s="2647"/>
      <c r="AM1086" s="2647"/>
      <c r="AN1086" s="2647"/>
      <c r="AO1086" s="2647"/>
      <c r="AP1086" s="2647"/>
      <c r="AQ1086" s="2647"/>
      <c r="AR1086" s="2647"/>
      <c r="AS1086" s="2647"/>
      <c r="AT1086" s="2647"/>
      <c r="AU1086" s="2647"/>
      <c r="AV1086" s="2647"/>
      <c r="AW1086" s="2647"/>
      <c r="AX1086" s="2647"/>
      <c r="AY1086" s="2647"/>
      <c r="AZ1086" s="2647"/>
      <c r="BA1086" s="2647"/>
      <c r="BB1086" s="2647"/>
      <c r="BC1086" s="2647"/>
      <c r="BD1086" s="2647"/>
      <c r="BE1086" s="2647"/>
      <c r="BF1086" s="2647"/>
      <c r="BG1086" s="2647"/>
      <c r="BH1086" s="2647"/>
      <c r="BI1086" s="2647"/>
      <c r="BJ1086" s="2647"/>
      <c r="BK1086" s="2647"/>
      <c r="BL1086" s="2647"/>
      <c r="BM1086" s="2647"/>
      <c r="BN1086" s="2647"/>
      <c r="BO1086" s="2647"/>
      <c r="BP1086" s="2647"/>
      <c r="BQ1086" s="2647"/>
      <c r="BR1086" s="2647"/>
      <c r="BS1086" s="2647"/>
      <c r="BT1086" s="2647"/>
      <c r="BU1086" s="2647"/>
      <c r="BV1086" s="2647"/>
      <c r="BW1086" s="2647"/>
      <c r="BX1086" s="2647"/>
    </row>
    <row r="1087" spans="1:76" s="2606" customFormat="1" ht="33" customHeight="1">
      <c r="A1087" s="4310"/>
      <c r="B1087" s="4302"/>
      <c r="C1087" s="2446">
        <v>18</v>
      </c>
      <c r="D1087" s="2446">
        <v>19</v>
      </c>
      <c r="E1087" s="1218">
        <v>23</v>
      </c>
      <c r="F1087" s="2446"/>
      <c r="G1087" s="2446"/>
      <c r="H1087" s="3137"/>
      <c r="I1087" s="2634" t="s">
        <v>3044</v>
      </c>
      <c r="J1087" s="2632" t="s">
        <v>4019</v>
      </c>
      <c r="K1087" s="2349">
        <f>50*4</f>
        <v>200</v>
      </c>
      <c r="L1087" s="2392">
        <f>N1087+P1087</f>
        <v>65830339</v>
      </c>
      <c r="M1087" s="2642">
        <v>0</v>
      </c>
      <c r="N1087" s="2388">
        <v>0</v>
      </c>
      <c r="O1087" s="2349">
        <v>50</v>
      </c>
      <c r="P1087" s="2388">
        <v>65830339</v>
      </c>
      <c r="Q1087" s="2529">
        <v>0</v>
      </c>
      <c r="R1087" s="2643">
        <v>0</v>
      </c>
      <c r="S1087" s="1731">
        <v>3</v>
      </c>
      <c r="T1087" s="1731">
        <v>36179400</v>
      </c>
      <c r="U1087" s="1731"/>
      <c r="V1087" s="2304"/>
      <c r="W1087" s="2644"/>
      <c r="X1087" s="1114"/>
      <c r="Y1087" s="2529">
        <f t="shared" si="353"/>
        <v>3</v>
      </c>
      <c r="Z1087" s="2872">
        <f t="shared" si="352"/>
        <v>36179400</v>
      </c>
      <c r="AA1087" s="2645">
        <f t="shared" si="354"/>
        <v>3</v>
      </c>
      <c r="AB1087" s="2872">
        <f t="shared" si="355"/>
        <v>36179400</v>
      </c>
      <c r="AC1087" s="2645">
        <f t="shared" si="356"/>
        <v>1.5</v>
      </c>
      <c r="AD1087" s="2645">
        <f t="shared" si="357"/>
        <v>54.958550342570767</v>
      </c>
      <c r="AE1087" s="3160"/>
      <c r="AF1087" s="2812"/>
      <c r="AG1087" s="2647"/>
      <c r="AH1087" s="2647"/>
      <c r="AI1087" s="2647"/>
      <c r="AJ1087" s="2647"/>
      <c r="AK1087" s="2647"/>
      <c r="AL1087" s="2647"/>
      <c r="AM1087" s="2647"/>
      <c r="AN1087" s="2647"/>
      <c r="AO1087" s="2647"/>
      <c r="AP1087" s="2647"/>
      <c r="AQ1087" s="2647"/>
      <c r="AR1087" s="2647"/>
      <c r="AS1087" s="2647"/>
      <c r="AT1087" s="2647"/>
      <c r="AU1087" s="2647"/>
      <c r="AV1087" s="2647"/>
      <c r="AW1087" s="2647"/>
      <c r="AX1087" s="2647"/>
      <c r="AY1087" s="2647"/>
      <c r="AZ1087" s="2647"/>
      <c r="BA1087" s="2647"/>
      <c r="BB1087" s="2647"/>
      <c r="BC1087" s="2647"/>
      <c r="BD1087" s="2647"/>
      <c r="BE1087" s="2647"/>
      <c r="BF1087" s="2647"/>
      <c r="BG1087" s="2647"/>
      <c r="BH1087" s="2647"/>
      <c r="BI1087" s="2647"/>
      <c r="BJ1087" s="2647"/>
      <c r="BK1087" s="2647"/>
      <c r="BL1087" s="2647"/>
      <c r="BM1087" s="2647"/>
      <c r="BN1087" s="2647"/>
      <c r="BO1087" s="2647"/>
      <c r="BP1087" s="2647"/>
      <c r="BQ1087" s="2647"/>
      <c r="BR1087" s="2647"/>
      <c r="BS1087" s="2647"/>
      <c r="BT1087" s="2647"/>
      <c r="BU1087" s="2647"/>
      <c r="BV1087" s="2647"/>
      <c r="BW1087" s="2647"/>
      <c r="BX1087" s="2647"/>
    </row>
    <row r="1088" spans="1:76" s="114" customFormat="1" ht="18.75" customHeight="1">
      <c r="A1088" s="4244" t="s">
        <v>89</v>
      </c>
      <c r="B1088" s="4244"/>
      <c r="C1088" s="4245"/>
      <c r="D1088" s="4245"/>
      <c r="E1088" s="4245"/>
      <c r="F1088" s="4245"/>
      <c r="G1088" s="4245"/>
      <c r="H1088" s="4245"/>
      <c r="I1088" s="4245"/>
      <c r="J1088" s="4245"/>
      <c r="K1088" s="4245"/>
      <c r="L1088" s="4245"/>
      <c r="M1088" s="4245"/>
      <c r="N1088" s="4245"/>
      <c r="O1088" s="4245"/>
      <c r="P1088" s="4245"/>
      <c r="Q1088" s="4245"/>
      <c r="R1088" s="4245"/>
      <c r="S1088" s="4245"/>
      <c r="T1088" s="4245"/>
      <c r="U1088" s="4245"/>
      <c r="V1088" s="4245"/>
      <c r="W1088" s="4245"/>
      <c r="X1088" s="4245"/>
      <c r="Y1088" s="4245"/>
      <c r="Z1088" s="4245"/>
      <c r="AA1088" s="4245"/>
      <c r="AB1088" s="4245"/>
      <c r="AC1088" s="2030">
        <f>AC1081</f>
        <v>14.585414585414586</v>
      </c>
      <c r="AD1088" s="2030">
        <f>AD1081</f>
        <v>51.063728641120242</v>
      </c>
      <c r="AE1088" s="390"/>
    </row>
    <row r="1089" spans="1:76" s="475" customFormat="1" ht="15.75" customHeight="1">
      <c r="A1089" s="4244" t="s">
        <v>90</v>
      </c>
      <c r="B1089" s="4244"/>
      <c r="C1089" s="4245"/>
      <c r="D1089" s="4245"/>
      <c r="E1089" s="4245"/>
      <c r="F1089" s="4245"/>
      <c r="G1089" s="4245"/>
      <c r="H1089" s="4245"/>
      <c r="I1089" s="4245"/>
      <c r="J1089" s="4245"/>
      <c r="K1089" s="4245"/>
      <c r="L1089" s="4245"/>
      <c r="M1089" s="4245"/>
      <c r="N1089" s="4245"/>
      <c r="O1089" s="4245"/>
      <c r="P1089" s="4245"/>
      <c r="Q1089" s="4245"/>
      <c r="R1089" s="4245"/>
      <c r="S1089" s="4245"/>
      <c r="T1089" s="4245"/>
      <c r="U1089" s="4245"/>
      <c r="V1089" s="4245"/>
      <c r="W1089" s="4245"/>
      <c r="X1089" s="4245"/>
      <c r="Y1089" s="4245"/>
      <c r="Z1089" s="4245"/>
      <c r="AA1089" s="4245"/>
      <c r="AB1089" s="4245"/>
      <c r="AC1089" s="3152" t="str">
        <f>IF(AC1088&gt;=91,"ST",IF(AC1088&gt;=76,"T",IF(AC1088&gt;=66,"S",IF(AC1088&gt;=51,"R","SR"))))</f>
        <v>SR</v>
      </c>
      <c r="AD1089" s="3152" t="str">
        <f>IF(AD1088&gt;=91,"ST",IF(AD1088&gt;=76,"T",IF(AD1088&gt;=66,"S",IF(AD1088&gt;=51,"R","SR"))))</f>
        <v>R</v>
      </c>
      <c r="AE1089" s="390"/>
    </row>
    <row r="1090" spans="1:76" s="2982" customFormat="1" ht="24" customHeight="1">
      <c r="A1090" s="2546" t="s">
        <v>3384</v>
      </c>
      <c r="B1090" s="2918"/>
      <c r="C1090" s="2546"/>
      <c r="D1090" s="2546"/>
      <c r="E1090" s="2546"/>
      <c r="F1090" s="2546"/>
      <c r="G1090" s="2546"/>
      <c r="H1090" s="2546"/>
      <c r="I1090" s="2515" t="s">
        <v>210</v>
      </c>
      <c r="J1090" s="2918"/>
      <c r="K1090" s="3210"/>
      <c r="L1090" s="3194">
        <f>L1091+L1105+L1107</f>
        <v>5018574702</v>
      </c>
      <c r="M1090" s="3210"/>
      <c r="N1090" s="3195">
        <f>N1091+N1105+N1107</f>
        <v>1581807040</v>
      </c>
      <c r="O1090" s="3210"/>
      <c r="P1090" s="3195">
        <f>SUM(P1091+P1105+P1107+P1109+P1111)</f>
        <v>1242236924</v>
      </c>
      <c r="Q1090" s="3210"/>
      <c r="R1090" s="2916">
        <f>R1091+R1105+R1107</f>
        <v>116082773</v>
      </c>
      <c r="S1090" s="2918"/>
      <c r="T1090" s="2916">
        <f>T1091+T1105+T1107</f>
        <v>514704175</v>
      </c>
      <c r="U1090" s="2918"/>
      <c r="V1090" s="2916">
        <f>V1091+V1105+V1107</f>
        <v>184989314</v>
      </c>
      <c r="W1090" s="2918"/>
      <c r="X1090" s="2918"/>
      <c r="Y1090" s="3210"/>
      <c r="Z1090" s="2916">
        <f t="shared" ref="Z1090:Z1108" si="358">R1090+T1090+V1090+X1090</f>
        <v>815776262</v>
      </c>
      <c r="AA1090" s="3210"/>
      <c r="AB1090" s="2916">
        <f>AB1091+AB1105+AB1107</f>
        <v>2397583302</v>
      </c>
      <c r="AC1090" s="3210"/>
      <c r="AD1090" s="3210"/>
      <c r="AE1090" s="3211"/>
      <c r="AF1090" s="2981"/>
      <c r="AG1090" s="2811"/>
      <c r="AH1090" s="2811"/>
      <c r="AI1090" s="2811"/>
      <c r="AJ1090" s="2811"/>
      <c r="AK1090" s="2811"/>
      <c r="AL1090" s="2811"/>
      <c r="AM1090" s="2811"/>
      <c r="AN1090" s="2811"/>
      <c r="AO1090" s="2811"/>
      <c r="AP1090" s="2811"/>
      <c r="AQ1090" s="2811"/>
      <c r="AR1090" s="2811"/>
      <c r="AS1090" s="2811"/>
      <c r="AT1090" s="2811"/>
      <c r="AU1090" s="2811"/>
      <c r="AV1090" s="2811"/>
      <c r="AW1090" s="2811"/>
      <c r="AX1090" s="2811"/>
      <c r="AY1090" s="2811"/>
      <c r="AZ1090" s="2811"/>
      <c r="BA1090" s="2811"/>
      <c r="BB1090" s="2811"/>
      <c r="BC1090" s="2811"/>
      <c r="BD1090" s="2811"/>
      <c r="BE1090" s="2811"/>
      <c r="BF1090" s="2811"/>
      <c r="BG1090" s="2811"/>
      <c r="BH1090" s="2811"/>
      <c r="BI1090" s="2811"/>
      <c r="BJ1090" s="2811"/>
      <c r="BK1090" s="2811"/>
      <c r="BL1090" s="2811"/>
      <c r="BM1090" s="2811"/>
      <c r="BN1090" s="2811"/>
      <c r="BO1090" s="2811"/>
      <c r="BP1090" s="2811"/>
      <c r="BQ1090" s="2811"/>
      <c r="BR1090" s="2811"/>
      <c r="BS1090" s="2811"/>
      <c r="BT1090" s="2811"/>
      <c r="BU1090" s="2811"/>
      <c r="BV1090" s="2811"/>
      <c r="BW1090" s="2811"/>
      <c r="BX1090" s="2811"/>
    </row>
    <row r="1091" spans="1:76" s="2606" customFormat="1" ht="51">
      <c r="A1091" s="2549">
        <v>1</v>
      </c>
      <c r="B1091" s="3138"/>
      <c r="C1091" s="2374">
        <v>18</v>
      </c>
      <c r="D1091" s="2374" t="s">
        <v>66</v>
      </c>
      <c r="E1091" s="2374"/>
      <c r="F1091" s="2374" t="s">
        <v>3026</v>
      </c>
      <c r="G1091" s="2374"/>
      <c r="H1091" s="3795"/>
      <c r="I1091" s="2359" t="s">
        <v>3027</v>
      </c>
      <c r="J1091" s="2335" t="s">
        <v>4020</v>
      </c>
      <c r="K1091" s="2381">
        <v>72</v>
      </c>
      <c r="L1091" s="2655">
        <f>SUM(L1092:L1104)</f>
        <v>4361769359</v>
      </c>
      <c r="M1091" s="2523">
        <v>24</v>
      </c>
      <c r="N1091" s="2442">
        <f>SUM(N1092:N1104)</f>
        <v>1334507040</v>
      </c>
      <c r="O1091" s="2412">
        <v>12</v>
      </c>
      <c r="P1091" s="2442">
        <f>SUM(P1092:P1104)</f>
        <v>704549069</v>
      </c>
      <c r="Q1091" s="2568">
        <v>3</v>
      </c>
      <c r="R1091" s="3159">
        <f>SUM(R1092:R1104)</f>
        <v>111178587</v>
      </c>
      <c r="S1091" s="2340">
        <v>3</v>
      </c>
      <c r="T1091" s="2340">
        <f>SUM(T1092:T1104)</f>
        <v>288061189</v>
      </c>
      <c r="U1091" s="2340">
        <v>3</v>
      </c>
      <c r="V1091" s="2340">
        <f>SUM(V1092:V1104)</f>
        <v>184744314</v>
      </c>
      <c r="W1091" s="2340">
        <v>0</v>
      </c>
      <c r="X1091" s="2347">
        <v>0</v>
      </c>
      <c r="Y1091" s="2381">
        <f t="shared" ref="Y1091:Y1108" si="359">Q1091+S1091+U1091+W1091</f>
        <v>9</v>
      </c>
      <c r="Z1091" s="3149">
        <f t="shared" si="358"/>
        <v>583984090</v>
      </c>
      <c r="AA1091" s="3162">
        <f t="shared" ref="AA1091:AA1104" si="360">M1091+Y1091</f>
        <v>33</v>
      </c>
      <c r="AB1091" s="3149">
        <f t="shared" ref="AB1091:AB1104" si="361">N1091+Z1091</f>
        <v>1918491130</v>
      </c>
      <c r="AC1091" s="2505">
        <f t="shared" ref="AC1091:AC1104" si="362">AA1091/K1091*100</f>
        <v>45.833333333333329</v>
      </c>
      <c r="AD1091" s="2505">
        <f t="shared" ref="AD1091:AD1104" si="363">AB1091/L1091*100</f>
        <v>43.984240616515372</v>
      </c>
      <c r="AE1091" s="3138" t="s">
        <v>3386</v>
      </c>
      <c r="AF1091" s="2812"/>
      <c r="AG1091" s="2647"/>
      <c r="AH1091" s="2647"/>
      <c r="AI1091" s="2647"/>
      <c r="AJ1091" s="2647"/>
      <c r="AK1091" s="2647"/>
      <c r="AL1091" s="2647"/>
      <c r="AM1091" s="2647"/>
      <c r="AN1091" s="2647"/>
      <c r="AO1091" s="2647"/>
      <c r="AP1091" s="2647"/>
      <c r="AQ1091" s="2647"/>
      <c r="AR1091" s="2647"/>
      <c r="AS1091" s="2647"/>
      <c r="AT1091" s="2647"/>
      <c r="AU1091" s="2647"/>
      <c r="AV1091" s="2647"/>
      <c r="AW1091" s="2647"/>
      <c r="AX1091" s="2647"/>
      <c r="AY1091" s="2647"/>
      <c r="AZ1091" s="2647"/>
      <c r="BA1091" s="2647"/>
      <c r="BB1091" s="2647"/>
      <c r="BC1091" s="2647"/>
      <c r="BD1091" s="2647"/>
      <c r="BE1091" s="2647"/>
      <c r="BF1091" s="2647"/>
      <c r="BG1091" s="2647"/>
      <c r="BH1091" s="2647"/>
      <c r="BI1091" s="2647"/>
      <c r="BJ1091" s="2647"/>
      <c r="BK1091" s="2647"/>
      <c r="BL1091" s="2647"/>
      <c r="BM1091" s="2647"/>
      <c r="BN1091" s="2647"/>
      <c r="BO1091" s="2647"/>
      <c r="BP1091" s="2647"/>
      <c r="BQ1091" s="2647"/>
      <c r="BR1091" s="2647"/>
      <c r="BS1091" s="2647"/>
      <c r="BT1091" s="2647"/>
      <c r="BU1091" s="2647"/>
      <c r="BV1091" s="2647"/>
      <c r="BW1091" s="2647"/>
      <c r="BX1091" s="2647"/>
    </row>
    <row r="1092" spans="1:76" s="2606" customFormat="1" ht="42" customHeight="1">
      <c r="A1092" s="3160"/>
      <c r="B1092" s="2274"/>
      <c r="C1092" s="2446">
        <v>18</v>
      </c>
      <c r="D1092" s="2446" t="s">
        <v>66</v>
      </c>
      <c r="E1092" s="2446" t="s">
        <v>65</v>
      </c>
      <c r="F1092" s="2446"/>
      <c r="G1092" s="2446"/>
      <c r="H1092" s="3794"/>
      <c r="I1092" s="2631" t="s">
        <v>195</v>
      </c>
      <c r="J1092" s="2632" t="s">
        <v>4021</v>
      </c>
      <c r="K1092" s="2349">
        <v>72</v>
      </c>
      <c r="L1092" s="2641">
        <v>270119972</v>
      </c>
      <c r="M1092" s="2349">
        <v>24</v>
      </c>
      <c r="N1092" s="2383">
        <v>60119972</v>
      </c>
      <c r="O1092" s="2349">
        <v>12</v>
      </c>
      <c r="P1092" s="2388">
        <v>30000000</v>
      </c>
      <c r="Q1092" s="2529">
        <v>3</v>
      </c>
      <c r="R1092" s="2643">
        <v>10532687</v>
      </c>
      <c r="S1092" s="1731">
        <v>3</v>
      </c>
      <c r="T1092" s="1731">
        <v>19995413</v>
      </c>
      <c r="U1092" s="1731">
        <v>3</v>
      </c>
      <c r="V1092" s="2304">
        <v>8975016</v>
      </c>
      <c r="W1092" s="2644">
        <v>0</v>
      </c>
      <c r="X1092" s="1114">
        <v>0</v>
      </c>
      <c r="Y1092" s="2529">
        <f t="shared" si="359"/>
        <v>9</v>
      </c>
      <c r="Z1092" s="2872">
        <f t="shared" si="358"/>
        <v>39503116</v>
      </c>
      <c r="AA1092" s="2645">
        <f t="shared" si="360"/>
        <v>33</v>
      </c>
      <c r="AB1092" s="2872">
        <f t="shared" si="361"/>
        <v>99623088</v>
      </c>
      <c r="AC1092" s="2645">
        <f t="shared" si="362"/>
        <v>45.833333333333329</v>
      </c>
      <c r="AD1092" s="2645">
        <f t="shared" si="363"/>
        <v>36.881052245925751</v>
      </c>
      <c r="AE1092" s="3160"/>
      <c r="AF1092" s="2812"/>
      <c r="AG1092" s="2647"/>
      <c r="AH1092" s="2647"/>
      <c r="AI1092" s="2647"/>
      <c r="AJ1092" s="2647"/>
      <c r="AK1092" s="2647"/>
      <c r="AL1092" s="2647"/>
      <c r="AM1092" s="2647"/>
      <c r="AN1092" s="2647"/>
      <c r="AO1092" s="2647"/>
      <c r="AP1092" s="2647"/>
      <c r="AQ1092" s="2647"/>
      <c r="AR1092" s="2647"/>
      <c r="AS1092" s="2647"/>
      <c r="AT1092" s="2647"/>
      <c r="AU1092" s="2647"/>
      <c r="AV1092" s="2647"/>
      <c r="AW1092" s="2647"/>
      <c r="AX1092" s="2647"/>
      <c r="AY1092" s="2647"/>
      <c r="AZ1092" s="2647"/>
      <c r="BA1092" s="2647"/>
      <c r="BB1092" s="2647"/>
      <c r="BC1092" s="2647"/>
      <c r="BD1092" s="2647"/>
      <c r="BE1092" s="2647"/>
      <c r="BF1092" s="2647"/>
      <c r="BG1092" s="2647"/>
      <c r="BH1092" s="2647"/>
      <c r="BI1092" s="2647"/>
      <c r="BJ1092" s="2647"/>
      <c r="BK1092" s="2647"/>
      <c r="BL1092" s="2647"/>
      <c r="BM1092" s="2647"/>
      <c r="BN1092" s="2647"/>
      <c r="BO1092" s="2647"/>
      <c r="BP1092" s="2647"/>
      <c r="BQ1092" s="2647"/>
      <c r="BR1092" s="2647"/>
      <c r="BS1092" s="2647"/>
      <c r="BT1092" s="2647"/>
      <c r="BU1092" s="2647"/>
      <c r="BV1092" s="2647"/>
      <c r="BW1092" s="2647"/>
      <c r="BX1092" s="2647"/>
    </row>
    <row r="1093" spans="1:76" s="2606" customFormat="1" ht="42" customHeight="1">
      <c r="A1093" s="3160"/>
      <c r="B1093" s="64"/>
      <c r="C1093" s="2446">
        <v>18</v>
      </c>
      <c r="D1093" s="2446" t="s">
        <v>66</v>
      </c>
      <c r="E1093" s="2446" t="s">
        <v>196</v>
      </c>
      <c r="F1093" s="2446"/>
      <c r="G1093" s="2446"/>
      <c r="H1093" s="3794"/>
      <c r="I1093" s="1200" t="s">
        <v>3028</v>
      </c>
      <c r="J1093" s="2632" t="s">
        <v>4022</v>
      </c>
      <c r="K1093" s="2349">
        <v>72</v>
      </c>
      <c r="L1093" s="2641">
        <v>799867570</v>
      </c>
      <c r="M1093" s="2349">
        <v>24</v>
      </c>
      <c r="N1093" s="2648">
        <v>325728570</v>
      </c>
      <c r="O1093" s="2349">
        <v>12</v>
      </c>
      <c r="P1093" s="2388">
        <v>109139000</v>
      </c>
      <c r="Q1093" s="2529">
        <v>3</v>
      </c>
      <c r="R1093" s="2643">
        <v>0</v>
      </c>
      <c r="S1093" s="1731">
        <v>3</v>
      </c>
      <c r="T1093" s="1731">
        <v>1045000</v>
      </c>
      <c r="U1093" s="1731">
        <v>3</v>
      </c>
      <c r="V1093" s="2304">
        <v>67600000</v>
      </c>
      <c r="W1093" s="2644">
        <v>0</v>
      </c>
      <c r="X1093" s="1114">
        <v>0</v>
      </c>
      <c r="Y1093" s="2529">
        <f t="shared" si="359"/>
        <v>9</v>
      </c>
      <c r="Z1093" s="2872">
        <f t="shared" si="358"/>
        <v>68645000</v>
      </c>
      <c r="AA1093" s="2645">
        <f t="shared" si="360"/>
        <v>33</v>
      </c>
      <c r="AB1093" s="2872">
        <f t="shared" si="361"/>
        <v>394373570</v>
      </c>
      <c r="AC1093" s="2645">
        <f t="shared" si="362"/>
        <v>45.833333333333329</v>
      </c>
      <c r="AD1093" s="2645">
        <f t="shared" si="363"/>
        <v>49.304858052939935</v>
      </c>
      <c r="AE1093" s="3160"/>
      <c r="AF1093" s="2812"/>
      <c r="AG1093" s="2647"/>
      <c r="AH1093" s="2647"/>
      <c r="AI1093" s="2647"/>
      <c r="AJ1093" s="2647"/>
      <c r="AK1093" s="2647"/>
      <c r="AL1093" s="2647"/>
      <c r="AM1093" s="2647"/>
      <c r="AN1093" s="2647"/>
      <c r="AO1093" s="2647"/>
      <c r="AP1093" s="2647"/>
      <c r="AQ1093" s="2647"/>
      <c r="AR1093" s="2647"/>
      <c r="AS1093" s="2647"/>
      <c r="AT1093" s="2647"/>
      <c r="AU1093" s="2647"/>
      <c r="AV1093" s="2647"/>
      <c r="AW1093" s="2647"/>
      <c r="AX1093" s="2647"/>
      <c r="AY1093" s="2647"/>
      <c r="AZ1093" s="2647"/>
      <c r="BA1093" s="2647"/>
      <c r="BB1093" s="2647"/>
      <c r="BC1093" s="2647"/>
      <c r="BD1093" s="2647"/>
      <c r="BE1093" s="2647"/>
      <c r="BF1093" s="2647"/>
      <c r="BG1093" s="2647"/>
      <c r="BH1093" s="2647"/>
      <c r="BI1093" s="2647"/>
      <c r="BJ1093" s="2647"/>
      <c r="BK1093" s="2647"/>
      <c r="BL1093" s="2647"/>
      <c r="BM1093" s="2647"/>
      <c r="BN1093" s="2647"/>
      <c r="BO1093" s="2647"/>
      <c r="BP1093" s="2647"/>
      <c r="BQ1093" s="2647"/>
      <c r="BR1093" s="2647"/>
      <c r="BS1093" s="2647"/>
      <c r="BT1093" s="2647"/>
      <c r="BU1093" s="2647"/>
      <c r="BV1093" s="2647"/>
      <c r="BW1093" s="2647"/>
      <c r="BX1093" s="2647"/>
    </row>
    <row r="1094" spans="1:76" s="2606" customFormat="1" ht="42" customHeight="1">
      <c r="A1094" s="3160"/>
      <c r="B1094" s="64"/>
      <c r="C1094" s="2446">
        <v>18</v>
      </c>
      <c r="D1094" s="2446" t="s">
        <v>66</v>
      </c>
      <c r="E1094" s="2446" t="s">
        <v>197</v>
      </c>
      <c r="F1094" s="2446"/>
      <c r="G1094" s="2446"/>
      <c r="H1094" s="3794"/>
      <c r="I1094" s="1200" t="s">
        <v>3029</v>
      </c>
      <c r="J1094" s="2632" t="s">
        <v>4023</v>
      </c>
      <c r="K1094" s="2349">
        <v>72</v>
      </c>
      <c r="L1094" s="2641">
        <v>612779217</v>
      </c>
      <c r="M1094" s="2349">
        <v>24</v>
      </c>
      <c r="N1094" s="2388">
        <f>13615000+112739217</f>
        <v>126354217</v>
      </c>
      <c r="O1094" s="2349">
        <v>12</v>
      </c>
      <c r="P1094" s="2388">
        <v>121425000</v>
      </c>
      <c r="Q1094" s="3136">
        <v>3</v>
      </c>
      <c r="R1094" s="2643">
        <v>27219500</v>
      </c>
      <c r="S1094" s="1731">
        <v>3</v>
      </c>
      <c r="T1094" s="1731">
        <v>73918750</v>
      </c>
      <c r="U1094" s="1731">
        <v>3</v>
      </c>
      <c r="V1094" s="2304">
        <v>16355500</v>
      </c>
      <c r="W1094" s="2644"/>
      <c r="X1094" s="1114"/>
      <c r="Y1094" s="2529">
        <f t="shared" si="359"/>
        <v>9</v>
      </c>
      <c r="Z1094" s="2872">
        <f t="shared" si="358"/>
        <v>117493750</v>
      </c>
      <c r="AA1094" s="2645">
        <f t="shared" si="360"/>
        <v>33</v>
      </c>
      <c r="AB1094" s="2872">
        <f t="shared" si="361"/>
        <v>243847967</v>
      </c>
      <c r="AC1094" s="2645">
        <f t="shared" si="362"/>
        <v>45.833333333333329</v>
      </c>
      <c r="AD1094" s="2645">
        <f t="shared" si="363"/>
        <v>39.793772411834262</v>
      </c>
      <c r="AE1094" s="3160"/>
      <c r="AF1094" s="2812"/>
      <c r="AG1094" s="2647"/>
      <c r="AH1094" s="2647"/>
      <c r="AI1094" s="2647"/>
      <c r="AJ1094" s="2647"/>
      <c r="AK1094" s="2647"/>
      <c r="AL1094" s="2647"/>
      <c r="AM1094" s="2647"/>
      <c r="AN1094" s="2647"/>
      <c r="AO1094" s="2647"/>
      <c r="AP1094" s="2647"/>
      <c r="AQ1094" s="2647"/>
      <c r="AR1094" s="2647"/>
      <c r="AS1094" s="2647"/>
      <c r="AT1094" s="2647"/>
      <c r="AU1094" s="2647"/>
      <c r="AV1094" s="2647"/>
      <c r="AW1094" s="2647"/>
      <c r="AX1094" s="2647"/>
      <c r="AY1094" s="2647"/>
      <c r="AZ1094" s="2647"/>
      <c r="BA1094" s="2647"/>
      <c r="BB1094" s="2647"/>
      <c r="BC1094" s="2647"/>
      <c r="BD1094" s="2647"/>
      <c r="BE1094" s="2647"/>
      <c r="BF1094" s="2647"/>
      <c r="BG1094" s="2647"/>
      <c r="BH1094" s="2647"/>
      <c r="BI1094" s="2647"/>
      <c r="BJ1094" s="2647"/>
      <c r="BK1094" s="2647"/>
      <c r="BL1094" s="2647"/>
      <c r="BM1094" s="2647"/>
      <c r="BN1094" s="2647"/>
      <c r="BO1094" s="2647"/>
      <c r="BP1094" s="2647"/>
      <c r="BQ1094" s="2647"/>
      <c r="BR1094" s="2647"/>
      <c r="BS1094" s="2647"/>
      <c r="BT1094" s="2647"/>
      <c r="BU1094" s="2647"/>
      <c r="BV1094" s="2647"/>
      <c r="BW1094" s="2647"/>
      <c r="BX1094" s="2647"/>
    </row>
    <row r="1095" spans="1:76" s="2606" customFormat="1" ht="42" customHeight="1">
      <c r="A1095" s="3160"/>
      <c r="B1095" s="2632"/>
      <c r="C1095" s="2446">
        <v>18</v>
      </c>
      <c r="D1095" s="2446" t="s">
        <v>66</v>
      </c>
      <c r="E1095" s="2446" t="s">
        <v>198</v>
      </c>
      <c r="F1095" s="2446"/>
      <c r="G1095" s="2446"/>
      <c r="H1095" s="3794"/>
      <c r="I1095" s="2631" t="s">
        <v>199</v>
      </c>
      <c r="J1095" s="2632" t="s">
        <v>4024</v>
      </c>
      <c r="K1095" s="2349">
        <v>72</v>
      </c>
      <c r="L1095" s="2641">
        <v>412000000</v>
      </c>
      <c r="M1095" s="2349">
        <v>24</v>
      </c>
      <c r="N1095" s="2383">
        <v>155800000</v>
      </c>
      <c r="O1095" s="2349">
        <v>12</v>
      </c>
      <c r="P1095" s="2388">
        <v>61200000</v>
      </c>
      <c r="Q1095" s="2529">
        <v>3</v>
      </c>
      <c r="R1095" s="2643">
        <v>10300000</v>
      </c>
      <c r="S1095" s="1731">
        <v>3</v>
      </c>
      <c r="T1095" s="1731">
        <v>25750000</v>
      </c>
      <c r="U1095" s="1731">
        <v>3</v>
      </c>
      <c r="V1095" s="2304">
        <v>15450000</v>
      </c>
      <c r="W1095" s="2644">
        <v>0</v>
      </c>
      <c r="X1095" s="1114">
        <v>0</v>
      </c>
      <c r="Y1095" s="2529">
        <f t="shared" si="359"/>
        <v>9</v>
      </c>
      <c r="Z1095" s="2872">
        <f t="shared" si="358"/>
        <v>51500000</v>
      </c>
      <c r="AA1095" s="2645">
        <f t="shared" si="360"/>
        <v>33</v>
      </c>
      <c r="AB1095" s="2872">
        <f t="shared" si="361"/>
        <v>207300000</v>
      </c>
      <c r="AC1095" s="2645">
        <f t="shared" si="362"/>
        <v>45.833333333333329</v>
      </c>
      <c r="AD1095" s="2645">
        <f t="shared" si="363"/>
        <v>50.315533980582529</v>
      </c>
      <c r="AE1095" s="3160"/>
      <c r="AF1095" s="2812"/>
      <c r="AG1095" s="2647"/>
      <c r="AH1095" s="2647"/>
      <c r="AI1095" s="2647"/>
      <c r="AJ1095" s="2647"/>
      <c r="AK1095" s="2647"/>
      <c r="AL1095" s="2647"/>
      <c r="AM1095" s="2647"/>
      <c r="AN1095" s="2647"/>
      <c r="AO1095" s="2647"/>
      <c r="AP1095" s="2647"/>
      <c r="AQ1095" s="2647"/>
      <c r="AR1095" s="2647"/>
      <c r="AS1095" s="2647"/>
      <c r="AT1095" s="2647"/>
      <c r="AU1095" s="2647"/>
      <c r="AV1095" s="2647"/>
      <c r="AW1095" s="2647"/>
      <c r="AX1095" s="2647"/>
      <c r="AY1095" s="2647"/>
      <c r="AZ1095" s="2647"/>
      <c r="BA1095" s="2647"/>
      <c r="BB1095" s="2647"/>
      <c r="BC1095" s="2647"/>
      <c r="BD1095" s="2647"/>
      <c r="BE1095" s="2647"/>
      <c r="BF1095" s="2647"/>
      <c r="BG1095" s="2647"/>
      <c r="BH1095" s="2647"/>
      <c r="BI1095" s="2647"/>
      <c r="BJ1095" s="2647"/>
      <c r="BK1095" s="2647"/>
      <c r="BL1095" s="2647"/>
      <c r="BM1095" s="2647"/>
      <c r="BN1095" s="2647"/>
      <c r="BO1095" s="2647"/>
      <c r="BP1095" s="2647"/>
      <c r="BQ1095" s="2647"/>
      <c r="BR1095" s="2647"/>
      <c r="BS1095" s="2647"/>
      <c r="BT1095" s="2647"/>
      <c r="BU1095" s="2647"/>
      <c r="BV1095" s="2647"/>
      <c r="BW1095" s="2647"/>
      <c r="BX1095" s="2647"/>
    </row>
    <row r="1096" spans="1:76" s="2647" customFormat="1" ht="42" customHeight="1">
      <c r="A1096" s="3160"/>
      <c r="B1096" s="2632"/>
      <c r="C1096" s="2446">
        <v>18</v>
      </c>
      <c r="D1096" s="2446" t="s">
        <v>66</v>
      </c>
      <c r="E1096" s="2446" t="s">
        <v>93</v>
      </c>
      <c r="F1096" s="2446"/>
      <c r="G1096" s="2446"/>
      <c r="H1096" s="3794"/>
      <c r="I1096" s="2634" t="s">
        <v>200</v>
      </c>
      <c r="J1096" s="2470" t="s">
        <v>4025</v>
      </c>
      <c r="K1096" s="2349">
        <v>72</v>
      </c>
      <c r="L1096" s="2641">
        <v>191499000</v>
      </c>
      <c r="M1096" s="2349">
        <v>24</v>
      </c>
      <c r="N1096" s="2383">
        <v>50079000</v>
      </c>
      <c r="O1096" s="2349">
        <v>12</v>
      </c>
      <c r="P1096" s="2388">
        <v>58920000</v>
      </c>
      <c r="Q1096" s="2529">
        <v>3</v>
      </c>
      <c r="R1096" s="2643">
        <v>13427000</v>
      </c>
      <c r="S1096" s="1731">
        <v>3</v>
      </c>
      <c r="T1096" s="1731">
        <v>27125000</v>
      </c>
      <c r="U1096" s="1731">
        <v>3</v>
      </c>
      <c r="V1096" s="2304">
        <v>12493000</v>
      </c>
      <c r="W1096" s="2644">
        <v>0</v>
      </c>
      <c r="X1096" s="1114">
        <v>0</v>
      </c>
      <c r="Y1096" s="2529">
        <f t="shared" si="359"/>
        <v>9</v>
      </c>
      <c r="Z1096" s="2872">
        <f t="shared" si="358"/>
        <v>53045000</v>
      </c>
      <c r="AA1096" s="2645">
        <f t="shared" si="360"/>
        <v>33</v>
      </c>
      <c r="AB1096" s="2872">
        <f t="shared" si="361"/>
        <v>103124000</v>
      </c>
      <c r="AC1096" s="2645">
        <f t="shared" si="362"/>
        <v>45.833333333333329</v>
      </c>
      <c r="AD1096" s="2645">
        <f t="shared" si="363"/>
        <v>53.850933947435756</v>
      </c>
      <c r="AE1096" s="3160"/>
    </row>
    <row r="1097" spans="1:76" s="2647" customFormat="1" ht="42" customHeight="1">
      <c r="A1097" s="3160"/>
      <c r="B1097" s="2632"/>
      <c r="C1097" s="2446">
        <v>18</v>
      </c>
      <c r="D1097" s="2446" t="s">
        <v>66</v>
      </c>
      <c r="E1097" s="2446" t="s">
        <v>201</v>
      </c>
      <c r="F1097" s="2446"/>
      <c r="G1097" s="2446"/>
      <c r="H1097" s="3794"/>
      <c r="I1097" s="2631" t="s">
        <v>3030</v>
      </c>
      <c r="J1097" s="2632" t="s">
        <v>4026</v>
      </c>
      <c r="K1097" s="2349">
        <v>72</v>
      </c>
      <c r="L1097" s="2641">
        <v>300150000</v>
      </c>
      <c r="M1097" s="2349">
        <v>24</v>
      </c>
      <c r="N1097" s="2648">
        <v>41086750</v>
      </c>
      <c r="O1097" s="2349">
        <v>12</v>
      </c>
      <c r="P1097" s="2529">
        <v>3850000</v>
      </c>
      <c r="Q1097" s="2529">
        <v>3</v>
      </c>
      <c r="R1097" s="2643">
        <v>2180000</v>
      </c>
      <c r="S1097" s="1731">
        <v>3</v>
      </c>
      <c r="T1097" s="1731">
        <v>2425000</v>
      </c>
      <c r="U1097" s="1731">
        <v>3</v>
      </c>
      <c r="V1097" s="2304">
        <v>2425000</v>
      </c>
      <c r="W1097" s="2644">
        <v>0</v>
      </c>
      <c r="X1097" s="1114">
        <v>0</v>
      </c>
      <c r="Y1097" s="2529">
        <f t="shared" si="359"/>
        <v>9</v>
      </c>
      <c r="Z1097" s="2872">
        <f t="shared" si="358"/>
        <v>7030000</v>
      </c>
      <c r="AA1097" s="2645">
        <f t="shared" si="360"/>
        <v>33</v>
      </c>
      <c r="AB1097" s="2872">
        <f t="shared" si="361"/>
        <v>48116750</v>
      </c>
      <c r="AC1097" s="2645">
        <f t="shared" si="362"/>
        <v>45.833333333333329</v>
      </c>
      <c r="AD1097" s="2645">
        <f t="shared" si="363"/>
        <v>16.030901216058638</v>
      </c>
      <c r="AE1097" s="3160"/>
    </row>
    <row r="1098" spans="1:76" s="2606" customFormat="1" ht="42" customHeight="1">
      <c r="A1098" s="3160"/>
      <c r="B1098" s="2632"/>
      <c r="C1098" s="2446">
        <v>18</v>
      </c>
      <c r="D1098" s="2446" t="s">
        <v>66</v>
      </c>
      <c r="E1098" s="2446" t="s">
        <v>202</v>
      </c>
      <c r="F1098" s="2446"/>
      <c r="G1098" s="2446"/>
      <c r="H1098" s="3794"/>
      <c r="I1098" s="2630" t="s">
        <v>203</v>
      </c>
      <c r="J1098" s="2470" t="s">
        <v>4027</v>
      </c>
      <c r="K1098" s="2349">
        <v>72</v>
      </c>
      <c r="L1098" s="2641">
        <v>137746669</v>
      </c>
      <c r="M1098" s="2349">
        <v>24</v>
      </c>
      <c r="N1098" s="2383">
        <v>48163000</v>
      </c>
      <c r="O1098" s="2349">
        <v>12</v>
      </c>
      <c r="P1098" s="2388">
        <v>24583669</v>
      </c>
      <c r="Q1098" s="2529">
        <v>3</v>
      </c>
      <c r="R1098" s="2643">
        <v>2588000</v>
      </c>
      <c r="S1098" s="1731">
        <v>3</v>
      </c>
      <c r="T1098" s="1731">
        <v>7773200</v>
      </c>
      <c r="U1098" s="1731">
        <v>3</v>
      </c>
      <c r="V1098" s="2304">
        <v>9518000</v>
      </c>
      <c r="W1098" s="2644">
        <v>0</v>
      </c>
      <c r="X1098" s="1114">
        <v>0</v>
      </c>
      <c r="Y1098" s="2529">
        <f t="shared" si="359"/>
        <v>9</v>
      </c>
      <c r="Z1098" s="2872">
        <f t="shared" si="358"/>
        <v>19879200</v>
      </c>
      <c r="AA1098" s="2645">
        <f t="shared" si="360"/>
        <v>33</v>
      </c>
      <c r="AB1098" s="2872">
        <f t="shared" si="361"/>
        <v>68042200</v>
      </c>
      <c r="AC1098" s="2645">
        <f t="shared" si="362"/>
        <v>45.833333333333329</v>
      </c>
      <c r="AD1098" s="2645">
        <f t="shared" si="363"/>
        <v>49.396620981085206</v>
      </c>
      <c r="AE1098" s="3160"/>
      <c r="AF1098" s="2647"/>
      <c r="AG1098" s="2647"/>
      <c r="AH1098" s="2647"/>
      <c r="AI1098" s="2647"/>
      <c r="AJ1098" s="2647"/>
      <c r="AK1098" s="2647"/>
      <c r="AL1098" s="2647"/>
      <c r="AM1098" s="2647"/>
      <c r="AN1098" s="2647"/>
      <c r="AO1098" s="2647"/>
      <c r="AP1098" s="2647"/>
      <c r="AQ1098" s="2647"/>
      <c r="AR1098" s="2647"/>
      <c r="AS1098" s="2647"/>
      <c r="AT1098" s="2647"/>
      <c r="AU1098" s="2647"/>
      <c r="AV1098" s="2647"/>
      <c r="AW1098" s="2647"/>
      <c r="AX1098" s="2647"/>
      <c r="AY1098" s="2647"/>
      <c r="AZ1098" s="2647"/>
      <c r="BA1098" s="2647"/>
      <c r="BB1098" s="2647"/>
      <c r="BC1098" s="2647"/>
      <c r="BD1098" s="2647"/>
      <c r="BE1098" s="2647"/>
      <c r="BF1098" s="2647"/>
      <c r="BG1098" s="2647"/>
      <c r="BH1098" s="2647"/>
      <c r="BI1098" s="2647"/>
      <c r="BJ1098" s="2647"/>
      <c r="BK1098" s="2647"/>
      <c r="BL1098" s="2647"/>
      <c r="BM1098" s="2647"/>
      <c r="BN1098" s="2647"/>
      <c r="BO1098" s="2647"/>
      <c r="BP1098" s="2647"/>
      <c r="BQ1098" s="2647"/>
      <c r="BR1098" s="2647"/>
      <c r="BS1098" s="2647"/>
      <c r="BT1098" s="2647"/>
      <c r="BU1098" s="2647"/>
      <c r="BV1098" s="2647"/>
      <c r="BW1098" s="2647"/>
      <c r="BX1098" s="2647"/>
    </row>
    <row r="1099" spans="1:76" s="2606" customFormat="1" ht="42" customHeight="1">
      <c r="A1099" s="3160"/>
      <c r="B1099" s="2632"/>
      <c r="C1099" s="2446">
        <v>18</v>
      </c>
      <c r="D1099" s="2446" t="s">
        <v>66</v>
      </c>
      <c r="E1099" s="2446">
        <v>11</v>
      </c>
      <c r="F1099" s="2446"/>
      <c r="G1099" s="2446"/>
      <c r="H1099" s="3794"/>
      <c r="I1099" s="2631" t="s">
        <v>204</v>
      </c>
      <c r="J1099" s="2632" t="s">
        <v>4028</v>
      </c>
      <c r="K1099" s="2349">
        <v>72</v>
      </c>
      <c r="L1099" s="2641">
        <v>137268275</v>
      </c>
      <c r="M1099" s="2349">
        <v>24</v>
      </c>
      <c r="N1099" s="2383">
        <v>49260875</v>
      </c>
      <c r="O1099" s="2349">
        <v>12</v>
      </c>
      <c r="P1099" s="2388">
        <v>18007400</v>
      </c>
      <c r="Q1099" s="2529">
        <v>3</v>
      </c>
      <c r="R1099" s="2643">
        <v>5215000</v>
      </c>
      <c r="S1099" s="1731">
        <v>3</v>
      </c>
      <c r="T1099" s="1731">
        <v>9194000</v>
      </c>
      <c r="U1099" s="1731">
        <v>3</v>
      </c>
      <c r="V1099" s="2304">
        <v>5533000</v>
      </c>
      <c r="W1099" s="2644">
        <v>0</v>
      </c>
      <c r="X1099" s="1114">
        <v>0</v>
      </c>
      <c r="Y1099" s="2529">
        <f t="shared" si="359"/>
        <v>9</v>
      </c>
      <c r="Z1099" s="2872">
        <f t="shared" si="358"/>
        <v>19942000</v>
      </c>
      <c r="AA1099" s="2645">
        <f t="shared" si="360"/>
        <v>33</v>
      </c>
      <c r="AB1099" s="2872">
        <f t="shared" si="361"/>
        <v>69202875</v>
      </c>
      <c r="AC1099" s="2645">
        <f t="shared" si="362"/>
        <v>45.833333333333329</v>
      </c>
      <c r="AD1099" s="2645">
        <f t="shared" si="363"/>
        <v>50.414325524233469</v>
      </c>
      <c r="AE1099" s="3160"/>
      <c r="AF1099" s="2647"/>
      <c r="AG1099" s="2647"/>
      <c r="AH1099" s="2647"/>
      <c r="AI1099" s="2647"/>
      <c r="AJ1099" s="2647"/>
      <c r="AK1099" s="2647"/>
      <c r="AL1099" s="2647"/>
      <c r="AM1099" s="2647"/>
      <c r="AN1099" s="2647"/>
      <c r="AO1099" s="2647"/>
      <c r="AP1099" s="2647"/>
      <c r="AQ1099" s="2647"/>
      <c r="AR1099" s="2647"/>
      <c r="AS1099" s="2647"/>
      <c r="AT1099" s="2647"/>
      <c r="AU1099" s="2647"/>
      <c r="AV1099" s="2647"/>
      <c r="AW1099" s="2647"/>
      <c r="AX1099" s="2647"/>
      <c r="AY1099" s="2647"/>
      <c r="AZ1099" s="2647"/>
      <c r="BA1099" s="2647"/>
      <c r="BB1099" s="2647"/>
      <c r="BC1099" s="2647"/>
      <c r="BD1099" s="2647"/>
      <c r="BE1099" s="2647"/>
      <c r="BF1099" s="2647"/>
      <c r="BG1099" s="2647"/>
      <c r="BH1099" s="2647"/>
      <c r="BI1099" s="2647"/>
      <c r="BJ1099" s="2647"/>
      <c r="BK1099" s="2647"/>
      <c r="BL1099" s="2647"/>
      <c r="BM1099" s="2647"/>
      <c r="BN1099" s="2647"/>
      <c r="BO1099" s="2647"/>
      <c r="BP1099" s="2647"/>
      <c r="BQ1099" s="2647"/>
      <c r="BR1099" s="2647"/>
      <c r="BS1099" s="2647"/>
      <c r="BT1099" s="2647"/>
      <c r="BU1099" s="2647"/>
      <c r="BV1099" s="2647"/>
      <c r="BW1099" s="2647"/>
      <c r="BX1099" s="2647"/>
    </row>
    <row r="1100" spans="1:76" s="2606" customFormat="1" ht="42" customHeight="1">
      <c r="A1100" s="3160"/>
      <c r="B1100" s="2632"/>
      <c r="C1100" s="2446">
        <v>18</v>
      </c>
      <c r="D1100" s="2446" t="s">
        <v>66</v>
      </c>
      <c r="E1100" s="2446">
        <v>12</v>
      </c>
      <c r="F1100" s="2446"/>
      <c r="G1100" s="2446"/>
      <c r="H1100" s="3794"/>
      <c r="I1100" s="2631" t="s">
        <v>205</v>
      </c>
      <c r="J1100" s="2632" t="s">
        <v>4029</v>
      </c>
      <c r="K1100" s="2349">
        <v>72</v>
      </c>
      <c r="L1100" s="2641">
        <v>134993500</v>
      </c>
      <c r="M1100" s="2349">
        <v>24</v>
      </c>
      <c r="N1100" s="2383">
        <v>69544500</v>
      </c>
      <c r="O1100" s="2349">
        <v>12</v>
      </c>
      <c r="P1100" s="2388">
        <v>30449000</v>
      </c>
      <c r="Q1100" s="2529">
        <v>3</v>
      </c>
      <c r="R1100" s="2643">
        <v>737000</v>
      </c>
      <c r="S1100" s="1731">
        <v>3</v>
      </c>
      <c r="T1100" s="1731">
        <v>12498000</v>
      </c>
      <c r="U1100" s="1731">
        <v>3</v>
      </c>
      <c r="V1100" s="2304">
        <v>250000</v>
      </c>
      <c r="W1100" s="2644">
        <v>0</v>
      </c>
      <c r="X1100" s="1114">
        <v>0</v>
      </c>
      <c r="Y1100" s="2529">
        <f t="shared" si="359"/>
        <v>9</v>
      </c>
      <c r="Z1100" s="2872">
        <f t="shared" si="358"/>
        <v>13485000</v>
      </c>
      <c r="AA1100" s="2645">
        <f t="shared" si="360"/>
        <v>33</v>
      </c>
      <c r="AB1100" s="2872">
        <f t="shared" si="361"/>
        <v>83029500</v>
      </c>
      <c r="AC1100" s="2645">
        <f t="shared" si="362"/>
        <v>45.833333333333329</v>
      </c>
      <c r="AD1100" s="2645">
        <f t="shared" si="363"/>
        <v>61.506294747524883</v>
      </c>
      <c r="AE1100" s="3160"/>
      <c r="AF1100" s="2647"/>
      <c r="AG1100" s="2647"/>
      <c r="AH1100" s="2647"/>
      <c r="AI1100" s="2647"/>
      <c r="AJ1100" s="2647"/>
      <c r="AK1100" s="2647"/>
      <c r="AL1100" s="2647"/>
      <c r="AM1100" s="2647"/>
      <c r="AN1100" s="2647"/>
      <c r="AO1100" s="2647"/>
      <c r="AP1100" s="2647"/>
      <c r="AQ1100" s="2647"/>
      <c r="AR1100" s="2647"/>
      <c r="AS1100" s="2647"/>
      <c r="AT1100" s="2647"/>
      <c r="AU1100" s="2647"/>
      <c r="AV1100" s="2647"/>
      <c r="AW1100" s="2647"/>
      <c r="AX1100" s="2647"/>
      <c r="AY1100" s="2647"/>
      <c r="AZ1100" s="2647"/>
      <c r="BA1100" s="2647"/>
      <c r="BB1100" s="2647"/>
      <c r="BC1100" s="2647"/>
      <c r="BD1100" s="2647"/>
      <c r="BE1100" s="2647"/>
      <c r="BF1100" s="2647"/>
      <c r="BG1100" s="2647"/>
      <c r="BH1100" s="2647"/>
      <c r="BI1100" s="2647"/>
      <c r="BJ1100" s="2647"/>
      <c r="BK1100" s="2647"/>
      <c r="BL1100" s="2647"/>
      <c r="BM1100" s="2647"/>
      <c r="BN1100" s="2647"/>
      <c r="BO1100" s="2647"/>
      <c r="BP1100" s="2647"/>
      <c r="BQ1100" s="2647"/>
      <c r="BR1100" s="2647"/>
      <c r="BS1100" s="2647"/>
      <c r="BT1100" s="2647"/>
      <c r="BU1100" s="2647"/>
      <c r="BV1100" s="2647"/>
      <c r="BW1100" s="2647"/>
      <c r="BX1100" s="2647"/>
    </row>
    <row r="1101" spans="1:76" s="2606" customFormat="1" ht="34.5" customHeight="1">
      <c r="A1101" s="3160"/>
      <c r="B1101" s="2632"/>
      <c r="C1101" s="2446">
        <v>18</v>
      </c>
      <c r="D1101" s="2446" t="s">
        <v>66</v>
      </c>
      <c r="E1101" s="2446">
        <v>15</v>
      </c>
      <c r="F1101" s="2446"/>
      <c r="G1101" s="2446"/>
      <c r="H1101" s="3794"/>
      <c r="I1101" s="2631" t="s">
        <v>3031</v>
      </c>
      <c r="J1101" s="2632" t="s">
        <v>4030</v>
      </c>
      <c r="K1101" s="2349">
        <v>72</v>
      </c>
      <c r="L1101" s="2641">
        <v>83140000</v>
      </c>
      <c r="M1101" s="2349">
        <v>24</v>
      </c>
      <c r="N1101" s="2383">
        <v>23140000</v>
      </c>
      <c r="O1101" s="2349">
        <v>12</v>
      </c>
      <c r="P1101" s="2388">
        <v>0</v>
      </c>
      <c r="Q1101" s="2529">
        <v>3</v>
      </c>
      <c r="R1101" s="2643">
        <v>0</v>
      </c>
      <c r="S1101" s="1731">
        <v>3</v>
      </c>
      <c r="T1101" s="1731">
        <v>0</v>
      </c>
      <c r="U1101" s="1731">
        <v>3</v>
      </c>
      <c r="V1101" s="2304">
        <v>0</v>
      </c>
      <c r="W1101" s="2644">
        <v>0</v>
      </c>
      <c r="X1101" s="1114">
        <v>0</v>
      </c>
      <c r="Y1101" s="2529">
        <f t="shared" si="359"/>
        <v>9</v>
      </c>
      <c r="Z1101" s="2872">
        <f t="shared" si="358"/>
        <v>0</v>
      </c>
      <c r="AA1101" s="2645">
        <f t="shared" si="360"/>
        <v>33</v>
      </c>
      <c r="AB1101" s="2872">
        <f t="shared" si="361"/>
        <v>23140000</v>
      </c>
      <c r="AC1101" s="2645">
        <f t="shared" si="362"/>
        <v>45.833333333333329</v>
      </c>
      <c r="AD1101" s="2645">
        <f t="shared" si="363"/>
        <v>27.832571566033199</v>
      </c>
      <c r="AE1101" s="3160"/>
      <c r="AF1101" s="2647"/>
      <c r="AG1101" s="2647"/>
      <c r="AH1101" s="2647"/>
      <c r="AI1101" s="2647"/>
      <c r="AJ1101" s="2647"/>
      <c r="AK1101" s="2647"/>
      <c r="AL1101" s="2647"/>
      <c r="AM1101" s="2647"/>
      <c r="AN1101" s="2647"/>
      <c r="AO1101" s="2647"/>
      <c r="AP1101" s="2647"/>
      <c r="AQ1101" s="2647"/>
      <c r="AR1101" s="2647"/>
      <c r="AS1101" s="2647"/>
      <c r="AT1101" s="2647"/>
      <c r="AU1101" s="2647"/>
      <c r="AV1101" s="2647"/>
      <c r="AW1101" s="2647"/>
      <c r="AX1101" s="2647"/>
      <c r="AY1101" s="2647"/>
      <c r="AZ1101" s="2647"/>
      <c r="BA1101" s="2647"/>
      <c r="BB1101" s="2647"/>
      <c r="BC1101" s="2647"/>
      <c r="BD1101" s="2647"/>
      <c r="BE1101" s="2647"/>
      <c r="BF1101" s="2647"/>
      <c r="BG1101" s="2647"/>
      <c r="BH1101" s="2647"/>
      <c r="BI1101" s="2647"/>
      <c r="BJ1101" s="2647"/>
      <c r="BK1101" s="2647"/>
      <c r="BL1101" s="2647"/>
      <c r="BM1101" s="2647"/>
      <c r="BN1101" s="2647"/>
      <c r="BO1101" s="2647"/>
      <c r="BP1101" s="2647"/>
      <c r="BQ1101" s="2647"/>
      <c r="BR1101" s="2647"/>
      <c r="BS1101" s="2647"/>
      <c r="BT1101" s="2647"/>
      <c r="BU1101" s="2647"/>
      <c r="BV1101" s="2647"/>
      <c r="BW1101" s="2647"/>
      <c r="BX1101" s="2647"/>
    </row>
    <row r="1102" spans="1:76" s="2606" customFormat="1" ht="45.75" customHeight="1">
      <c r="A1102" s="3160"/>
      <c r="B1102" s="1400"/>
      <c r="C1102" s="2446">
        <v>18</v>
      </c>
      <c r="D1102" s="2446" t="s">
        <v>66</v>
      </c>
      <c r="E1102" s="2446">
        <v>17</v>
      </c>
      <c r="F1102" s="2446"/>
      <c r="G1102" s="2446"/>
      <c r="H1102" s="3794"/>
      <c r="I1102" s="2634" t="s">
        <v>206</v>
      </c>
      <c r="J1102" s="2632" t="s">
        <v>4031</v>
      </c>
      <c r="K1102" s="2349">
        <v>72</v>
      </c>
      <c r="L1102" s="2641">
        <v>135557500</v>
      </c>
      <c r="M1102" s="2349">
        <v>24</v>
      </c>
      <c r="N1102" s="2383">
        <v>34182500</v>
      </c>
      <c r="O1102" s="2349">
        <v>12</v>
      </c>
      <c r="P1102" s="2388">
        <v>21375000</v>
      </c>
      <c r="Q1102" s="2529">
        <v>3</v>
      </c>
      <c r="R1102" s="2643">
        <v>2612000</v>
      </c>
      <c r="S1102" s="1731">
        <v>3</v>
      </c>
      <c r="T1102" s="1731">
        <v>3834500</v>
      </c>
      <c r="U1102" s="1731">
        <v>3</v>
      </c>
      <c r="V1102" s="2304">
        <v>2270500</v>
      </c>
      <c r="W1102" s="2644">
        <v>0</v>
      </c>
      <c r="X1102" s="1114">
        <v>0</v>
      </c>
      <c r="Y1102" s="2529">
        <f t="shared" si="359"/>
        <v>9</v>
      </c>
      <c r="Z1102" s="2872">
        <f t="shared" si="358"/>
        <v>8717000</v>
      </c>
      <c r="AA1102" s="2645">
        <f t="shared" si="360"/>
        <v>33</v>
      </c>
      <c r="AB1102" s="2872">
        <f t="shared" si="361"/>
        <v>42899500</v>
      </c>
      <c r="AC1102" s="2645">
        <f t="shared" si="362"/>
        <v>45.833333333333329</v>
      </c>
      <c r="AD1102" s="2645">
        <f t="shared" si="363"/>
        <v>31.646718182321155</v>
      </c>
      <c r="AE1102" s="3160"/>
      <c r="AF1102" s="2647"/>
      <c r="AG1102" s="2647"/>
      <c r="AH1102" s="2647"/>
      <c r="AI1102" s="2647"/>
      <c r="AJ1102" s="2647"/>
      <c r="AK1102" s="2647"/>
      <c r="AL1102" s="2647"/>
      <c r="AM1102" s="2647"/>
      <c r="AN1102" s="2647"/>
      <c r="AO1102" s="2647"/>
      <c r="AP1102" s="2647"/>
      <c r="AQ1102" s="2647"/>
      <c r="AR1102" s="2647"/>
      <c r="AS1102" s="2647"/>
      <c r="AT1102" s="2647"/>
      <c r="AU1102" s="2647"/>
      <c r="AV1102" s="2647"/>
      <c r="AW1102" s="2647"/>
      <c r="AX1102" s="2647"/>
      <c r="AY1102" s="2647"/>
      <c r="AZ1102" s="2647"/>
      <c r="BA1102" s="2647"/>
      <c r="BB1102" s="2647"/>
      <c r="BC1102" s="2647"/>
      <c r="BD1102" s="2647"/>
      <c r="BE1102" s="2647"/>
      <c r="BF1102" s="2647"/>
      <c r="BG1102" s="2647"/>
      <c r="BH1102" s="2647"/>
      <c r="BI1102" s="2647"/>
      <c r="BJ1102" s="2647"/>
      <c r="BK1102" s="2647"/>
      <c r="BL1102" s="2647"/>
      <c r="BM1102" s="2647"/>
      <c r="BN1102" s="2647"/>
      <c r="BO1102" s="2647"/>
      <c r="BP1102" s="2647"/>
      <c r="BQ1102" s="2647"/>
      <c r="BR1102" s="2647"/>
      <c r="BS1102" s="2647"/>
      <c r="BT1102" s="2647"/>
      <c r="BU1102" s="2647"/>
      <c r="BV1102" s="2647"/>
      <c r="BW1102" s="2647"/>
      <c r="BX1102" s="2647"/>
    </row>
    <row r="1103" spans="1:76" s="2606" customFormat="1" ht="56.25" customHeight="1">
      <c r="A1103" s="3160"/>
      <c r="B1103" s="2632"/>
      <c r="C1103" s="2446">
        <v>18</v>
      </c>
      <c r="D1103" s="2446" t="s">
        <v>66</v>
      </c>
      <c r="E1103" s="2446">
        <v>18</v>
      </c>
      <c r="F1103" s="2446"/>
      <c r="G1103" s="2446"/>
      <c r="H1103" s="3794"/>
      <c r="I1103" s="2631" t="s">
        <v>207</v>
      </c>
      <c r="J1103" s="2632" t="s">
        <v>4032</v>
      </c>
      <c r="K1103" s="2349">
        <v>72</v>
      </c>
      <c r="L1103" s="2641">
        <v>669957656</v>
      </c>
      <c r="M1103" s="2349">
        <v>24</v>
      </c>
      <c r="N1103" s="2383">
        <v>217757656</v>
      </c>
      <c r="O1103" s="2349">
        <v>12</v>
      </c>
      <c r="P1103" s="2388">
        <v>127200000</v>
      </c>
      <c r="Q1103" s="2529">
        <v>3</v>
      </c>
      <c r="R1103" s="2643">
        <v>19362400</v>
      </c>
      <c r="S1103" s="1731">
        <v>3</v>
      </c>
      <c r="T1103" s="1731">
        <v>65312326</v>
      </c>
      <c r="U1103" s="1731">
        <v>3</v>
      </c>
      <c r="V1103" s="2304">
        <v>24819298</v>
      </c>
      <c r="W1103" s="2644">
        <v>0</v>
      </c>
      <c r="X1103" s="1114">
        <v>0</v>
      </c>
      <c r="Y1103" s="2529">
        <f t="shared" si="359"/>
        <v>9</v>
      </c>
      <c r="Z1103" s="2872">
        <f t="shared" si="358"/>
        <v>109494024</v>
      </c>
      <c r="AA1103" s="2645">
        <f t="shared" si="360"/>
        <v>33</v>
      </c>
      <c r="AB1103" s="2872">
        <f t="shared" si="361"/>
        <v>327251680</v>
      </c>
      <c r="AC1103" s="2645">
        <f t="shared" si="362"/>
        <v>45.833333333333329</v>
      </c>
      <c r="AD1103" s="2645">
        <f t="shared" si="363"/>
        <v>48.84662143483289</v>
      </c>
      <c r="AE1103" s="3160"/>
      <c r="AF1103" s="2647"/>
      <c r="AG1103" s="2647"/>
      <c r="AH1103" s="2647"/>
      <c r="AI1103" s="2647"/>
      <c r="AJ1103" s="2647"/>
      <c r="AK1103" s="2647"/>
      <c r="AL1103" s="2647"/>
      <c r="AM1103" s="2647"/>
      <c r="AN1103" s="2647"/>
      <c r="AO1103" s="2647"/>
      <c r="AP1103" s="2647"/>
      <c r="AQ1103" s="2647"/>
      <c r="AR1103" s="2647"/>
      <c r="AS1103" s="2647"/>
      <c r="AT1103" s="2647"/>
      <c r="AU1103" s="2647"/>
      <c r="AV1103" s="2647"/>
      <c r="AW1103" s="2647"/>
      <c r="AX1103" s="2647"/>
      <c r="AY1103" s="2647"/>
      <c r="AZ1103" s="2647"/>
      <c r="BA1103" s="2647"/>
      <c r="BB1103" s="2647"/>
      <c r="BC1103" s="2647"/>
      <c r="BD1103" s="2647"/>
      <c r="BE1103" s="2647"/>
      <c r="BF1103" s="2647"/>
      <c r="BG1103" s="2647"/>
      <c r="BH1103" s="2647"/>
      <c r="BI1103" s="2647"/>
      <c r="BJ1103" s="2647"/>
      <c r="BK1103" s="2647"/>
      <c r="BL1103" s="2647"/>
      <c r="BM1103" s="2647"/>
      <c r="BN1103" s="2647"/>
      <c r="BO1103" s="2647"/>
      <c r="BP1103" s="2647"/>
      <c r="BQ1103" s="2647"/>
      <c r="BR1103" s="2647"/>
      <c r="BS1103" s="2647"/>
      <c r="BT1103" s="2647"/>
      <c r="BU1103" s="2647"/>
      <c r="BV1103" s="2647"/>
      <c r="BW1103" s="2647"/>
      <c r="BX1103" s="2647"/>
    </row>
    <row r="1104" spans="1:76" s="2606" customFormat="1" ht="59.25" customHeight="1">
      <c r="A1104" s="3160"/>
      <c r="B1104" s="2632"/>
      <c r="C1104" s="2446">
        <v>18</v>
      </c>
      <c r="D1104" s="2446" t="s">
        <v>66</v>
      </c>
      <c r="E1104" s="2446">
        <v>20</v>
      </c>
      <c r="F1104" s="2446"/>
      <c r="G1104" s="2446"/>
      <c r="H1104" s="3794"/>
      <c r="I1104" s="2631" t="s">
        <v>208</v>
      </c>
      <c r="J1104" s="2632" t="s">
        <v>4033</v>
      </c>
      <c r="K1104" s="2349">
        <v>72</v>
      </c>
      <c r="L1104" s="2641">
        <v>476690000</v>
      </c>
      <c r="M1104" s="2349">
        <v>24</v>
      </c>
      <c r="N1104" s="2383">
        <v>133290000</v>
      </c>
      <c r="O1104" s="2349">
        <v>12</v>
      </c>
      <c r="P1104" s="2388">
        <v>98400000</v>
      </c>
      <c r="Q1104" s="2529">
        <v>3</v>
      </c>
      <c r="R1104" s="2643">
        <v>17005000</v>
      </c>
      <c r="S1104" s="1731">
        <v>3</v>
      </c>
      <c r="T1104" s="1731">
        <v>39190000</v>
      </c>
      <c r="U1104" s="1731">
        <v>3</v>
      </c>
      <c r="V1104" s="2304">
        <v>19055000</v>
      </c>
      <c r="W1104" s="2644">
        <v>0</v>
      </c>
      <c r="X1104" s="1114">
        <v>0</v>
      </c>
      <c r="Y1104" s="2529">
        <f t="shared" si="359"/>
        <v>9</v>
      </c>
      <c r="Z1104" s="2872">
        <f t="shared" si="358"/>
        <v>75250000</v>
      </c>
      <c r="AA1104" s="2645">
        <f t="shared" si="360"/>
        <v>33</v>
      </c>
      <c r="AB1104" s="2872">
        <f t="shared" si="361"/>
        <v>208540000</v>
      </c>
      <c r="AC1104" s="2645">
        <f t="shared" si="362"/>
        <v>45.833333333333329</v>
      </c>
      <c r="AD1104" s="2645">
        <f t="shared" si="363"/>
        <v>43.747508863202498</v>
      </c>
      <c r="AE1104" s="3160"/>
      <c r="AF1104" s="2647"/>
      <c r="AG1104" s="2647"/>
      <c r="AH1104" s="2647"/>
      <c r="AI1104" s="2647"/>
      <c r="AJ1104" s="2647"/>
      <c r="AK1104" s="2647"/>
      <c r="AL1104" s="2647"/>
      <c r="AM1104" s="2647"/>
      <c r="AN1104" s="2647"/>
      <c r="AO1104" s="2647"/>
      <c r="AP1104" s="2647"/>
      <c r="AQ1104" s="2647"/>
      <c r="AR1104" s="2647"/>
      <c r="AS1104" s="2647"/>
      <c r="AT1104" s="2647"/>
      <c r="AU1104" s="2647"/>
      <c r="AV1104" s="2647"/>
      <c r="AW1104" s="2647"/>
      <c r="AX1104" s="2647"/>
      <c r="AY1104" s="2647"/>
      <c r="AZ1104" s="2647"/>
      <c r="BA1104" s="2647"/>
      <c r="BB1104" s="2647"/>
      <c r="BC1104" s="2647"/>
      <c r="BD1104" s="2647"/>
      <c r="BE1104" s="2647"/>
      <c r="BF1104" s="2647"/>
      <c r="BG1104" s="2647"/>
      <c r="BH1104" s="2647"/>
      <c r="BI1104" s="2647"/>
      <c r="BJ1104" s="2647"/>
      <c r="BK1104" s="2647"/>
      <c r="BL1104" s="2647"/>
      <c r="BM1104" s="2647"/>
      <c r="BN1104" s="2647"/>
      <c r="BO1104" s="2647"/>
      <c r="BP1104" s="2647"/>
      <c r="BQ1104" s="2647"/>
      <c r="BR1104" s="2647"/>
      <c r="BS1104" s="2647"/>
      <c r="BT1104" s="2647"/>
      <c r="BU1104" s="2647"/>
      <c r="BV1104" s="2647"/>
      <c r="BW1104" s="2647"/>
      <c r="BX1104" s="2647"/>
    </row>
    <row r="1105" spans="1:76" s="2606" customFormat="1" ht="49.5" customHeight="1">
      <c r="A1105" s="3162">
        <v>2</v>
      </c>
      <c r="B1105" s="2335"/>
      <c r="C1105" s="2447">
        <v>18</v>
      </c>
      <c r="D1105" s="2447" t="s">
        <v>65</v>
      </c>
      <c r="E1105" s="2447"/>
      <c r="F1105" s="2874"/>
      <c r="G1105" s="2874"/>
      <c r="H1105" s="2874"/>
      <c r="I1105" s="2363" t="s">
        <v>3032</v>
      </c>
      <c r="J1105" s="2335" t="s">
        <v>3389</v>
      </c>
      <c r="K1105" s="2412">
        <v>72</v>
      </c>
      <c r="L1105" s="2596">
        <f>L1106</f>
        <v>407300000</v>
      </c>
      <c r="M1105" s="2412">
        <v>24</v>
      </c>
      <c r="N1105" s="2442">
        <f>N1106</f>
        <v>247300000</v>
      </c>
      <c r="O1105" s="2654">
        <v>12</v>
      </c>
      <c r="P1105" s="2442">
        <f>SUM(P1106)</f>
        <v>95000000</v>
      </c>
      <c r="Q1105" s="2652">
        <v>3</v>
      </c>
      <c r="R1105" s="3159">
        <f>R1106</f>
        <v>480000</v>
      </c>
      <c r="S1105" s="2340">
        <v>3</v>
      </c>
      <c r="T1105" s="2340">
        <f>T1106</f>
        <v>8902200</v>
      </c>
      <c r="U1105" s="2340">
        <v>3</v>
      </c>
      <c r="V1105" s="2340">
        <f>V1106</f>
        <v>245000</v>
      </c>
      <c r="W1105" s="2340">
        <v>0</v>
      </c>
      <c r="X1105" s="2347">
        <v>0</v>
      </c>
      <c r="Y1105" s="2522">
        <f t="shared" si="359"/>
        <v>9</v>
      </c>
      <c r="Z1105" s="3149">
        <f t="shared" si="358"/>
        <v>9627200</v>
      </c>
      <c r="AA1105" s="2653">
        <f t="shared" ref="AA1105:AB1112" si="364">M1105+Y1105</f>
        <v>33</v>
      </c>
      <c r="AB1105" s="3149">
        <f t="shared" si="364"/>
        <v>256927200</v>
      </c>
      <c r="AC1105" s="2505">
        <f t="shared" ref="AC1105:AD1112" si="365">AA1105/K1105*100</f>
        <v>45.833333333333329</v>
      </c>
      <c r="AD1105" s="2505">
        <f t="shared" si="365"/>
        <v>63.080579425484892</v>
      </c>
      <c r="AE1105" s="3138" t="s">
        <v>3386</v>
      </c>
      <c r="AF1105" s="2647"/>
      <c r="AG1105" s="2647"/>
      <c r="AH1105" s="2647"/>
      <c r="AI1105" s="2647"/>
      <c r="AJ1105" s="2647"/>
      <c r="AK1105" s="2647"/>
      <c r="AL1105" s="2647"/>
      <c r="AM1105" s="2647"/>
      <c r="AN1105" s="2647"/>
      <c r="AO1105" s="2647"/>
      <c r="AP1105" s="2647"/>
      <c r="AQ1105" s="2647"/>
      <c r="AR1105" s="2647"/>
      <c r="AS1105" s="2647"/>
      <c r="AT1105" s="2647"/>
      <c r="AU1105" s="2647"/>
      <c r="AV1105" s="2647"/>
      <c r="AW1105" s="2647"/>
      <c r="AX1105" s="2647"/>
      <c r="AY1105" s="2647"/>
      <c r="AZ1105" s="2647"/>
      <c r="BA1105" s="2647"/>
      <c r="BB1105" s="2647"/>
      <c r="BC1105" s="2647"/>
      <c r="BD1105" s="2647"/>
      <c r="BE1105" s="2647"/>
      <c r="BF1105" s="2647"/>
      <c r="BG1105" s="2647"/>
      <c r="BH1105" s="2647"/>
      <c r="BI1105" s="2647"/>
      <c r="BJ1105" s="2647"/>
      <c r="BK1105" s="2647"/>
      <c r="BL1105" s="2647"/>
      <c r="BM1105" s="2647"/>
      <c r="BN1105" s="2647"/>
      <c r="BO1105" s="2647"/>
      <c r="BP1105" s="2647"/>
      <c r="BQ1105" s="2647"/>
      <c r="BR1105" s="2647"/>
      <c r="BS1105" s="2647"/>
      <c r="BT1105" s="2647"/>
      <c r="BU1105" s="2647"/>
      <c r="BV1105" s="2647"/>
      <c r="BW1105" s="2647"/>
      <c r="BX1105" s="2647"/>
    </row>
    <row r="1106" spans="1:76" s="2607" customFormat="1" ht="59.25" customHeight="1">
      <c r="A1106" s="3160"/>
      <c r="B1106" s="2632"/>
      <c r="C1106" s="2446">
        <v>18</v>
      </c>
      <c r="D1106" s="2446" t="s">
        <v>65</v>
      </c>
      <c r="E1106" s="2446">
        <v>22</v>
      </c>
      <c r="F1106" s="2446"/>
      <c r="G1106" s="2446"/>
      <c r="H1106" s="3794"/>
      <c r="I1106" s="2631" t="s">
        <v>3033</v>
      </c>
      <c r="J1106" s="2632" t="s">
        <v>3390</v>
      </c>
      <c r="K1106" s="2399">
        <v>72</v>
      </c>
      <c r="L1106" s="2641">
        <v>407300000</v>
      </c>
      <c r="M1106" s="2656">
        <v>24</v>
      </c>
      <c r="N1106" s="2388">
        <v>247300000</v>
      </c>
      <c r="O1106" s="2650">
        <v>12</v>
      </c>
      <c r="P1106" s="2388">
        <v>95000000</v>
      </c>
      <c r="Q1106" s="2394">
        <v>3</v>
      </c>
      <c r="R1106" s="2643">
        <v>480000</v>
      </c>
      <c r="S1106" s="2644">
        <v>3</v>
      </c>
      <c r="T1106" s="2644">
        <v>8902200</v>
      </c>
      <c r="U1106" s="1731">
        <v>3</v>
      </c>
      <c r="V1106" s="2304">
        <v>245000</v>
      </c>
      <c r="W1106" s="2644">
        <v>0</v>
      </c>
      <c r="X1106" s="1114">
        <v>0</v>
      </c>
      <c r="Y1106" s="2529">
        <f t="shared" si="359"/>
        <v>9</v>
      </c>
      <c r="Z1106" s="2872">
        <f t="shared" si="358"/>
        <v>9627200</v>
      </c>
      <c r="AA1106" s="2645">
        <f t="shared" si="364"/>
        <v>33</v>
      </c>
      <c r="AB1106" s="2633">
        <f t="shared" si="364"/>
        <v>256927200</v>
      </c>
      <c r="AC1106" s="2646">
        <f t="shared" si="365"/>
        <v>45.833333333333329</v>
      </c>
      <c r="AD1106" s="2646">
        <f t="shared" si="365"/>
        <v>63.080579425484892</v>
      </c>
      <c r="AE1106" s="3160"/>
      <c r="AF1106" s="2809"/>
      <c r="AG1106" s="2809"/>
      <c r="AH1106" s="2809"/>
      <c r="AI1106" s="2809"/>
      <c r="AJ1106" s="2809"/>
      <c r="AK1106" s="2809"/>
      <c r="AL1106" s="2809"/>
      <c r="AM1106" s="2809"/>
      <c r="AN1106" s="2809"/>
      <c r="AO1106" s="2809"/>
      <c r="AP1106" s="2809"/>
      <c r="AQ1106" s="2809"/>
      <c r="AR1106" s="2809"/>
      <c r="AS1106" s="2809"/>
      <c r="AT1106" s="2809"/>
      <c r="AU1106" s="2809"/>
      <c r="AV1106" s="2809"/>
      <c r="AW1106" s="2809"/>
      <c r="AX1106" s="2809"/>
      <c r="AY1106" s="2809"/>
      <c r="AZ1106" s="2809"/>
      <c r="BA1106" s="2809"/>
      <c r="BB1106" s="2809"/>
      <c r="BC1106" s="2809"/>
      <c r="BD1106" s="2809"/>
      <c r="BE1106" s="2809"/>
      <c r="BF1106" s="2809"/>
      <c r="BG1106" s="2809"/>
      <c r="BH1106" s="2809"/>
      <c r="BI1106" s="2809"/>
      <c r="BJ1106" s="2809"/>
      <c r="BK1106" s="2809"/>
      <c r="BL1106" s="2809"/>
      <c r="BM1106" s="2809"/>
      <c r="BN1106" s="2809"/>
      <c r="BO1106" s="2809"/>
      <c r="BP1106" s="2809"/>
      <c r="BQ1106" s="2809"/>
      <c r="BR1106" s="2809"/>
      <c r="BS1106" s="2809"/>
      <c r="BT1106" s="2809"/>
      <c r="BU1106" s="2809"/>
      <c r="BV1106" s="2809"/>
      <c r="BW1106" s="2809"/>
      <c r="BX1106" s="2809"/>
    </row>
    <row r="1107" spans="1:76" s="2607" customFormat="1" ht="71.25" customHeight="1">
      <c r="A1107" s="2335">
        <v>3</v>
      </c>
      <c r="B1107" s="2335" t="s">
        <v>3034</v>
      </c>
      <c r="C1107" s="2447">
        <v>18</v>
      </c>
      <c r="D1107" s="2447">
        <v>16</v>
      </c>
      <c r="E1107" s="2447"/>
      <c r="F1107" s="2447"/>
      <c r="G1107" s="2447"/>
      <c r="H1107" s="2874"/>
      <c r="I1107" s="2363" t="s">
        <v>3391</v>
      </c>
      <c r="J1107" s="2335" t="s">
        <v>3035</v>
      </c>
      <c r="K1107" s="3162">
        <v>360</v>
      </c>
      <c r="L1107" s="2596">
        <f>SUM(L1108:L1108)</f>
        <v>249505343</v>
      </c>
      <c r="M1107" s="3162">
        <v>33</v>
      </c>
      <c r="N1107" s="2442">
        <f>N1108</f>
        <v>0</v>
      </c>
      <c r="O1107" s="2358">
        <v>100</v>
      </c>
      <c r="P1107" s="2442">
        <f>SUM(P1108:P1108)</f>
        <v>249505343</v>
      </c>
      <c r="Q1107" s="2522">
        <v>15</v>
      </c>
      <c r="R1107" s="2354">
        <f>SUM(R1108:R1108)</f>
        <v>4424186</v>
      </c>
      <c r="S1107" s="2340">
        <f>S1108</f>
        <v>85</v>
      </c>
      <c r="T1107" s="2340">
        <f>SUM(T1108)</f>
        <v>217740786</v>
      </c>
      <c r="U1107" s="2340">
        <v>0</v>
      </c>
      <c r="V1107" s="2342">
        <v>0</v>
      </c>
      <c r="W1107" s="2340">
        <v>0</v>
      </c>
      <c r="X1107" s="2347">
        <v>0</v>
      </c>
      <c r="Y1107" s="2522">
        <f t="shared" si="359"/>
        <v>100</v>
      </c>
      <c r="Z1107" s="2499">
        <f t="shared" si="358"/>
        <v>222164972</v>
      </c>
      <c r="AA1107" s="2653">
        <f t="shared" si="364"/>
        <v>133</v>
      </c>
      <c r="AB1107" s="3149">
        <f t="shared" si="364"/>
        <v>222164972</v>
      </c>
      <c r="AC1107" s="2505">
        <f t="shared" si="365"/>
        <v>36.944444444444443</v>
      </c>
      <c r="AD1107" s="2505">
        <f t="shared" si="365"/>
        <v>89.042170131001967</v>
      </c>
      <c r="AE1107" s="3138" t="s">
        <v>3386</v>
      </c>
      <c r="AF1107" s="2809"/>
      <c r="AG1107" s="2809"/>
      <c r="AH1107" s="2809"/>
      <c r="AI1107" s="2809"/>
      <c r="AJ1107" s="2809"/>
      <c r="AK1107" s="2809"/>
      <c r="AL1107" s="2809"/>
      <c r="AM1107" s="2809"/>
      <c r="AN1107" s="2809"/>
      <c r="AO1107" s="2809"/>
      <c r="AP1107" s="2809"/>
      <c r="AQ1107" s="2809"/>
      <c r="AR1107" s="2809"/>
      <c r="AS1107" s="2809"/>
      <c r="AT1107" s="2809"/>
      <c r="AU1107" s="2809"/>
      <c r="AV1107" s="2809"/>
      <c r="AW1107" s="2809"/>
      <c r="AX1107" s="2809"/>
      <c r="AY1107" s="2809"/>
      <c r="AZ1107" s="2809"/>
      <c r="BA1107" s="2809"/>
      <c r="BB1107" s="2809"/>
      <c r="BC1107" s="2809"/>
      <c r="BD1107" s="2809"/>
      <c r="BE1107" s="2809"/>
      <c r="BF1107" s="2809"/>
      <c r="BG1107" s="2809"/>
      <c r="BH1107" s="2809"/>
      <c r="BI1107" s="2809"/>
      <c r="BJ1107" s="2809"/>
      <c r="BK1107" s="2809"/>
      <c r="BL1107" s="2809"/>
      <c r="BM1107" s="2809"/>
      <c r="BN1107" s="2809"/>
      <c r="BO1107" s="2809"/>
      <c r="BP1107" s="2809"/>
      <c r="BQ1107" s="2809"/>
      <c r="BR1107" s="2809"/>
      <c r="BS1107" s="2809"/>
      <c r="BT1107" s="2809"/>
      <c r="BU1107" s="2809"/>
      <c r="BV1107" s="2809"/>
      <c r="BW1107" s="2809"/>
      <c r="BX1107" s="2809"/>
    </row>
    <row r="1108" spans="1:76" s="2270" customFormat="1" ht="42.75" customHeight="1">
      <c r="A1108" s="3160"/>
      <c r="B1108" s="2632"/>
      <c r="C1108" s="2446">
        <v>18</v>
      </c>
      <c r="D1108" s="2446">
        <v>16</v>
      </c>
      <c r="E1108" s="2446">
        <v>14</v>
      </c>
      <c r="F1108" s="2446"/>
      <c r="G1108" s="2446"/>
      <c r="H1108" s="3137"/>
      <c r="I1108" s="2631" t="s">
        <v>3036</v>
      </c>
      <c r="J1108" s="2631" t="s">
        <v>3392</v>
      </c>
      <c r="K1108" s="2349">
        <f>4*90</f>
        <v>360</v>
      </c>
      <c r="L1108" s="2392">
        <f>N1108+P1108</f>
        <v>249505343</v>
      </c>
      <c r="M1108" s="2642"/>
      <c r="N1108" s="2388">
        <v>0</v>
      </c>
      <c r="O1108" s="2349">
        <v>100</v>
      </c>
      <c r="P1108" s="2388">
        <v>249505343</v>
      </c>
      <c r="Q1108" s="2529">
        <v>15</v>
      </c>
      <c r="R1108" s="2651">
        <v>4424186</v>
      </c>
      <c r="S1108" s="2644">
        <v>85</v>
      </c>
      <c r="T1108" s="2644">
        <v>217740786</v>
      </c>
      <c r="U1108" s="2644"/>
      <c r="V1108" s="3256"/>
      <c r="W1108" s="2644"/>
      <c r="X1108" s="1114"/>
      <c r="Y1108" s="2529">
        <f t="shared" si="359"/>
        <v>100</v>
      </c>
      <c r="Z1108" s="2872">
        <f t="shared" si="358"/>
        <v>222164972</v>
      </c>
      <c r="AA1108" s="2645">
        <f t="shared" si="364"/>
        <v>100</v>
      </c>
      <c r="AB1108" s="2633">
        <f t="shared" si="364"/>
        <v>222164972</v>
      </c>
      <c r="AC1108" s="2646">
        <f t="shared" si="365"/>
        <v>27.777777777777779</v>
      </c>
      <c r="AD1108" s="2646">
        <f t="shared" si="365"/>
        <v>89.042170131001967</v>
      </c>
      <c r="AE1108" s="3160"/>
      <c r="AF1108" s="2813"/>
      <c r="AG1108" s="2813"/>
      <c r="AH1108" s="2813"/>
      <c r="AI1108" s="2813"/>
      <c r="AJ1108" s="2813"/>
      <c r="AK1108" s="2813"/>
      <c r="AL1108" s="2813"/>
      <c r="AM1108" s="2813"/>
      <c r="AN1108" s="2813"/>
      <c r="AO1108" s="2813"/>
      <c r="AP1108" s="2813"/>
      <c r="AQ1108" s="2813"/>
      <c r="AR1108" s="2813"/>
      <c r="AS1108" s="2813"/>
      <c r="AT1108" s="2813"/>
      <c r="AU1108" s="2813"/>
      <c r="AV1108" s="2813"/>
      <c r="AW1108" s="2813"/>
      <c r="AX1108" s="2813"/>
      <c r="AY1108" s="2813"/>
      <c r="AZ1108" s="2813"/>
      <c r="BA1108" s="2813"/>
      <c r="BB1108" s="2813"/>
      <c r="BC1108" s="2813"/>
      <c r="BD1108" s="2813"/>
      <c r="BE1108" s="2813"/>
      <c r="BF1108" s="2813"/>
      <c r="BG1108" s="2813"/>
      <c r="BH1108" s="2813"/>
      <c r="BI1108" s="2813"/>
      <c r="BJ1108" s="2813"/>
      <c r="BK1108" s="2813"/>
      <c r="BL1108" s="2813"/>
      <c r="BM1108" s="2813"/>
      <c r="BN1108" s="2813"/>
      <c r="BO1108" s="2813"/>
      <c r="BP1108" s="2813"/>
      <c r="BQ1108" s="2813"/>
      <c r="BR1108" s="2813"/>
      <c r="BS1108" s="2813"/>
      <c r="BT1108" s="2813"/>
      <c r="BU1108" s="2813"/>
      <c r="BV1108" s="2813"/>
      <c r="BW1108" s="2813"/>
      <c r="BX1108" s="2813"/>
    </row>
    <row r="1109" spans="1:76" s="2813" customFormat="1" ht="42.75" customHeight="1">
      <c r="A1109" s="2874"/>
      <c r="B1109" s="2345"/>
      <c r="C1109" s="2447"/>
      <c r="D1109" s="2447"/>
      <c r="E1109" s="2447"/>
      <c r="F1109" s="2447"/>
      <c r="G1109" s="2447"/>
      <c r="H1109" s="2873"/>
      <c r="I1109" s="2359" t="s">
        <v>3884</v>
      </c>
      <c r="J1109" s="2359" t="s">
        <v>4126</v>
      </c>
      <c r="K1109" s="3162">
        <v>100</v>
      </c>
      <c r="L1109" s="2596">
        <f>L1110</f>
        <v>162554848</v>
      </c>
      <c r="M1109" s="3162">
        <v>60</v>
      </c>
      <c r="N1109" s="2442">
        <f>N1110</f>
        <v>0</v>
      </c>
      <c r="O1109" s="3162">
        <v>30</v>
      </c>
      <c r="P1109" s="2442">
        <f>P1110</f>
        <v>162554848</v>
      </c>
      <c r="Q1109" s="2568">
        <v>0</v>
      </c>
      <c r="R1109" s="3159">
        <f>R1110</f>
        <v>12264025</v>
      </c>
      <c r="S1109" s="2340">
        <v>0</v>
      </c>
      <c r="T1109" s="2340">
        <f>T1110</f>
        <v>0</v>
      </c>
      <c r="U1109" s="2340"/>
      <c r="V1109" s="3250">
        <f>V1110</f>
        <v>29781000</v>
      </c>
      <c r="W1109" s="2340"/>
      <c r="X1109" s="2347"/>
      <c r="Y1109" s="2568">
        <f t="shared" ref="Y1109:Z1112" si="366">Q1109+S1109+U1109+W1109</f>
        <v>0</v>
      </c>
      <c r="Z1109" s="3149">
        <f t="shared" si="366"/>
        <v>42045025</v>
      </c>
      <c r="AA1109" s="2505">
        <f t="shared" si="364"/>
        <v>60</v>
      </c>
      <c r="AB1109" s="3149">
        <f t="shared" si="364"/>
        <v>42045025</v>
      </c>
      <c r="AC1109" s="2505">
        <f t="shared" si="365"/>
        <v>60</v>
      </c>
      <c r="AD1109" s="2505">
        <f t="shared" si="365"/>
        <v>25.865131380148071</v>
      </c>
      <c r="AE1109" s="2874"/>
    </row>
    <row r="1110" spans="1:76" s="2809" customFormat="1" ht="42.75" customHeight="1">
      <c r="A1110" s="390"/>
      <c r="B1110" s="384"/>
      <c r="C1110" s="1218"/>
      <c r="D1110" s="1218"/>
      <c r="E1110" s="1218"/>
      <c r="F1110" s="1218"/>
      <c r="G1110" s="1218"/>
      <c r="H1110" s="3791"/>
      <c r="I1110" s="1200" t="s">
        <v>3885</v>
      </c>
      <c r="J1110" s="1200" t="s">
        <v>4127</v>
      </c>
      <c r="K1110" s="1259">
        <v>1</v>
      </c>
      <c r="L1110" s="2706">
        <f>P1110</f>
        <v>162554848</v>
      </c>
      <c r="M1110" s="1259">
        <v>0</v>
      </c>
      <c r="N1110" s="1232">
        <v>0</v>
      </c>
      <c r="O1110" s="1259">
        <v>1</v>
      </c>
      <c r="P1110" s="1232">
        <v>162554848</v>
      </c>
      <c r="Q1110" s="3141">
        <v>0</v>
      </c>
      <c r="R1110" s="3172">
        <v>12264025</v>
      </c>
      <c r="S1110" s="590">
        <v>0</v>
      </c>
      <c r="T1110" s="590">
        <v>0</v>
      </c>
      <c r="U1110" s="590">
        <v>1</v>
      </c>
      <c r="V1110" s="1202">
        <v>29781000</v>
      </c>
      <c r="W1110" s="590"/>
      <c r="X1110" s="1196"/>
      <c r="Y1110" s="3141">
        <f t="shared" si="366"/>
        <v>1</v>
      </c>
      <c r="Z1110" s="3173">
        <f t="shared" si="366"/>
        <v>42045025</v>
      </c>
      <c r="AA1110" s="2950">
        <f t="shared" si="364"/>
        <v>1</v>
      </c>
      <c r="AB1110" s="3173">
        <f t="shared" si="364"/>
        <v>42045025</v>
      </c>
      <c r="AC1110" s="2950">
        <f t="shared" si="365"/>
        <v>100</v>
      </c>
      <c r="AD1110" s="2950">
        <f t="shared" si="365"/>
        <v>25.865131380148071</v>
      </c>
      <c r="AE1110" s="390"/>
    </row>
    <row r="1111" spans="1:76" s="2813" customFormat="1" ht="42.75" customHeight="1">
      <c r="A1111" s="2874"/>
      <c r="B1111" s="2345"/>
      <c r="C1111" s="2447"/>
      <c r="D1111" s="2447"/>
      <c r="E1111" s="2447"/>
      <c r="F1111" s="2447"/>
      <c r="G1111" s="2447"/>
      <c r="H1111" s="2873"/>
      <c r="I1111" s="2359" t="s">
        <v>3886</v>
      </c>
      <c r="J1111" s="2359" t="s">
        <v>4128</v>
      </c>
      <c r="K1111" s="3162">
        <v>100</v>
      </c>
      <c r="L1111" s="2596">
        <f>L1112</f>
        <v>250000000</v>
      </c>
      <c r="M1111" s="3162">
        <v>60</v>
      </c>
      <c r="N1111" s="2442">
        <f>N1112</f>
        <v>33000000</v>
      </c>
      <c r="O1111" s="3162">
        <v>30</v>
      </c>
      <c r="P1111" s="2442">
        <f>SUM(P1112)</f>
        <v>30627664</v>
      </c>
      <c r="Q1111" s="2568">
        <v>1</v>
      </c>
      <c r="R1111" s="3159">
        <f>R1112</f>
        <v>1594618</v>
      </c>
      <c r="S1111" s="2340">
        <v>0</v>
      </c>
      <c r="T1111" s="2340">
        <f>T1112</f>
        <v>0</v>
      </c>
      <c r="U1111" s="2340">
        <v>3</v>
      </c>
      <c r="V1111" s="3250">
        <f>V1112</f>
        <v>1706000</v>
      </c>
      <c r="W1111" s="2340"/>
      <c r="X1111" s="2347"/>
      <c r="Y1111" s="2568">
        <f t="shared" si="366"/>
        <v>4</v>
      </c>
      <c r="Z1111" s="3149">
        <f t="shared" si="366"/>
        <v>3300618</v>
      </c>
      <c r="AA1111" s="2505">
        <f t="shared" si="364"/>
        <v>64</v>
      </c>
      <c r="AB1111" s="3149">
        <f t="shared" si="364"/>
        <v>36300618</v>
      </c>
      <c r="AC1111" s="2505">
        <f t="shared" si="365"/>
        <v>64</v>
      </c>
      <c r="AD1111" s="2505">
        <f t="shared" si="365"/>
        <v>14.5202472</v>
      </c>
      <c r="AE1111" s="3138"/>
    </row>
    <row r="1112" spans="1:76" s="2813" customFormat="1" ht="42.75" customHeight="1">
      <c r="A1112" s="390"/>
      <c r="B1112" s="384"/>
      <c r="C1112" s="1218"/>
      <c r="D1112" s="1218"/>
      <c r="E1112" s="1218"/>
      <c r="F1112" s="1218"/>
      <c r="G1112" s="1218"/>
      <c r="H1112" s="3791"/>
      <c r="I1112" s="1200" t="s">
        <v>3887</v>
      </c>
      <c r="J1112" s="1200" t="s">
        <v>4129</v>
      </c>
      <c r="K1112" s="1259">
        <v>72</v>
      </c>
      <c r="L1112" s="2706">
        <v>250000000</v>
      </c>
      <c r="M1112" s="2118">
        <v>24</v>
      </c>
      <c r="N1112" s="1232">
        <v>33000000</v>
      </c>
      <c r="O1112" s="1259">
        <v>12</v>
      </c>
      <c r="P1112" s="1232">
        <v>30627664</v>
      </c>
      <c r="Q1112" s="3141">
        <v>3</v>
      </c>
      <c r="R1112" s="3170">
        <v>1594618</v>
      </c>
      <c r="S1112" s="628">
        <v>3</v>
      </c>
      <c r="T1112" s="628">
        <v>0</v>
      </c>
      <c r="U1112" s="590">
        <v>3</v>
      </c>
      <c r="V1112" s="1202">
        <v>1706000</v>
      </c>
      <c r="W1112" s="628"/>
      <c r="X1112" s="1194"/>
      <c r="Y1112" s="3141">
        <f t="shared" si="366"/>
        <v>9</v>
      </c>
      <c r="Z1112" s="3173">
        <f t="shared" si="366"/>
        <v>3300618</v>
      </c>
      <c r="AA1112" s="2950">
        <f t="shared" si="364"/>
        <v>33</v>
      </c>
      <c r="AB1112" s="2848">
        <f t="shared" si="364"/>
        <v>36300618</v>
      </c>
      <c r="AC1112" s="3171">
        <f t="shared" si="365"/>
        <v>45.833333333333329</v>
      </c>
      <c r="AD1112" s="3171">
        <f t="shared" si="365"/>
        <v>14.5202472</v>
      </c>
      <c r="AE1112" s="390"/>
    </row>
    <row r="1113" spans="1:76" s="114" customFormat="1" ht="18.75" customHeight="1">
      <c r="A1113" s="4244" t="s">
        <v>89</v>
      </c>
      <c r="B1113" s="4244"/>
      <c r="C1113" s="4245"/>
      <c r="D1113" s="4245"/>
      <c r="E1113" s="4245"/>
      <c r="F1113" s="4245"/>
      <c r="G1113" s="4245"/>
      <c r="H1113" s="4245"/>
      <c r="I1113" s="4245"/>
      <c r="J1113" s="4245"/>
      <c r="K1113" s="4245"/>
      <c r="L1113" s="4245"/>
      <c r="M1113" s="4245"/>
      <c r="N1113" s="4245"/>
      <c r="O1113" s="4245"/>
      <c r="P1113" s="4245"/>
      <c r="Q1113" s="4245"/>
      <c r="R1113" s="4245"/>
      <c r="S1113" s="4245"/>
      <c r="T1113" s="4245"/>
      <c r="U1113" s="4245"/>
      <c r="V1113" s="4245"/>
      <c r="W1113" s="4245"/>
      <c r="X1113" s="4245"/>
      <c r="Y1113" s="4245"/>
      <c r="Z1113" s="4245"/>
      <c r="AA1113" s="4245"/>
      <c r="AB1113" s="4245"/>
      <c r="AC1113" s="2030">
        <v>46.59</v>
      </c>
      <c r="AD1113" s="2030">
        <f>(AD1091+AD1105+AD1107+AD1109+AD1111)/5</f>
        <v>47.298473750630066</v>
      </c>
      <c r="AE1113" s="390"/>
      <c r="AF1113" s="3174"/>
      <c r="AH1113" s="3175"/>
    </row>
    <row r="1114" spans="1:76" s="475" customFormat="1" ht="15.75" customHeight="1">
      <c r="A1114" s="4244" t="s">
        <v>90</v>
      </c>
      <c r="B1114" s="4244"/>
      <c r="C1114" s="4245"/>
      <c r="D1114" s="4245"/>
      <c r="E1114" s="4245"/>
      <c r="F1114" s="4245"/>
      <c r="G1114" s="4245"/>
      <c r="H1114" s="4245"/>
      <c r="I1114" s="4245"/>
      <c r="J1114" s="4245"/>
      <c r="K1114" s="4245"/>
      <c r="L1114" s="4245"/>
      <c r="M1114" s="4245"/>
      <c r="N1114" s="4245"/>
      <c r="O1114" s="4245"/>
      <c r="P1114" s="4245"/>
      <c r="Q1114" s="4245"/>
      <c r="R1114" s="4245"/>
      <c r="S1114" s="4245"/>
      <c r="T1114" s="4245"/>
      <c r="U1114" s="4245"/>
      <c r="V1114" s="4245"/>
      <c r="W1114" s="4245"/>
      <c r="X1114" s="4245"/>
      <c r="Y1114" s="4245"/>
      <c r="Z1114" s="4245"/>
      <c r="AA1114" s="4245"/>
      <c r="AB1114" s="4245"/>
      <c r="AC1114" s="3152" t="str">
        <f>IF(AC1113&gt;=91,"ST",IF(AC1113&gt;=76,"T",IF(AC1113&gt;=66,"S",IF(AC1113&gt;=51,"R","SR"))))</f>
        <v>SR</v>
      </c>
      <c r="AD1114" s="3152" t="str">
        <f>IF(AD1113&gt;=91,"ST",IF(AD1113&gt;=76,"T",IF(AD1113&gt;=66,"S",IF(AD1113&gt;=51,"R","SR"))))</f>
        <v>SR</v>
      </c>
      <c r="AE1114" s="390"/>
    </row>
    <row r="1115" spans="1:76" s="2607" customFormat="1" ht="29.25" customHeight="1">
      <c r="A1115" s="3967"/>
      <c r="B1115" s="3967"/>
      <c r="C1115" s="3968"/>
      <c r="D1115" s="3968"/>
      <c r="E1115" s="3968"/>
      <c r="F1115" s="3968"/>
      <c r="G1115" s="3968"/>
      <c r="H1115" s="3968"/>
      <c r="I1115" s="3969" t="s">
        <v>211</v>
      </c>
      <c r="J1115" s="3967"/>
      <c r="K1115" s="3970"/>
      <c r="L1115" s="3970"/>
      <c r="M1115" s="3970"/>
      <c r="N1115" s="3970"/>
      <c r="O1115" s="3970"/>
      <c r="P1115" s="3971"/>
      <c r="Q1115" s="3970"/>
      <c r="R1115" s="3967"/>
      <c r="S1115" s="3967"/>
      <c r="T1115" s="3967"/>
      <c r="U1115" s="3967"/>
      <c r="V1115" s="3972"/>
      <c r="W1115" s="3967"/>
      <c r="X1115" s="3967"/>
      <c r="Y1115" s="3970"/>
      <c r="Z1115" s="3972"/>
      <c r="AA1115" s="3970"/>
      <c r="AB1115" s="3972"/>
      <c r="AC1115" s="3970"/>
      <c r="AD1115" s="3970"/>
      <c r="AE1115" s="3973"/>
      <c r="AF1115" s="2809"/>
      <c r="AG1115" s="2809"/>
      <c r="AH1115" s="2809"/>
      <c r="AI1115" s="2809"/>
      <c r="AJ1115" s="2809"/>
      <c r="AK1115" s="2809"/>
      <c r="AL1115" s="2809"/>
      <c r="AM1115" s="2809"/>
      <c r="AN1115" s="2809"/>
      <c r="AO1115" s="2809"/>
      <c r="AP1115" s="2809"/>
      <c r="AQ1115" s="2809"/>
      <c r="AR1115" s="2809"/>
      <c r="AS1115" s="2809"/>
      <c r="AT1115" s="2809"/>
      <c r="AU1115" s="2809"/>
      <c r="AV1115" s="2809"/>
      <c r="AW1115" s="2809"/>
      <c r="AX1115" s="2809"/>
      <c r="AY1115" s="2809"/>
      <c r="AZ1115" s="2809"/>
      <c r="BA1115" s="2809"/>
      <c r="BB1115" s="2809"/>
      <c r="BC1115" s="2809"/>
      <c r="BD1115" s="2809"/>
      <c r="BE1115" s="2809"/>
      <c r="BF1115" s="2809"/>
      <c r="BG1115" s="2809"/>
      <c r="BH1115" s="2809"/>
      <c r="BI1115" s="2809"/>
      <c r="BJ1115" s="2809"/>
      <c r="BK1115" s="2809"/>
      <c r="BL1115" s="2809"/>
      <c r="BM1115" s="2809"/>
      <c r="BN1115" s="2809"/>
      <c r="BO1115" s="2809"/>
      <c r="BP1115" s="2809"/>
      <c r="BQ1115" s="2809"/>
      <c r="BR1115" s="2809"/>
      <c r="BS1115" s="2809"/>
      <c r="BT1115" s="2809"/>
      <c r="BU1115" s="2809"/>
      <c r="BV1115" s="2809"/>
      <c r="BW1115" s="2809"/>
      <c r="BX1115" s="2809"/>
    </row>
    <row r="1116" spans="1:76" s="2270" customFormat="1" ht="28.5" customHeight="1">
      <c r="A1116" s="2546" t="s">
        <v>30</v>
      </c>
      <c r="B1116" s="2918"/>
      <c r="C1116" s="2546"/>
      <c r="D1116" s="2546"/>
      <c r="E1116" s="2546"/>
      <c r="F1116" s="2546"/>
      <c r="G1116" s="2546"/>
      <c r="H1116" s="2546"/>
      <c r="I1116" s="2515" t="s">
        <v>212</v>
      </c>
      <c r="J1116" s="2918"/>
      <c r="K1116" s="3210"/>
      <c r="L1116" s="3229">
        <f>L1117+L1130+L1134+L1138+L1146+L1149+L1151+L1153+L1159+L1164</f>
        <v>14465666854</v>
      </c>
      <c r="M1116" s="3210"/>
      <c r="N1116" s="3195">
        <f>N1117+N1130+N1134+N1138+N1146+N1149+N1151+N1153+N1159+N1164</f>
        <v>3077854216</v>
      </c>
      <c r="O1116" s="3210"/>
      <c r="P1116" s="3195">
        <f>SUM(P1117+P1130+P1134+P1138+P1140+P1144+P1146+P1149+P1151+P1153+P1159+P1164)</f>
        <v>6293410680</v>
      </c>
      <c r="Q1116" s="3210"/>
      <c r="R1116" s="2916">
        <f>R1117+R1130+R1134+R1138+R1146+R1149+R1151+R1153+R1159+R1164</f>
        <v>166378792</v>
      </c>
      <c r="S1116" s="2918"/>
      <c r="T1116" s="2916">
        <f>T1117+T1130+T1134+T1138+T1146+T1149+T1151+T1153+T1159+T1164</f>
        <v>566148457</v>
      </c>
      <c r="U1116" s="2918"/>
      <c r="V1116" s="2916">
        <f>SUM(V1117+V1130+V1134+V1138+V1140+V1144+V1146+V1149+V1151+V1153+V1159+V1164)</f>
        <v>2357876246</v>
      </c>
      <c r="W1116" s="2918"/>
      <c r="X1116" s="2918"/>
      <c r="Y1116" s="3210"/>
      <c r="Z1116" s="2916">
        <f t="shared" ref="Z1116:Z1166" si="367">R1116+T1116+V1116+X1116</f>
        <v>3090403495</v>
      </c>
      <c r="AA1116" s="3210"/>
      <c r="AB1116" s="2916">
        <f>AB1117+AB1130+AB1134+AB1138+AB1146+AB1149+AB1151+AB1153+AB1159+AB1164</f>
        <v>4423875431</v>
      </c>
      <c r="AC1116" s="3210"/>
      <c r="AD1116" s="3210"/>
      <c r="AE1116" s="3211"/>
      <c r="AF1116" s="2813"/>
      <c r="AG1116" s="2813"/>
      <c r="AH1116" s="2813"/>
      <c r="AI1116" s="2813"/>
      <c r="AJ1116" s="2813"/>
      <c r="AK1116" s="2813"/>
      <c r="AL1116" s="2813"/>
      <c r="AM1116" s="2813"/>
      <c r="AN1116" s="2813"/>
      <c r="AO1116" s="2813"/>
      <c r="AP1116" s="2813"/>
      <c r="AQ1116" s="2813"/>
      <c r="AR1116" s="2813"/>
      <c r="AS1116" s="2813"/>
      <c r="AT1116" s="2813"/>
      <c r="AU1116" s="2813"/>
      <c r="AV1116" s="2813"/>
      <c r="AW1116" s="2813"/>
      <c r="AX1116" s="2813"/>
      <c r="AY1116" s="2813"/>
      <c r="AZ1116" s="2813"/>
      <c r="BA1116" s="2813"/>
      <c r="BB1116" s="2813"/>
      <c r="BC1116" s="2813"/>
      <c r="BD1116" s="2813"/>
      <c r="BE1116" s="2813"/>
      <c r="BF1116" s="2813"/>
      <c r="BG1116" s="2813"/>
      <c r="BH1116" s="2813"/>
      <c r="BI1116" s="2813"/>
      <c r="BJ1116" s="2813"/>
      <c r="BK1116" s="2813"/>
      <c r="BL1116" s="2813"/>
      <c r="BM1116" s="2813"/>
      <c r="BN1116" s="2813"/>
      <c r="BO1116" s="2813"/>
      <c r="BP1116" s="2813"/>
      <c r="BQ1116" s="2813"/>
      <c r="BR1116" s="2813"/>
      <c r="BS1116" s="2813"/>
      <c r="BT1116" s="2813"/>
      <c r="BU1116" s="2813"/>
      <c r="BV1116" s="2813"/>
      <c r="BW1116" s="2813"/>
      <c r="BX1116" s="2813"/>
    </row>
    <row r="1117" spans="1:76" s="2607" customFormat="1" ht="51">
      <c r="A1117" s="2335">
        <v>1</v>
      </c>
      <c r="B1117" s="2335"/>
      <c r="C1117" s="3795"/>
      <c r="D1117" s="3795"/>
      <c r="E1117" s="3795"/>
      <c r="F1117" s="3795"/>
      <c r="G1117" s="3795"/>
      <c r="H1117" s="3795"/>
      <c r="I1117" s="2501" t="s">
        <v>520</v>
      </c>
      <c r="J1117" s="3153" t="s">
        <v>3047</v>
      </c>
      <c r="K1117" s="2509">
        <v>72</v>
      </c>
      <c r="L1117" s="2609">
        <f>SUM(L1118:L1129)</f>
        <v>3931292129</v>
      </c>
      <c r="M1117" s="2502">
        <v>24</v>
      </c>
      <c r="N1117" s="2609">
        <f>SUM(N1118:N1129)</f>
        <v>1483166457</v>
      </c>
      <c r="O1117" s="2502">
        <v>12</v>
      </c>
      <c r="P1117" s="2662">
        <f>SUM(P1118:P1129)</f>
        <v>599811000</v>
      </c>
      <c r="Q1117" s="2667">
        <v>3</v>
      </c>
      <c r="R1117" s="2664">
        <f>SUM(R1118:R1129)</f>
        <v>59343047</v>
      </c>
      <c r="S1117" s="2665">
        <v>3</v>
      </c>
      <c r="T1117" s="2665">
        <f>SUM(T1118:T1129)</f>
        <v>195608095</v>
      </c>
      <c r="U1117" s="2665">
        <v>3</v>
      </c>
      <c r="V1117" s="2666">
        <f>SUM(V1118:V1129)</f>
        <v>179504435</v>
      </c>
      <c r="W1117" s="2665">
        <v>0</v>
      </c>
      <c r="X1117" s="2665">
        <v>0</v>
      </c>
      <c r="Y1117" s="2667">
        <f t="shared" ref="Y1117:Y1166" si="368">Q1117+S1117+U1117+W1117</f>
        <v>9</v>
      </c>
      <c r="Z1117" s="2666">
        <f>SUM(Z1118:Z1129)</f>
        <v>390768767</v>
      </c>
      <c r="AA1117" s="2663">
        <f t="shared" ref="AA1117:AA1129" si="369">M1117+Y1117</f>
        <v>33</v>
      </c>
      <c r="AB1117" s="2666">
        <f>SUM(AB1118:AB1129)</f>
        <v>1873935224</v>
      </c>
      <c r="AC1117" s="2663">
        <f t="shared" ref="AC1117:AC1129" si="370">AA1117/K1117*100</f>
        <v>45.833333333333329</v>
      </c>
      <c r="AD1117" s="2663">
        <f t="shared" ref="AD1117:AD1129" si="371">AB1117/L1117*100</f>
        <v>47.667157832828657</v>
      </c>
      <c r="AE1117" s="3135" t="s">
        <v>3048</v>
      </c>
      <c r="AF1117" s="2867"/>
      <c r="AG1117" s="2809"/>
      <c r="AH1117" s="2809"/>
      <c r="AI1117" s="2809"/>
      <c r="AJ1117" s="2809"/>
      <c r="AK1117" s="2809"/>
      <c r="AL1117" s="2809"/>
      <c r="AM1117" s="2809"/>
      <c r="AN1117" s="2809"/>
      <c r="AO1117" s="2809"/>
      <c r="AP1117" s="2809"/>
      <c r="AQ1117" s="2809"/>
      <c r="AR1117" s="2809"/>
      <c r="AS1117" s="2809"/>
      <c r="AT1117" s="2809"/>
      <c r="AU1117" s="2809"/>
      <c r="AV1117" s="2809"/>
      <c r="AW1117" s="2809"/>
      <c r="AX1117" s="2809"/>
      <c r="AY1117" s="2809"/>
      <c r="AZ1117" s="2809"/>
      <c r="BA1117" s="2809"/>
      <c r="BB1117" s="2809"/>
      <c r="BC1117" s="2809"/>
      <c r="BD1117" s="2809"/>
      <c r="BE1117" s="2809"/>
      <c r="BF1117" s="2809"/>
      <c r="BG1117" s="2809"/>
      <c r="BH1117" s="2809"/>
      <c r="BI1117" s="2809"/>
      <c r="BJ1117" s="2809"/>
      <c r="BK1117" s="2809"/>
      <c r="BL1117" s="2809"/>
      <c r="BM1117" s="2809"/>
      <c r="BN1117" s="2809"/>
      <c r="BO1117" s="2809"/>
      <c r="BP1117" s="2809"/>
      <c r="BQ1117" s="2809"/>
      <c r="BR1117" s="2809"/>
      <c r="BS1117" s="2809"/>
      <c r="BT1117" s="2809"/>
      <c r="BU1117" s="2809"/>
      <c r="BV1117" s="2809"/>
      <c r="BW1117" s="2809"/>
      <c r="BX1117" s="2809"/>
    </row>
    <row r="1118" spans="1:76" s="2607" customFormat="1" ht="62.25" customHeight="1">
      <c r="A1118" s="2632"/>
      <c r="B1118" s="2632"/>
      <c r="C1118" s="3794"/>
      <c r="D1118" s="3794"/>
      <c r="E1118" s="3794"/>
      <c r="F1118" s="3794"/>
      <c r="G1118" s="3794"/>
      <c r="H1118" s="3794"/>
      <c r="I1118" s="2634" t="s">
        <v>195</v>
      </c>
      <c r="J1118" s="2657" t="s">
        <v>3049</v>
      </c>
      <c r="K1118" s="2349">
        <v>72</v>
      </c>
      <c r="L1118" s="2388">
        <v>287694015</v>
      </c>
      <c r="M1118" s="2382">
        <v>24</v>
      </c>
      <c r="N1118" s="2383">
        <v>79194015</v>
      </c>
      <c r="O1118" s="1396">
        <v>12</v>
      </c>
      <c r="P1118" s="2590">
        <v>51000000</v>
      </c>
      <c r="Q1118" s="2392">
        <v>3</v>
      </c>
      <c r="R1118" s="1731">
        <v>8088647</v>
      </c>
      <c r="S1118" s="2661">
        <v>6</v>
      </c>
      <c r="T1118" s="2661">
        <v>18046795</v>
      </c>
      <c r="U1118" s="2661">
        <v>3</v>
      </c>
      <c r="V1118" s="2658">
        <v>18186810</v>
      </c>
      <c r="W1118" s="2661">
        <v>0</v>
      </c>
      <c r="X1118" s="2661">
        <v>0</v>
      </c>
      <c r="Y1118" s="2668">
        <f t="shared" si="368"/>
        <v>12</v>
      </c>
      <c r="Z1118" s="2658">
        <f>SUM(R1118+T1118)</f>
        <v>26135442</v>
      </c>
      <c r="AA1118" s="2649">
        <f t="shared" si="369"/>
        <v>36</v>
      </c>
      <c r="AB1118" s="2658">
        <f t="shared" ref="AB1118:AB1129" si="372">N1118+Z1118</f>
        <v>105329457</v>
      </c>
      <c r="AC1118" s="2527">
        <f t="shared" si="370"/>
        <v>50</v>
      </c>
      <c r="AD1118" s="2527">
        <f t="shared" si="371"/>
        <v>36.61162607084475</v>
      </c>
      <c r="AE1118" s="3160"/>
      <c r="AF1118" s="2809"/>
      <c r="AG1118" s="2809"/>
      <c r="AH1118" s="2809"/>
      <c r="AI1118" s="2809"/>
      <c r="AJ1118" s="2809"/>
      <c r="AK1118" s="2809"/>
      <c r="AL1118" s="2809"/>
      <c r="AM1118" s="2809"/>
      <c r="AN1118" s="2809"/>
      <c r="AO1118" s="2809"/>
      <c r="AP1118" s="2809"/>
      <c r="AQ1118" s="2809"/>
      <c r="AR1118" s="2809"/>
      <c r="AS1118" s="2809"/>
      <c r="AT1118" s="2809"/>
      <c r="AU1118" s="2809"/>
      <c r="AV1118" s="2809"/>
      <c r="AW1118" s="2809"/>
      <c r="AX1118" s="2809"/>
      <c r="AY1118" s="2809"/>
      <c r="AZ1118" s="2809"/>
      <c r="BA1118" s="2809"/>
      <c r="BB1118" s="2809"/>
      <c r="BC1118" s="2809"/>
      <c r="BD1118" s="2809"/>
      <c r="BE1118" s="2809"/>
      <c r="BF1118" s="2809"/>
      <c r="BG1118" s="2809"/>
      <c r="BH1118" s="2809"/>
      <c r="BI1118" s="2809"/>
      <c r="BJ1118" s="2809"/>
      <c r="BK1118" s="2809"/>
      <c r="BL1118" s="2809"/>
      <c r="BM1118" s="2809"/>
      <c r="BN1118" s="2809"/>
      <c r="BO1118" s="2809"/>
      <c r="BP1118" s="2809"/>
      <c r="BQ1118" s="2809"/>
      <c r="BR1118" s="2809"/>
      <c r="BS1118" s="2809"/>
      <c r="BT1118" s="2809"/>
      <c r="BU1118" s="2809"/>
      <c r="BV1118" s="2809"/>
      <c r="BW1118" s="2809"/>
      <c r="BX1118" s="2809"/>
    </row>
    <row r="1119" spans="1:76" s="2270" customFormat="1" ht="50.25" customHeight="1">
      <c r="A1119" s="2632"/>
      <c r="B1119" s="2632"/>
      <c r="C1119" s="3794"/>
      <c r="D1119" s="3794"/>
      <c r="E1119" s="3794"/>
      <c r="F1119" s="3794"/>
      <c r="G1119" s="3794"/>
      <c r="H1119" s="3794"/>
      <c r="I1119" s="2631" t="s">
        <v>199</v>
      </c>
      <c r="J1119" s="2657" t="s">
        <v>3050</v>
      </c>
      <c r="K1119" s="2349">
        <v>72</v>
      </c>
      <c r="L1119" s="2388">
        <v>677317000</v>
      </c>
      <c r="M1119" s="2382">
        <v>24</v>
      </c>
      <c r="N1119" s="2383">
        <v>188567000</v>
      </c>
      <c r="O1119" s="1396">
        <v>12</v>
      </c>
      <c r="P1119" s="2590">
        <v>121250000</v>
      </c>
      <c r="Q1119" s="2392">
        <v>3</v>
      </c>
      <c r="R1119" s="1731">
        <v>4000000</v>
      </c>
      <c r="S1119" s="2661">
        <v>6</v>
      </c>
      <c r="T1119" s="2661">
        <v>39000000</v>
      </c>
      <c r="U1119" s="2661">
        <v>3</v>
      </c>
      <c r="V1119" s="2658">
        <v>25500000</v>
      </c>
      <c r="W1119" s="2661">
        <v>0</v>
      </c>
      <c r="X1119" s="2661">
        <v>0</v>
      </c>
      <c r="Y1119" s="2668">
        <f t="shared" si="368"/>
        <v>12</v>
      </c>
      <c r="Z1119" s="2658">
        <f>SUM(R1119+T1119)</f>
        <v>43000000</v>
      </c>
      <c r="AA1119" s="2649">
        <f t="shared" si="369"/>
        <v>36</v>
      </c>
      <c r="AB1119" s="2658">
        <f t="shared" si="372"/>
        <v>231567000</v>
      </c>
      <c r="AC1119" s="2527">
        <f t="shared" si="370"/>
        <v>50</v>
      </c>
      <c r="AD1119" s="2527">
        <f t="shared" si="371"/>
        <v>34.188865774814452</v>
      </c>
      <c r="AE1119" s="3160"/>
      <c r="AF1119" s="2813"/>
      <c r="AG1119" s="2813"/>
      <c r="AH1119" s="2813"/>
      <c r="AI1119" s="2813"/>
      <c r="AJ1119" s="2813"/>
      <c r="AK1119" s="2813"/>
      <c r="AL1119" s="2813"/>
      <c r="AM1119" s="2813"/>
      <c r="AN1119" s="2813"/>
      <c r="AO1119" s="2813"/>
      <c r="AP1119" s="2813"/>
      <c r="AQ1119" s="2813"/>
      <c r="AR1119" s="2813"/>
      <c r="AS1119" s="2813"/>
      <c r="AT1119" s="2813"/>
      <c r="AU1119" s="2813"/>
      <c r="AV1119" s="2813"/>
      <c r="AW1119" s="2813"/>
      <c r="AX1119" s="2813"/>
      <c r="AY1119" s="2813"/>
      <c r="AZ1119" s="2813"/>
      <c r="BA1119" s="2813"/>
      <c r="BB1119" s="2813"/>
      <c r="BC1119" s="2813"/>
      <c r="BD1119" s="2813"/>
      <c r="BE1119" s="2813"/>
      <c r="BF1119" s="2813"/>
      <c r="BG1119" s="2813"/>
      <c r="BH1119" s="2813"/>
      <c r="BI1119" s="2813"/>
      <c r="BJ1119" s="2813"/>
      <c r="BK1119" s="2813"/>
      <c r="BL1119" s="2813"/>
      <c r="BM1119" s="2813"/>
      <c r="BN1119" s="2813"/>
      <c r="BO1119" s="2813"/>
      <c r="BP1119" s="2813"/>
      <c r="BQ1119" s="2813"/>
      <c r="BR1119" s="2813"/>
      <c r="BS1119" s="2813"/>
      <c r="BT1119" s="2813"/>
      <c r="BU1119" s="2813"/>
      <c r="BV1119" s="2813"/>
      <c r="BW1119" s="2813"/>
      <c r="BX1119" s="2813"/>
    </row>
    <row r="1120" spans="1:76" s="2270" customFormat="1" ht="56.25" customHeight="1">
      <c r="A1120" s="2632"/>
      <c r="B1120" s="2632"/>
      <c r="C1120" s="3794"/>
      <c r="D1120" s="3794"/>
      <c r="E1120" s="3794"/>
      <c r="F1120" s="3794"/>
      <c r="G1120" s="3794"/>
      <c r="H1120" s="3794"/>
      <c r="I1120" s="2631" t="s">
        <v>200</v>
      </c>
      <c r="J1120" s="2657" t="s">
        <v>3051</v>
      </c>
      <c r="K1120" s="2349">
        <v>72</v>
      </c>
      <c r="L1120" s="2388">
        <v>429470000</v>
      </c>
      <c r="M1120" s="2382">
        <v>24</v>
      </c>
      <c r="N1120" s="2383">
        <v>133644000</v>
      </c>
      <c r="O1120" s="1396">
        <v>12</v>
      </c>
      <c r="P1120" s="2590">
        <v>70826000</v>
      </c>
      <c r="Q1120" s="2392">
        <v>3</v>
      </c>
      <c r="R1120" s="1731">
        <v>12667500</v>
      </c>
      <c r="S1120" s="2661">
        <v>6</v>
      </c>
      <c r="T1120" s="2661">
        <v>32667500</v>
      </c>
      <c r="U1120" s="2661">
        <v>3</v>
      </c>
      <c r="V1120" s="2658">
        <v>15000000</v>
      </c>
      <c r="W1120" s="2661">
        <v>0</v>
      </c>
      <c r="X1120" s="2661">
        <v>0</v>
      </c>
      <c r="Y1120" s="2668">
        <f t="shared" si="368"/>
        <v>12</v>
      </c>
      <c r="Z1120" s="2658">
        <f t="shared" si="367"/>
        <v>60335000</v>
      </c>
      <c r="AA1120" s="2649">
        <f t="shared" si="369"/>
        <v>36</v>
      </c>
      <c r="AB1120" s="2658">
        <f t="shared" si="372"/>
        <v>193979000</v>
      </c>
      <c r="AC1120" s="2527">
        <f t="shared" si="370"/>
        <v>50</v>
      </c>
      <c r="AD1120" s="2527">
        <f t="shared" si="371"/>
        <v>45.167066384147901</v>
      </c>
      <c r="AE1120" s="3160"/>
      <c r="AF1120" s="2813"/>
      <c r="AG1120" s="2813"/>
      <c r="AH1120" s="2813"/>
      <c r="AI1120" s="2813"/>
      <c r="AJ1120" s="2813"/>
      <c r="AK1120" s="2813"/>
      <c r="AL1120" s="2813"/>
      <c r="AM1120" s="2813"/>
      <c r="AN1120" s="2813"/>
      <c r="AO1120" s="2813"/>
      <c r="AP1120" s="2813"/>
      <c r="AQ1120" s="2813"/>
      <c r="AR1120" s="2813"/>
      <c r="AS1120" s="2813"/>
      <c r="AT1120" s="2813"/>
      <c r="AU1120" s="2813"/>
      <c r="AV1120" s="2813"/>
      <c r="AW1120" s="2813"/>
      <c r="AX1120" s="2813"/>
      <c r="AY1120" s="2813"/>
      <c r="AZ1120" s="2813"/>
      <c r="BA1120" s="2813"/>
      <c r="BB1120" s="2813"/>
      <c r="BC1120" s="2813"/>
      <c r="BD1120" s="2813"/>
      <c r="BE1120" s="2813"/>
      <c r="BF1120" s="2813"/>
      <c r="BG1120" s="2813"/>
      <c r="BH1120" s="2813"/>
      <c r="BI1120" s="2813"/>
      <c r="BJ1120" s="2813"/>
      <c r="BK1120" s="2813"/>
      <c r="BL1120" s="2813"/>
      <c r="BM1120" s="2813"/>
      <c r="BN1120" s="2813"/>
      <c r="BO1120" s="2813"/>
      <c r="BP1120" s="2813"/>
      <c r="BQ1120" s="2813"/>
      <c r="BR1120" s="2813"/>
      <c r="BS1120" s="2813"/>
      <c r="BT1120" s="2813"/>
      <c r="BU1120" s="2813"/>
      <c r="BV1120" s="2813"/>
      <c r="BW1120" s="2813"/>
      <c r="BX1120" s="2813"/>
    </row>
    <row r="1121" spans="1:76" s="2270" customFormat="1" ht="45.75" customHeight="1">
      <c r="A1121" s="2632"/>
      <c r="B1121" s="2632"/>
      <c r="C1121" s="3794"/>
      <c r="D1121" s="3794"/>
      <c r="E1121" s="3794"/>
      <c r="F1121" s="3794"/>
      <c r="G1121" s="3794"/>
      <c r="H1121" s="3794"/>
      <c r="I1121" s="2632" t="s">
        <v>943</v>
      </c>
      <c r="J1121" s="2657" t="s">
        <v>3052</v>
      </c>
      <c r="K1121" s="2349">
        <v>72</v>
      </c>
      <c r="L1121" s="2388">
        <v>127430000</v>
      </c>
      <c r="M1121" s="2382">
        <v>24</v>
      </c>
      <c r="N1121" s="2383">
        <v>43705000</v>
      </c>
      <c r="O1121" s="1396">
        <v>12</v>
      </c>
      <c r="P1121" s="2590">
        <v>9725000</v>
      </c>
      <c r="Q1121" s="2392">
        <v>3</v>
      </c>
      <c r="R1121" s="1731">
        <v>0</v>
      </c>
      <c r="S1121" s="2661">
        <v>6</v>
      </c>
      <c r="T1121" s="2661">
        <v>150000</v>
      </c>
      <c r="U1121" s="2661">
        <v>3</v>
      </c>
      <c r="V1121" s="2658">
        <v>8605150</v>
      </c>
      <c r="W1121" s="2661">
        <v>0</v>
      </c>
      <c r="X1121" s="2661">
        <v>0</v>
      </c>
      <c r="Y1121" s="2668">
        <f t="shared" si="368"/>
        <v>12</v>
      </c>
      <c r="Z1121" s="2658">
        <f t="shared" si="367"/>
        <v>8755150</v>
      </c>
      <c r="AA1121" s="2649">
        <f t="shared" si="369"/>
        <v>36</v>
      </c>
      <c r="AB1121" s="2658">
        <f t="shared" si="372"/>
        <v>52460150</v>
      </c>
      <c r="AC1121" s="2527">
        <f t="shared" si="370"/>
        <v>50</v>
      </c>
      <c r="AD1121" s="2527">
        <f t="shared" si="371"/>
        <v>41.167817625362943</v>
      </c>
      <c r="AE1121" s="3160"/>
      <c r="AF1121" s="2813"/>
      <c r="AG1121" s="2813"/>
      <c r="AH1121" s="2813"/>
      <c r="AI1121" s="2813"/>
      <c r="AJ1121" s="2813"/>
      <c r="AK1121" s="2813"/>
      <c r="AL1121" s="2813"/>
      <c r="AM1121" s="2813"/>
      <c r="AN1121" s="2813"/>
      <c r="AO1121" s="2813"/>
      <c r="AP1121" s="2813"/>
      <c r="AQ1121" s="2813"/>
      <c r="AR1121" s="2813"/>
      <c r="AS1121" s="2813"/>
      <c r="AT1121" s="2813"/>
      <c r="AU1121" s="2813"/>
      <c r="AV1121" s="2813"/>
      <c r="AW1121" s="2813"/>
      <c r="AX1121" s="2813"/>
      <c r="AY1121" s="2813"/>
      <c r="AZ1121" s="2813"/>
      <c r="BA1121" s="2813"/>
      <c r="BB1121" s="2813"/>
      <c r="BC1121" s="2813"/>
      <c r="BD1121" s="2813"/>
      <c r="BE1121" s="2813"/>
      <c r="BF1121" s="2813"/>
      <c r="BG1121" s="2813"/>
      <c r="BH1121" s="2813"/>
      <c r="BI1121" s="2813"/>
      <c r="BJ1121" s="2813"/>
      <c r="BK1121" s="2813"/>
      <c r="BL1121" s="2813"/>
      <c r="BM1121" s="2813"/>
      <c r="BN1121" s="2813"/>
      <c r="BO1121" s="2813"/>
      <c r="BP1121" s="2813"/>
      <c r="BQ1121" s="2813"/>
      <c r="BR1121" s="2813"/>
      <c r="BS1121" s="2813"/>
      <c r="BT1121" s="2813"/>
      <c r="BU1121" s="2813"/>
      <c r="BV1121" s="2813"/>
      <c r="BW1121" s="2813"/>
      <c r="BX1121" s="2813"/>
    </row>
    <row r="1122" spans="1:76" s="2270" customFormat="1" ht="37.5" customHeight="1">
      <c r="A1122" s="2632"/>
      <c r="B1122" s="2632"/>
      <c r="C1122" s="3794"/>
      <c r="D1122" s="3794"/>
      <c r="E1122" s="3794"/>
      <c r="F1122" s="3794"/>
      <c r="G1122" s="3794"/>
      <c r="H1122" s="3794"/>
      <c r="I1122" s="2631" t="s">
        <v>203</v>
      </c>
      <c r="J1122" s="2657" t="s">
        <v>3053</v>
      </c>
      <c r="K1122" s="2349">
        <v>72</v>
      </c>
      <c r="L1122" s="2388">
        <v>224562833</v>
      </c>
      <c r="M1122" s="2382">
        <v>24</v>
      </c>
      <c r="N1122" s="2383">
        <v>73582833</v>
      </c>
      <c r="O1122" s="1396">
        <v>12</v>
      </c>
      <c r="P1122" s="2590">
        <v>34980000</v>
      </c>
      <c r="Q1122" s="2392">
        <v>3</v>
      </c>
      <c r="R1122" s="1731">
        <v>4082000</v>
      </c>
      <c r="S1122" s="2661">
        <v>6</v>
      </c>
      <c r="T1122" s="2661">
        <v>13035500</v>
      </c>
      <c r="U1122" s="2661">
        <v>3</v>
      </c>
      <c r="V1122" s="2658">
        <v>5143500</v>
      </c>
      <c r="W1122" s="2661">
        <v>0</v>
      </c>
      <c r="X1122" s="2661">
        <v>0</v>
      </c>
      <c r="Y1122" s="2668">
        <f t="shared" si="368"/>
        <v>12</v>
      </c>
      <c r="Z1122" s="2658">
        <f t="shared" si="367"/>
        <v>22261000</v>
      </c>
      <c r="AA1122" s="2649">
        <f t="shared" si="369"/>
        <v>36</v>
      </c>
      <c r="AB1122" s="2658">
        <f t="shared" si="372"/>
        <v>95843833</v>
      </c>
      <c r="AC1122" s="2527">
        <f t="shared" si="370"/>
        <v>50</v>
      </c>
      <c r="AD1122" s="2527">
        <f t="shared" si="371"/>
        <v>42.680185193424236</v>
      </c>
      <c r="AE1122" s="3160"/>
      <c r="AF1122" s="2813"/>
      <c r="AG1122" s="2813"/>
      <c r="AH1122" s="2813"/>
      <c r="AI1122" s="2813"/>
      <c r="AJ1122" s="2813"/>
      <c r="AK1122" s="2813"/>
      <c r="AL1122" s="2813"/>
      <c r="AM1122" s="2813"/>
      <c r="AN1122" s="2813"/>
      <c r="AO1122" s="2813"/>
      <c r="AP1122" s="2813"/>
      <c r="AQ1122" s="2813"/>
      <c r="AR1122" s="2813"/>
      <c r="AS1122" s="2813"/>
      <c r="AT1122" s="2813"/>
      <c r="AU1122" s="2813"/>
      <c r="AV1122" s="2813"/>
      <c r="AW1122" s="2813"/>
      <c r="AX1122" s="2813"/>
      <c r="AY1122" s="2813"/>
      <c r="AZ1122" s="2813"/>
      <c r="BA1122" s="2813"/>
      <c r="BB1122" s="2813"/>
      <c r="BC1122" s="2813"/>
      <c r="BD1122" s="2813"/>
      <c r="BE1122" s="2813"/>
      <c r="BF1122" s="2813"/>
      <c r="BG1122" s="2813"/>
      <c r="BH1122" s="2813"/>
      <c r="BI1122" s="2813"/>
      <c r="BJ1122" s="2813"/>
      <c r="BK1122" s="2813"/>
      <c r="BL1122" s="2813"/>
      <c r="BM1122" s="2813"/>
      <c r="BN1122" s="2813"/>
      <c r="BO1122" s="2813"/>
      <c r="BP1122" s="2813"/>
      <c r="BQ1122" s="2813"/>
      <c r="BR1122" s="2813"/>
      <c r="BS1122" s="2813"/>
      <c r="BT1122" s="2813"/>
      <c r="BU1122" s="2813"/>
      <c r="BV1122" s="2813"/>
      <c r="BW1122" s="2813"/>
      <c r="BX1122" s="2813"/>
    </row>
    <row r="1123" spans="1:76" s="2270" customFormat="1" ht="51.75" customHeight="1">
      <c r="A1123" s="2632"/>
      <c r="B1123" s="2632"/>
      <c r="C1123" s="3794"/>
      <c r="D1123" s="3794"/>
      <c r="E1123" s="3794"/>
      <c r="F1123" s="3794"/>
      <c r="G1123" s="3794"/>
      <c r="H1123" s="3794"/>
      <c r="I1123" s="2631" t="s">
        <v>204</v>
      </c>
      <c r="J1123" s="2657" t="s">
        <v>3054</v>
      </c>
      <c r="K1123" s="2349">
        <v>72</v>
      </c>
      <c r="L1123" s="2388">
        <v>179993000</v>
      </c>
      <c r="M1123" s="2382">
        <v>24</v>
      </c>
      <c r="N1123" s="2383">
        <v>57443000</v>
      </c>
      <c r="O1123" s="1396">
        <v>12</v>
      </c>
      <c r="P1123" s="2590">
        <v>28050000</v>
      </c>
      <c r="Q1123" s="2392">
        <v>3</v>
      </c>
      <c r="R1123" s="1731">
        <v>3466400</v>
      </c>
      <c r="S1123" s="2661">
        <v>6</v>
      </c>
      <c r="T1123" s="2661">
        <v>8014800</v>
      </c>
      <c r="U1123" s="2661">
        <v>3</v>
      </c>
      <c r="V1123" s="2658">
        <v>6335600</v>
      </c>
      <c r="W1123" s="2661">
        <v>0</v>
      </c>
      <c r="X1123" s="2661">
        <v>0</v>
      </c>
      <c r="Y1123" s="2668">
        <f t="shared" si="368"/>
        <v>12</v>
      </c>
      <c r="Z1123" s="2658">
        <f t="shared" si="367"/>
        <v>17816800</v>
      </c>
      <c r="AA1123" s="2649">
        <f t="shared" si="369"/>
        <v>36</v>
      </c>
      <c r="AB1123" s="2658">
        <f t="shared" si="372"/>
        <v>75259800</v>
      </c>
      <c r="AC1123" s="2527">
        <f t="shared" si="370"/>
        <v>50</v>
      </c>
      <c r="AD1123" s="2527">
        <f t="shared" si="371"/>
        <v>41.812626046568482</v>
      </c>
      <c r="AE1123" s="3160"/>
      <c r="AF1123" s="2813"/>
      <c r="AG1123" s="2813"/>
      <c r="AH1123" s="2813"/>
      <c r="AI1123" s="2813"/>
      <c r="AJ1123" s="2813"/>
      <c r="AK1123" s="2813"/>
      <c r="AL1123" s="2813"/>
      <c r="AM1123" s="2813"/>
      <c r="AN1123" s="2813"/>
      <c r="AO1123" s="2813"/>
      <c r="AP1123" s="2813"/>
      <c r="AQ1123" s="2813"/>
      <c r="AR1123" s="2813"/>
      <c r="AS1123" s="2813"/>
      <c r="AT1123" s="2813"/>
      <c r="AU1123" s="2813"/>
      <c r="AV1123" s="2813"/>
      <c r="AW1123" s="2813"/>
      <c r="AX1123" s="2813"/>
      <c r="AY1123" s="2813"/>
      <c r="AZ1123" s="2813"/>
      <c r="BA1123" s="2813"/>
      <c r="BB1123" s="2813"/>
      <c r="BC1123" s="2813"/>
      <c r="BD1123" s="2813"/>
      <c r="BE1123" s="2813"/>
      <c r="BF1123" s="2813"/>
      <c r="BG1123" s="2813"/>
      <c r="BH1123" s="2813"/>
      <c r="BI1123" s="2813"/>
      <c r="BJ1123" s="2813"/>
      <c r="BK1123" s="2813"/>
      <c r="BL1123" s="2813"/>
      <c r="BM1123" s="2813"/>
      <c r="BN1123" s="2813"/>
      <c r="BO1123" s="2813"/>
      <c r="BP1123" s="2813"/>
      <c r="BQ1123" s="2813"/>
      <c r="BR1123" s="2813"/>
      <c r="BS1123" s="2813"/>
      <c r="BT1123" s="2813"/>
      <c r="BU1123" s="2813"/>
      <c r="BV1123" s="2813"/>
      <c r="BW1123" s="2813"/>
      <c r="BX1123" s="2813"/>
    </row>
    <row r="1124" spans="1:76" s="2270" customFormat="1" ht="70.5" customHeight="1">
      <c r="A1124" s="2632"/>
      <c r="B1124" s="2632"/>
      <c r="C1124" s="3794"/>
      <c r="D1124" s="3794"/>
      <c r="E1124" s="3794"/>
      <c r="F1124" s="3794"/>
      <c r="G1124" s="3794"/>
      <c r="H1124" s="3794"/>
      <c r="I1124" s="2631" t="s">
        <v>205</v>
      </c>
      <c r="J1124" s="2657" t="s">
        <v>3055</v>
      </c>
      <c r="K1124" s="2349">
        <v>72</v>
      </c>
      <c r="L1124" s="2388">
        <v>148343180</v>
      </c>
      <c r="M1124" s="2382">
        <v>24</v>
      </c>
      <c r="N1124" s="2383">
        <v>117843180</v>
      </c>
      <c r="O1124" s="1396">
        <v>12</v>
      </c>
      <c r="P1124" s="2590">
        <f>+[9]Sheet2!$D$16</f>
        <v>6500000</v>
      </c>
      <c r="Q1124" s="2392">
        <v>3</v>
      </c>
      <c r="R1124" s="1731">
        <v>1386000</v>
      </c>
      <c r="S1124" s="2661">
        <v>6</v>
      </c>
      <c r="T1124" s="2661">
        <v>2336000</v>
      </c>
      <c r="U1124" s="2661">
        <v>3</v>
      </c>
      <c r="V1124" s="2658">
        <v>1534000</v>
      </c>
      <c r="W1124" s="2661">
        <v>0</v>
      </c>
      <c r="X1124" s="2661">
        <v>0</v>
      </c>
      <c r="Y1124" s="2668">
        <f t="shared" si="368"/>
        <v>12</v>
      </c>
      <c r="Z1124" s="2658">
        <f t="shared" si="367"/>
        <v>5256000</v>
      </c>
      <c r="AA1124" s="2649">
        <f t="shared" si="369"/>
        <v>36</v>
      </c>
      <c r="AB1124" s="2658">
        <f t="shared" si="372"/>
        <v>123099180</v>
      </c>
      <c r="AC1124" s="2527">
        <f t="shared" si="370"/>
        <v>50</v>
      </c>
      <c r="AD1124" s="2527">
        <f t="shared" si="371"/>
        <v>82.982702676321225</v>
      </c>
      <c r="AE1124" s="3160"/>
      <c r="AF1124" s="2813"/>
      <c r="AG1124" s="2813"/>
      <c r="AH1124" s="2813"/>
      <c r="AI1124" s="2813"/>
      <c r="AJ1124" s="2813"/>
      <c r="AK1124" s="2813"/>
      <c r="AL1124" s="2813"/>
      <c r="AM1124" s="2813"/>
      <c r="AN1124" s="2813"/>
      <c r="AO1124" s="2813"/>
      <c r="AP1124" s="2813"/>
      <c r="AQ1124" s="2813"/>
      <c r="AR1124" s="2813"/>
      <c r="AS1124" s="2813"/>
      <c r="AT1124" s="2813"/>
      <c r="AU1124" s="2813"/>
      <c r="AV1124" s="2813"/>
      <c r="AW1124" s="2813"/>
      <c r="AX1124" s="2813"/>
      <c r="AY1124" s="2813"/>
      <c r="AZ1124" s="2813"/>
      <c r="BA1124" s="2813"/>
      <c r="BB1124" s="2813"/>
      <c r="BC1124" s="2813"/>
      <c r="BD1124" s="2813"/>
      <c r="BE1124" s="2813"/>
      <c r="BF1124" s="2813"/>
      <c r="BG1124" s="2813"/>
      <c r="BH1124" s="2813"/>
      <c r="BI1124" s="2813"/>
      <c r="BJ1124" s="2813"/>
      <c r="BK1124" s="2813"/>
      <c r="BL1124" s="2813"/>
      <c r="BM1124" s="2813"/>
      <c r="BN1124" s="2813"/>
      <c r="BO1124" s="2813"/>
      <c r="BP1124" s="2813"/>
      <c r="BQ1124" s="2813"/>
      <c r="BR1124" s="2813"/>
      <c r="BS1124" s="2813"/>
      <c r="BT1124" s="2813"/>
      <c r="BU1124" s="2813"/>
      <c r="BV1124" s="2813"/>
      <c r="BW1124" s="2813"/>
      <c r="BX1124" s="2813"/>
    </row>
    <row r="1125" spans="1:76" s="2270" customFormat="1" ht="60.75" customHeight="1">
      <c r="A1125" s="2632"/>
      <c r="B1125" s="2632"/>
      <c r="C1125" s="3794"/>
      <c r="D1125" s="3794"/>
      <c r="E1125" s="3794"/>
      <c r="F1125" s="3794"/>
      <c r="G1125" s="3794"/>
      <c r="H1125" s="3794"/>
      <c r="I1125" s="2632" t="s">
        <v>238</v>
      </c>
      <c r="J1125" s="2657" t="s">
        <v>3056</v>
      </c>
      <c r="K1125" s="2349">
        <v>72</v>
      </c>
      <c r="L1125" s="2388">
        <v>397723601</v>
      </c>
      <c r="M1125" s="2382">
        <v>24</v>
      </c>
      <c r="N1125" s="2383">
        <v>123523601</v>
      </c>
      <c r="O1125" s="1396">
        <v>12</v>
      </c>
      <c r="P1125" s="2590">
        <v>49200000</v>
      </c>
      <c r="Q1125" s="2392">
        <v>3</v>
      </c>
      <c r="R1125" s="1731">
        <v>0</v>
      </c>
      <c r="S1125" s="2661">
        <v>6</v>
      </c>
      <c r="T1125" s="2661">
        <v>5865000</v>
      </c>
      <c r="U1125" s="2661">
        <v>3</v>
      </c>
      <c r="V1125" s="2658">
        <v>39693075</v>
      </c>
      <c r="W1125" s="2661">
        <v>0</v>
      </c>
      <c r="X1125" s="2661">
        <v>0</v>
      </c>
      <c r="Y1125" s="2668">
        <f t="shared" si="368"/>
        <v>12</v>
      </c>
      <c r="Z1125" s="2658">
        <f t="shared" si="367"/>
        <v>45558075</v>
      </c>
      <c r="AA1125" s="2649">
        <f t="shared" si="369"/>
        <v>36</v>
      </c>
      <c r="AB1125" s="2658">
        <f t="shared" si="372"/>
        <v>169081676</v>
      </c>
      <c r="AC1125" s="2527">
        <f t="shared" si="370"/>
        <v>50</v>
      </c>
      <c r="AD1125" s="2527">
        <f t="shared" si="371"/>
        <v>42.512356715788663</v>
      </c>
      <c r="AE1125" s="3160"/>
      <c r="AF1125" s="2813"/>
      <c r="AG1125" s="2813"/>
      <c r="AH1125" s="2813"/>
      <c r="AI1125" s="2813"/>
      <c r="AJ1125" s="2813"/>
      <c r="AK1125" s="2813"/>
      <c r="AL1125" s="2813"/>
      <c r="AM1125" s="2813"/>
      <c r="AN1125" s="2813"/>
      <c r="AO1125" s="2813"/>
      <c r="AP1125" s="2813"/>
      <c r="AQ1125" s="2813"/>
      <c r="AR1125" s="2813"/>
      <c r="AS1125" s="2813"/>
      <c r="AT1125" s="2813"/>
      <c r="AU1125" s="2813"/>
      <c r="AV1125" s="2813"/>
      <c r="AW1125" s="2813"/>
      <c r="AX1125" s="2813"/>
      <c r="AY1125" s="2813"/>
      <c r="AZ1125" s="2813"/>
      <c r="BA1125" s="2813"/>
      <c r="BB1125" s="2813"/>
      <c r="BC1125" s="2813"/>
      <c r="BD1125" s="2813"/>
      <c r="BE1125" s="2813"/>
      <c r="BF1125" s="2813"/>
      <c r="BG1125" s="2813"/>
      <c r="BH1125" s="2813"/>
      <c r="BI1125" s="2813"/>
      <c r="BJ1125" s="2813"/>
      <c r="BK1125" s="2813"/>
      <c r="BL1125" s="2813"/>
      <c r="BM1125" s="2813"/>
      <c r="BN1125" s="2813"/>
      <c r="BO1125" s="2813"/>
      <c r="BP1125" s="2813"/>
      <c r="BQ1125" s="2813"/>
      <c r="BR1125" s="2813"/>
      <c r="BS1125" s="2813"/>
      <c r="BT1125" s="2813"/>
      <c r="BU1125" s="2813"/>
      <c r="BV1125" s="2813"/>
      <c r="BW1125" s="2813"/>
      <c r="BX1125" s="2813"/>
    </row>
    <row r="1126" spans="1:76" s="2270" customFormat="1" ht="70.5" customHeight="1">
      <c r="A1126" s="2632"/>
      <c r="B1126" s="2632"/>
      <c r="C1126" s="3794"/>
      <c r="D1126" s="3794"/>
      <c r="E1126" s="3794"/>
      <c r="F1126" s="3794"/>
      <c r="G1126" s="3794"/>
      <c r="H1126" s="3794"/>
      <c r="I1126" s="2631" t="s">
        <v>533</v>
      </c>
      <c r="J1126" s="2657" t="s">
        <v>3057</v>
      </c>
      <c r="K1126" s="2349">
        <v>72</v>
      </c>
      <c r="L1126" s="2388">
        <v>57115000</v>
      </c>
      <c r="M1126" s="2382">
        <v>24</v>
      </c>
      <c r="N1126" s="2383">
        <v>18435000</v>
      </c>
      <c r="O1126" s="1396">
        <v>12</v>
      </c>
      <c r="P1126" s="2590">
        <v>14680000</v>
      </c>
      <c r="Q1126" s="2392">
        <v>3</v>
      </c>
      <c r="R1126" s="1731">
        <v>1155000</v>
      </c>
      <c r="S1126" s="2661">
        <v>6</v>
      </c>
      <c r="T1126" s="2661">
        <v>7435000</v>
      </c>
      <c r="U1126" s="2661">
        <v>3</v>
      </c>
      <c r="V1126" s="2658">
        <v>1545000</v>
      </c>
      <c r="W1126" s="2661">
        <v>0</v>
      </c>
      <c r="X1126" s="2661">
        <v>0</v>
      </c>
      <c r="Y1126" s="2668">
        <f t="shared" si="368"/>
        <v>12</v>
      </c>
      <c r="Z1126" s="2658">
        <f t="shared" si="367"/>
        <v>10135000</v>
      </c>
      <c r="AA1126" s="2649">
        <f t="shared" si="369"/>
        <v>36</v>
      </c>
      <c r="AB1126" s="2658">
        <f t="shared" si="372"/>
        <v>28570000</v>
      </c>
      <c r="AC1126" s="2527">
        <f t="shared" si="370"/>
        <v>50</v>
      </c>
      <c r="AD1126" s="2527">
        <f t="shared" si="371"/>
        <v>50.021885669263767</v>
      </c>
      <c r="AE1126" s="3160"/>
      <c r="AF1126" s="2813"/>
      <c r="AG1126" s="2813"/>
      <c r="AH1126" s="2813"/>
      <c r="AI1126" s="2813"/>
      <c r="AJ1126" s="2813"/>
      <c r="AK1126" s="2813"/>
      <c r="AL1126" s="2813"/>
      <c r="AM1126" s="2813"/>
      <c r="AN1126" s="2813"/>
      <c r="AO1126" s="2813"/>
      <c r="AP1126" s="2813"/>
      <c r="AQ1126" s="2813"/>
      <c r="AR1126" s="2813"/>
      <c r="AS1126" s="2813"/>
      <c r="AT1126" s="2813"/>
      <c r="AU1126" s="2813"/>
      <c r="AV1126" s="2813"/>
      <c r="AW1126" s="2813"/>
      <c r="AX1126" s="2813"/>
      <c r="AY1126" s="2813"/>
      <c r="AZ1126" s="2813"/>
      <c r="BA1126" s="2813"/>
      <c r="BB1126" s="2813"/>
      <c r="BC1126" s="2813"/>
      <c r="BD1126" s="2813"/>
      <c r="BE1126" s="2813"/>
      <c r="BF1126" s="2813"/>
      <c r="BG1126" s="2813"/>
      <c r="BH1126" s="2813"/>
      <c r="BI1126" s="2813"/>
      <c r="BJ1126" s="2813"/>
      <c r="BK1126" s="2813"/>
      <c r="BL1126" s="2813"/>
      <c r="BM1126" s="2813"/>
      <c r="BN1126" s="2813"/>
      <c r="BO1126" s="2813"/>
      <c r="BP1126" s="2813"/>
      <c r="BQ1126" s="2813"/>
      <c r="BR1126" s="2813"/>
      <c r="BS1126" s="2813"/>
      <c r="BT1126" s="2813"/>
      <c r="BU1126" s="2813"/>
      <c r="BV1126" s="2813"/>
      <c r="BW1126" s="2813"/>
      <c r="BX1126" s="2813"/>
    </row>
    <row r="1127" spans="1:76" s="2607" customFormat="1" ht="38.25" customHeight="1">
      <c r="A1127" s="2632"/>
      <c r="B1127" s="2632"/>
      <c r="C1127" s="3794"/>
      <c r="D1127" s="3794"/>
      <c r="E1127" s="3794"/>
      <c r="F1127" s="3794"/>
      <c r="G1127" s="3794"/>
      <c r="H1127" s="3794"/>
      <c r="I1127" s="2631" t="s">
        <v>206</v>
      </c>
      <c r="J1127" s="2657" t="s">
        <v>3058</v>
      </c>
      <c r="K1127" s="2349">
        <v>72</v>
      </c>
      <c r="L1127" s="2388">
        <v>326243500</v>
      </c>
      <c r="M1127" s="2382">
        <v>24</v>
      </c>
      <c r="N1127" s="2383">
        <v>101143500</v>
      </c>
      <c r="O1127" s="1396">
        <v>12</v>
      </c>
      <c r="P1127" s="2590">
        <v>45100000</v>
      </c>
      <c r="Q1127" s="2392">
        <v>3</v>
      </c>
      <c r="R1127" s="1731">
        <v>4572500</v>
      </c>
      <c r="S1127" s="2661">
        <v>6</v>
      </c>
      <c r="T1127" s="2661">
        <v>11942500</v>
      </c>
      <c r="U1127" s="2661">
        <v>3</v>
      </c>
      <c r="V1127" s="2658">
        <v>6582500</v>
      </c>
      <c r="W1127" s="2661">
        <v>0</v>
      </c>
      <c r="X1127" s="2661">
        <v>0</v>
      </c>
      <c r="Y1127" s="2668">
        <f t="shared" si="368"/>
        <v>12</v>
      </c>
      <c r="Z1127" s="2658">
        <f t="shared" si="367"/>
        <v>23097500</v>
      </c>
      <c r="AA1127" s="2649">
        <f t="shared" si="369"/>
        <v>36</v>
      </c>
      <c r="AB1127" s="2658">
        <f t="shared" si="372"/>
        <v>124241000</v>
      </c>
      <c r="AC1127" s="2527">
        <f t="shared" si="370"/>
        <v>50</v>
      </c>
      <c r="AD1127" s="2527">
        <f t="shared" si="371"/>
        <v>38.08229129469246</v>
      </c>
      <c r="AE1127" s="3160"/>
      <c r="AF1127" s="2809"/>
      <c r="AG1127" s="2809"/>
      <c r="AH1127" s="2809"/>
      <c r="AI1127" s="2809"/>
      <c r="AJ1127" s="2809"/>
      <c r="AK1127" s="2809"/>
      <c r="AL1127" s="2809"/>
      <c r="AM1127" s="2809"/>
      <c r="AN1127" s="2809"/>
      <c r="AO1127" s="2809"/>
      <c r="AP1127" s="2809"/>
      <c r="AQ1127" s="2809"/>
      <c r="AR1127" s="2809"/>
      <c r="AS1127" s="2809"/>
      <c r="AT1127" s="2809"/>
      <c r="AU1127" s="2809"/>
      <c r="AV1127" s="2809"/>
      <c r="AW1127" s="2809"/>
      <c r="AX1127" s="2809"/>
      <c r="AY1127" s="2809"/>
      <c r="AZ1127" s="2809"/>
      <c r="BA1127" s="2809"/>
      <c r="BB1127" s="2809"/>
      <c r="BC1127" s="2809"/>
      <c r="BD1127" s="2809"/>
      <c r="BE1127" s="2809"/>
      <c r="BF1127" s="2809"/>
      <c r="BG1127" s="2809"/>
      <c r="BH1127" s="2809"/>
      <c r="BI1127" s="2809"/>
      <c r="BJ1127" s="2809"/>
      <c r="BK1127" s="2809"/>
      <c r="BL1127" s="2809"/>
      <c r="BM1127" s="2809"/>
      <c r="BN1127" s="2809"/>
      <c r="BO1127" s="2809"/>
      <c r="BP1127" s="2809"/>
      <c r="BQ1127" s="2809"/>
      <c r="BR1127" s="2809"/>
      <c r="BS1127" s="2809"/>
      <c r="BT1127" s="2809"/>
      <c r="BU1127" s="2809"/>
      <c r="BV1127" s="2809"/>
      <c r="BW1127" s="2809"/>
      <c r="BX1127" s="2809"/>
    </row>
    <row r="1128" spans="1:76" s="2607" customFormat="1" ht="60.75" customHeight="1">
      <c r="A1128" s="2632"/>
      <c r="B1128" s="2632"/>
      <c r="C1128" s="3794"/>
      <c r="D1128" s="3794"/>
      <c r="E1128" s="3794"/>
      <c r="F1128" s="3794"/>
      <c r="G1128" s="3794"/>
      <c r="H1128" s="3794"/>
      <c r="I1128" s="2631" t="s">
        <v>207</v>
      </c>
      <c r="J1128" s="2657" t="s">
        <v>3059</v>
      </c>
      <c r="K1128" s="2349">
        <v>72</v>
      </c>
      <c r="L1128" s="2388">
        <f>6*P1128</f>
        <v>651000000</v>
      </c>
      <c r="M1128" s="2382">
        <v>24</v>
      </c>
      <c r="N1128" s="2383">
        <v>369685328</v>
      </c>
      <c r="O1128" s="1396">
        <v>12</v>
      </c>
      <c r="P1128" s="2590">
        <v>108500000</v>
      </c>
      <c r="Q1128" s="2392">
        <v>3</v>
      </c>
      <c r="R1128" s="1731">
        <v>7100000</v>
      </c>
      <c r="S1128" s="2661">
        <v>6</v>
      </c>
      <c r="T1128" s="2661">
        <v>23945000</v>
      </c>
      <c r="U1128" s="2661">
        <v>3</v>
      </c>
      <c r="V1128" s="2658">
        <v>37603800</v>
      </c>
      <c r="W1128" s="2661">
        <v>0</v>
      </c>
      <c r="X1128" s="2661">
        <v>0</v>
      </c>
      <c r="Y1128" s="2668">
        <f t="shared" si="368"/>
        <v>12</v>
      </c>
      <c r="Z1128" s="2658">
        <f t="shared" si="367"/>
        <v>68648800</v>
      </c>
      <c r="AA1128" s="2649">
        <f t="shared" si="369"/>
        <v>36</v>
      </c>
      <c r="AB1128" s="2658">
        <f t="shared" si="372"/>
        <v>438334128</v>
      </c>
      <c r="AC1128" s="2527">
        <f t="shared" si="370"/>
        <v>50</v>
      </c>
      <c r="AD1128" s="2527">
        <f t="shared" si="371"/>
        <v>67.332431336405534</v>
      </c>
      <c r="AE1128" s="3160"/>
      <c r="AF1128" s="2809"/>
      <c r="AG1128" s="2809"/>
      <c r="AH1128" s="2809"/>
      <c r="AI1128" s="2809"/>
      <c r="AJ1128" s="2809"/>
      <c r="AK1128" s="2809"/>
      <c r="AL1128" s="2809"/>
      <c r="AM1128" s="2809"/>
      <c r="AN1128" s="2809"/>
      <c r="AO1128" s="2809"/>
      <c r="AP1128" s="2809"/>
      <c r="AQ1128" s="2809"/>
      <c r="AR1128" s="2809"/>
      <c r="AS1128" s="2809"/>
      <c r="AT1128" s="2809"/>
      <c r="AU1128" s="2809"/>
      <c r="AV1128" s="2809"/>
      <c r="AW1128" s="2809"/>
      <c r="AX1128" s="2809"/>
      <c r="AY1128" s="2809"/>
      <c r="AZ1128" s="2809"/>
      <c r="BA1128" s="2809"/>
      <c r="BB1128" s="2809"/>
      <c r="BC1128" s="2809"/>
      <c r="BD1128" s="2809"/>
      <c r="BE1128" s="2809"/>
      <c r="BF1128" s="2809"/>
      <c r="BG1128" s="2809"/>
      <c r="BH1128" s="2809"/>
      <c r="BI1128" s="2809"/>
      <c r="BJ1128" s="2809"/>
      <c r="BK1128" s="2809"/>
      <c r="BL1128" s="2809"/>
      <c r="BM1128" s="2809"/>
      <c r="BN1128" s="2809"/>
      <c r="BO1128" s="2809"/>
      <c r="BP1128" s="2809"/>
      <c r="BQ1128" s="2809"/>
      <c r="BR1128" s="2809"/>
      <c r="BS1128" s="2809"/>
      <c r="BT1128" s="2809"/>
      <c r="BU1128" s="2809"/>
      <c r="BV1128" s="2809"/>
      <c r="BW1128" s="2809"/>
      <c r="BX1128" s="2809"/>
    </row>
    <row r="1129" spans="1:76" s="2607" customFormat="1" ht="51">
      <c r="A1129" s="2632"/>
      <c r="B1129" s="2632"/>
      <c r="C1129" s="3794"/>
      <c r="D1129" s="3794"/>
      <c r="E1129" s="3794"/>
      <c r="F1129" s="3794"/>
      <c r="G1129" s="3794"/>
      <c r="H1129" s="3794"/>
      <c r="I1129" s="2631" t="s">
        <v>208</v>
      </c>
      <c r="J1129" s="2657" t="s">
        <v>3060</v>
      </c>
      <c r="K1129" s="2349">
        <v>72</v>
      </c>
      <c r="L1129" s="2388">
        <v>424400000</v>
      </c>
      <c r="M1129" s="2382">
        <v>24</v>
      </c>
      <c r="N1129" s="2383">
        <v>176400000</v>
      </c>
      <c r="O1129" s="1396">
        <v>12</v>
      </c>
      <c r="P1129" s="2590">
        <v>60000000</v>
      </c>
      <c r="Q1129" s="2392">
        <v>3</v>
      </c>
      <c r="R1129" s="1731">
        <v>12825000</v>
      </c>
      <c r="S1129" s="2661">
        <v>6</v>
      </c>
      <c r="T1129" s="2661">
        <v>33170000</v>
      </c>
      <c r="U1129" s="2661">
        <v>3</v>
      </c>
      <c r="V1129" s="2658">
        <v>13775000</v>
      </c>
      <c r="W1129" s="2661">
        <v>0</v>
      </c>
      <c r="X1129" s="2661">
        <v>0</v>
      </c>
      <c r="Y1129" s="2668">
        <f t="shared" si="368"/>
        <v>12</v>
      </c>
      <c r="Z1129" s="2658">
        <f t="shared" si="367"/>
        <v>59770000</v>
      </c>
      <c r="AA1129" s="2649">
        <f t="shared" si="369"/>
        <v>36</v>
      </c>
      <c r="AB1129" s="2658">
        <f t="shared" si="372"/>
        <v>236170000</v>
      </c>
      <c r="AC1129" s="2527">
        <f t="shared" si="370"/>
        <v>50</v>
      </c>
      <c r="AD1129" s="2527">
        <f t="shared" si="371"/>
        <v>55.647973609802072</v>
      </c>
      <c r="AE1129" s="3160"/>
      <c r="AF1129" s="2809"/>
      <c r="AG1129" s="2809"/>
      <c r="AH1129" s="2809"/>
      <c r="AI1129" s="2809"/>
      <c r="AJ1129" s="2809"/>
      <c r="AK1129" s="2809"/>
      <c r="AL1129" s="2809"/>
      <c r="AM1129" s="2809"/>
      <c r="AN1129" s="2809"/>
      <c r="AO1129" s="2809"/>
      <c r="AP1129" s="2809"/>
      <c r="AQ1129" s="2809"/>
      <c r="AR1129" s="2809"/>
      <c r="AS1129" s="2809"/>
      <c r="AT1129" s="2809"/>
      <c r="AU1129" s="2809"/>
      <c r="AV1129" s="2809"/>
      <c r="AW1129" s="2809"/>
      <c r="AX1129" s="2809"/>
      <c r="AY1129" s="2809"/>
      <c r="AZ1129" s="2809"/>
      <c r="BA1129" s="2809"/>
      <c r="BB1129" s="2809"/>
      <c r="BC1129" s="2809"/>
      <c r="BD1129" s="2809"/>
      <c r="BE1129" s="2809"/>
      <c r="BF1129" s="2809"/>
      <c r="BG1129" s="2809"/>
      <c r="BH1129" s="2809"/>
      <c r="BI1129" s="2809"/>
      <c r="BJ1129" s="2809"/>
      <c r="BK1129" s="2809"/>
      <c r="BL1129" s="2809"/>
      <c r="BM1129" s="2809"/>
      <c r="BN1129" s="2809"/>
      <c r="BO1129" s="2809"/>
      <c r="BP1129" s="2809"/>
      <c r="BQ1129" s="2809"/>
      <c r="BR1129" s="2809"/>
      <c r="BS1129" s="2809"/>
      <c r="BT1129" s="2809"/>
      <c r="BU1129" s="2809"/>
      <c r="BV1129" s="2809"/>
      <c r="BW1129" s="2809"/>
      <c r="BX1129" s="2809"/>
    </row>
    <row r="1130" spans="1:76" s="2607" customFormat="1" ht="64.5" customHeight="1">
      <c r="A1130" s="2335">
        <v>2</v>
      </c>
      <c r="B1130" s="2335"/>
      <c r="C1130" s="3795"/>
      <c r="D1130" s="3795"/>
      <c r="E1130" s="3795"/>
      <c r="F1130" s="3795"/>
      <c r="G1130" s="3795"/>
      <c r="H1130" s="3795"/>
      <c r="I1130" s="2501" t="s">
        <v>162</v>
      </c>
      <c r="J1130" s="3153" t="s">
        <v>3393</v>
      </c>
      <c r="K1130" s="2509">
        <v>72</v>
      </c>
      <c r="L1130" s="2662">
        <f>SUM(L1131:L1133)</f>
        <v>1888510275</v>
      </c>
      <c r="M1130" s="2502">
        <v>24</v>
      </c>
      <c r="N1130" s="2662">
        <f>SUM(N1131:N1133)</f>
        <v>321598095</v>
      </c>
      <c r="O1130" s="2752">
        <v>12</v>
      </c>
      <c r="P1130" s="2662">
        <f>SUM(P1131:P1133)</f>
        <v>393301180</v>
      </c>
      <c r="Q1130" s="2667">
        <v>3</v>
      </c>
      <c r="R1130" s="2664">
        <f>SUM(R1131:R1133)</f>
        <v>37434170</v>
      </c>
      <c r="S1130" s="2665">
        <v>3</v>
      </c>
      <c r="T1130" s="2665">
        <f>SUM(T1131:T1133)</f>
        <v>28100000</v>
      </c>
      <c r="U1130" s="2665">
        <v>3</v>
      </c>
      <c r="V1130" s="2666">
        <f>SUM(V1131:V1133)</f>
        <v>151923676</v>
      </c>
      <c r="W1130" s="2665">
        <v>0</v>
      </c>
      <c r="X1130" s="2665">
        <v>0</v>
      </c>
      <c r="Y1130" s="2667">
        <f t="shared" si="368"/>
        <v>9</v>
      </c>
      <c r="Z1130" s="2666">
        <f>SUM(Z1131:Z1133)</f>
        <v>163532846</v>
      </c>
      <c r="AA1130" s="2667">
        <f t="shared" ref="AA1130:AB1132" si="373">M1130+Y1130</f>
        <v>33</v>
      </c>
      <c r="AB1130" s="2666">
        <f t="shared" si="373"/>
        <v>485130941</v>
      </c>
      <c r="AC1130" s="2663">
        <f t="shared" ref="AC1130:AD1132" si="374">AA1130/K1130*100</f>
        <v>45.833333333333329</v>
      </c>
      <c r="AD1130" s="2663">
        <f t="shared" si="374"/>
        <v>25.68855184015348</v>
      </c>
      <c r="AE1130" s="3135" t="s">
        <v>3048</v>
      </c>
      <c r="AF1130" s="2809"/>
      <c r="AG1130" s="2809"/>
      <c r="AH1130" s="2809"/>
      <c r="AI1130" s="2809"/>
      <c r="AJ1130" s="2809"/>
      <c r="AK1130" s="2809"/>
      <c r="AL1130" s="2809"/>
      <c r="AM1130" s="2809"/>
      <c r="AN1130" s="2809"/>
      <c r="AO1130" s="2809"/>
      <c r="AP1130" s="2809"/>
      <c r="AQ1130" s="2809"/>
      <c r="AR1130" s="2809"/>
      <c r="AS1130" s="2809"/>
      <c r="AT1130" s="2809"/>
      <c r="AU1130" s="2809"/>
      <c r="AV1130" s="2809"/>
      <c r="AW1130" s="2809"/>
      <c r="AX1130" s="2809"/>
      <c r="AY1130" s="2809"/>
      <c r="AZ1130" s="2809"/>
      <c r="BA1130" s="2809"/>
      <c r="BB1130" s="2809"/>
      <c r="BC1130" s="2809"/>
      <c r="BD1130" s="2809"/>
      <c r="BE1130" s="2809"/>
      <c r="BF1130" s="2809"/>
      <c r="BG1130" s="2809"/>
      <c r="BH1130" s="2809"/>
      <c r="BI1130" s="2809"/>
      <c r="BJ1130" s="2809"/>
      <c r="BK1130" s="2809"/>
      <c r="BL1130" s="2809"/>
      <c r="BM1130" s="2809"/>
      <c r="BN1130" s="2809"/>
      <c r="BO1130" s="2809"/>
      <c r="BP1130" s="2809"/>
      <c r="BQ1130" s="2809"/>
      <c r="BR1130" s="2809"/>
      <c r="BS1130" s="2809"/>
      <c r="BT1130" s="2809"/>
      <c r="BU1130" s="2809"/>
      <c r="BV1130" s="2809"/>
      <c r="BW1130" s="2809"/>
      <c r="BX1130" s="2809"/>
    </row>
    <row r="1131" spans="1:76" s="2607" customFormat="1" ht="41.25" customHeight="1">
      <c r="A1131" s="2632"/>
      <c r="B1131" s="2632"/>
      <c r="C1131" s="3794"/>
      <c r="D1131" s="3794"/>
      <c r="E1131" s="3794"/>
      <c r="F1131" s="3794"/>
      <c r="G1131" s="3794"/>
      <c r="H1131" s="3794"/>
      <c r="I1131" s="2631" t="s">
        <v>1216</v>
      </c>
      <c r="J1131" s="2659" t="s">
        <v>3061</v>
      </c>
      <c r="K1131" s="2349">
        <v>72</v>
      </c>
      <c r="L1131" s="2388">
        <v>1272953095</v>
      </c>
      <c r="M1131" s="2382">
        <v>24</v>
      </c>
      <c r="N1131" s="2383">
        <v>226739095</v>
      </c>
      <c r="O1131" s="1396">
        <v>12</v>
      </c>
      <c r="P1131" s="2286">
        <v>276214000</v>
      </c>
      <c r="Q1131" s="2392">
        <v>3</v>
      </c>
      <c r="R1131" s="1731">
        <v>37434170</v>
      </c>
      <c r="S1131" s="2661">
        <v>0</v>
      </c>
      <c r="T1131" s="2661">
        <v>0</v>
      </c>
      <c r="U1131" s="2661">
        <v>3</v>
      </c>
      <c r="V1131" s="2658">
        <v>97998676</v>
      </c>
      <c r="W1131" s="2661">
        <v>0</v>
      </c>
      <c r="X1131" s="2661">
        <v>0</v>
      </c>
      <c r="Y1131" s="2668">
        <f t="shared" si="368"/>
        <v>6</v>
      </c>
      <c r="Z1131" s="2658">
        <f t="shared" si="367"/>
        <v>135432846</v>
      </c>
      <c r="AA1131" s="2392">
        <f t="shared" si="373"/>
        <v>30</v>
      </c>
      <c r="AB1131" s="2658">
        <f t="shared" si="373"/>
        <v>362171941</v>
      </c>
      <c r="AC1131" s="2527">
        <f t="shared" si="374"/>
        <v>41.666666666666671</v>
      </c>
      <c r="AD1131" s="2527">
        <f t="shared" si="374"/>
        <v>28.451318624587657</v>
      </c>
      <c r="AE1131" s="3160"/>
      <c r="AF1131" s="2809"/>
      <c r="AG1131" s="2809"/>
      <c r="AH1131" s="2809"/>
      <c r="AI1131" s="2809"/>
      <c r="AJ1131" s="2809"/>
      <c r="AK1131" s="2809"/>
      <c r="AL1131" s="2809"/>
      <c r="AM1131" s="2809"/>
      <c r="AN1131" s="2809"/>
      <c r="AO1131" s="2809"/>
      <c r="AP1131" s="2809"/>
      <c r="AQ1131" s="2809"/>
      <c r="AR1131" s="2809"/>
      <c r="AS1131" s="2809"/>
      <c r="AT1131" s="2809"/>
      <c r="AU1131" s="2809"/>
      <c r="AV1131" s="2809"/>
      <c r="AW1131" s="2809"/>
      <c r="AX1131" s="2809"/>
      <c r="AY1131" s="2809"/>
      <c r="AZ1131" s="2809"/>
      <c r="BA1131" s="2809"/>
      <c r="BB1131" s="2809"/>
      <c r="BC1131" s="2809"/>
      <c r="BD1131" s="2809"/>
      <c r="BE1131" s="2809"/>
      <c r="BF1131" s="2809"/>
      <c r="BG1131" s="2809"/>
      <c r="BH1131" s="2809"/>
      <c r="BI1131" s="2809"/>
      <c r="BJ1131" s="2809"/>
      <c r="BK1131" s="2809"/>
      <c r="BL1131" s="2809"/>
      <c r="BM1131" s="2809"/>
      <c r="BN1131" s="2809"/>
      <c r="BO1131" s="2809"/>
      <c r="BP1131" s="2809"/>
      <c r="BQ1131" s="2809"/>
      <c r="BR1131" s="2809"/>
      <c r="BS1131" s="2809"/>
      <c r="BT1131" s="2809"/>
      <c r="BU1131" s="2809"/>
      <c r="BV1131" s="2809"/>
      <c r="BW1131" s="2809"/>
      <c r="BX1131" s="2809"/>
    </row>
    <row r="1132" spans="1:76" s="2607" customFormat="1" ht="39" customHeight="1">
      <c r="A1132" s="2632"/>
      <c r="B1132" s="2632"/>
      <c r="C1132" s="3794"/>
      <c r="D1132" s="3794"/>
      <c r="E1132" s="3794"/>
      <c r="F1132" s="3794"/>
      <c r="G1132" s="3794"/>
      <c r="H1132" s="3794"/>
      <c r="I1132" s="2631" t="s">
        <v>1563</v>
      </c>
      <c r="J1132" s="2659" t="s">
        <v>3614</v>
      </c>
      <c r="K1132" s="2349">
        <v>2</v>
      </c>
      <c r="L1132" s="2388">
        <v>150000000</v>
      </c>
      <c r="M1132" s="2382">
        <v>1</v>
      </c>
      <c r="N1132" s="2383">
        <v>16389000</v>
      </c>
      <c r="O1132" s="1396">
        <v>1</v>
      </c>
      <c r="P1132" s="2837">
        <v>30000000</v>
      </c>
      <c r="Q1132" s="2838" t="s">
        <v>154</v>
      </c>
      <c r="R1132" s="1731"/>
      <c r="S1132" s="2661">
        <v>1</v>
      </c>
      <c r="T1132" s="2661">
        <v>28100000</v>
      </c>
      <c r="U1132" s="2661">
        <v>0</v>
      </c>
      <c r="V1132" s="2658">
        <v>0</v>
      </c>
      <c r="W1132" s="2661"/>
      <c r="X1132" s="2661"/>
      <c r="Y1132" s="2668">
        <v>1</v>
      </c>
      <c r="Z1132" s="2658">
        <f t="shared" si="367"/>
        <v>28100000</v>
      </c>
      <c r="AA1132" s="2392">
        <f t="shared" si="373"/>
        <v>2</v>
      </c>
      <c r="AB1132" s="2658">
        <f t="shared" si="373"/>
        <v>44489000</v>
      </c>
      <c r="AC1132" s="2527">
        <f t="shared" si="374"/>
        <v>100</v>
      </c>
      <c r="AD1132" s="2527">
        <f t="shared" si="374"/>
        <v>29.659333333333333</v>
      </c>
      <c r="AE1132" s="3160"/>
      <c r="AF1132" s="2809"/>
      <c r="AG1132" s="2809"/>
      <c r="AH1132" s="2809"/>
      <c r="AI1132" s="2809"/>
      <c r="AJ1132" s="2809"/>
      <c r="AK1132" s="2809"/>
      <c r="AL1132" s="2809"/>
      <c r="AM1132" s="2809"/>
      <c r="AN1132" s="2809"/>
      <c r="AO1132" s="2809"/>
      <c r="AP1132" s="2809"/>
      <c r="AQ1132" s="2809"/>
      <c r="AR1132" s="2809"/>
      <c r="AS1132" s="2809"/>
      <c r="AT1132" s="2809"/>
      <c r="AU1132" s="2809"/>
      <c r="AV1132" s="2809"/>
      <c r="AW1132" s="2809"/>
      <c r="AX1132" s="2809"/>
      <c r="AY1132" s="2809"/>
      <c r="AZ1132" s="2809"/>
      <c r="BA1132" s="2809"/>
      <c r="BB1132" s="2809"/>
      <c r="BC1132" s="2809"/>
      <c r="BD1132" s="2809"/>
      <c r="BE1132" s="2809"/>
      <c r="BF1132" s="2809"/>
      <c r="BG1132" s="2809"/>
      <c r="BH1132" s="2809"/>
      <c r="BI1132" s="2809"/>
      <c r="BJ1132" s="2809"/>
      <c r="BK1132" s="2809"/>
      <c r="BL1132" s="2809"/>
      <c r="BM1132" s="2809"/>
      <c r="BN1132" s="2809"/>
      <c r="BO1132" s="2809"/>
      <c r="BP1132" s="2809"/>
      <c r="BQ1132" s="2809"/>
      <c r="BR1132" s="2809"/>
      <c r="BS1132" s="2809"/>
      <c r="BT1132" s="2809"/>
      <c r="BU1132" s="2809"/>
      <c r="BV1132" s="2809"/>
      <c r="BW1132" s="2809"/>
      <c r="BX1132" s="2809"/>
    </row>
    <row r="1133" spans="1:76" s="2607" customFormat="1" ht="37.5" customHeight="1">
      <c r="A1133" s="2632"/>
      <c r="B1133" s="2632"/>
      <c r="C1133" s="3794"/>
      <c r="D1133" s="3794"/>
      <c r="E1133" s="3794"/>
      <c r="F1133" s="3794"/>
      <c r="G1133" s="3794"/>
      <c r="H1133" s="3794"/>
      <c r="I1133" s="2631" t="s">
        <v>3615</v>
      </c>
      <c r="J1133" s="2659" t="s">
        <v>3616</v>
      </c>
      <c r="K1133" s="2349">
        <v>5</v>
      </c>
      <c r="L1133" s="2388">
        <v>465557180</v>
      </c>
      <c r="M1133" s="2382">
        <v>1</v>
      </c>
      <c r="N1133" s="2383">
        <v>78470000</v>
      </c>
      <c r="O1133" s="1396">
        <v>1</v>
      </c>
      <c r="P1133" s="2590">
        <v>87087180</v>
      </c>
      <c r="Q1133" s="2838" t="s">
        <v>154</v>
      </c>
      <c r="R1133" s="2839" t="s">
        <v>154</v>
      </c>
      <c r="S1133" s="2840" t="s">
        <v>154</v>
      </c>
      <c r="T1133" s="2661"/>
      <c r="U1133" s="2661">
        <v>1</v>
      </c>
      <c r="V1133" s="2658">
        <v>53925000</v>
      </c>
      <c r="W1133" s="2661"/>
      <c r="X1133" s="2661"/>
      <c r="Y1133" s="2841" t="s">
        <v>154</v>
      </c>
      <c r="Z1133" s="2842">
        <v>0</v>
      </c>
      <c r="AA1133" s="2843">
        <v>1</v>
      </c>
      <c r="AB1133" s="2658">
        <v>78470000</v>
      </c>
      <c r="AC1133" s="2844" t="s">
        <v>3617</v>
      </c>
      <c r="AD1133" s="2845" t="s">
        <v>3618</v>
      </c>
      <c r="AE1133" s="3160"/>
      <c r="AF1133" s="2809"/>
      <c r="AG1133" s="2809"/>
      <c r="AH1133" s="2809"/>
      <c r="AI1133" s="2809"/>
      <c r="AJ1133" s="2809"/>
      <c r="AK1133" s="2809"/>
      <c r="AL1133" s="2809"/>
      <c r="AM1133" s="2809"/>
      <c r="AN1133" s="2809"/>
      <c r="AO1133" s="2809"/>
      <c r="AP1133" s="2809"/>
      <c r="AQ1133" s="2809"/>
      <c r="AR1133" s="2809"/>
      <c r="AS1133" s="2809"/>
      <c r="AT1133" s="2809"/>
      <c r="AU1133" s="2809"/>
      <c r="AV1133" s="2809"/>
      <c r="AW1133" s="2809"/>
      <c r="AX1133" s="2809"/>
      <c r="AY1133" s="2809"/>
      <c r="AZ1133" s="2809"/>
      <c r="BA1133" s="2809"/>
      <c r="BB1133" s="2809"/>
      <c r="BC1133" s="2809"/>
      <c r="BD1133" s="2809"/>
      <c r="BE1133" s="2809"/>
      <c r="BF1133" s="2809"/>
      <c r="BG1133" s="2809"/>
      <c r="BH1133" s="2809"/>
      <c r="BI1133" s="2809"/>
      <c r="BJ1133" s="2809"/>
      <c r="BK1133" s="2809"/>
      <c r="BL1133" s="2809"/>
      <c r="BM1133" s="2809"/>
      <c r="BN1133" s="2809"/>
      <c r="BO1133" s="2809"/>
      <c r="BP1133" s="2809"/>
      <c r="BQ1133" s="2809"/>
      <c r="BR1133" s="2809"/>
      <c r="BS1133" s="2809"/>
      <c r="BT1133" s="2809"/>
      <c r="BU1133" s="2809"/>
      <c r="BV1133" s="2809"/>
      <c r="BW1133" s="2809"/>
      <c r="BX1133" s="2809"/>
    </row>
    <row r="1134" spans="1:76" s="2606" customFormat="1" ht="61.5" customHeight="1">
      <c r="A1134" s="2501">
        <v>3</v>
      </c>
      <c r="B1134" s="2669"/>
      <c r="C1134" s="2670"/>
      <c r="D1134" s="2670"/>
      <c r="E1134" s="2670"/>
      <c r="F1134" s="2670"/>
      <c r="G1134" s="2670"/>
      <c r="H1134" s="2670"/>
      <c r="I1134" s="2501" t="s">
        <v>3062</v>
      </c>
      <c r="J1134" s="3153" t="s">
        <v>1227</v>
      </c>
      <c r="K1134" s="2509">
        <v>100</v>
      </c>
      <c r="L1134" s="2609">
        <f>SUM(L1135:L1137)</f>
        <v>868981100</v>
      </c>
      <c r="M1134" s="2509">
        <v>40</v>
      </c>
      <c r="N1134" s="2609">
        <f>SUM(N1135:N1137)</f>
        <v>52360700</v>
      </c>
      <c r="O1134" s="2509">
        <v>20</v>
      </c>
      <c r="P1134" s="2662">
        <f>SUM(P1135:P1137)</f>
        <v>218531800</v>
      </c>
      <c r="Q1134" s="2671">
        <v>5</v>
      </c>
      <c r="R1134" s="2664">
        <f>SUM(R1135:R1137)</f>
        <v>1100000</v>
      </c>
      <c r="S1134" s="2665">
        <v>5</v>
      </c>
      <c r="T1134" s="2665">
        <f>SUM(T1135:T1137)</f>
        <v>28991800</v>
      </c>
      <c r="U1134" s="2665">
        <v>5</v>
      </c>
      <c r="V1134" s="2666">
        <f>SUM(V1135:V1137)</f>
        <v>15473000</v>
      </c>
      <c r="W1134" s="2665">
        <v>0</v>
      </c>
      <c r="X1134" s="2665">
        <v>0</v>
      </c>
      <c r="Y1134" s="2663">
        <f t="shared" si="368"/>
        <v>15</v>
      </c>
      <c r="Z1134" s="2666">
        <f>SUM(Z1135:Z1137)</f>
        <v>36376300</v>
      </c>
      <c r="AA1134" s="2663">
        <f t="shared" ref="AA1134:AB1137" si="375">M1134+Y1134</f>
        <v>55</v>
      </c>
      <c r="AB1134" s="2666">
        <f>SUM(AB1135:AB1137)</f>
        <v>88737000</v>
      </c>
      <c r="AC1134" s="2663">
        <f t="shared" ref="AC1134:AD1137" si="376">AA1134/K1134*100</f>
        <v>55.000000000000007</v>
      </c>
      <c r="AD1134" s="2663">
        <f t="shared" si="376"/>
        <v>10.211614498865396</v>
      </c>
      <c r="AE1134" s="3135" t="s">
        <v>3048</v>
      </c>
      <c r="AF1134" s="2647"/>
      <c r="AG1134" s="2647"/>
      <c r="AH1134" s="2647"/>
      <c r="AI1134" s="2647"/>
      <c r="AJ1134" s="2647"/>
      <c r="AK1134" s="2647"/>
      <c r="AL1134" s="2647"/>
      <c r="AM1134" s="2647"/>
      <c r="AN1134" s="2647"/>
      <c r="AO1134" s="2647"/>
      <c r="AP1134" s="2647"/>
      <c r="AQ1134" s="2647"/>
      <c r="AR1134" s="2647"/>
      <c r="AS1134" s="2647"/>
      <c r="AT1134" s="2647"/>
      <c r="AU1134" s="2647"/>
      <c r="AV1134" s="2647"/>
      <c r="AW1134" s="2647"/>
      <c r="AX1134" s="2647"/>
      <c r="AY1134" s="2647"/>
      <c r="AZ1134" s="2647"/>
      <c r="BA1134" s="2647"/>
      <c r="BB1134" s="2647"/>
      <c r="BC1134" s="2647"/>
      <c r="BD1134" s="2647"/>
      <c r="BE1134" s="2647"/>
      <c r="BF1134" s="2647"/>
      <c r="BG1134" s="2647"/>
      <c r="BH1134" s="2647"/>
      <c r="BI1134" s="2647"/>
      <c r="BJ1134" s="2647"/>
      <c r="BK1134" s="2647"/>
      <c r="BL1134" s="2647"/>
      <c r="BM1134" s="2647"/>
      <c r="BN1134" s="2647"/>
      <c r="BO1134" s="2647"/>
      <c r="BP1134" s="2647"/>
      <c r="BQ1134" s="2647"/>
      <c r="BR1134" s="2647"/>
      <c r="BS1134" s="2647"/>
      <c r="BT1134" s="2647"/>
      <c r="BU1134" s="2647"/>
      <c r="BV1134" s="2647"/>
      <c r="BW1134" s="2647"/>
      <c r="BX1134" s="2647"/>
    </row>
    <row r="1135" spans="1:76" s="2321" customFormat="1" ht="63.75">
      <c r="A1135" s="2632"/>
      <c r="B1135" s="2632"/>
      <c r="C1135" s="3794"/>
      <c r="D1135" s="3794"/>
      <c r="E1135" s="3794"/>
      <c r="F1135" s="3794"/>
      <c r="G1135" s="3794"/>
      <c r="H1135" s="3794"/>
      <c r="I1135" s="2632" t="s">
        <v>642</v>
      </c>
      <c r="J1135" s="2632" t="s">
        <v>3063</v>
      </c>
      <c r="K1135" s="2349">
        <v>72</v>
      </c>
      <c r="L1135" s="2388">
        <v>474423200</v>
      </c>
      <c r="M1135" s="2382">
        <v>24</v>
      </c>
      <c r="N1135" s="2383">
        <v>52360700</v>
      </c>
      <c r="O1135" s="1396">
        <v>12</v>
      </c>
      <c r="P1135" s="2590">
        <v>84562500</v>
      </c>
      <c r="Q1135" s="2649">
        <v>3</v>
      </c>
      <c r="R1135" s="1388">
        <v>0</v>
      </c>
      <c r="S1135" s="2661">
        <v>6</v>
      </c>
      <c r="T1135" s="2661">
        <v>9019600</v>
      </c>
      <c r="U1135" s="2661">
        <v>3</v>
      </c>
      <c r="V1135" s="2658">
        <v>4454000</v>
      </c>
      <c r="W1135" s="2661">
        <v>0</v>
      </c>
      <c r="X1135" s="2661">
        <v>0</v>
      </c>
      <c r="Y1135" s="3046">
        <f t="shared" si="368"/>
        <v>12</v>
      </c>
      <c r="Z1135" s="2658">
        <f t="shared" si="367"/>
        <v>13473600</v>
      </c>
      <c r="AA1135" s="2649">
        <f t="shared" si="375"/>
        <v>36</v>
      </c>
      <c r="AB1135" s="2658">
        <f t="shared" si="375"/>
        <v>65834300</v>
      </c>
      <c r="AC1135" s="2527">
        <f t="shared" si="376"/>
        <v>50</v>
      </c>
      <c r="AD1135" s="2527">
        <f t="shared" si="376"/>
        <v>13.876703331540281</v>
      </c>
      <c r="AE1135" s="390"/>
      <c r="AF1135" s="2320"/>
      <c r="AG1135" s="2320"/>
      <c r="AH1135" s="2320"/>
      <c r="AI1135" s="2320"/>
      <c r="AJ1135" s="2320"/>
      <c r="AK1135" s="2320"/>
      <c r="AL1135" s="2320"/>
      <c r="AM1135" s="2320"/>
      <c r="AN1135" s="2320"/>
      <c r="AO1135" s="2320"/>
      <c r="AP1135" s="2320"/>
      <c r="AQ1135" s="2320"/>
      <c r="AR1135" s="2320"/>
      <c r="AS1135" s="2320"/>
      <c r="AT1135" s="2320"/>
      <c r="AU1135" s="2320"/>
      <c r="AV1135" s="2320"/>
      <c r="AW1135" s="2320"/>
      <c r="AX1135" s="2320"/>
      <c r="AY1135" s="2320"/>
      <c r="AZ1135" s="2320"/>
      <c r="BA1135" s="2320"/>
      <c r="BB1135" s="2320"/>
      <c r="BC1135" s="2320"/>
      <c r="BD1135" s="2320"/>
      <c r="BE1135" s="2320"/>
      <c r="BF1135" s="2320"/>
      <c r="BG1135" s="2320"/>
      <c r="BH1135" s="2320"/>
      <c r="BI1135" s="2320"/>
      <c r="BJ1135" s="2320"/>
      <c r="BK1135" s="2320"/>
      <c r="BL1135" s="2320"/>
      <c r="BM1135" s="2320"/>
      <c r="BN1135" s="2320"/>
      <c r="BO1135" s="2320"/>
      <c r="BP1135" s="2320"/>
      <c r="BQ1135" s="2320"/>
      <c r="BR1135" s="2320"/>
      <c r="BS1135" s="2320"/>
      <c r="BT1135" s="2320"/>
      <c r="BU1135" s="2320"/>
      <c r="BV1135" s="2320"/>
      <c r="BW1135" s="2320"/>
      <c r="BX1135" s="2320"/>
    </row>
    <row r="1136" spans="1:76" s="2321" customFormat="1" ht="59.25" customHeight="1">
      <c r="A1136" s="2632"/>
      <c r="B1136" s="2632"/>
      <c r="C1136" s="3794"/>
      <c r="D1136" s="3794"/>
      <c r="E1136" s="3794"/>
      <c r="F1136" s="3794"/>
      <c r="G1136" s="3794"/>
      <c r="H1136" s="3794"/>
      <c r="I1136" s="2632" t="s">
        <v>2979</v>
      </c>
      <c r="J1136" s="2632" t="s">
        <v>3064</v>
      </c>
      <c r="K1136" s="2349">
        <v>14</v>
      </c>
      <c r="L1136" s="2388">
        <v>161175000</v>
      </c>
      <c r="M1136" s="2382">
        <v>0</v>
      </c>
      <c r="N1136" s="2383">
        <v>0</v>
      </c>
      <c r="O1136" s="1396">
        <v>8</v>
      </c>
      <c r="P1136" s="2590">
        <v>56175000</v>
      </c>
      <c r="Q1136" s="2649">
        <v>0</v>
      </c>
      <c r="R1136" s="1388">
        <v>0</v>
      </c>
      <c r="S1136" s="2661">
        <v>1</v>
      </c>
      <c r="T1136" s="2661">
        <v>580000</v>
      </c>
      <c r="U1136" s="2661">
        <v>2</v>
      </c>
      <c r="V1136" s="2658">
        <v>1830500</v>
      </c>
      <c r="W1136" s="2661">
        <v>0</v>
      </c>
      <c r="X1136" s="2661">
        <v>0</v>
      </c>
      <c r="Y1136" s="3046">
        <f t="shared" si="368"/>
        <v>3</v>
      </c>
      <c r="Z1136" s="2658">
        <f t="shared" si="367"/>
        <v>2410500</v>
      </c>
      <c r="AA1136" s="2649">
        <f t="shared" si="375"/>
        <v>3</v>
      </c>
      <c r="AB1136" s="2658">
        <f t="shared" si="375"/>
        <v>2410500</v>
      </c>
      <c r="AC1136" s="2527">
        <f t="shared" si="376"/>
        <v>21.428571428571427</v>
      </c>
      <c r="AD1136" s="2527">
        <f t="shared" si="376"/>
        <v>1.4955793392275476</v>
      </c>
      <c r="AE1136" s="390"/>
      <c r="AF1136" s="2320"/>
      <c r="AG1136" s="2320"/>
      <c r="AH1136" s="2320"/>
      <c r="AI1136" s="2320"/>
      <c r="AJ1136" s="2320"/>
      <c r="AK1136" s="2320"/>
      <c r="AL1136" s="2320"/>
      <c r="AM1136" s="2320"/>
      <c r="AN1136" s="2320"/>
      <c r="AO1136" s="2320"/>
      <c r="AP1136" s="2320"/>
      <c r="AQ1136" s="2320"/>
      <c r="AR1136" s="2320"/>
      <c r="AS1136" s="2320"/>
      <c r="AT1136" s="2320"/>
      <c r="AU1136" s="2320"/>
      <c r="AV1136" s="2320"/>
      <c r="AW1136" s="2320"/>
      <c r="AX1136" s="2320"/>
      <c r="AY1136" s="2320"/>
      <c r="AZ1136" s="2320"/>
      <c r="BA1136" s="2320"/>
      <c r="BB1136" s="2320"/>
      <c r="BC1136" s="2320"/>
      <c r="BD1136" s="2320"/>
      <c r="BE1136" s="2320"/>
      <c r="BF1136" s="2320"/>
      <c r="BG1136" s="2320"/>
      <c r="BH1136" s="2320"/>
      <c r="BI1136" s="2320"/>
      <c r="BJ1136" s="2320"/>
      <c r="BK1136" s="2320"/>
      <c r="BL1136" s="2320"/>
      <c r="BM1136" s="2320"/>
      <c r="BN1136" s="2320"/>
      <c r="BO1136" s="2320"/>
      <c r="BP1136" s="2320"/>
      <c r="BQ1136" s="2320"/>
      <c r="BR1136" s="2320"/>
      <c r="BS1136" s="2320"/>
      <c r="BT1136" s="2320"/>
      <c r="BU1136" s="2320"/>
      <c r="BV1136" s="2320"/>
      <c r="BW1136" s="2320"/>
      <c r="BX1136" s="2320"/>
    </row>
    <row r="1137" spans="1:76" s="2321" customFormat="1" ht="51">
      <c r="A1137" s="2632"/>
      <c r="B1137" s="2632"/>
      <c r="C1137" s="3794"/>
      <c r="D1137" s="3794"/>
      <c r="E1137" s="3794"/>
      <c r="F1137" s="3794"/>
      <c r="G1137" s="3794"/>
      <c r="H1137" s="3794"/>
      <c r="I1137" s="2632" t="s">
        <v>3065</v>
      </c>
      <c r="J1137" s="2632" t="s">
        <v>3066</v>
      </c>
      <c r="K1137" s="2349">
        <v>18</v>
      </c>
      <c r="L1137" s="2388">
        <f>3*P1137</f>
        <v>233382900</v>
      </c>
      <c r="M1137" s="2382">
        <v>0</v>
      </c>
      <c r="N1137" s="2383">
        <v>0</v>
      </c>
      <c r="O1137" s="1396">
        <v>3</v>
      </c>
      <c r="P1137" s="2590">
        <v>77794300</v>
      </c>
      <c r="Q1137" s="2649">
        <v>0</v>
      </c>
      <c r="R1137" s="1731">
        <v>1100000</v>
      </c>
      <c r="S1137" s="2661">
        <v>0</v>
      </c>
      <c r="T1137" s="2661">
        <v>19392200</v>
      </c>
      <c r="U1137" s="2661">
        <v>0</v>
      </c>
      <c r="V1137" s="2658">
        <v>9188500</v>
      </c>
      <c r="W1137" s="2661">
        <v>0</v>
      </c>
      <c r="X1137" s="2661">
        <v>0</v>
      </c>
      <c r="Y1137" s="3046">
        <f t="shared" si="368"/>
        <v>0</v>
      </c>
      <c r="Z1137" s="2658">
        <f>R1137+T1137</f>
        <v>20492200</v>
      </c>
      <c r="AA1137" s="2649">
        <f t="shared" si="375"/>
        <v>0</v>
      </c>
      <c r="AB1137" s="2658">
        <f t="shared" si="375"/>
        <v>20492200</v>
      </c>
      <c r="AC1137" s="2527">
        <f t="shared" si="376"/>
        <v>0</v>
      </c>
      <c r="AD1137" s="2527">
        <f t="shared" si="376"/>
        <v>8.7805061981833283</v>
      </c>
      <c r="AE1137" s="3160"/>
      <c r="AF1137" s="2320"/>
      <c r="AG1137" s="2320"/>
      <c r="AH1137" s="2320"/>
      <c r="AI1137" s="2320"/>
      <c r="AJ1137" s="2320"/>
      <c r="AK1137" s="2320"/>
      <c r="AL1137" s="2320"/>
      <c r="AM1137" s="2320"/>
      <c r="AN1137" s="2320"/>
      <c r="AO1137" s="2320"/>
      <c r="AP1137" s="2320"/>
      <c r="AQ1137" s="2320"/>
      <c r="AR1137" s="2320"/>
      <c r="AS1137" s="2320"/>
      <c r="AT1137" s="2320"/>
      <c r="AU1137" s="2320"/>
      <c r="AV1137" s="2320"/>
      <c r="AW1137" s="2320"/>
      <c r="AX1137" s="2320"/>
      <c r="AY1137" s="2320"/>
      <c r="AZ1137" s="2320"/>
      <c r="BA1137" s="2320"/>
      <c r="BB1137" s="2320"/>
      <c r="BC1137" s="2320"/>
      <c r="BD1137" s="2320"/>
      <c r="BE1137" s="2320"/>
      <c r="BF1137" s="2320"/>
      <c r="BG1137" s="2320"/>
      <c r="BH1137" s="2320"/>
      <c r="BI1137" s="2320"/>
      <c r="BJ1137" s="2320"/>
      <c r="BK1137" s="2320"/>
      <c r="BL1137" s="2320"/>
      <c r="BM1137" s="2320"/>
      <c r="BN1137" s="2320"/>
      <c r="BO1137" s="2320"/>
      <c r="BP1137" s="2320"/>
      <c r="BQ1137" s="2320"/>
      <c r="BR1137" s="2320"/>
      <c r="BS1137" s="2320"/>
      <c r="BT1137" s="2320"/>
      <c r="BU1137" s="2320"/>
      <c r="BV1137" s="2320"/>
      <c r="BW1137" s="2320"/>
      <c r="BX1137" s="2320"/>
    </row>
    <row r="1138" spans="1:76" s="2321" customFormat="1" ht="48.75" customHeight="1">
      <c r="A1138" s="2549">
        <v>4</v>
      </c>
      <c r="B1138" s="2335"/>
      <c r="C1138" s="3795"/>
      <c r="D1138" s="3795"/>
      <c r="E1138" s="3795"/>
      <c r="F1138" s="3795"/>
      <c r="G1138" s="3795"/>
      <c r="H1138" s="3795"/>
      <c r="I1138" s="2501" t="s">
        <v>3067</v>
      </c>
      <c r="J1138" s="3153" t="s">
        <v>3068</v>
      </c>
      <c r="K1138" s="2545">
        <v>90511</v>
      </c>
      <c r="L1138" s="3047">
        <f>SUM(L1139)</f>
        <v>638823850</v>
      </c>
      <c r="M1138" s="2663">
        <v>24924.23</v>
      </c>
      <c r="N1138" s="2609">
        <f>SUM(N1139)</f>
        <v>154610936</v>
      </c>
      <c r="O1138" s="2545">
        <v>14505</v>
      </c>
      <c r="P1138" s="2609">
        <f>SUM(P1139)</f>
        <v>212456500</v>
      </c>
      <c r="Q1138" s="2663">
        <v>3178.5</v>
      </c>
      <c r="R1138" s="2665">
        <f>SUM(R1139)</f>
        <v>17739375</v>
      </c>
      <c r="S1138" s="3048">
        <v>0</v>
      </c>
      <c r="T1138" s="2665">
        <f>SUM(T1139)</f>
        <v>43304175</v>
      </c>
      <c r="U1138" s="2665">
        <v>4449.9799999999996</v>
      </c>
      <c r="V1138" s="2666">
        <f>SUM(V1139)</f>
        <v>76518800</v>
      </c>
      <c r="W1138" s="2665">
        <v>0</v>
      </c>
      <c r="X1138" s="2665">
        <f>SUM(X1139)</f>
        <v>0</v>
      </c>
      <c r="Y1138" s="2667">
        <f t="shared" si="368"/>
        <v>7628.48</v>
      </c>
      <c r="Z1138" s="2666">
        <f>SUM(Z1139)</f>
        <v>137562350</v>
      </c>
      <c r="AA1138" s="2667">
        <f t="shared" ref="AA1138:AA1145" si="377">M1138+Y1138</f>
        <v>32552.71</v>
      </c>
      <c r="AB1138" s="2666">
        <f>SUM(AB1139)</f>
        <v>292173286</v>
      </c>
      <c r="AC1138" s="2663">
        <f t="shared" ref="AC1138:AC1145" si="378">AA1138/K1138*100</f>
        <v>35.965473809813169</v>
      </c>
      <c r="AD1138" s="2663">
        <f t="shared" ref="AD1138:AD1145" si="379">AB1138/L1138*100</f>
        <v>45.736126789881119</v>
      </c>
      <c r="AE1138" s="3138" t="s">
        <v>3048</v>
      </c>
      <c r="AF1138" s="2320"/>
      <c r="AG1138" s="2320"/>
      <c r="AH1138" s="2320"/>
      <c r="AI1138" s="2320"/>
      <c r="AJ1138" s="2320"/>
      <c r="AK1138" s="2320"/>
      <c r="AL1138" s="2320"/>
      <c r="AM1138" s="2320"/>
      <c r="AN1138" s="2320"/>
      <c r="AO1138" s="2320"/>
      <c r="AP1138" s="2320"/>
      <c r="AQ1138" s="2320"/>
      <c r="AR1138" s="2320"/>
      <c r="AS1138" s="2320"/>
      <c r="AT1138" s="2320"/>
      <c r="AU1138" s="2320"/>
      <c r="AV1138" s="2320"/>
      <c r="AW1138" s="2320"/>
      <c r="AX1138" s="2320"/>
      <c r="AY1138" s="2320"/>
      <c r="AZ1138" s="2320"/>
      <c r="BA1138" s="2320"/>
      <c r="BB1138" s="2320"/>
      <c r="BC1138" s="2320"/>
      <c r="BD1138" s="2320"/>
      <c r="BE1138" s="2320"/>
      <c r="BF1138" s="2320"/>
      <c r="BG1138" s="2320"/>
      <c r="BH1138" s="2320"/>
      <c r="BI1138" s="2320"/>
      <c r="BJ1138" s="2320"/>
      <c r="BK1138" s="2320"/>
      <c r="BL1138" s="2320"/>
      <c r="BM1138" s="2320"/>
      <c r="BN1138" s="2320"/>
      <c r="BO1138" s="2320"/>
      <c r="BP1138" s="2320"/>
      <c r="BQ1138" s="2320"/>
      <c r="BR1138" s="2320"/>
      <c r="BS1138" s="2320"/>
      <c r="BT1138" s="2320"/>
      <c r="BU1138" s="2320"/>
      <c r="BV1138" s="2320"/>
      <c r="BW1138" s="2320"/>
      <c r="BX1138" s="2320"/>
    </row>
    <row r="1139" spans="1:76" s="2321" customFormat="1" ht="48.75" customHeight="1">
      <c r="A1139" s="1785"/>
      <c r="B1139" s="2632"/>
      <c r="C1139" s="3794"/>
      <c r="D1139" s="3794"/>
      <c r="E1139" s="3794"/>
      <c r="F1139" s="3794"/>
      <c r="G1139" s="3794"/>
      <c r="H1139" s="3794"/>
      <c r="I1139" s="1386" t="s">
        <v>3696</v>
      </c>
      <c r="J1139" s="2516" t="s">
        <v>3069</v>
      </c>
      <c r="K1139" s="2349">
        <v>72</v>
      </c>
      <c r="L1139" s="2388">
        <v>638823850</v>
      </c>
      <c r="M1139" s="2349">
        <v>24</v>
      </c>
      <c r="N1139" s="2387">
        <v>154610936</v>
      </c>
      <c r="O1139" s="2660">
        <v>12</v>
      </c>
      <c r="P1139" s="2295">
        <v>212456500</v>
      </c>
      <c r="Q1139" s="2649">
        <v>3</v>
      </c>
      <c r="R1139" s="1731">
        <v>17739375</v>
      </c>
      <c r="S1139" s="3049">
        <v>6</v>
      </c>
      <c r="T1139" s="2661">
        <v>43304175</v>
      </c>
      <c r="U1139" s="2661">
        <v>3</v>
      </c>
      <c r="V1139" s="2658">
        <v>76518800</v>
      </c>
      <c r="W1139" s="2661">
        <v>0</v>
      </c>
      <c r="X1139" s="2661">
        <v>0</v>
      </c>
      <c r="Y1139" s="3046">
        <f t="shared" si="368"/>
        <v>12</v>
      </c>
      <c r="Z1139" s="2658">
        <f>R1139+T1139+V1139</f>
        <v>137562350</v>
      </c>
      <c r="AA1139" s="2649">
        <f t="shared" si="377"/>
        <v>36</v>
      </c>
      <c r="AB1139" s="2658">
        <f t="shared" ref="AB1139:AB1145" si="380">N1139+Z1139</f>
        <v>292173286</v>
      </c>
      <c r="AC1139" s="2527">
        <f t="shared" si="378"/>
        <v>50</v>
      </c>
      <c r="AD1139" s="2527">
        <f t="shared" si="379"/>
        <v>45.736126789881119</v>
      </c>
      <c r="AE1139" s="390"/>
      <c r="AF1139" s="2320"/>
      <c r="AG1139" s="2320"/>
      <c r="AH1139" s="2320"/>
      <c r="AI1139" s="2320"/>
      <c r="AJ1139" s="2320"/>
      <c r="AK1139" s="2320"/>
      <c r="AL1139" s="2320"/>
      <c r="AM1139" s="2320"/>
      <c r="AN1139" s="2320"/>
      <c r="AO1139" s="2320"/>
      <c r="AP1139" s="2320"/>
      <c r="AQ1139" s="2320"/>
      <c r="AR1139" s="2320"/>
      <c r="AS1139" s="2320"/>
      <c r="AT1139" s="2320"/>
      <c r="AU1139" s="2320"/>
      <c r="AV1139" s="2320"/>
      <c r="AW1139" s="2320"/>
      <c r="AX1139" s="2320"/>
      <c r="AY1139" s="2320"/>
      <c r="AZ1139" s="2320"/>
      <c r="BA1139" s="2320"/>
      <c r="BB1139" s="2320"/>
      <c r="BC1139" s="2320"/>
      <c r="BD1139" s="2320"/>
      <c r="BE1139" s="2320"/>
      <c r="BF1139" s="2320"/>
      <c r="BG1139" s="2320"/>
      <c r="BH1139" s="2320"/>
      <c r="BI1139" s="2320"/>
      <c r="BJ1139" s="2320"/>
      <c r="BK1139" s="2320"/>
      <c r="BL1139" s="2320"/>
      <c r="BM1139" s="2320"/>
      <c r="BN1139" s="2320"/>
      <c r="BO1139" s="2320"/>
      <c r="BP1139" s="2320"/>
      <c r="BQ1139" s="2320"/>
      <c r="BR1139" s="2320"/>
      <c r="BS1139" s="2320"/>
      <c r="BT1139" s="2320"/>
      <c r="BU1139" s="2320"/>
      <c r="BV1139" s="2320"/>
      <c r="BW1139" s="2320"/>
      <c r="BX1139" s="2320"/>
    </row>
    <row r="1140" spans="1:76" s="2321" customFormat="1" ht="48.75" customHeight="1">
      <c r="A1140" s="2549">
        <v>5</v>
      </c>
      <c r="B1140" s="2345"/>
      <c r="C1140" s="2874"/>
      <c r="D1140" s="2874"/>
      <c r="E1140" s="2874"/>
      <c r="F1140" s="2874"/>
      <c r="G1140" s="2874"/>
      <c r="H1140" s="2874"/>
      <c r="I1140" s="2335" t="s">
        <v>3070</v>
      </c>
      <c r="J1140" s="3998" t="s">
        <v>3071</v>
      </c>
      <c r="K1140" s="2442">
        <v>291080</v>
      </c>
      <c r="L1140" s="2442">
        <v>20229567550</v>
      </c>
      <c r="M1140" s="2442">
        <v>71508.19</v>
      </c>
      <c r="N1140" s="2523">
        <v>3167990120</v>
      </c>
      <c r="O1140" s="2568">
        <v>39440</v>
      </c>
      <c r="P1140" s="2568">
        <f>SUM(P1141:P1143)</f>
        <v>3597181200</v>
      </c>
      <c r="Q1140" s="2597">
        <v>8111.3</v>
      </c>
      <c r="R1140" s="2340">
        <f>SUM(R1141:R1143)</f>
        <v>3674500</v>
      </c>
      <c r="S1140" s="3054">
        <v>0</v>
      </c>
      <c r="T1140" s="4013">
        <v>713086980</v>
      </c>
      <c r="U1140" s="4013">
        <v>12974.53</v>
      </c>
      <c r="V1140" s="4006">
        <f>SUM(V1141:V1143)</f>
        <v>1631968370</v>
      </c>
      <c r="W1140" s="4013">
        <v>0</v>
      </c>
      <c r="X1140" s="4013">
        <f>SUM(X1141:X1143)</f>
        <v>0</v>
      </c>
      <c r="Y1140" s="2596">
        <f t="shared" si="368"/>
        <v>21085.83</v>
      </c>
      <c r="Z1140" s="4006">
        <f>SUM(Z1141:Z1143)</f>
        <v>2348729850</v>
      </c>
      <c r="AA1140" s="2596">
        <f t="shared" si="377"/>
        <v>92594.02</v>
      </c>
      <c r="AB1140" s="4006">
        <f>SUM(AB1141:AB1143)</f>
        <v>4734209500</v>
      </c>
      <c r="AC1140" s="2597">
        <f t="shared" si="378"/>
        <v>31.810505702899551</v>
      </c>
      <c r="AD1140" s="2597">
        <f t="shared" si="379"/>
        <v>23.402425624268968</v>
      </c>
      <c r="AE1140" s="3997" t="s">
        <v>3048</v>
      </c>
      <c r="AF1140" s="2320"/>
      <c r="AG1140" s="2320"/>
      <c r="AH1140" s="2320"/>
      <c r="AI1140" s="2320"/>
      <c r="AJ1140" s="2320"/>
      <c r="AK1140" s="2320"/>
      <c r="AL1140" s="2320"/>
      <c r="AM1140" s="2320"/>
      <c r="AN1140" s="2320"/>
      <c r="AO1140" s="2320"/>
      <c r="AP1140" s="2320"/>
      <c r="AQ1140" s="2320"/>
      <c r="AR1140" s="2320"/>
      <c r="AS1140" s="2320"/>
      <c r="AT1140" s="2320"/>
      <c r="AU1140" s="2320"/>
      <c r="AV1140" s="2320"/>
      <c r="AW1140" s="2320"/>
      <c r="AX1140" s="2320"/>
      <c r="AY1140" s="2320"/>
      <c r="AZ1140" s="2320"/>
      <c r="BA1140" s="2320"/>
      <c r="BB1140" s="2320"/>
      <c r="BC1140" s="2320"/>
      <c r="BD1140" s="2320"/>
      <c r="BE1140" s="2320"/>
      <c r="BF1140" s="2320"/>
      <c r="BG1140" s="2320"/>
      <c r="BH1140" s="2320"/>
      <c r="BI1140" s="2320"/>
      <c r="BJ1140" s="2320"/>
      <c r="BK1140" s="2320"/>
      <c r="BL1140" s="2320"/>
      <c r="BM1140" s="2320"/>
      <c r="BN1140" s="2320"/>
      <c r="BO1140" s="2320"/>
      <c r="BP1140" s="2320"/>
      <c r="BQ1140" s="2320"/>
      <c r="BR1140" s="2320"/>
      <c r="BS1140" s="2320"/>
      <c r="BT1140" s="2320"/>
      <c r="BU1140" s="2320"/>
      <c r="BV1140" s="2320"/>
      <c r="BW1140" s="2320"/>
      <c r="BX1140" s="2320"/>
    </row>
    <row r="1141" spans="1:76" s="2321" customFormat="1" ht="87" customHeight="1">
      <c r="A1141" s="1785"/>
      <c r="B1141" s="2632"/>
      <c r="C1141" s="3794"/>
      <c r="D1141" s="3794"/>
      <c r="E1141" s="3794"/>
      <c r="F1141" s="3794"/>
      <c r="G1141" s="3794"/>
      <c r="H1141" s="3794"/>
      <c r="I1141" s="3050" t="s">
        <v>3072</v>
      </c>
      <c r="J1141" s="233" t="s">
        <v>3073</v>
      </c>
      <c r="K1141" s="2660">
        <v>10</v>
      </c>
      <c r="L1141" s="2387">
        <v>10149080000</v>
      </c>
      <c r="M1141" s="2527">
        <v>1</v>
      </c>
      <c r="N1141" s="2383">
        <v>1340607400</v>
      </c>
      <c r="O1141" s="2590">
        <v>6</v>
      </c>
      <c r="P1141" s="2286">
        <v>1887381000</v>
      </c>
      <c r="Q1141" s="3051">
        <v>0</v>
      </c>
      <c r="R1141" s="1731">
        <v>2307300</v>
      </c>
      <c r="S1141" s="1731">
        <v>1</v>
      </c>
      <c r="T1141" s="1731">
        <v>287248980</v>
      </c>
      <c r="U1141" s="1731">
        <v>4</v>
      </c>
      <c r="V1141" s="2304">
        <v>647439520</v>
      </c>
      <c r="W1141" s="1731">
        <v>0</v>
      </c>
      <c r="X1141" s="1731">
        <v>0</v>
      </c>
      <c r="Y1141" s="3046">
        <f t="shared" si="368"/>
        <v>5</v>
      </c>
      <c r="Z1141" s="2658">
        <f>R1141+T1141+V1141</f>
        <v>936995800</v>
      </c>
      <c r="AA1141" s="2649">
        <f t="shared" si="377"/>
        <v>6</v>
      </c>
      <c r="AB1141" s="2658">
        <f t="shared" si="380"/>
        <v>2277603200</v>
      </c>
      <c r="AC1141" s="2527">
        <f t="shared" si="378"/>
        <v>60</v>
      </c>
      <c r="AD1141" s="2527">
        <f t="shared" si="379"/>
        <v>22.441474498181115</v>
      </c>
      <c r="AE1141" s="3160"/>
      <c r="AF1141" s="2320"/>
      <c r="AG1141" s="2320"/>
      <c r="AH1141" s="2320"/>
      <c r="AI1141" s="2320"/>
      <c r="AJ1141" s="2320"/>
      <c r="AK1141" s="2320"/>
      <c r="AL1141" s="2320"/>
      <c r="AM1141" s="2320"/>
      <c r="AN1141" s="2320"/>
      <c r="AO1141" s="2320"/>
      <c r="AP1141" s="2320"/>
      <c r="AQ1141" s="2320"/>
      <c r="AR1141" s="2320"/>
      <c r="AS1141" s="2320"/>
      <c r="AT1141" s="2320"/>
      <c r="AU1141" s="2320"/>
      <c r="AV1141" s="2320"/>
      <c r="AW1141" s="2320"/>
      <c r="AX1141" s="2320"/>
      <c r="AY1141" s="2320"/>
      <c r="AZ1141" s="2320"/>
      <c r="BA1141" s="2320"/>
      <c r="BB1141" s="2320"/>
      <c r="BC1141" s="2320"/>
      <c r="BD1141" s="2320"/>
      <c r="BE1141" s="2320"/>
      <c r="BF1141" s="2320"/>
      <c r="BG1141" s="2320"/>
      <c r="BH1141" s="2320"/>
      <c r="BI1141" s="2320"/>
      <c r="BJ1141" s="2320"/>
      <c r="BK1141" s="2320"/>
      <c r="BL1141" s="2320"/>
      <c r="BM1141" s="2320"/>
      <c r="BN1141" s="2320"/>
      <c r="BO1141" s="2320"/>
      <c r="BP1141" s="2320"/>
      <c r="BQ1141" s="2320"/>
      <c r="BR1141" s="2320"/>
      <c r="BS1141" s="2320"/>
      <c r="BT1141" s="2320"/>
      <c r="BU1141" s="2320"/>
      <c r="BV1141" s="2320"/>
      <c r="BW1141" s="2320"/>
      <c r="BX1141" s="2320"/>
    </row>
    <row r="1142" spans="1:76" s="2318" customFormat="1" ht="48" customHeight="1">
      <c r="A1142" s="1785"/>
      <c r="B1142" s="2632"/>
      <c r="C1142" s="3794"/>
      <c r="D1142" s="3794"/>
      <c r="E1142" s="3794"/>
      <c r="F1142" s="3794"/>
      <c r="G1142" s="3794"/>
      <c r="H1142" s="3794"/>
      <c r="I1142" s="1386" t="s">
        <v>3074</v>
      </c>
      <c r="J1142" s="233" t="s">
        <v>3075</v>
      </c>
      <c r="K1142" s="2660">
        <v>48</v>
      </c>
      <c r="L1142" s="2387">
        <v>80000000</v>
      </c>
      <c r="M1142" s="2383">
        <v>0</v>
      </c>
      <c r="N1142" s="2383">
        <v>0</v>
      </c>
      <c r="O1142" s="2660">
        <v>12</v>
      </c>
      <c r="P1142" s="2295">
        <v>29800200</v>
      </c>
      <c r="Q1142" s="2649">
        <v>3</v>
      </c>
      <c r="R1142" s="1731">
        <v>0</v>
      </c>
      <c r="S1142" s="3052">
        <v>6</v>
      </c>
      <c r="T1142" s="1731">
        <v>0</v>
      </c>
      <c r="U1142" s="1731">
        <v>3</v>
      </c>
      <c r="V1142" s="2304">
        <v>21506850</v>
      </c>
      <c r="W1142" s="1731">
        <v>0</v>
      </c>
      <c r="X1142" s="1731">
        <v>0</v>
      </c>
      <c r="Y1142" s="3046">
        <f t="shared" si="368"/>
        <v>12</v>
      </c>
      <c r="Z1142" s="2658">
        <f t="shared" si="367"/>
        <v>21506850</v>
      </c>
      <c r="AA1142" s="2649">
        <f t="shared" si="377"/>
        <v>12</v>
      </c>
      <c r="AB1142" s="2658">
        <f t="shared" si="380"/>
        <v>21506850</v>
      </c>
      <c r="AC1142" s="2527">
        <f t="shared" si="378"/>
        <v>25</v>
      </c>
      <c r="AD1142" s="2527">
        <f t="shared" si="379"/>
        <v>26.883562500000004</v>
      </c>
      <c r="AE1142" s="3160"/>
    </row>
    <row r="1143" spans="1:76" s="2266" customFormat="1" ht="72" customHeight="1">
      <c r="A1143" s="1785"/>
      <c r="B1143" s="2632"/>
      <c r="C1143" s="3794"/>
      <c r="D1143" s="3794"/>
      <c r="E1143" s="3794"/>
      <c r="F1143" s="3794"/>
      <c r="G1143" s="3794"/>
      <c r="H1143" s="3794"/>
      <c r="I1143" s="1387" t="s">
        <v>3076</v>
      </c>
      <c r="J1143" s="2516" t="s">
        <v>3077</v>
      </c>
      <c r="K1143" s="2660">
        <v>6</v>
      </c>
      <c r="L1143" s="2387">
        <v>5124872250</v>
      </c>
      <c r="M1143" s="2349">
        <v>1</v>
      </c>
      <c r="N1143" s="2383">
        <v>1044872250</v>
      </c>
      <c r="O1143" s="2295">
        <v>1</v>
      </c>
      <c r="P1143" s="2286">
        <v>1680000000</v>
      </c>
      <c r="Q1143" s="2649">
        <v>0</v>
      </c>
      <c r="R1143" s="1731">
        <v>1367200</v>
      </c>
      <c r="S1143" s="1731">
        <v>0</v>
      </c>
      <c r="T1143" s="1731">
        <v>425838000</v>
      </c>
      <c r="U1143" s="1731">
        <v>1</v>
      </c>
      <c r="V1143" s="2304">
        <v>963022000</v>
      </c>
      <c r="W1143" s="1731"/>
      <c r="X1143" s="1731"/>
      <c r="Y1143" s="3046">
        <f t="shared" si="368"/>
        <v>1</v>
      </c>
      <c r="Z1143" s="2658">
        <f t="shared" si="367"/>
        <v>1390227200</v>
      </c>
      <c r="AA1143" s="2649">
        <f t="shared" si="377"/>
        <v>2</v>
      </c>
      <c r="AB1143" s="2658">
        <f t="shared" si="380"/>
        <v>2435099450</v>
      </c>
      <c r="AC1143" s="2527">
        <f t="shared" si="378"/>
        <v>33.333333333333329</v>
      </c>
      <c r="AD1143" s="2527">
        <f t="shared" si="379"/>
        <v>47.515320016025761</v>
      </c>
      <c r="AE1143" s="3160"/>
    </row>
    <row r="1144" spans="1:76" s="295" customFormat="1" ht="57.75" customHeight="1">
      <c r="A1144" s="2549">
        <v>6</v>
      </c>
      <c r="B1144" s="3998"/>
      <c r="C1144" s="3997"/>
      <c r="D1144" s="3997"/>
      <c r="E1144" s="3997"/>
      <c r="F1144" s="3997"/>
      <c r="G1144" s="3997"/>
      <c r="H1144" s="3997"/>
      <c r="I1144" s="3059" t="s">
        <v>3067</v>
      </c>
      <c r="J1144" s="4005" t="s">
        <v>3078</v>
      </c>
      <c r="K1144" s="2523">
        <v>192</v>
      </c>
      <c r="L1144" s="2523">
        <f>SUM(L1145)</f>
        <v>324368500</v>
      </c>
      <c r="M1144" s="4011">
        <v>10</v>
      </c>
      <c r="N1144" s="2523">
        <f>SUM(N1145)</f>
        <v>45934780</v>
      </c>
      <c r="O1144" s="2523">
        <v>62</v>
      </c>
      <c r="P1144" s="2568">
        <f>SUM(P1145)</f>
        <v>60168500</v>
      </c>
      <c r="Q1144" s="2597">
        <v>5</v>
      </c>
      <c r="R1144" s="2340">
        <f>SUM(R1145)</f>
        <v>3678000</v>
      </c>
      <c r="S1144" s="3054">
        <v>20</v>
      </c>
      <c r="T1144" s="4013">
        <f>SUM(T1145)</f>
        <v>16709500</v>
      </c>
      <c r="U1144" s="4013">
        <v>15</v>
      </c>
      <c r="V1144" s="4006">
        <f>SUM(V1145)</f>
        <v>5613600</v>
      </c>
      <c r="W1144" s="4013">
        <v>0</v>
      </c>
      <c r="X1144" s="4013">
        <v>0</v>
      </c>
      <c r="Y1144" s="2597">
        <f t="shared" si="368"/>
        <v>40</v>
      </c>
      <c r="Z1144" s="4006">
        <f>SUM(Z1145)</f>
        <v>26001100</v>
      </c>
      <c r="AA1144" s="2597">
        <f t="shared" si="377"/>
        <v>50</v>
      </c>
      <c r="AB1144" s="4006">
        <f>SUM(AB1145)</f>
        <v>71935880</v>
      </c>
      <c r="AC1144" s="2597">
        <f t="shared" si="378"/>
        <v>26.041666666666668</v>
      </c>
      <c r="AD1144" s="2597">
        <f t="shared" si="379"/>
        <v>22.177208945998146</v>
      </c>
      <c r="AE1144" s="3997" t="s">
        <v>3048</v>
      </c>
      <c r="AF1144" s="353"/>
      <c r="AG1144" s="353"/>
      <c r="AH1144" s="353"/>
      <c r="AI1144" s="353"/>
      <c r="AJ1144" s="353"/>
      <c r="AK1144" s="353"/>
      <c r="AL1144" s="353"/>
      <c r="AM1144" s="353"/>
      <c r="AN1144" s="353"/>
      <c r="AO1144" s="353"/>
      <c r="AP1144" s="353"/>
      <c r="AQ1144" s="353"/>
      <c r="AR1144" s="353"/>
      <c r="AS1144" s="353"/>
      <c r="AT1144" s="353"/>
      <c r="AU1144" s="353"/>
      <c r="AV1144" s="353"/>
      <c r="AW1144" s="353"/>
      <c r="AX1144" s="353"/>
      <c r="AY1144" s="353"/>
      <c r="AZ1144" s="353"/>
      <c r="BA1144" s="353"/>
      <c r="BB1144" s="353"/>
      <c r="BC1144" s="353"/>
      <c r="BD1144" s="353"/>
      <c r="BE1144" s="353"/>
      <c r="BF1144" s="353"/>
      <c r="BG1144" s="353"/>
      <c r="BH1144" s="353"/>
      <c r="BI1144" s="353"/>
      <c r="BJ1144" s="353"/>
      <c r="BK1144" s="353"/>
      <c r="BL1144" s="353"/>
      <c r="BM1144" s="353"/>
      <c r="BN1144" s="353"/>
      <c r="BO1144" s="353"/>
      <c r="BP1144" s="353"/>
      <c r="BQ1144" s="353"/>
      <c r="BR1144" s="353"/>
      <c r="BS1144" s="353"/>
      <c r="BT1144" s="353"/>
      <c r="BU1144" s="353"/>
      <c r="BV1144" s="353"/>
      <c r="BW1144" s="353"/>
      <c r="BX1144" s="353"/>
    </row>
    <row r="1145" spans="1:76" s="244" customFormat="1" ht="43.5" customHeight="1">
      <c r="A1145" s="1785"/>
      <c r="B1145" s="1703"/>
      <c r="C1145" s="3794"/>
      <c r="D1145" s="3794"/>
      <c r="E1145" s="3794"/>
      <c r="F1145" s="3794"/>
      <c r="G1145" s="3794"/>
      <c r="H1145" s="3794"/>
      <c r="I1145" s="1279" t="s">
        <v>3394</v>
      </c>
      <c r="J1145" s="2516" t="s">
        <v>4034</v>
      </c>
      <c r="K1145" s="2349">
        <v>45</v>
      </c>
      <c r="L1145" s="2388">
        <v>324368500</v>
      </c>
      <c r="M1145" s="2349">
        <v>10</v>
      </c>
      <c r="N1145" s="2387">
        <v>45934780</v>
      </c>
      <c r="O1145" s="2286">
        <v>15</v>
      </c>
      <c r="P1145" s="2295">
        <v>60168500</v>
      </c>
      <c r="Q1145" s="3051">
        <v>0</v>
      </c>
      <c r="R1145" s="1731">
        <v>3678000</v>
      </c>
      <c r="S1145" s="2661">
        <v>4</v>
      </c>
      <c r="T1145" s="2661">
        <v>16709500</v>
      </c>
      <c r="U1145" s="2661">
        <v>6</v>
      </c>
      <c r="V1145" s="2658">
        <v>5613600</v>
      </c>
      <c r="W1145" s="2661">
        <v>0</v>
      </c>
      <c r="X1145" s="2661">
        <v>0</v>
      </c>
      <c r="Y1145" s="3046">
        <f t="shared" si="368"/>
        <v>10</v>
      </c>
      <c r="Z1145" s="2658">
        <f t="shared" si="367"/>
        <v>26001100</v>
      </c>
      <c r="AA1145" s="2649">
        <f t="shared" si="377"/>
        <v>20</v>
      </c>
      <c r="AB1145" s="2658">
        <f t="shared" si="380"/>
        <v>71935880</v>
      </c>
      <c r="AC1145" s="2527">
        <f t="shared" si="378"/>
        <v>44.444444444444443</v>
      </c>
      <c r="AD1145" s="2527">
        <f t="shared" si="379"/>
        <v>22.177208945998146</v>
      </c>
      <c r="AE1145" s="390"/>
      <c r="AF1145" s="2266"/>
      <c r="AG1145" s="2266"/>
      <c r="AH1145" s="2266"/>
      <c r="AI1145" s="2266"/>
      <c r="AJ1145" s="2266"/>
      <c r="AK1145" s="2266"/>
      <c r="AL1145" s="2266"/>
      <c r="AM1145" s="2266"/>
      <c r="AN1145" s="2266"/>
      <c r="AO1145" s="2266"/>
      <c r="AP1145" s="2266"/>
      <c r="AQ1145" s="2266"/>
      <c r="AR1145" s="2266"/>
      <c r="AS1145" s="2266"/>
      <c r="AT1145" s="2266"/>
      <c r="AU1145" s="2266"/>
      <c r="AV1145" s="2266"/>
      <c r="AW1145" s="2266"/>
      <c r="AX1145" s="2266"/>
      <c r="AY1145" s="2266"/>
      <c r="AZ1145" s="2266"/>
      <c r="BA1145" s="2266"/>
      <c r="BB1145" s="2266"/>
      <c r="BC1145" s="2266"/>
      <c r="BD1145" s="2266"/>
      <c r="BE1145" s="2266"/>
      <c r="BF1145" s="2266"/>
      <c r="BG1145" s="2266"/>
      <c r="BH1145" s="2266"/>
      <c r="BI1145" s="2266"/>
      <c r="BJ1145" s="2266"/>
      <c r="BK1145" s="2266"/>
      <c r="BL1145" s="2266"/>
      <c r="BM1145" s="2266"/>
      <c r="BN1145" s="2266"/>
      <c r="BO1145" s="2266"/>
      <c r="BP1145" s="2266"/>
      <c r="BQ1145" s="2266"/>
      <c r="BR1145" s="2266"/>
      <c r="BS1145" s="2266"/>
      <c r="BT1145" s="2266"/>
      <c r="BU1145" s="2266"/>
      <c r="BV1145" s="2266"/>
      <c r="BW1145" s="2266"/>
      <c r="BX1145" s="2266"/>
    </row>
    <row r="1146" spans="1:76" s="244" customFormat="1" ht="43.5" customHeight="1">
      <c r="A1146" s="2549">
        <v>7</v>
      </c>
      <c r="B1146" s="3156"/>
      <c r="C1146" s="3795"/>
      <c r="D1146" s="3795"/>
      <c r="E1146" s="3795"/>
      <c r="F1146" s="3795"/>
      <c r="G1146" s="3795"/>
      <c r="H1146" s="3795"/>
      <c r="I1146" s="3053" t="s">
        <v>3067</v>
      </c>
      <c r="J1146" s="2335" t="s">
        <v>3079</v>
      </c>
      <c r="K1146" s="2523">
        <v>33</v>
      </c>
      <c r="L1146" s="2523">
        <f>SUM(L1147:L1148)</f>
        <v>921557650</v>
      </c>
      <c r="M1146" s="3162">
        <v>3</v>
      </c>
      <c r="N1146" s="2523">
        <f>SUM(N1147:N1148)</f>
        <v>110428650</v>
      </c>
      <c r="O1146" s="2523">
        <v>9</v>
      </c>
      <c r="P1146" s="2568">
        <f>SUM(P1147:P1148)</f>
        <v>77806000</v>
      </c>
      <c r="Q1146" s="2597">
        <v>0</v>
      </c>
      <c r="R1146" s="2340">
        <f>SUM(R1147:R1148)</f>
        <v>6920600</v>
      </c>
      <c r="S1146" s="3054">
        <v>0</v>
      </c>
      <c r="T1146" s="3159">
        <f>SUM(T1147:T1148)</f>
        <v>40052750</v>
      </c>
      <c r="U1146" s="3159">
        <v>4</v>
      </c>
      <c r="V1146" s="3249">
        <f>SUM(V1147:V1148)</f>
        <v>11074250</v>
      </c>
      <c r="W1146" s="3159">
        <v>0</v>
      </c>
      <c r="X1146" s="3159">
        <v>0</v>
      </c>
      <c r="Y1146" s="2597">
        <f t="shared" si="368"/>
        <v>4</v>
      </c>
      <c r="Z1146" s="3149">
        <f>SUM(Z1147:Z1148)</f>
        <v>58047600</v>
      </c>
      <c r="AA1146" s="2597">
        <f t="shared" ref="AA1146:AB1152" si="381">M1146+Y1146</f>
        <v>7</v>
      </c>
      <c r="AB1146" s="3149">
        <f>SUM(AB1147:AB1148)</f>
        <v>168476250</v>
      </c>
      <c r="AC1146" s="2597">
        <f t="shared" ref="AC1146:AD1152" si="382">AA1146/K1146*100</f>
        <v>21.212121212121211</v>
      </c>
      <c r="AD1146" s="2597">
        <f t="shared" si="382"/>
        <v>18.281683191496484</v>
      </c>
      <c r="AE1146" s="3138" t="s">
        <v>3048</v>
      </c>
      <c r="AF1146" s="2266"/>
      <c r="AG1146" s="2266"/>
      <c r="AH1146" s="2266"/>
      <c r="AI1146" s="2266"/>
      <c r="AJ1146" s="2266"/>
      <c r="AK1146" s="2266"/>
      <c r="AL1146" s="2266"/>
      <c r="AM1146" s="2266"/>
      <c r="AN1146" s="2266"/>
      <c r="AO1146" s="2266"/>
      <c r="AP1146" s="2266"/>
      <c r="AQ1146" s="2266"/>
      <c r="AR1146" s="2266"/>
      <c r="AS1146" s="2266"/>
      <c r="AT1146" s="2266"/>
      <c r="AU1146" s="2266"/>
      <c r="AV1146" s="2266"/>
      <c r="AW1146" s="2266"/>
      <c r="AX1146" s="2266"/>
      <c r="AY1146" s="2266"/>
      <c r="AZ1146" s="2266"/>
      <c r="BA1146" s="2266"/>
      <c r="BB1146" s="2266"/>
      <c r="BC1146" s="2266"/>
      <c r="BD1146" s="2266"/>
      <c r="BE1146" s="2266"/>
      <c r="BF1146" s="2266"/>
      <c r="BG1146" s="2266"/>
      <c r="BH1146" s="2266"/>
      <c r="BI1146" s="2266"/>
      <c r="BJ1146" s="2266"/>
      <c r="BK1146" s="2266"/>
      <c r="BL1146" s="2266"/>
      <c r="BM1146" s="2266"/>
      <c r="BN1146" s="2266"/>
      <c r="BO1146" s="2266"/>
      <c r="BP1146" s="2266"/>
      <c r="BQ1146" s="2266"/>
      <c r="BR1146" s="2266"/>
      <c r="BS1146" s="2266"/>
      <c r="BT1146" s="2266"/>
      <c r="BU1146" s="2266"/>
      <c r="BV1146" s="2266"/>
      <c r="BW1146" s="2266"/>
      <c r="BX1146" s="2266"/>
    </row>
    <row r="1147" spans="1:76" ht="47.25" customHeight="1">
      <c r="A1147" s="1785"/>
      <c r="B1147" s="3055"/>
      <c r="C1147" s="3056"/>
      <c r="D1147" s="3056"/>
      <c r="E1147" s="3056"/>
      <c r="F1147" s="3056"/>
      <c r="G1147" s="3056"/>
      <c r="H1147" s="3056"/>
      <c r="I1147" s="1277" t="s">
        <v>3080</v>
      </c>
      <c r="J1147" s="2516" t="s">
        <v>3081</v>
      </c>
      <c r="K1147" s="2349">
        <v>90</v>
      </c>
      <c r="L1147" s="2388">
        <v>223936450</v>
      </c>
      <c r="M1147" s="2349">
        <v>15</v>
      </c>
      <c r="N1147" s="2414">
        <v>58322650</v>
      </c>
      <c r="O1147" s="2286">
        <v>8</v>
      </c>
      <c r="P1147" s="2286">
        <v>30762000</v>
      </c>
      <c r="Q1147" s="3051">
        <v>0</v>
      </c>
      <c r="R1147" s="1731">
        <v>1744600</v>
      </c>
      <c r="S1147" s="1731">
        <v>2</v>
      </c>
      <c r="T1147" s="1731">
        <f>SUM(T1150:T1150)</f>
        <v>18257150</v>
      </c>
      <c r="U1147" s="1731">
        <v>4</v>
      </c>
      <c r="V1147" s="2304">
        <v>2110000</v>
      </c>
      <c r="W1147" s="1731">
        <v>0</v>
      </c>
      <c r="X1147" s="1731">
        <v>0</v>
      </c>
      <c r="Y1147" s="3046">
        <f t="shared" si="368"/>
        <v>6</v>
      </c>
      <c r="Z1147" s="2658">
        <f t="shared" si="367"/>
        <v>22111750</v>
      </c>
      <c r="AA1147" s="2649">
        <f t="shared" si="381"/>
        <v>21</v>
      </c>
      <c r="AB1147" s="2658">
        <f t="shared" si="381"/>
        <v>80434400</v>
      </c>
      <c r="AC1147" s="2527">
        <f t="shared" si="382"/>
        <v>23.333333333333332</v>
      </c>
      <c r="AD1147" s="2527">
        <f t="shared" si="382"/>
        <v>35.918404529499334</v>
      </c>
      <c r="AE1147" s="3160"/>
    </row>
    <row r="1148" spans="1:76" ht="47.25" customHeight="1">
      <c r="A1148" s="1785"/>
      <c r="B1148" s="3055"/>
      <c r="C1148" s="3056"/>
      <c r="D1148" s="3056"/>
      <c r="E1148" s="3056"/>
      <c r="F1148" s="3056"/>
      <c r="G1148" s="3056"/>
      <c r="H1148" s="3056"/>
      <c r="I1148" s="1277" t="s">
        <v>3082</v>
      </c>
      <c r="J1148" s="2516" t="s">
        <v>3083</v>
      </c>
      <c r="K1148" s="2349">
        <v>400</v>
      </c>
      <c r="L1148" s="2388">
        <v>697621200</v>
      </c>
      <c r="M1148" s="2349">
        <v>10</v>
      </c>
      <c r="N1148" s="2414">
        <v>52106000</v>
      </c>
      <c r="O1148" s="2286">
        <v>20</v>
      </c>
      <c r="P1148" s="2286">
        <v>47044000</v>
      </c>
      <c r="Q1148" s="3051">
        <v>0</v>
      </c>
      <c r="R1148" s="1731">
        <v>5176000</v>
      </c>
      <c r="S1148" s="1731">
        <v>10</v>
      </c>
      <c r="T1148" s="1731">
        <v>21795600</v>
      </c>
      <c r="U1148" s="1731">
        <v>4</v>
      </c>
      <c r="V1148" s="2304">
        <v>8964250</v>
      </c>
      <c r="W1148" s="1731">
        <v>0</v>
      </c>
      <c r="X1148" s="1731">
        <v>0</v>
      </c>
      <c r="Y1148" s="3046">
        <f t="shared" si="368"/>
        <v>14</v>
      </c>
      <c r="Z1148" s="2658">
        <f t="shared" si="367"/>
        <v>35935850</v>
      </c>
      <c r="AA1148" s="2649">
        <f t="shared" si="381"/>
        <v>24</v>
      </c>
      <c r="AB1148" s="2658">
        <f t="shared" si="381"/>
        <v>88041850</v>
      </c>
      <c r="AC1148" s="2527">
        <f t="shared" si="382"/>
        <v>6</v>
      </c>
      <c r="AD1148" s="2527">
        <f t="shared" si="382"/>
        <v>12.62029450939851</v>
      </c>
      <c r="AE1148" s="3160"/>
    </row>
    <row r="1149" spans="1:76" s="475" customFormat="1" ht="51">
      <c r="A1149" s="2549">
        <v>6</v>
      </c>
      <c r="B1149" s="3057"/>
      <c r="C1149" s="3058"/>
      <c r="D1149" s="3058"/>
      <c r="E1149" s="3058"/>
      <c r="F1149" s="3058"/>
      <c r="G1149" s="3058"/>
      <c r="H1149" s="3058"/>
      <c r="I1149" s="3059" t="s">
        <v>3067</v>
      </c>
      <c r="J1149" s="2501" t="s">
        <v>3084</v>
      </c>
      <c r="K1149" s="2502">
        <v>460</v>
      </c>
      <c r="L1149" s="2609">
        <f>SUM(L1150:L1150)</f>
        <v>358548000</v>
      </c>
      <c r="M1149" s="2502">
        <v>70</v>
      </c>
      <c r="N1149" s="2662">
        <f>SUM(N1150:N1150)</f>
        <v>84421723</v>
      </c>
      <c r="O1149" s="2609">
        <v>75</v>
      </c>
      <c r="P1149" s="2609">
        <f>SUM(P1150:P1150)</f>
        <v>65823000</v>
      </c>
      <c r="Q1149" s="2663">
        <v>0</v>
      </c>
      <c r="R1149" s="2614">
        <f>SUM(R1150:R1150)</f>
        <v>3489000</v>
      </c>
      <c r="S1149" s="2614">
        <v>0</v>
      </c>
      <c r="T1149" s="2614">
        <f>SUM(T1150:T1150)</f>
        <v>18257150</v>
      </c>
      <c r="U1149" s="2614">
        <v>24</v>
      </c>
      <c r="V1149" s="2763">
        <f>SUM(V1150:V1150)</f>
        <v>8485100</v>
      </c>
      <c r="W1149" s="2614">
        <v>0</v>
      </c>
      <c r="X1149" s="2614">
        <v>0</v>
      </c>
      <c r="Y1149" s="3060">
        <f t="shared" si="368"/>
        <v>24</v>
      </c>
      <c r="Z1149" s="3061">
        <f>SUM(Z1150:Z1150)</f>
        <v>30231250</v>
      </c>
      <c r="AA1149" s="2597">
        <f t="shared" si="381"/>
        <v>94</v>
      </c>
      <c r="AB1149" s="3061">
        <f>SUM(AB1150:AB1150)</f>
        <v>114652973</v>
      </c>
      <c r="AC1149" s="2663">
        <f t="shared" si="382"/>
        <v>20.434782608695652</v>
      </c>
      <c r="AD1149" s="3062">
        <f t="shared" si="382"/>
        <v>31.977022044468246</v>
      </c>
      <c r="AE1149" s="3138" t="s">
        <v>3048</v>
      </c>
    </row>
    <row r="1150" spans="1:76" ht="74.25" customHeight="1">
      <c r="A1150" s="1785"/>
      <c r="B1150" s="3055"/>
      <c r="C1150" s="3056"/>
      <c r="D1150" s="3056"/>
      <c r="E1150" s="3056"/>
      <c r="F1150" s="3056"/>
      <c r="G1150" s="3056"/>
      <c r="H1150" s="3056"/>
      <c r="I1150" s="3050" t="s">
        <v>3085</v>
      </c>
      <c r="J1150" s="233" t="s">
        <v>3086</v>
      </c>
      <c r="K1150" s="2387">
        <v>72</v>
      </c>
      <c r="L1150" s="2387">
        <v>358548000</v>
      </c>
      <c r="M1150" s="2349">
        <v>24</v>
      </c>
      <c r="N1150" s="2387">
        <v>84421723</v>
      </c>
      <c r="O1150" s="2387">
        <v>12</v>
      </c>
      <c r="P1150" s="2295">
        <v>65823000</v>
      </c>
      <c r="Q1150" s="2649">
        <v>3</v>
      </c>
      <c r="R1150" s="1731">
        <v>3489000</v>
      </c>
      <c r="S1150" s="3049">
        <v>6</v>
      </c>
      <c r="T1150" s="2661">
        <v>18257150</v>
      </c>
      <c r="U1150" s="2661">
        <v>3</v>
      </c>
      <c r="V1150" s="2658">
        <v>8485100</v>
      </c>
      <c r="W1150" s="2661">
        <v>0</v>
      </c>
      <c r="X1150" s="2661">
        <v>0</v>
      </c>
      <c r="Y1150" s="3046">
        <f t="shared" si="368"/>
        <v>12</v>
      </c>
      <c r="Z1150" s="2658">
        <f t="shared" si="367"/>
        <v>30231250</v>
      </c>
      <c r="AA1150" s="2649">
        <f t="shared" si="381"/>
        <v>36</v>
      </c>
      <c r="AB1150" s="2658">
        <f t="shared" si="381"/>
        <v>114652973</v>
      </c>
      <c r="AC1150" s="2527">
        <f t="shared" si="382"/>
        <v>50</v>
      </c>
      <c r="AD1150" s="3063">
        <f t="shared" si="382"/>
        <v>31.977022044468246</v>
      </c>
      <c r="AE1150" s="390"/>
    </row>
    <row r="1151" spans="1:76" ht="48.75" customHeight="1">
      <c r="A1151" s="2335">
        <v>7</v>
      </c>
      <c r="B1151" s="2335"/>
      <c r="C1151" s="3795"/>
      <c r="D1151" s="3795"/>
      <c r="E1151" s="3795"/>
      <c r="F1151" s="3795"/>
      <c r="G1151" s="3795"/>
      <c r="H1151" s="3795"/>
      <c r="I1151" s="2501" t="s">
        <v>3089</v>
      </c>
      <c r="J1151" s="3153" t="s">
        <v>3068</v>
      </c>
      <c r="K1151" s="2545">
        <v>90511</v>
      </c>
      <c r="L1151" s="2609">
        <f>SUM(L1152:L1152)</f>
        <v>1200000000</v>
      </c>
      <c r="M1151" s="2609">
        <v>25641</v>
      </c>
      <c r="N1151" s="2609">
        <f>SUM(N1152:N1152)</f>
        <v>230000000</v>
      </c>
      <c r="O1151" s="2545">
        <v>14505</v>
      </c>
      <c r="P1151" s="2609">
        <f>SUM(P1152:P1152)</f>
        <v>240000000</v>
      </c>
      <c r="Q1151" s="2667">
        <f>O1151/5</f>
        <v>2901</v>
      </c>
      <c r="R1151" s="2665">
        <f>SUM(R1152:R1152)</f>
        <v>1742000</v>
      </c>
      <c r="S1151" s="3064">
        <v>0</v>
      </c>
      <c r="T1151" s="2665">
        <f>SUM(T1152:T1152)</f>
        <v>3660000</v>
      </c>
      <c r="U1151" s="2665">
        <v>0</v>
      </c>
      <c r="V1151" s="2666">
        <f>SUM(V1152:V1152)</f>
        <v>87545000</v>
      </c>
      <c r="W1151" s="2665">
        <v>0</v>
      </c>
      <c r="X1151" s="2665">
        <v>0</v>
      </c>
      <c r="Y1151" s="2667">
        <f t="shared" si="368"/>
        <v>2901</v>
      </c>
      <c r="Z1151" s="2666">
        <f>SUM(Z1152:Z1152)</f>
        <v>92947000</v>
      </c>
      <c r="AA1151" s="2667">
        <f t="shared" si="381"/>
        <v>28542</v>
      </c>
      <c r="AB1151" s="2666">
        <f>SUM(AB1152:AB1152)</f>
        <v>322947000</v>
      </c>
      <c r="AC1151" s="2663">
        <f t="shared" si="382"/>
        <v>31.534288649998345</v>
      </c>
      <c r="AD1151" s="2663">
        <f t="shared" si="382"/>
        <v>26.91225</v>
      </c>
      <c r="AE1151" s="3135" t="s">
        <v>3048</v>
      </c>
    </row>
    <row r="1152" spans="1:76" ht="48.75" customHeight="1">
      <c r="A1152" s="2632"/>
      <c r="B1152" s="2632"/>
      <c r="C1152" s="3794"/>
      <c r="D1152" s="3794"/>
      <c r="E1152" s="3794"/>
      <c r="F1152" s="3794"/>
      <c r="G1152" s="3794"/>
      <c r="H1152" s="3794"/>
      <c r="I1152" s="3023" t="s">
        <v>3090</v>
      </c>
      <c r="J1152" s="1380" t="s">
        <v>3091</v>
      </c>
      <c r="K1152" s="2349">
        <v>3</v>
      </c>
      <c r="L1152" s="2383">
        <f>5*P1152</f>
        <v>1200000000</v>
      </c>
      <c r="M1152" s="2349">
        <v>0</v>
      </c>
      <c r="N1152" s="2295">
        <v>230000000</v>
      </c>
      <c r="O1152" s="2295">
        <v>3</v>
      </c>
      <c r="P1152" s="2295">
        <v>240000000</v>
      </c>
      <c r="Q1152" s="2649">
        <v>0</v>
      </c>
      <c r="R1152" s="1731">
        <v>1742000</v>
      </c>
      <c r="S1152" s="3065">
        <v>0</v>
      </c>
      <c r="T1152" s="1457">
        <v>3660000</v>
      </c>
      <c r="U1152" s="1457">
        <v>1</v>
      </c>
      <c r="V1152" s="1952">
        <v>87545000</v>
      </c>
      <c r="W1152" s="1457">
        <v>0</v>
      </c>
      <c r="X1152" s="1457">
        <v>0</v>
      </c>
      <c r="Y1152" s="2527">
        <f t="shared" si="368"/>
        <v>1</v>
      </c>
      <c r="Z1152" s="2872">
        <f t="shared" si="367"/>
        <v>92947000</v>
      </c>
      <c r="AA1152" s="2649">
        <f t="shared" si="381"/>
        <v>1</v>
      </c>
      <c r="AB1152" s="2872">
        <f t="shared" si="381"/>
        <v>322947000</v>
      </c>
      <c r="AC1152" s="2649">
        <f t="shared" si="382"/>
        <v>33.333333333333329</v>
      </c>
      <c r="AD1152" s="2649">
        <f t="shared" si="382"/>
        <v>26.91225</v>
      </c>
      <c r="AE1152" s="3160"/>
    </row>
    <row r="1153" spans="1:76" ht="58.5" customHeight="1">
      <c r="A1153" s="2335">
        <v>8</v>
      </c>
      <c r="B1153" s="2335" t="s">
        <v>3092</v>
      </c>
      <c r="C1153" s="3795"/>
      <c r="D1153" s="3795"/>
      <c r="E1153" s="3795"/>
      <c r="F1153" s="3795"/>
      <c r="G1153" s="3795"/>
      <c r="H1153" s="3795"/>
      <c r="I1153" s="2501" t="s">
        <v>3070</v>
      </c>
      <c r="J1153" s="2501" t="s">
        <v>3093</v>
      </c>
      <c r="K1153" s="2545">
        <v>95</v>
      </c>
      <c r="L1153" s="2662">
        <f>SUM(L1154:L1158)</f>
        <v>1606937250</v>
      </c>
      <c r="M1153" s="2662">
        <v>55</v>
      </c>
      <c r="N1153" s="2662">
        <f>SUM(N1154:N1158)</f>
        <v>212198500</v>
      </c>
      <c r="O1153" s="2662">
        <v>25</v>
      </c>
      <c r="P1153" s="2662">
        <f>SUM(P1154:P1158)</f>
        <v>396456500</v>
      </c>
      <c r="Q1153" s="2663">
        <v>0</v>
      </c>
      <c r="R1153" s="2665">
        <f>SUM(R1154:R1158)</f>
        <v>14165500</v>
      </c>
      <c r="S1153" s="2665">
        <v>0</v>
      </c>
      <c r="T1153" s="2665">
        <f>SUM(T1154:T1158)</f>
        <v>86106400</v>
      </c>
      <c r="U1153" s="2665">
        <v>10</v>
      </c>
      <c r="V1153" s="2666">
        <f>SUM(V1154:V1158)</f>
        <v>133167815</v>
      </c>
      <c r="W1153" s="2665">
        <v>0</v>
      </c>
      <c r="X1153" s="2665">
        <v>0</v>
      </c>
      <c r="Y1153" s="2663">
        <f t="shared" si="368"/>
        <v>10</v>
      </c>
      <c r="Z1153" s="2666">
        <f t="shared" si="367"/>
        <v>233439715</v>
      </c>
      <c r="AA1153" s="2663">
        <f t="shared" ref="AA1153:AA1158" si="383">M1153+Y1153</f>
        <v>65</v>
      </c>
      <c r="AB1153" s="2666">
        <f t="shared" ref="AB1153:AB1158" si="384">N1153+Z1153</f>
        <v>445638215</v>
      </c>
      <c r="AC1153" s="2663">
        <f t="shared" ref="AC1153:AC1158" si="385">AA1153/K1153*100</f>
        <v>68.421052631578945</v>
      </c>
      <c r="AD1153" s="3062">
        <f t="shared" ref="AD1153:AD1158" si="386">AB1153/L1153*100</f>
        <v>27.732147910567136</v>
      </c>
      <c r="AE1153" s="3135" t="s">
        <v>3048</v>
      </c>
    </row>
    <row r="1154" spans="1:76" ht="40.5" customHeight="1">
      <c r="A1154" s="2632"/>
      <c r="B1154" s="384"/>
      <c r="C1154" s="3790"/>
      <c r="D1154" s="3790"/>
      <c r="E1154" s="3790"/>
      <c r="F1154" s="3790"/>
      <c r="G1154" s="3790"/>
      <c r="H1154" s="3790"/>
      <c r="I1154" s="1387" t="s">
        <v>3094</v>
      </c>
      <c r="J1154" s="2516" t="s">
        <v>3095</v>
      </c>
      <c r="K1154" s="2349">
        <v>100</v>
      </c>
      <c r="L1154" s="2388">
        <f>4*60000000</f>
        <v>240000000</v>
      </c>
      <c r="M1154" s="2382">
        <v>100</v>
      </c>
      <c r="N1154" s="2383">
        <v>59029600</v>
      </c>
      <c r="O1154" s="2349">
        <v>100</v>
      </c>
      <c r="P1154" s="2295">
        <v>50470500</v>
      </c>
      <c r="Q1154" s="2649">
        <v>25</v>
      </c>
      <c r="R1154" s="1731">
        <v>8703000</v>
      </c>
      <c r="S1154" s="1731">
        <v>6</v>
      </c>
      <c r="T1154" s="1731">
        <v>16602000</v>
      </c>
      <c r="U1154" s="1731">
        <v>25</v>
      </c>
      <c r="V1154" s="2304">
        <v>7754000</v>
      </c>
      <c r="W1154" s="1731">
        <v>0</v>
      </c>
      <c r="X1154" s="1731">
        <v>0</v>
      </c>
      <c r="Y1154" s="3046">
        <f t="shared" si="368"/>
        <v>56</v>
      </c>
      <c r="Z1154" s="2658">
        <f t="shared" si="367"/>
        <v>33059000</v>
      </c>
      <c r="AA1154" s="2649">
        <f t="shared" si="383"/>
        <v>156</v>
      </c>
      <c r="AB1154" s="2658">
        <f t="shared" si="384"/>
        <v>92088600</v>
      </c>
      <c r="AC1154" s="2527">
        <f t="shared" si="385"/>
        <v>156</v>
      </c>
      <c r="AD1154" s="3063">
        <f t="shared" si="386"/>
        <v>38.370249999999999</v>
      </c>
      <c r="AE1154" s="3160"/>
    </row>
    <row r="1155" spans="1:76" s="2608" customFormat="1" ht="56.25" customHeight="1">
      <c r="A1155" s="2632"/>
      <c r="B1155" s="384"/>
      <c r="C1155" s="3790"/>
      <c r="D1155" s="3790"/>
      <c r="E1155" s="3790"/>
      <c r="F1155" s="3790"/>
      <c r="G1155" s="3790"/>
      <c r="H1155" s="3790"/>
      <c r="I1155" s="1387" t="s">
        <v>3096</v>
      </c>
      <c r="J1155" s="2516" t="s">
        <v>3097</v>
      </c>
      <c r="K1155" s="2349">
        <v>20</v>
      </c>
      <c r="L1155" s="2388">
        <v>373038750</v>
      </c>
      <c r="M1155" s="2382">
        <v>4</v>
      </c>
      <c r="N1155" s="2383">
        <v>59442500</v>
      </c>
      <c r="O1155" s="2349">
        <v>4</v>
      </c>
      <c r="P1155" s="2295">
        <v>61455000</v>
      </c>
      <c r="Q1155" s="3051">
        <f>+R1155/P1155*100</f>
        <v>0</v>
      </c>
      <c r="R1155" s="1731">
        <v>0</v>
      </c>
      <c r="S1155" s="3052">
        <v>1</v>
      </c>
      <c r="T1155" s="1731">
        <v>14307800</v>
      </c>
      <c r="U1155" s="1731">
        <v>2</v>
      </c>
      <c r="V1155" s="2304">
        <v>13631775</v>
      </c>
      <c r="W1155" s="1731">
        <v>0</v>
      </c>
      <c r="X1155" s="1731">
        <v>0</v>
      </c>
      <c r="Y1155" s="3046">
        <f t="shared" si="368"/>
        <v>3</v>
      </c>
      <c r="Z1155" s="2658">
        <f t="shared" si="367"/>
        <v>27939575</v>
      </c>
      <c r="AA1155" s="2649">
        <f t="shared" si="383"/>
        <v>7</v>
      </c>
      <c r="AB1155" s="2658">
        <f t="shared" si="384"/>
        <v>87382075</v>
      </c>
      <c r="AC1155" s="2527">
        <f t="shared" si="385"/>
        <v>35</v>
      </c>
      <c r="AD1155" s="3063">
        <f t="shared" si="386"/>
        <v>23.424396259101769</v>
      </c>
      <c r="AE1155" s="3160"/>
      <c r="AF1155" s="2318"/>
      <c r="AG1155" s="2318"/>
      <c r="AH1155" s="2318"/>
      <c r="AI1155" s="2318"/>
      <c r="AJ1155" s="2318"/>
      <c r="AK1155" s="2318"/>
      <c r="AL1155" s="2318"/>
      <c r="AM1155" s="2318"/>
      <c r="AN1155" s="2318"/>
      <c r="AO1155" s="2318"/>
      <c r="AP1155" s="2318"/>
      <c r="AQ1155" s="2318"/>
      <c r="AR1155" s="2318"/>
      <c r="AS1155" s="2318"/>
      <c r="AT1155" s="2318"/>
      <c r="AU1155" s="2318"/>
      <c r="AV1155" s="2318"/>
      <c r="AW1155" s="2318"/>
      <c r="AX1155" s="2318"/>
      <c r="AY1155" s="2318"/>
      <c r="AZ1155" s="2318"/>
      <c r="BA1155" s="2318"/>
      <c r="BB1155" s="2318"/>
      <c r="BC1155" s="2318"/>
      <c r="BD1155" s="2318"/>
      <c r="BE1155" s="2318"/>
      <c r="BF1155" s="2318"/>
      <c r="BG1155" s="2318"/>
      <c r="BH1155" s="2318"/>
      <c r="BI1155" s="2318"/>
      <c r="BJ1155" s="2318"/>
      <c r="BK1155" s="2318"/>
      <c r="BL1155" s="2318"/>
      <c r="BM1155" s="2318"/>
      <c r="BN1155" s="2318"/>
      <c r="BO1155" s="2318"/>
      <c r="BP1155" s="2318"/>
      <c r="BQ1155" s="2318"/>
      <c r="BR1155" s="2318"/>
      <c r="BS1155" s="2318"/>
      <c r="BT1155" s="2318"/>
      <c r="BU1155" s="2318"/>
      <c r="BV1155" s="2318"/>
      <c r="BW1155" s="2318"/>
      <c r="BX1155" s="2318"/>
    </row>
    <row r="1156" spans="1:76" s="2271" customFormat="1" ht="52.5" customHeight="1">
      <c r="A1156" s="2632"/>
      <c r="B1156" s="2632"/>
      <c r="C1156" s="3794"/>
      <c r="D1156" s="3794"/>
      <c r="E1156" s="3794"/>
      <c r="F1156" s="3794"/>
      <c r="G1156" s="3794"/>
      <c r="H1156" s="3794"/>
      <c r="I1156" s="1387" t="s">
        <v>3098</v>
      </c>
      <c r="J1156" s="2516" t="s">
        <v>3099</v>
      </c>
      <c r="K1156" s="2349">
        <v>425</v>
      </c>
      <c r="L1156" s="2388">
        <v>305236000</v>
      </c>
      <c r="M1156" s="2382">
        <v>75</v>
      </c>
      <c r="N1156" s="2383">
        <v>29297000</v>
      </c>
      <c r="O1156" s="2660">
        <v>25</v>
      </c>
      <c r="P1156" s="2295">
        <v>52619000</v>
      </c>
      <c r="Q1156" s="3051">
        <f>+R1156/P1156*100</f>
        <v>0</v>
      </c>
      <c r="R1156" s="1731">
        <v>0</v>
      </c>
      <c r="S1156" s="1731">
        <v>1</v>
      </c>
      <c r="T1156" s="1731">
        <v>3500000</v>
      </c>
      <c r="U1156" s="1731">
        <v>1</v>
      </c>
      <c r="V1156" s="2304">
        <v>1400000</v>
      </c>
      <c r="W1156" s="1731">
        <v>0</v>
      </c>
      <c r="X1156" s="1731">
        <v>0</v>
      </c>
      <c r="Y1156" s="3046">
        <f t="shared" si="368"/>
        <v>2</v>
      </c>
      <c r="Z1156" s="2658">
        <f t="shared" si="367"/>
        <v>4900000</v>
      </c>
      <c r="AA1156" s="2649">
        <f t="shared" si="383"/>
        <v>77</v>
      </c>
      <c r="AB1156" s="2658">
        <f t="shared" si="384"/>
        <v>34197000</v>
      </c>
      <c r="AC1156" s="2527">
        <f t="shared" si="385"/>
        <v>18.117647058823529</v>
      </c>
      <c r="AD1156" s="3063">
        <f t="shared" si="386"/>
        <v>11.203462239054371</v>
      </c>
      <c r="AE1156" s="3160"/>
      <c r="AF1156" s="2620"/>
      <c r="AG1156" s="2620"/>
      <c r="AH1156" s="2620"/>
      <c r="AI1156" s="2620"/>
      <c r="AJ1156" s="2620"/>
      <c r="AK1156" s="2620"/>
      <c r="AL1156" s="2620"/>
      <c r="AM1156" s="2620"/>
      <c r="AN1156" s="2620"/>
      <c r="AO1156" s="2620"/>
      <c r="AP1156" s="2620"/>
      <c r="AQ1156" s="2620"/>
      <c r="AR1156" s="2620"/>
      <c r="AS1156" s="2620"/>
      <c r="AT1156" s="2620"/>
      <c r="AU1156" s="2620"/>
      <c r="AV1156" s="2620"/>
      <c r="AW1156" s="2620"/>
      <c r="AX1156" s="2620"/>
      <c r="AY1156" s="2620"/>
      <c r="AZ1156" s="2620"/>
      <c r="BA1156" s="2620"/>
      <c r="BB1156" s="2620"/>
      <c r="BC1156" s="2620"/>
      <c r="BD1156" s="2620"/>
      <c r="BE1156" s="2620"/>
      <c r="BF1156" s="2620"/>
      <c r="BG1156" s="2620"/>
      <c r="BH1156" s="2620"/>
      <c r="BI1156" s="2620"/>
      <c r="BJ1156" s="2620"/>
      <c r="BK1156" s="2620"/>
      <c r="BL1156" s="2620"/>
      <c r="BM1156" s="2620"/>
      <c r="BN1156" s="2620"/>
      <c r="BO1156" s="2620"/>
      <c r="BP1156" s="2620"/>
      <c r="BQ1156" s="2620"/>
      <c r="BR1156" s="2620"/>
      <c r="BS1156" s="2620"/>
      <c r="BT1156" s="2620"/>
      <c r="BU1156" s="2620"/>
      <c r="BV1156" s="2620"/>
      <c r="BW1156" s="2620"/>
      <c r="BX1156" s="2620"/>
    </row>
    <row r="1157" spans="1:76" s="2271" customFormat="1" ht="52.5" customHeight="1">
      <c r="A1157" s="1785"/>
      <c r="B1157" s="3055"/>
      <c r="C1157" s="3056"/>
      <c r="D1157" s="3056"/>
      <c r="E1157" s="3056"/>
      <c r="F1157" s="3056"/>
      <c r="G1157" s="3056"/>
      <c r="H1157" s="3056"/>
      <c r="I1157" s="590" t="s">
        <v>3087</v>
      </c>
      <c r="J1157" s="2516" t="s">
        <v>3088</v>
      </c>
      <c r="K1157" s="2349">
        <v>72</v>
      </c>
      <c r="L1157" s="2388">
        <v>308662500</v>
      </c>
      <c r="M1157" s="2382">
        <v>24</v>
      </c>
      <c r="N1157" s="2383">
        <v>64429400</v>
      </c>
      <c r="O1157" s="2349">
        <v>12</v>
      </c>
      <c r="P1157" s="2295">
        <v>88853000</v>
      </c>
      <c r="Q1157" s="2649">
        <v>3</v>
      </c>
      <c r="R1157" s="1731">
        <v>4466000</v>
      </c>
      <c r="S1157" s="3052">
        <v>6</v>
      </c>
      <c r="T1157" s="1731">
        <v>28651900</v>
      </c>
      <c r="U1157" s="1731">
        <v>3</v>
      </c>
      <c r="V1157" s="2304">
        <v>39057540</v>
      </c>
      <c r="W1157" s="1731">
        <v>0</v>
      </c>
      <c r="X1157" s="1731">
        <v>0</v>
      </c>
      <c r="Y1157" s="3046">
        <f>Q1157+S1157+U1157+W1157</f>
        <v>12</v>
      </c>
      <c r="Z1157" s="2658">
        <f>R1157+T1157+V1157+X1157</f>
        <v>72175440</v>
      </c>
      <c r="AA1157" s="2649">
        <f t="shared" si="383"/>
        <v>36</v>
      </c>
      <c r="AB1157" s="2658">
        <f t="shared" si="384"/>
        <v>136604840</v>
      </c>
      <c r="AC1157" s="2527">
        <f t="shared" si="385"/>
        <v>50</v>
      </c>
      <c r="AD1157" s="3063">
        <f t="shared" si="386"/>
        <v>44.257025067832991</v>
      </c>
      <c r="AE1157" s="3244"/>
      <c r="AF1157" s="2620"/>
      <c r="AG1157" s="2620"/>
      <c r="AH1157" s="2620"/>
      <c r="AI1157" s="2620"/>
      <c r="AJ1157" s="2620"/>
      <c r="AK1157" s="2620"/>
      <c r="AL1157" s="2620"/>
      <c r="AM1157" s="2620"/>
      <c r="AN1157" s="2620"/>
      <c r="AO1157" s="2620"/>
      <c r="AP1157" s="2620"/>
      <c r="AQ1157" s="2620"/>
      <c r="AR1157" s="2620"/>
      <c r="AS1157" s="2620"/>
      <c r="AT1157" s="2620"/>
      <c r="AU1157" s="2620"/>
      <c r="AV1157" s="2620"/>
      <c r="AW1157" s="2620"/>
      <c r="AX1157" s="2620"/>
      <c r="AY1157" s="2620"/>
      <c r="AZ1157" s="2620"/>
      <c r="BA1157" s="2620"/>
      <c r="BB1157" s="2620"/>
      <c r="BC1157" s="2620"/>
      <c r="BD1157" s="2620"/>
      <c r="BE1157" s="2620"/>
      <c r="BF1157" s="2620"/>
      <c r="BG1157" s="2620"/>
      <c r="BH1157" s="2620"/>
      <c r="BI1157" s="2620"/>
      <c r="BJ1157" s="2620"/>
      <c r="BK1157" s="2620"/>
      <c r="BL1157" s="2620"/>
      <c r="BM1157" s="2620"/>
      <c r="BN1157" s="2620"/>
      <c r="BO1157" s="2620"/>
      <c r="BP1157" s="2620"/>
      <c r="BQ1157" s="2620"/>
      <c r="BR1157" s="2620"/>
      <c r="BS1157" s="2620"/>
      <c r="BT1157" s="2620"/>
      <c r="BU1157" s="2620"/>
      <c r="BV1157" s="2620"/>
      <c r="BW1157" s="2620"/>
      <c r="BX1157" s="2620"/>
    </row>
    <row r="1158" spans="1:76" s="2608" customFormat="1" ht="64.5" customHeight="1">
      <c r="A1158" s="2632"/>
      <c r="B1158" s="2632"/>
      <c r="C1158" s="3794"/>
      <c r="D1158" s="3794"/>
      <c r="E1158" s="3794"/>
      <c r="F1158" s="3794"/>
      <c r="G1158" s="3794"/>
      <c r="H1158" s="3794"/>
      <c r="I1158" s="1387" t="s">
        <v>3100</v>
      </c>
      <c r="J1158" s="2516" t="s">
        <v>3101</v>
      </c>
      <c r="K1158" s="2349">
        <v>96</v>
      </c>
      <c r="L1158" s="2388">
        <f>2*190000000</f>
        <v>380000000</v>
      </c>
      <c r="M1158" s="2382">
        <v>0</v>
      </c>
      <c r="N1158" s="2382">
        <v>0</v>
      </c>
      <c r="O1158" s="2295">
        <v>1</v>
      </c>
      <c r="P1158" s="2295">
        <v>143059000</v>
      </c>
      <c r="Q1158" s="3051">
        <v>0</v>
      </c>
      <c r="R1158" s="1731">
        <v>996500</v>
      </c>
      <c r="S1158" s="1731">
        <v>0</v>
      </c>
      <c r="T1158" s="1731">
        <v>23044700</v>
      </c>
      <c r="U1158" s="1731">
        <v>1</v>
      </c>
      <c r="V1158" s="2304">
        <v>71324500</v>
      </c>
      <c r="W1158" s="1731">
        <v>0</v>
      </c>
      <c r="X1158" s="1731">
        <v>0</v>
      </c>
      <c r="Y1158" s="3046">
        <f t="shared" si="368"/>
        <v>1</v>
      </c>
      <c r="Z1158" s="2658">
        <f t="shared" si="367"/>
        <v>95365700</v>
      </c>
      <c r="AA1158" s="2649">
        <f t="shared" si="383"/>
        <v>1</v>
      </c>
      <c r="AB1158" s="2658">
        <f t="shared" si="384"/>
        <v>95365700</v>
      </c>
      <c r="AC1158" s="2527">
        <f t="shared" si="385"/>
        <v>1.0416666666666665</v>
      </c>
      <c r="AD1158" s="3063">
        <f t="shared" si="386"/>
        <v>25.096236842105263</v>
      </c>
      <c r="AE1158" s="3160"/>
      <c r="AF1158" s="2318"/>
      <c r="AG1158" s="2318"/>
      <c r="AH1158" s="2318"/>
      <c r="AI1158" s="2318"/>
      <c r="AJ1158" s="2318"/>
      <c r="AK1158" s="2318"/>
      <c r="AL1158" s="2318"/>
      <c r="AM1158" s="2318"/>
      <c r="AN1158" s="2318"/>
      <c r="AO1158" s="2318"/>
      <c r="AP1158" s="2318"/>
      <c r="AQ1158" s="2318"/>
      <c r="AR1158" s="2318"/>
      <c r="AS1158" s="2318"/>
      <c r="AT1158" s="2318"/>
      <c r="AU1158" s="2318"/>
      <c r="AV1158" s="2318"/>
      <c r="AW1158" s="2318"/>
      <c r="AX1158" s="2318"/>
      <c r="AY1158" s="2318"/>
      <c r="AZ1158" s="2318"/>
      <c r="BA1158" s="2318"/>
      <c r="BB1158" s="2318"/>
      <c r="BC1158" s="2318"/>
      <c r="BD1158" s="2318"/>
      <c r="BE1158" s="2318"/>
      <c r="BF1158" s="2318"/>
      <c r="BG1158" s="2318"/>
      <c r="BH1158" s="2318"/>
      <c r="BI1158" s="2318"/>
      <c r="BJ1158" s="2318"/>
      <c r="BK1158" s="2318"/>
      <c r="BL1158" s="2318"/>
      <c r="BM1158" s="2318"/>
      <c r="BN1158" s="2318"/>
      <c r="BO1158" s="2318"/>
      <c r="BP1158" s="2318"/>
      <c r="BQ1158" s="2318"/>
      <c r="BR1158" s="2318"/>
      <c r="BS1158" s="2318"/>
      <c r="BT1158" s="2318"/>
      <c r="BU1158" s="2318"/>
      <c r="BV1158" s="2318"/>
      <c r="BW1158" s="2318"/>
      <c r="BX1158" s="2318"/>
    </row>
    <row r="1159" spans="1:76" s="2271" customFormat="1" ht="61.5" customHeight="1">
      <c r="A1159" s="2335">
        <v>9</v>
      </c>
      <c r="B1159" s="2335"/>
      <c r="C1159" s="3795"/>
      <c r="D1159" s="3795"/>
      <c r="E1159" s="3795"/>
      <c r="F1159" s="3795"/>
      <c r="G1159" s="3795"/>
      <c r="H1159" s="3795"/>
      <c r="I1159" s="2614" t="s">
        <v>3102</v>
      </c>
      <c r="J1159" s="3153" t="s">
        <v>3395</v>
      </c>
      <c r="K1159" s="2662">
        <v>308</v>
      </c>
      <c r="L1159" s="2662">
        <f>SUM(L1160:L1163)</f>
        <v>1930245400</v>
      </c>
      <c r="M1159" s="2662">
        <v>54</v>
      </c>
      <c r="N1159" s="2662">
        <f>SUM(N1160:N1163)</f>
        <v>295168005</v>
      </c>
      <c r="O1159" s="2662">
        <v>48</v>
      </c>
      <c r="P1159" s="2662">
        <f>SUM(P1160:P1163)</f>
        <v>277075000</v>
      </c>
      <c r="Q1159" s="2663">
        <v>0</v>
      </c>
      <c r="R1159" s="2665">
        <f>SUM(R1160:R1163)</f>
        <v>23770100</v>
      </c>
      <c r="S1159" s="2665"/>
      <c r="T1159" s="2665">
        <f>SUM(T1160:T1163)</f>
        <v>91224787</v>
      </c>
      <c r="U1159" s="2665">
        <v>15</v>
      </c>
      <c r="V1159" s="2666">
        <f>SUM(V1160:V1163)</f>
        <v>40371800</v>
      </c>
      <c r="W1159" s="2665"/>
      <c r="X1159" s="2665"/>
      <c r="Y1159" s="2663">
        <f t="shared" si="368"/>
        <v>15</v>
      </c>
      <c r="Z1159" s="2666">
        <f t="shared" si="367"/>
        <v>155366687</v>
      </c>
      <c r="AA1159" s="2667">
        <f t="shared" ref="AA1159:AB1166" si="387">M1159+Y1159</f>
        <v>69</v>
      </c>
      <c r="AB1159" s="2666">
        <f t="shared" si="387"/>
        <v>450534692</v>
      </c>
      <c r="AC1159" s="2663">
        <f t="shared" ref="AC1159:AD1166" si="388">AA1159/K1159*100</f>
        <v>22.402597402597401</v>
      </c>
      <c r="AD1159" s="2663">
        <f t="shared" si="388"/>
        <v>23.340798636277025</v>
      </c>
      <c r="AE1159" s="3135" t="s">
        <v>3048</v>
      </c>
      <c r="AF1159" s="2620"/>
      <c r="AG1159" s="2620"/>
      <c r="AH1159" s="2620"/>
      <c r="AI1159" s="2620"/>
      <c r="AJ1159" s="2620"/>
      <c r="AK1159" s="2620"/>
      <c r="AL1159" s="2620"/>
      <c r="AM1159" s="2620"/>
      <c r="AN1159" s="2620"/>
      <c r="AO1159" s="2620"/>
      <c r="AP1159" s="2620"/>
      <c r="AQ1159" s="2620"/>
      <c r="AR1159" s="2620"/>
      <c r="AS1159" s="2620"/>
      <c r="AT1159" s="2620"/>
      <c r="AU1159" s="2620"/>
      <c r="AV1159" s="2620"/>
      <c r="AW1159" s="2620"/>
      <c r="AX1159" s="2620"/>
      <c r="AY1159" s="2620"/>
      <c r="AZ1159" s="2620"/>
      <c r="BA1159" s="2620"/>
      <c r="BB1159" s="2620"/>
      <c r="BC1159" s="2620"/>
      <c r="BD1159" s="2620"/>
      <c r="BE1159" s="2620"/>
      <c r="BF1159" s="2620"/>
      <c r="BG1159" s="2620"/>
      <c r="BH1159" s="2620"/>
      <c r="BI1159" s="2620"/>
      <c r="BJ1159" s="2620"/>
      <c r="BK1159" s="2620"/>
      <c r="BL1159" s="2620"/>
      <c r="BM1159" s="2620"/>
      <c r="BN1159" s="2620"/>
      <c r="BO1159" s="2620"/>
      <c r="BP1159" s="2620"/>
      <c r="BQ1159" s="2620"/>
      <c r="BR1159" s="2620"/>
      <c r="BS1159" s="2620"/>
      <c r="BT1159" s="2620"/>
      <c r="BU1159" s="2620"/>
      <c r="BV1159" s="2620"/>
      <c r="BW1159" s="2620"/>
      <c r="BX1159" s="2620"/>
    </row>
    <row r="1160" spans="1:76" s="2318" customFormat="1" ht="55.5" customHeight="1">
      <c r="A1160" s="2632"/>
      <c r="B1160" s="2632"/>
      <c r="C1160" s="3794"/>
      <c r="D1160" s="3794"/>
      <c r="E1160" s="3794"/>
      <c r="F1160" s="3794"/>
      <c r="G1160" s="3794"/>
      <c r="H1160" s="3794"/>
      <c r="I1160" s="3154" t="s">
        <v>3103</v>
      </c>
      <c r="J1160" s="2516" t="s">
        <v>3104</v>
      </c>
      <c r="K1160" s="2349">
        <v>750</v>
      </c>
      <c r="L1160" s="2388">
        <v>682796500</v>
      </c>
      <c r="M1160" s="2645">
        <v>100</v>
      </c>
      <c r="N1160" s="2383">
        <v>75571076</v>
      </c>
      <c r="O1160" s="2590">
        <v>100</v>
      </c>
      <c r="P1160" s="2286">
        <v>99700000</v>
      </c>
      <c r="Q1160" s="3051">
        <v>0</v>
      </c>
      <c r="R1160" s="1731">
        <v>8190100</v>
      </c>
      <c r="S1160" s="2661">
        <v>0</v>
      </c>
      <c r="T1160" s="2661">
        <v>24748900</v>
      </c>
      <c r="U1160" s="2661">
        <v>0</v>
      </c>
      <c r="V1160" s="2658">
        <v>0</v>
      </c>
      <c r="W1160" s="2661">
        <v>0</v>
      </c>
      <c r="X1160" s="2661">
        <v>0</v>
      </c>
      <c r="Y1160" s="3046">
        <f t="shared" si="368"/>
        <v>0</v>
      </c>
      <c r="Z1160" s="2658">
        <f t="shared" si="367"/>
        <v>32939000</v>
      </c>
      <c r="AA1160" s="2649">
        <f t="shared" si="387"/>
        <v>100</v>
      </c>
      <c r="AB1160" s="2658">
        <f t="shared" si="387"/>
        <v>108510076</v>
      </c>
      <c r="AC1160" s="2527">
        <f t="shared" si="388"/>
        <v>13.333333333333334</v>
      </c>
      <c r="AD1160" s="2527">
        <f t="shared" si="388"/>
        <v>15.892008233785615</v>
      </c>
      <c r="AE1160" s="3160"/>
    </row>
    <row r="1161" spans="1:76" s="2608" customFormat="1" ht="55.5" customHeight="1">
      <c r="A1161" s="2632"/>
      <c r="B1161" s="2632"/>
      <c r="C1161" s="3794"/>
      <c r="D1161" s="3794"/>
      <c r="E1161" s="3794"/>
      <c r="F1161" s="3794"/>
      <c r="G1161" s="3794"/>
      <c r="H1161" s="3794"/>
      <c r="I1161" s="1387" t="s">
        <v>3105</v>
      </c>
      <c r="J1161" s="2516" t="s">
        <v>3106</v>
      </c>
      <c r="K1161" s="2349">
        <v>23</v>
      </c>
      <c r="L1161" s="2388">
        <v>674811400</v>
      </c>
      <c r="M1161" s="2382">
        <v>2</v>
      </c>
      <c r="N1161" s="2383">
        <v>105830579</v>
      </c>
      <c r="O1161" s="2286">
        <v>4</v>
      </c>
      <c r="P1161" s="2286">
        <v>79600000</v>
      </c>
      <c r="Q1161" s="2649">
        <f>+R1161/P1161*100</f>
        <v>0</v>
      </c>
      <c r="R1161" s="1731">
        <v>0</v>
      </c>
      <c r="S1161" s="2661">
        <v>2</v>
      </c>
      <c r="T1161" s="2661">
        <v>31147687</v>
      </c>
      <c r="U1161" s="2661">
        <v>0</v>
      </c>
      <c r="V1161" s="2658">
        <v>17775000</v>
      </c>
      <c r="W1161" s="2661">
        <v>0</v>
      </c>
      <c r="X1161" s="2661">
        <v>0</v>
      </c>
      <c r="Y1161" s="3046">
        <f t="shared" si="368"/>
        <v>2</v>
      </c>
      <c r="Z1161" s="2658">
        <f t="shared" si="367"/>
        <v>48922687</v>
      </c>
      <c r="AA1161" s="2649">
        <f t="shared" si="387"/>
        <v>4</v>
      </c>
      <c r="AB1161" s="2658">
        <f t="shared" si="387"/>
        <v>154753266</v>
      </c>
      <c r="AC1161" s="2527">
        <f t="shared" si="388"/>
        <v>17.391304347826086</v>
      </c>
      <c r="AD1161" s="2527">
        <f t="shared" si="388"/>
        <v>22.932817376825586</v>
      </c>
      <c r="AE1161" s="3160"/>
      <c r="AF1161" s="2318"/>
      <c r="AG1161" s="2318"/>
      <c r="AH1161" s="2318"/>
      <c r="AI1161" s="2318"/>
      <c r="AJ1161" s="2318"/>
      <c r="AK1161" s="2318"/>
      <c r="AL1161" s="2318"/>
      <c r="AM1161" s="2318"/>
      <c r="AN1161" s="2318"/>
      <c r="AO1161" s="2318"/>
      <c r="AP1161" s="2318"/>
      <c r="AQ1161" s="2318"/>
      <c r="AR1161" s="2318"/>
      <c r="AS1161" s="2318"/>
      <c r="AT1161" s="2318"/>
      <c r="AU1161" s="2318"/>
      <c r="AV1161" s="2318"/>
      <c r="AW1161" s="2318"/>
      <c r="AX1161" s="2318"/>
      <c r="AY1161" s="2318"/>
      <c r="AZ1161" s="2318"/>
      <c r="BA1161" s="2318"/>
      <c r="BB1161" s="2318"/>
      <c r="BC1161" s="2318"/>
      <c r="BD1161" s="2318"/>
      <c r="BE1161" s="2318"/>
      <c r="BF1161" s="2318"/>
      <c r="BG1161" s="2318"/>
      <c r="BH1161" s="2318"/>
      <c r="BI1161" s="2318"/>
      <c r="BJ1161" s="2318"/>
      <c r="BK1161" s="2318"/>
      <c r="BL1161" s="2318"/>
      <c r="BM1161" s="2318"/>
      <c r="BN1161" s="2318"/>
      <c r="BO1161" s="2318"/>
      <c r="BP1161" s="2318"/>
      <c r="BQ1161" s="2318"/>
      <c r="BR1161" s="2318"/>
      <c r="BS1161" s="2318"/>
      <c r="BT1161" s="2318"/>
      <c r="BU1161" s="2318"/>
      <c r="BV1161" s="2318"/>
      <c r="BW1161" s="2318"/>
      <c r="BX1161" s="2318"/>
    </row>
    <row r="1162" spans="1:76" s="2321" customFormat="1" ht="55.5" customHeight="1">
      <c r="A1162" s="2632"/>
      <c r="B1162" s="2632"/>
      <c r="C1162" s="3794"/>
      <c r="D1162" s="3794"/>
      <c r="E1162" s="3794"/>
      <c r="F1162" s="3794"/>
      <c r="G1162" s="3794"/>
      <c r="H1162" s="3794"/>
      <c r="I1162" s="1387" t="s">
        <v>3107</v>
      </c>
      <c r="J1162" s="2516" t="s">
        <v>3108</v>
      </c>
      <c r="K1162" s="2349">
        <v>72</v>
      </c>
      <c r="L1162" s="2388">
        <v>328137500</v>
      </c>
      <c r="M1162" s="2382">
        <v>24</v>
      </c>
      <c r="N1162" s="2383">
        <v>56295450</v>
      </c>
      <c r="O1162" s="2286">
        <v>12</v>
      </c>
      <c r="P1162" s="2286">
        <v>48875000</v>
      </c>
      <c r="Q1162" s="2649">
        <v>3</v>
      </c>
      <c r="R1162" s="1731">
        <v>9515000</v>
      </c>
      <c r="S1162" s="2661">
        <v>6</v>
      </c>
      <c r="T1162" s="2661">
        <v>18365100</v>
      </c>
      <c r="U1162" s="2661">
        <v>3</v>
      </c>
      <c r="V1162" s="2658">
        <v>13504700</v>
      </c>
      <c r="W1162" s="2661">
        <v>0</v>
      </c>
      <c r="X1162" s="2661">
        <v>0</v>
      </c>
      <c r="Y1162" s="3046">
        <f t="shared" si="368"/>
        <v>12</v>
      </c>
      <c r="Z1162" s="2658">
        <f t="shared" si="367"/>
        <v>41384800</v>
      </c>
      <c r="AA1162" s="2649">
        <f t="shared" si="387"/>
        <v>36</v>
      </c>
      <c r="AB1162" s="2658">
        <f t="shared" si="387"/>
        <v>97680250</v>
      </c>
      <c r="AC1162" s="2527">
        <f t="shared" si="388"/>
        <v>50</v>
      </c>
      <c r="AD1162" s="2527">
        <f t="shared" si="388"/>
        <v>29.768085025332368</v>
      </c>
      <c r="AE1162" s="3160"/>
      <c r="AF1162" s="2320"/>
      <c r="AG1162" s="2320"/>
      <c r="AH1162" s="2320"/>
      <c r="AI1162" s="2320"/>
      <c r="AJ1162" s="2320"/>
      <c r="AK1162" s="2320"/>
      <c r="AL1162" s="2320"/>
      <c r="AM1162" s="2320"/>
      <c r="AN1162" s="2320"/>
      <c r="AO1162" s="2320"/>
      <c r="AP1162" s="2320"/>
      <c r="AQ1162" s="2320"/>
      <c r="AR1162" s="2320"/>
      <c r="AS1162" s="2320"/>
      <c r="AT1162" s="2320"/>
      <c r="AU1162" s="2320"/>
      <c r="AV1162" s="2320"/>
      <c r="AW1162" s="2320"/>
      <c r="AX1162" s="2320"/>
      <c r="AY1162" s="2320"/>
      <c r="AZ1162" s="2320"/>
      <c r="BA1162" s="2320"/>
      <c r="BB1162" s="2320"/>
      <c r="BC1162" s="2320"/>
      <c r="BD1162" s="2320"/>
      <c r="BE1162" s="2320"/>
      <c r="BF1162" s="2320"/>
      <c r="BG1162" s="2320"/>
      <c r="BH1162" s="2320"/>
      <c r="BI1162" s="2320"/>
      <c r="BJ1162" s="2320"/>
      <c r="BK1162" s="2320"/>
      <c r="BL1162" s="2320"/>
      <c r="BM1162" s="2320"/>
      <c r="BN1162" s="2320"/>
      <c r="BO1162" s="2320"/>
      <c r="BP1162" s="2320"/>
      <c r="BQ1162" s="2320"/>
      <c r="BR1162" s="2320"/>
      <c r="BS1162" s="2320"/>
      <c r="BT1162" s="2320"/>
      <c r="BU1162" s="2320"/>
      <c r="BV1162" s="2320"/>
      <c r="BW1162" s="2320"/>
      <c r="BX1162" s="2320"/>
    </row>
    <row r="1163" spans="1:76" s="2321" customFormat="1" ht="55.5" customHeight="1">
      <c r="A1163" s="2632"/>
      <c r="B1163" s="2632"/>
      <c r="C1163" s="3794"/>
      <c r="D1163" s="3794"/>
      <c r="E1163" s="3794"/>
      <c r="F1163" s="3794"/>
      <c r="G1163" s="3794"/>
      <c r="H1163" s="3794"/>
      <c r="I1163" s="2632" t="s">
        <v>3109</v>
      </c>
      <c r="J1163" s="1386" t="s">
        <v>3110</v>
      </c>
      <c r="K1163" s="2349">
        <v>302</v>
      </c>
      <c r="L1163" s="2388">
        <f>P1163*5</f>
        <v>244500000</v>
      </c>
      <c r="M1163" s="2349">
        <v>37</v>
      </c>
      <c r="N1163" s="2383">
        <v>57470900</v>
      </c>
      <c r="O1163" s="2286">
        <v>54</v>
      </c>
      <c r="P1163" s="2286">
        <v>48900000</v>
      </c>
      <c r="Q1163" s="2649">
        <v>0</v>
      </c>
      <c r="R1163" s="1731">
        <v>6065000</v>
      </c>
      <c r="S1163" s="2661">
        <v>0</v>
      </c>
      <c r="T1163" s="2661">
        <v>16963100</v>
      </c>
      <c r="U1163" s="2661">
        <v>15</v>
      </c>
      <c r="V1163" s="2658">
        <v>9092100</v>
      </c>
      <c r="W1163" s="2661">
        <v>0</v>
      </c>
      <c r="X1163" s="2661">
        <v>0</v>
      </c>
      <c r="Y1163" s="3046">
        <f t="shared" si="368"/>
        <v>15</v>
      </c>
      <c r="Z1163" s="2658">
        <f t="shared" si="367"/>
        <v>32120200</v>
      </c>
      <c r="AA1163" s="2649">
        <f t="shared" si="387"/>
        <v>52</v>
      </c>
      <c r="AB1163" s="2658">
        <f t="shared" si="387"/>
        <v>89591100</v>
      </c>
      <c r="AC1163" s="2527">
        <f t="shared" si="388"/>
        <v>17.218543046357617</v>
      </c>
      <c r="AD1163" s="2527">
        <f t="shared" si="388"/>
        <v>36.642576687116559</v>
      </c>
      <c r="AE1163" s="3160"/>
      <c r="AF1163" s="2320"/>
      <c r="AG1163" s="2320"/>
      <c r="AH1163" s="2320"/>
      <c r="AI1163" s="2320"/>
      <c r="AJ1163" s="2320"/>
      <c r="AK1163" s="2320"/>
      <c r="AL1163" s="2320"/>
      <c r="AM1163" s="2320"/>
      <c r="AN1163" s="2320"/>
      <c r="AO1163" s="2320"/>
      <c r="AP1163" s="2320"/>
      <c r="AQ1163" s="2320"/>
      <c r="AR1163" s="2320"/>
      <c r="AS1163" s="2320"/>
      <c r="AT1163" s="2320"/>
      <c r="AU1163" s="2320"/>
      <c r="AV1163" s="2320"/>
      <c r="AW1163" s="2320"/>
      <c r="AX1163" s="2320"/>
      <c r="AY1163" s="2320"/>
      <c r="AZ1163" s="2320"/>
      <c r="BA1163" s="2320"/>
      <c r="BB1163" s="2320"/>
      <c r="BC1163" s="2320"/>
      <c r="BD1163" s="2320"/>
      <c r="BE1163" s="2320"/>
      <c r="BF1163" s="2320"/>
      <c r="BG1163" s="2320"/>
      <c r="BH1163" s="2320"/>
      <c r="BI1163" s="2320"/>
      <c r="BJ1163" s="2320"/>
      <c r="BK1163" s="2320"/>
      <c r="BL1163" s="2320"/>
      <c r="BM1163" s="2320"/>
      <c r="BN1163" s="2320"/>
      <c r="BO1163" s="2320"/>
      <c r="BP1163" s="2320"/>
      <c r="BQ1163" s="2320"/>
      <c r="BR1163" s="2320"/>
      <c r="BS1163" s="2320"/>
      <c r="BT1163" s="2320"/>
      <c r="BU1163" s="2320"/>
      <c r="BV1163" s="2320"/>
      <c r="BW1163" s="2320"/>
      <c r="BX1163" s="2320"/>
    </row>
    <row r="1164" spans="1:76" s="2321" customFormat="1" ht="71.25" customHeight="1">
      <c r="A1164" s="2335">
        <v>10</v>
      </c>
      <c r="B1164" s="2335"/>
      <c r="C1164" s="3795"/>
      <c r="D1164" s="3795"/>
      <c r="E1164" s="3795"/>
      <c r="F1164" s="3795"/>
      <c r="G1164" s="3795"/>
      <c r="H1164" s="3795"/>
      <c r="I1164" s="2614" t="s">
        <v>3102</v>
      </c>
      <c r="J1164" s="2340" t="s">
        <v>3111</v>
      </c>
      <c r="K1164" s="3162">
        <v>57</v>
      </c>
      <c r="L1164" s="2442">
        <f>SUM(L1165:L1166)</f>
        <v>1120771200</v>
      </c>
      <c r="M1164" s="2502">
        <v>3</v>
      </c>
      <c r="N1164" s="2609">
        <f>SUM(N1165:N1166)</f>
        <v>133901150</v>
      </c>
      <c r="O1164" s="2442">
        <v>9</v>
      </c>
      <c r="P1164" s="2442">
        <f>SUM(P1165:P1166)</f>
        <v>154800000</v>
      </c>
      <c r="Q1164" s="3066">
        <v>0</v>
      </c>
      <c r="R1164" s="2340">
        <f>SUM(R1165:R1166)</f>
        <v>675000</v>
      </c>
      <c r="S1164" s="3067">
        <v>0</v>
      </c>
      <c r="T1164" s="3067">
        <f>SUM(T1165:T1166)</f>
        <v>30843300</v>
      </c>
      <c r="U1164" s="3067">
        <v>5</v>
      </c>
      <c r="V1164" s="3061">
        <f>SUM(V1165:V1166)</f>
        <v>16230400</v>
      </c>
      <c r="W1164" s="3067">
        <v>0</v>
      </c>
      <c r="X1164" s="3067">
        <v>0</v>
      </c>
      <c r="Y1164" s="3060">
        <f t="shared" si="368"/>
        <v>5</v>
      </c>
      <c r="Z1164" s="3061">
        <f t="shared" si="367"/>
        <v>47748700</v>
      </c>
      <c r="AA1164" s="2597">
        <f t="shared" si="387"/>
        <v>8</v>
      </c>
      <c r="AB1164" s="3061">
        <f t="shared" si="387"/>
        <v>181649850</v>
      </c>
      <c r="AC1164" s="2663">
        <f t="shared" si="388"/>
        <v>14.035087719298245</v>
      </c>
      <c r="AD1164" s="2663">
        <f t="shared" si="388"/>
        <v>16.207576533015839</v>
      </c>
      <c r="AE1164" s="3135" t="s">
        <v>3048</v>
      </c>
      <c r="AF1164" s="2320"/>
      <c r="AG1164" s="2320"/>
      <c r="AH1164" s="2320"/>
      <c r="AI1164" s="2320"/>
      <c r="AJ1164" s="2320"/>
      <c r="AK1164" s="2320"/>
      <c r="AL1164" s="2320"/>
      <c r="AM1164" s="2320"/>
      <c r="AN1164" s="2320"/>
      <c r="AO1164" s="2320"/>
      <c r="AP1164" s="2320"/>
      <c r="AQ1164" s="2320"/>
      <c r="AR1164" s="2320"/>
      <c r="AS1164" s="2320"/>
      <c r="AT1164" s="2320"/>
      <c r="AU1164" s="2320"/>
      <c r="AV1164" s="2320"/>
      <c r="AW1164" s="2320"/>
      <c r="AX1164" s="2320"/>
      <c r="AY1164" s="2320"/>
      <c r="AZ1164" s="2320"/>
      <c r="BA1164" s="2320"/>
      <c r="BB1164" s="2320"/>
      <c r="BC1164" s="2320"/>
      <c r="BD1164" s="2320"/>
      <c r="BE1164" s="2320"/>
      <c r="BF1164" s="2320"/>
      <c r="BG1164" s="2320"/>
      <c r="BH1164" s="2320"/>
      <c r="BI1164" s="2320"/>
      <c r="BJ1164" s="2320"/>
      <c r="BK1164" s="2320"/>
      <c r="BL1164" s="2320"/>
      <c r="BM1164" s="2320"/>
      <c r="BN1164" s="2320"/>
      <c r="BO1164" s="2320"/>
      <c r="BP1164" s="2320"/>
      <c r="BQ1164" s="2320"/>
      <c r="BR1164" s="2320"/>
      <c r="BS1164" s="2320"/>
      <c r="BT1164" s="2320"/>
      <c r="BU1164" s="2320"/>
      <c r="BV1164" s="2320"/>
      <c r="BW1164" s="2320"/>
      <c r="BX1164" s="2320"/>
    </row>
    <row r="1165" spans="1:76" s="2321" customFormat="1" ht="62.25" customHeight="1">
      <c r="A1165" s="2632"/>
      <c r="B1165" s="2632"/>
      <c r="C1165" s="3794"/>
      <c r="D1165" s="3794"/>
      <c r="E1165" s="3794"/>
      <c r="F1165" s="3794"/>
      <c r="G1165" s="3794"/>
      <c r="H1165" s="3794"/>
      <c r="I1165" s="1387" t="s">
        <v>3112</v>
      </c>
      <c r="J1165" s="2516" t="s">
        <v>3113</v>
      </c>
      <c r="K1165" s="2349">
        <v>22</v>
      </c>
      <c r="L1165" s="2388">
        <v>640771200</v>
      </c>
      <c r="M1165" s="2349">
        <v>6</v>
      </c>
      <c r="N1165" s="2383">
        <v>133901150</v>
      </c>
      <c r="O1165" s="2349">
        <v>5</v>
      </c>
      <c r="P1165" s="2286">
        <v>80500000</v>
      </c>
      <c r="Q1165" s="3051">
        <v>0</v>
      </c>
      <c r="R1165" s="1731">
        <v>675000</v>
      </c>
      <c r="S1165" s="2661">
        <v>2</v>
      </c>
      <c r="T1165" s="2661">
        <v>25651700</v>
      </c>
      <c r="U1165" s="2661">
        <v>1</v>
      </c>
      <c r="V1165" s="2658">
        <v>16230400</v>
      </c>
      <c r="W1165" s="2661">
        <v>0</v>
      </c>
      <c r="X1165" s="2661">
        <v>0</v>
      </c>
      <c r="Y1165" s="3046">
        <f t="shared" si="368"/>
        <v>3</v>
      </c>
      <c r="Z1165" s="2658">
        <f t="shared" si="367"/>
        <v>42557100</v>
      </c>
      <c r="AA1165" s="2649">
        <f t="shared" si="387"/>
        <v>9</v>
      </c>
      <c r="AB1165" s="2658">
        <f t="shared" si="387"/>
        <v>176458250</v>
      </c>
      <c r="AC1165" s="2527">
        <f t="shared" si="388"/>
        <v>40.909090909090914</v>
      </c>
      <c r="AD1165" s="2527">
        <f t="shared" si="388"/>
        <v>27.538417769088248</v>
      </c>
      <c r="AE1165" s="3160"/>
      <c r="AF1165" s="2320"/>
      <c r="AG1165" s="2320"/>
      <c r="AH1165" s="2320"/>
      <c r="AI1165" s="2320"/>
      <c r="AJ1165" s="2320"/>
      <c r="AK1165" s="2320"/>
      <c r="AL1165" s="2320"/>
      <c r="AM1165" s="2320"/>
      <c r="AN1165" s="2320"/>
      <c r="AO1165" s="2320"/>
      <c r="AP1165" s="2320"/>
      <c r="AQ1165" s="2320"/>
      <c r="AR1165" s="2320"/>
      <c r="AS1165" s="2320"/>
      <c r="AT1165" s="2320"/>
      <c r="AU1165" s="2320"/>
      <c r="AV1165" s="2320"/>
      <c r="AW1165" s="2320"/>
      <c r="AX1165" s="2320"/>
      <c r="AY1165" s="2320"/>
      <c r="AZ1165" s="2320"/>
      <c r="BA1165" s="2320"/>
      <c r="BB1165" s="2320"/>
      <c r="BC1165" s="2320"/>
      <c r="BD1165" s="2320"/>
      <c r="BE1165" s="2320"/>
      <c r="BF1165" s="2320"/>
      <c r="BG1165" s="2320"/>
      <c r="BH1165" s="2320"/>
      <c r="BI1165" s="2320"/>
      <c r="BJ1165" s="2320"/>
      <c r="BK1165" s="2320"/>
      <c r="BL1165" s="2320"/>
      <c r="BM1165" s="2320"/>
      <c r="BN1165" s="2320"/>
      <c r="BO1165" s="2320"/>
      <c r="BP1165" s="2320"/>
      <c r="BQ1165" s="2320"/>
      <c r="BR1165" s="2320"/>
      <c r="BS1165" s="2320"/>
      <c r="BT1165" s="2320"/>
      <c r="BU1165" s="2320"/>
      <c r="BV1165" s="2320"/>
      <c r="BW1165" s="2320"/>
      <c r="BX1165" s="2320"/>
    </row>
    <row r="1166" spans="1:76" s="2321" customFormat="1" ht="45" customHeight="1">
      <c r="A1166" s="2632"/>
      <c r="B1166" s="2632"/>
      <c r="C1166" s="3794"/>
      <c r="D1166" s="3794"/>
      <c r="E1166" s="3794"/>
      <c r="F1166" s="3794"/>
      <c r="G1166" s="3794"/>
      <c r="H1166" s="3794"/>
      <c r="I1166" s="2632" t="s">
        <v>3114</v>
      </c>
      <c r="J1166" s="2516" t="s">
        <v>3115</v>
      </c>
      <c r="K1166" s="2349">
        <v>8</v>
      </c>
      <c r="L1166" s="2388">
        <v>480000000</v>
      </c>
      <c r="M1166" s="2382">
        <v>0</v>
      </c>
      <c r="N1166" s="2382">
        <v>0</v>
      </c>
      <c r="O1166" s="2349">
        <v>5</v>
      </c>
      <c r="P1166" s="2286">
        <v>74300000</v>
      </c>
      <c r="Q1166" s="3051">
        <f>+R1166/P1166*100</f>
        <v>0</v>
      </c>
      <c r="R1166" s="1731">
        <v>0</v>
      </c>
      <c r="S1166" s="2661">
        <v>0</v>
      </c>
      <c r="T1166" s="2661">
        <v>5191600</v>
      </c>
      <c r="U1166" s="2661">
        <v>0</v>
      </c>
      <c r="V1166" s="2658">
        <v>0</v>
      </c>
      <c r="W1166" s="2661">
        <v>0</v>
      </c>
      <c r="X1166" s="2661">
        <v>0</v>
      </c>
      <c r="Y1166" s="3046">
        <f t="shared" si="368"/>
        <v>0</v>
      </c>
      <c r="Z1166" s="2658">
        <f t="shared" si="367"/>
        <v>5191600</v>
      </c>
      <c r="AA1166" s="2649">
        <f t="shared" si="387"/>
        <v>0</v>
      </c>
      <c r="AB1166" s="2658">
        <f t="shared" si="387"/>
        <v>5191600</v>
      </c>
      <c r="AC1166" s="2527">
        <f t="shared" si="388"/>
        <v>0</v>
      </c>
      <c r="AD1166" s="3063">
        <f t="shared" si="388"/>
        <v>1.0815833333333333</v>
      </c>
      <c r="AE1166" s="3160"/>
      <c r="AF1166" s="2320"/>
      <c r="AG1166" s="2320"/>
      <c r="AH1166" s="2320"/>
      <c r="AI1166" s="2320"/>
      <c r="AJ1166" s="2320"/>
      <c r="AK1166" s="2320"/>
      <c r="AL1166" s="2320"/>
      <c r="AM1166" s="2320"/>
      <c r="AN1166" s="2320"/>
      <c r="AO1166" s="2320"/>
      <c r="AP1166" s="2320"/>
      <c r="AQ1166" s="2320"/>
      <c r="AR1166" s="2320"/>
      <c r="AS1166" s="2320"/>
      <c r="AT1166" s="2320"/>
      <c r="AU1166" s="2320"/>
      <c r="AV1166" s="2320"/>
      <c r="AW1166" s="2320"/>
      <c r="AX1166" s="2320"/>
      <c r="AY1166" s="2320"/>
      <c r="AZ1166" s="2320"/>
      <c r="BA1166" s="2320"/>
      <c r="BB1166" s="2320"/>
      <c r="BC1166" s="2320"/>
      <c r="BD1166" s="2320"/>
      <c r="BE1166" s="2320"/>
      <c r="BF1166" s="2320"/>
      <c r="BG1166" s="2320"/>
      <c r="BH1166" s="2320"/>
      <c r="BI1166" s="2320"/>
      <c r="BJ1166" s="2320"/>
      <c r="BK1166" s="2320"/>
      <c r="BL1166" s="2320"/>
      <c r="BM1166" s="2320"/>
      <c r="BN1166" s="2320"/>
      <c r="BO1166" s="2320"/>
      <c r="BP1166" s="2320"/>
      <c r="BQ1166" s="2320"/>
      <c r="BR1166" s="2320"/>
      <c r="BS1166" s="2320"/>
      <c r="BT1166" s="2320"/>
      <c r="BU1166" s="2320"/>
      <c r="BV1166" s="2320"/>
      <c r="BW1166" s="2320"/>
      <c r="BX1166" s="2320"/>
    </row>
    <row r="1167" spans="1:76" s="114" customFormat="1" ht="18.75" customHeight="1">
      <c r="A1167" s="4244" t="s">
        <v>89</v>
      </c>
      <c r="B1167" s="4244"/>
      <c r="C1167" s="4245"/>
      <c r="D1167" s="4245"/>
      <c r="E1167" s="4245"/>
      <c r="F1167" s="4245"/>
      <c r="G1167" s="4245"/>
      <c r="H1167" s="4245"/>
      <c r="I1167" s="4245"/>
      <c r="J1167" s="4245"/>
      <c r="K1167" s="4245"/>
      <c r="L1167" s="4245"/>
      <c r="M1167" s="4245"/>
      <c r="N1167" s="4245"/>
      <c r="O1167" s="4245"/>
      <c r="P1167" s="4245"/>
      <c r="Q1167" s="4245"/>
      <c r="R1167" s="4245"/>
      <c r="S1167" s="4245"/>
      <c r="T1167" s="4245"/>
      <c r="U1167" s="4245"/>
      <c r="V1167" s="4245"/>
      <c r="W1167" s="4245"/>
      <c r="X1167" s="4245"/>
      <c r="Y1167" s="4245"/>
      <c r="Z1167" s="4245"/>
      <c r="AA1167" s="4245"/>
      <c r="AB1167" s="4245"/>
      <c r="AC1167" s="2030">
        <f>(AC1117+AC1130+AC1134+AC1138+AC1146+AC1149+AC1153+AC1159+AC1164+AC1151)/10</f>
        <v>36.067207070076968</v>
      </c>
      <c r="AD1167" s="2030">
        <f>(AD1117+AD1130+AD1134+AD1138+AD1146+AD1149+AD1153+AD1159+AD1164+AD1151)/10</f>
        <v>27.375492927755339</v>
      </c>
      <c r="AE1167" s="390"/>
    </row>
    <row r="1168" spans="1:76" s="475" customFormat="1" ht="15.75" customHeight="1">
      <c r="A1168" s="4244" t="s">
        <v>90</v>
      </c>
      <c r="B1168" s="4244"/>
      <c r="C1168" s="4245"/>
      <c r="D1168" s="4245"/>
      <c r="E1168" s="4245"/>
      <c r="F1168" s="4245"/>
      <c r="G1168" s="4245"/>
      <c r="H1168" s="4245"/>
      <c r="I1168" s="4245"/>
      <c r="J1168" s="4245"/>
      <c r="K1168" s="4245"/>
      <c r="L1168" s="4245"/>
      <c r="M1168" s="4245"/>
      <c r="N1168" s="4245"/>
      <c r="O1168" s="4245"/>
      <c r="P1168" s="4245"/>
      <c r="Q1168" s="4245"/>
      <c r="R1168" s="4245"/>
      <c r="S1168" s="4245"/>
      <c r="T1168" s="4245"/>
      <c r="U1168" s="4245"/>
      <c r="V1168" s="4245"/>
      <c r="W1168" s="4245"/>
      <c r="X1168" s="4245"/>
      <c r="Y1168" s="4245"/>
      <c r="Z1168" s="4245"/>
      <c r="AA1168" s="4245"/>
      <c r="AB1168" s="4245"/>
      <c r="AC1168" s="3152" t="str">
        <f>IF(AC1167&gt;=91,"ST",IF(AC1167&gt;=76,"T",IF(AC1167&gt;=66,"S",IF(AC1167&gt;=51,"R","SR"))))</f>
        <v>SR</v>
      </c>
      <c r="AD1168" s="3152" t="str">
        <f>IF(AD1167&gt;=91,"ST",IF(AD1167&gt;=76,"T",IF(AD1167&gt;=66,"S",IF(AD1167&gt;=51,"R","SR"))))</f>
        <v>SR</v>
      </c>
      <c r="AE1168" s="390"/>
    </row>
    <row r="1169" spans="1:76" s="2624" customFormat="1" ht="22.5" customHeight="1">
      <c r="A1169" s="2546" t="s">
        <v>31</v>
      </c>
      <c r="B1169" s="2918"/>
      <c r="C1169" s="2546"/>
      <c r="D1169" s="2546"/>
      <c r="E1169" s="2546"/>
      <c r="F1169" s="2546"/>
      <c r="G1169" s="2546"/>
      <c r="H1169" s="2546"/>
      <c r="I1169" s="2515" t="s">
        <v>213</v>
      </c>
      <c r="J1169" s="2918"/>
      <c r="K1169" s="3210"/>
      <c r="L1169" s="3194">
        <f>L1170+L1177+L1182+L1185</f>
        <v>21668068210</v>
      </c>
      <c r="M1169" s="3210"/>
      <c r="N1169" s="3195">
        <f>N1170+N1177+N1182+N1185</f>
        <v>5073708984</v>
      </c>
      <c r="O1169" s="3210"/>
      <c r="P1169" s="3195">
        <f>P1170+P1177+P1182+P1185</f>
        <v>5423792000</v>
      </c>
      <c r="Q1169" s="3210"/>
      <c r="R1169" s="2916">
        <f>R1170+R1177+R1182+R1185</f>
        <v>384031464</v>
      </c>
      <c r="S1169" s="2918"/>
      <c r="T1169" s="2916">
        <f>T1170+T1177+T1182+T1185</f>
        <v>811050166</v>
      </c>
      <c r="U1169" s="2918"/>
      <c r="V1169" s="2916">
        <f>V1170+V1177+V1182+V1185</f>
        <v>1041562112</v>
      </c>
      <c r="W1169" s="2918"/>
      <c r="X1169" s="2918"/>
      <c r="Y1169" s="3210"/>
      <c r="Z1169" s="2916">
        <f t="shared" ref="Z1169:Z1190" si="389">R1169+T1169+V1169+X1169</f>
        <v>2236643742</v>
      </c>
      <c r="AA1169" s="3210"/>
      <c r="AB1169" s="2916">
        <f>AB1170+AB1177+AB1182+AB1185</f>
        <v>7310352726</v>
      </c>
      <c r="AC1169" s="3210"/>
      <c r="AD1169" s="3210"/>
      <c r="AE1169" s="3211"/>
      <c r="AF1169" s="2810"/>
      <c r="AG1169" s="2810"/>
      <c r="AH1169" s="2810"/>
      <c r="AI1169" s="2810"/>
      <c r="AJ1169" s="2810"/>
      <c r="AK1169" s="2810"/>
      <c r="AL1169" s="2810"/>
      <c r="AM1169" s="2810"/>
      <c r="AN1169" s="2810"/>
      <c r="AO1169" s="2810"/>
      <c r="AP1169" s="2810"/>
      <c r="AQ1169" s="2810"/>
      <c r="AR1169" s="2810"/>
      <c r="AS1169" s="2810"/>
      <c r="AT1169" s="2810"/>
      <c r="AU1169" s="2810"/>
      <c r="AV1169" s="2810"/>
      <c r="AW1169" s="2810"/>
      <c r="AX1169" s="2810"/>
      <c r="AY1169" s="2810"/>
      <c r="AZ1169" s="2810"/>
      <c r="BA1169" s="2810"/>
      <c r="BB1169" s="2810"/>
      <c r="BC1169" s="2810"/>
      <c r="BD1169" s="2810"/>
      <c r="BE1169" s="2810"/>
      <c r="BF1169" s="2810"/>
      <c r="BG1169" s="2810"/>
      <c r="BH1169" s="2810"/>
      <c r="BI1169" s="2810"/>
      <c r="BJ1169" s="2810"/>
      <c r="BK1169" s="2810"/>
      <c r="BL1169" s="2810"/>
      <c r="BM1169" s="2810"/>
      <c r="BN1169" s="2810"/>
      <c r="BO1169" s="2810"/>
      <c r="BP1169" s="2810"/>
      <c r="BQ1169" s="2810"/>
      <c r="BR1169" s="2810"/>
      <c r="BS1169" s="2810"/>
      <c r="BT1169" s="2810"/>
      <c r="BU1169" s="2810"/>
      <c r="BV1169" s="2810"/>
      <c r="BW1169" s="2810"/>
      <c r="BX1169" s="2810"/>
    </row>
    <row r="1170" spans="1:76" s="2321" customFormat="1" ht="42" customHeight="1">
      <c r="A1170" s="3155">
        <v>1</v>
      </c>
      <c r="B1170" s="3156" t="s">
        <v>2435</v>
      </c>
      <c r="C1170" s="2374" t="s">
        <v>2006</v>
      </c>
      <c r="D1170" s="2374" t="s">
        <v>66</v>
      </c>
      <c r="E1170" s="2374" t="s">
        <v>65</v>
      </c>
      <c r="F1170" s="2374">
        <v>13</v>
      </c>
      <c r="G1170" s="3795">
        <v>16</v>
      </c>
      <c r="H1170" s="3796"/>
      <c r="I1170" s="3068" t="s">
        <v>3396</v>
      </c>
      <c r="J1170" s="2335" t="s">
        <v>3397</v>
      </c>
      <c r="K1170" s="2543">
        <v>10</v>
      </c>
      <c r="L1170" s="2568">
        <f>SUM(L1171:L1176)</f>
        <v>8278502805</v>
      </c>
      <c r="M1170" s="2543">
        <v>3</v>
      </c>
      <c r="N1170" s="2568">
        <f>SUM(N1171:N1176)</f>
        <v>2910690034</v>
      </c>
      <c r="O1170" s="2543">
        <v>2</v>
      </c>
      <c r="P1170" s="2568">
        <f>SUM(P1171:P1176)</f>
        <v>2710629400</v>
      </c>
      <c r="Q1170" s="2543">
        <v>0</v>
      </c>
      <c r="R1170" s="2569">
        <f>SUM(R1171:R1176)</f>
        <v>166099200</v>
      </c>
      <c r="S1170" s="2570"/>
      <c r="T1170" s="2569">
        <f>SUM(T1171:T1176)</f>
        <v>231106950</v>
      </c>
      <c r="U1170" s="2570"/>
      <c r="V1170" s="2571">
        <f>SUM(V1171:V1176)</f>
        <v>773902000</v>
      </c>
      <c r="W1170" s="2570"/>
      <c r="X1170" s="2570"/>
      <c r="Y1170" s="2543">
        <f t="shared" ref="Y1170:Y1190" si="390">Q1170+S1170+U1170+W1170</f>
        <v>0</v>
      </c>
      <c r="Z1170" s="2571">
        <f t="shared" si="389"/>
        <v>1171108150</v>
      </c>
      <c r="AA1170" s="2543">
        <f t="shared" ref="AA1170:AA1176" si="391">M1170+Y1170</f>
        <v>3</v>
      </c>
      <c r="AB1170" s="2571">
        <f t="shared" ref="AB1170:AB1176" si="392">N1170+Z1170</f>
        <v>4081798184</v>
      </c>
      <c r="AC1170" s="2623">
        <f t="shared" ref="AC1170:AC1176" si="393">AA1170/K1170*100</f>
        <v>30</v>
      </c>
      <c r="AD1170" s="2623">
        <f t="shared" ref="AD1170:AD1176" si="394">AB1170/L1170*100</f>
        <v>49.305995059090876</v>
      </c>
      <c r="AE1170" s="2680" t="s">
        <v>2418</v>
      </c>
      <c r="AF1170" s="2868"/>
      <c r="AG1170" s="2320"/>
      <c r="AH1170" s="2320"/>
      <c r="AI1170" s="2320"/>
      <c r="AJ1170" s="2320"/>
      <c r="AK1170" s="2320"/>
      <c r="AL1170" s="2320"/>
      <c r="AM1170" s="2320"/>
      <c r="AN1170" s="2320"/>
      <c r="AO1170" s="2320"/>
      <c r="AP1170" s="2320"/>
      <c r="AQ1170" s="2320"/>
      <c r="AR1170" s="2320"/>
      <c r="AS1170" s="2320"/>
      <c r="AT1170" s="2320"/>
      <c r="AU1170" s="2320"/>
      <c r="AV1170" s="2320"/>
      <c r="AW1170" s="2320"/>
      <c r="AX1170" s="2320"/>
      <c r="AY1170" s="2320"/>
      <c r="AZ1170" s="2320"/>
      <c r="BA1170" s="2320"/>
      <c r="BB1170" s="2320"/>
      <c r="BC1170" s="2320"/>
      <c r="BD1170" s="2320"/>
      <c r="BE1170" s="2320"/>
      <c r="BF1170" s="2320"/>
      <c r="BG1170" s="2320"/>
      <c r="BH1170" s="2320"/>
      <c r="BI1170" s="2320"/>
      <c r="BJ1170" s="2320"/>
      <c r="BK1170" s="2320"/>
      <c r="BL1170" s="2320"/>
      <c r="BM1170" s="2320"/>
      <c r="BN1170" s="2320"/>
      <c r="BO1170" s="2320"/>
      <c r="BP1170" s="2320"/>
      <c r="BQ1170" s="2320"/>
      <c r="BR1170" s="2320"/>
      <c r="BS1170" s="2320"/>
      <c r="BT1170" s="2320"/>
      <c r="BU1170" s="2320"/>
      <c r="BV1170" s="2320"/>
      <c r="BW1170" s="2320"/>
      <c r="BX1170" s="2320"/>
    </row>
    <row r="1171" spans="1:76" s="2321" customFormat="1" ht="45" customHeight="1">
      <c r="A1171" s="64"/>
      <c r="B1171" s="2632"/>
      <c r="C1171" s="1715">
        <v>2</v>
      </c>
      <c r="D1171" s="1715">
        <v>1</v>
      </c>
      <c r="E1171" s="3792" t="s">
        <v>65</v>
      </c>
      <c r="F1171" s="1715">
        <v>13</v>
      </c>
      <c r="G1171" s="1715">
        <v>16</v>
      </c>
      <c r="H1171" s="1715">
        <v>8</v>
      </c>
      <c r="I1171" s="2632" t="s">
        <v>2438</v>
      </c>
      <c r="J1171" s="2632" t="s">
        <v>3399</v>
      </c>
      <c r="K1171" s="2273">
        <v>72</v>
      </c>
      <c r="L1171" s="2532">
        <v>1229153425</v>
      </c>
      <c r="M1171" s="2386">
        <v>24</v>
      </c>
      <c r="N1171" s="2387">
        <f>'[8]triwulan II (2)'!$AH$90</f>
        <v>495895500</v>
      </c>
      <c r="O1171" s="3136">
        <v>12</v>
      </c>
      <c r="P1171" s="2530">
        <v>188189000</v>
      </c>
      <c r="Q1171" s="3069">
        <v>3</v>
      </c>
      <c r="R1171" s="1689">
        <v>13421700</v>
      </c>
      <c r="S1171" s="64">
        <v>58.22</v>
      </c>
      <c r="T1171" s="1689">
        <v>109556000</v>
      </c>
      <c r="U1171" s="64">
        <v>14.53</v>
      </c>
      <c r="V1171" s="2280">
        <v>27335500</v>
      </c>
      <c r="W1171" s="64"/>
      <c r="X1171" s="64"/>
      <c r="Y1171" s="3069">
        <f t="shared" si="390"/>
        <v>75.75</v>
      </c>
      <c r="Z1171" s="2280">
        <f t="shared" si="389"/>
        <v>150313200</v>
      </c>
      <c r="AA1171" s="3069">
        <f t="shared" si="391"/>
        <v>99.75</v>
      </c>
      <c r="AB1171" s="2280">
        <f t="shared" si="392"/>
        <v>646208700</v>
      </c>
      <c r="AC1171" s="2322">
        <f t="shared" si="393"/>
        <v>138.54166666666669</v>
      </c>
      <c r="AD1171" s="3070">
        <f t="shared" si="394"/>
        <v>52.573477554276835</v>
      </c>
      <c r="AE1171" s="3183"/>
      <c r="AF1171" s="2320"/>
      <c r="AG1171" s="2320"/>
      <c r="AH1171" s="2320"/>
      <c r="AI1171" s="2320"/>
      <c r="AJ1171" s="2320"/>
      <c r="AK1171" s="2320"/>
      <c r="AL1171" s="2320"/>
      <c r="AM1171" s="2320"/>
      <c r="AN1171" s="2320"/>
      <c r="AO1171" s="2320"/>
      <c r="AP1171" s="2320"/>
      <c r="AQ1171" s="2320"/>
      <c r="AR1171" s="2320"/>
      <c r="AS1171" s="2320"/>
      <c r="AT1171" s="2320"/>
      <c r="AU1171" s="2320"/>
      <c r="AV1171" s="2320"/>
      <c r="AW1171" s="2320"/>
      <c r="AX1171" s="2320"/>
      <c r="AY1171" s="2320"/>
      <c r="AZ1171" s="2320"/>
      <c r="BA1171" s="2320"/>
      <c r="BB1171" s="2320"/>
      <c r="BC1171" s="2320"/>
      <c r="BD1171" s="2320"/>
      <c r="BE1171" s="2320"/>
      <c r="BF1171" s="2320"/>
      <c r="BG1171" s="2320"/>
      <c r="BH1171" s="2320"/>
      <c r="BI1171" s="2320"/>
      <c r="BJ1171" s="2320"/>
      <c r="BK1171" s="2320"/>
      <c r="BL1171" s="2320"/>
      <c r="BM1171" s="2320"/>
      <c r="BN1171" s="2320"/>
      <c r="BO1171" s="2320"/>
      <c r="BP1171" s="2320"/>
      <c r="BQ1171" s="2320"/>
      <c r="BR1171" s="2320"/>
      <c r="BS1171" s="2320"/>
      <c r="BT1171" s="2320"/>
      <c r="BU1171" s="2320"/>
      <c r="BV1171" s="2320"/>
      <c r="BW1171" s="2320"/>
      <c r="BX1171" s="2320"/>
    </row>
    <row r="1172" spans="1:76" s="2321" customFormat="1" ht="63" customHeight="1">
      <c r="A1172" s="2632"/>
      <c r="B1172" s="2632"/>
      <c r="C1172" s="1715">
        <v>2</v>
      </c>
      <c r="D1172" s="1715">
        <v>1</v>
      </c>
      <c r="E1172" s="3792" t="s">
        <v>65</v>
      </c>
      <c r="F1172" s="1715">
        <v>13</v>
      </c>
      <c r="G1172" s="1715">
        <v>16</v>
      </c>
      <c r="H1172" s="1715">
        <v>16</v>
      </c>
      <c r="I1172" s="1200" t="s">
        <v>2440</v>
      </c>
      <c r="J1172" s="728" t="s">
        <v>3398</v>
      </c>
      <c r="K1172" s="2398">
        <v>72</v>
      </c>
      <c r="L1172" s="2532">
        <v>318716500</v>
      </c>
      <c r="M1172" s="2386">
        <v>24</v>
      </c>
      <c r="N1172" s="2387">
        <f>'[8]triwulan II (2)'!$AH$92</f>
        <v>80069050</v>
      </c>
      <c r="O1172" s="2349">
        <v>12</v>
      </c>
      <c r="P1172" s="2388">
        <v>33438000</v>
      </c>
      <c r="Q1172" s="2415">
        <v>3</v>
      </c>
      <c r="R1172" s="1731">
        <v>11227000</v>
      </c>
      <c r="S1172" s="2632">
        <v>2.15</v>
      </c>
      <c r="T1172" s="1731">
        <v>720000</v>
      </c>
      <c r="U1172" s="2632">
        <v>8.14</v>
      </c>
      <c r="V1172" s="2304">
        <v>2723000</v>
      </c>
      <c r="W1172" s="2632"/>
      <c r="X1172" s="2632"/>
      <c r="Y1172" s="2386">
        <f t="shared" si="390"/>
        <v>13.290000000000001</v>
      </c>
      <c r="Z1172" s="2304">
        <f t="shared" si="389"/>
        <v>14670000</v>
      </c>
      <c r="AA1172" s="2386">
        <f t="shared" si="391"/>
        <v>37.29</v>
      </c>
      <c r="AB1172" s="2304">
        <f t="shared" si="392"/>
        <v>94739050</v>
      </c>
      <c r="AC1172" s="2322">
        <f t="shared" si="393"/>
        <v>51.791666666666671</v>
      </c>
      <c r="AD1172" s="2434">
        <f t="shared" si="394"/>
        <v>29.725178959984817</v>
      </c>
      <c r="AE1172" s="3183"/>
      <c r="AF1172" s="2320"/>
      <c r="AG1172" s="2320"/>
      <c r="AH1172" s="2320"/>
      <c r="AI1172" s="2320"/>
      <c r="AJ1172" s="2320"/>
      <c r="AK1172" s="2320"/>
      <c r="AL1172" s="2320"/>
      <c r="AM1172" s="2320"/>
      <c r="AN1172" s="2320"/>
      <c r="AO1172" s="2320"/>
      <c r="AP1172" s="2320"/>
      <c r="AQ1172" s="2320"/>
      <c r="AR1172" s="2320"/>
      <c r="AS1172" s="2320"/>
      <c r="AT1172" s="2320"/>
      <c r="AU1172" s="2320"/>
      <c r="AV1172" s="2320"/>
      <c r="AW1172" s="2320"/>
      <c r="AX1172" s="2320"/>
      <c r="AY1172" s="2320"/>
      <c r="AZ1172" s="2320"/>
      <c r="BA1172" s="2320"/>
      <c r="BB1172" s="2320"/>
      <c r="BC1172" s="2320"/>
      <c r="BD1172" s="2320"/>
      <c r="BE1172" s="2320"/>
      <c r="BF1172" s="2320"/>
      <c r="BG1172" s="2320"/>
      <c r="BH1172" s="2320"/>
      <c r="BI1172" s="2320"/>
      <c r="BJ1172" s="2320"/>
      <c r="BK1172" s="2320"/>
      <c r="BL1172" s="2320"/>
      <c r="BM1172" s="2320"/>
      <c r="BN1172" s="2320"/>
      <c r="BO1172" s="2320"/>
      <c r="BP1172" s="2320"/>
      <c r="BQ1172" s="2320"/>
      <c r="BR1172" s="2320"/>
      <c r="BS1172" s="2320"/>
      <c r="BT1172" s="2320"/>
      <c r="BU1172" s="2320"/>
      <c r="BV1172" s="2320"/>
      <c r="BW1172" s="2320"/>
      <c r="BX1172" s="2320"/>
    </row>
    <row r="1173" spans="1:76" s="2321" customFormat="1" ht="50.25" customHeight="1">
      <c r="A1173" s="64"/>
      <c r="B1173" s="2632"/>
      <c r="C1173" s="1715">
        <v>2</v>
      </c>
      <c r="D1173" s="1715">
        <v>1</v>
      </c>
      <c r="E1173" s="3792" t="s">
        <v>65</v>
      </c>
      <c r="F1173" s="1715">
        <v>13</v>
      </c>
      <c r="G1173" s="1715">
        <v>16</v>
      </c>
      <c r="H1173" s="1715">
        <v>18</v>
      </c>
      <c r="I1173" s="1200" t="s">
        <v>2442</v>
      </c>
      <c r="J1173" s="728" t="s">
        <v>3400</v>
      </c>
      <c r="K1173" s="2398">
        <v>72</v>
      </c>
      <c r="L1173" s="2532">
        <v>1847355680</v>
      </c>
      <c r="M1173" s="2349">
        <v>24</v>
      </c>
      <c r="N1173" s="2534">
        <f>'[8]triwulan II (2)'!$AH$93</f>
        <v>263614800</v>
      </c>
      <c r="O1173" s="2349">
        <v>12</v>
      </c>
      <c r="P1173" s="2388">
        <v>473350000</v>
      </c>
      <c r="Q1173" s="2386">
        <v>3</v>
      </c>
      <c r="R1173" s="1731">
        <v>66395000</v>
      </c>
      <c r="S1173" s="2632">
        <v>3</v>
      </c>
      <c r="T1173" s="1731">
        <v>86869600</v>
      </c>
      <c r="U1173" s="2632">
        <v>3</v>
      </c>
      <c r="V1173" s="2304">
        <v>234689400</v>
      </c>
      <c r="W1173" s="2632"/>
      <c r="X1173" s="2632"/>
      <c r="Y1173" s="2386">
        <f t="shared" si="390"/>
        <v>9</v>
      </c>
      <c r="Z1173" s="2304">
        <f t="shared" si="389"/>
        <v>387954000</v>
      </c>
      <c r="AA1173" s="2386">
        <f t="shared" si="391"/>
        <v>33</v>
      </c>
      <c r="AB1173" s="2304">
        <f t="shared" si="392"/>
        <v>651568800</v>
      </c>
      <c r="AC1173" s="2322">
        <f t="shared" si="393"/>
        <v>45.833333333333329</v>
      </c>
      <c r="AD1173" s="2426">
        <f t="shared" si="394"/>
        <v>35.270349237781865</v>
      </c>
      <c r="AE1173" s="3183"/>
      <c r="AF1173" s="2320"/>
      <c r="AG1173" s="2320"/>
      <c r="AH1173" s="2320"/>
      <c r="AI1173" s="2320"/>
      <c r="AJ1173" s="2320"/>
      <c r="AK1173" s="2320"/>
      <c r="AL1173" s="2320"/>
      <c r="AM1173" s="2320"/>
      <c r="AN1173" s="2320"/>
      <c r="AO1173" s="2320"/>
      <c r="AP1173" s="2320"/>
      <c r="AQ1173" s="2320"/>
      <c r="AR1173" s="2320"/>
      <c r="AS1173" s="2320"/>
      <c r="AT1173" s="2320"/>
      <c r="AU1173" s="2320"/>
      <c r="AV1173" s="2320"/>
      <c r="AW1173" s="2320"/>
      <c r="AX1173" s="2320"/>
      <c r="AY1173" s="2320"/>
      <c r="AZ1173" s="2320"/>
      <c r="BA1173" s="2320"/>
      <c r="BB1173" s="2320"/>
      <c r="BC1173" s="2320"/>
      <c r="BD1173" s="2320"/>
      <c r="BE1173" s="2320"/>
      <c r="BF1173" s="2320"/>
      <c r="BG1173" s="2320"/>
      <c r="BH1173" s="2320"/>
      <c r="BI1173" s="2320"/>
      <c r="BJ1173" s="2320"/>
      <c r="BK1173" s="2320"/>
      <c r="BL1173" s="2320"/>
      <c r="BM1173" s="2320"/>
      <c r="BN1173" s="2320"/>
      <c r="BO1173" s="2320"/>
      <c r="BP1173" s="2320"/>
      <c r="BQ1173" s="2320"/>
      <c r="BR1173" s="2320"/>
      <c r="BS1173" s="2320"/>
      <c r="BT1173" s="2320"/>
      <c r="BU1173" s="2320"/>
      <c r="BV1173" s="2320"/>
      <c r="BW1173" s="2320"/>
      <c r="BX1173" s="2320"/>
    </row>
    <row r="1174" spans="1:76" s="2608" customFormat="1" ht="42" customHeight="1">
      <c r="A1174" s="64"/>
      <c r="B1174" s="2632"/>
      <c r="C1174" s="1715">
        <v>2</v>
      </c>
      <c r="D1174" s="1715">
        <v>1</v>
      </c>
      <c r="E1174" s="3792" t="s">
        <v>65</v>
      </c>
      <c r="F1174" s="1715">
        <v>13</v>
      </c>
      <c r="G1174" s="1715">
        <v>16</v>
      </c>
      <c r="H1174" s="2583">
        <v>94</v>
      </c>
      <c r="I1174" s="1200" t="s">
        <v>2444</v>
      </c>
      <c r="J1174" s="728" t="s">
        <v>4035</v>
      </c>
      <c r="K1174" s="2399">
        <v>10</v>
      </c>
      <c r="L1174" s="2388">
        <v>4000000000</v>
      </c>
      <c r="M1174" s="2349">
        <v>4</v>
      </c>
      <c r="N1174" s="2388">
        <v>1991088284</v>
      </c>
      <c r="O1174" s="2349">
        <v>2</v>
      </c>
      <c r="P1174" s="2388">
        <v>1681980000</v>
      </c>
      <c r="Q1174" s="2386">
        <v>0</v>
      </c>
      <c r="R1174" s="1731">
        <v>1150000</v>
      </c>
      <c r="S1174" s="2632">
        <v>0</v>
      </c>
      <c r="T1174" s="1731">
        <v>8971600</v>
      </c>
      <c r="U1174" s="2632">
        <v>2</v>
      </c>
      <c r="V1174" s="2304">
        <v>431538700</v>
      </c>
      <c r="W1174" s="2632"/>
      <c r="X1174" s="2632"/>
      <c r="Y1174" s="2386">
        <f t="shared" si="390"/>
        <v>2</v>
      </c>
      <c r="Z1174" s="2304">
        <f t="shared" si="389"/>
        <v>441660300</v>
      </c>
      <c r="AA1174" s="2386">
        <f t="shared" si="391"/>
        <v>6</v>
      </c>
      <c r="AB1174" s="2304">
        <f t="shared" si="392"/>
        <v>2432748584</v>
      </c>
      <c r="AC1174" s="2322">
        <f t="shared" si="393"/>
        <v>60</v>
      </c>
      <c r="AD1174" s="2426">
        <f t="shared" si="394"/>
        <v>60.8187146</v>
      </c>
      <c r="AE1174" s="3183"/>
      <c r="AF1174" s="2318"/>
      <c r="AG1174" s="2318"/>
      <c r="AH1174" s="2318"/>
      <c r="AI1174" s="2318"/>
      <c r="AJ1174" s="2318"/>
      <c r="AK1174" s="2318"/>
      <c r="AL1174" s="2318"/>
      <c r="AM1174" s="2318"/>
      <c r="AN1174" s="2318"/>
      <c r="AO1174" s="2318"/>
      <c r="AP1174" s="2318"/>
      <c r="AQ1174" s="2318"/>
      <c r="AR1174" s="2318"/>
      <c r="AS1174" s="2318"/>
      <c r="AT1174" s="2318"/>
      <c r="AU1174" s="2318"/>
      <c r="AV1174" s="2318"/>
      <c r="AW1174" s="2318"/>
      <c r="AX1174" s="2318"/>
      <c r="AY1174" s="2318"/>
      <c r="AZ1174" s="2318"/>
      <c r="BA1174" s="2318"/>
      <c r="BB1174" s="2318"/>
      <c r="BC1174" s="2318"/>
      <c r="BD1174" s="2318"/>
      <c r="BE1174" s="2318"/>
      <c r="BF1174" s="2318"/>
      <c r="BG1174" s="2318"/>
      <c r="BH1174" s="2318"/>
      <c r="BI1174" s="2318"/>
      <c r="BJ1174" s="2318"/>
      <c r="BK1174" s="2318"/>
      <c r="BL1174" s="2318"/>
      <c r="BM1174" s="2318"/>
      <c r="BN1174" s="2318"/>
      <c r="BO1174" s="2318"/>
      <c r="BP1174" s="2318"/>
      <c r="BQ1174" s="2318"/>
      <c r="BR1174" s="2318"/>
      <c r="BS1174" s="2318"/>
      <c r="BT1174" s="2318"/>
      <c r="BU1174" s="2318"/>
      <c r="BV1174" s="2318"/>
      <c r="BW1174" s="2318"/>
      <c r="BX1174" s="2318"/>
    </row>
    <row r="1175" spans="1:76" s="2608" customFormat="1" ht="41.25" customHeight="1">
      <c r="A1175" s="64"/>
      <c r="B1175" s="2632"/>
      <c r="C1175" s="1715">
        <v>2</v>
      </c>
      <c r="D1175" s="1715">
        <v>1</v>
      </c>
      <c r="E1175" s="3792" t="s">
        <v>65</v>
      </c>
      <c r="F1175" s="1715">
        <v>13</v>
      </c>
      <c r="G1175" s="1715">
        <v>16</v>
      </c>
      <c r="H1175" s="1715">
        <v>93</v>
      </c>
      <c r="I1175" s="1200" t="s">
        <v>2446</v>
      </c>
      <c r="J1175" s="728" t="s">
        <v>3401</v>
      </c>
      <c r="K1175" s="2398">
        <v>60</v>
      </c>
      <c r="L1175" s="2532">
        <v>425912000</v>
      </c>
      <c r="M1175" s="2387">
        <v>12</v>
      </c>
      <c r="N1175" s="2388">
        <f>'[8]triwulan II (2)'!$AH$120</f>
        <v>80022400</v>
      </c>
      <c r="O1175" s="2349">
        <v>12</v>
      </c>
      <c r="P1175" s="2388">
        <v>263672500</v>
      </c>
      <c r="Q1175" s="2386">
        <v>3</v>
      </c>
      <c r="R1175" s="1731">
        <v>73580500</v>
      </c>
      <c r="S1175" s="2632">
        <v>6.62</v>
      </c>
      <c r="T1175" s="1731">
        <v>22218000</v>
      </c>
      <c r="U1175" s="2632">
        <v>28.66</v>
      </c>
      <c r="V1175" s="2304">
        <v>75581400</v>
      </c>
      <c r="W1175" s="2632"/>
      <c r="X1175" s="2632"/>
      <c r="Y1175" s="2386">
        <f t="shared" si="390"/>
        <v>38.28</v>
      </c>
      <c r="Z1175" s="2304">
        <f t="shared" si="389"/>
        <v>171379900</v>
      </c>
      <c r="AA1175" s="2386">
        <f t="shared" si="391"/>
        <v>50.28</v>
      </c>
      <c r="AB1175" s="2304">
        <f t="shared" si="392"/>
        <v>251402300</v>
      </c>
      <c r="AC1175" s="2322">
        <f t="shared" si="393"/>
        <v>83.8</v>
      </c>
      <c r="AD1175" s="2426">
        <f t="shared" si="394"/>
        <v>59.026817746388929</v>
      </c>
      <c r="AE1175" s="3183"/>
      <c r="AF1175" s="2318"/>
      <c r="AG1175" s="2318"/>
      <c r="AH1175" s="2318"/>
      <c r="AI1175" s="2318"/>
      <c r="AJ1175" s="2318"/>
      <c r="AK1175" s="2318"/>
      <c r="AL1175" s="2318"/>
      <c r="AM1175" s="2318"/>
      <c r="AN1175" s="2318"/>
      <c r="AO1175" s="2318"/>
      <c r="AP1175" s="2318"/>
      <c r="AQ1175" s="2318"/>
      <c r="AR1175" s="2318"/>
      <c r="AS1175" s="2318"/>
      <c r="AT1175" s="2318"/>
      <c r="AU1175" s="2318"/>
      <c r="AV1175" s="2318"/>
      <c r="AW1175" s="2318"/>
      <c r="AX1175" s="2318"/>
      <c r="AY1175" s="2318"/>
      <c r="AZ1175" s="2318"/>
      <c r="BA1175" s="2318"/>
      <c r="BB1175" s="2318"/>
      <c r="BC1175" s="2318"/>
      <c r="BD1175" s="2318"/>
      <c r="BE1175" s="2318"/>
      <c r="BF1175" s="2318"/>
      <c r="BG1175" s="2318"/>
      <c r="BH1175" s="2318"/>
      <c r="BI1175" s="2318"/>
      <c r="BJ1175" s="2318"/>
      <c r="BK1175" s="2318"/>
      <c r="BL1175" s="2318"/>
      <c r="BM1175" s="2318"/>
      <c r="BN1175" s="2318"/>
      <c r="BO1175" s="2318"/>
      <c r="BP1175" s="2318"/>
      <c r="BQ1175" s="2318"/>
      <c r="BR1175" s="2318"/>
      <c r="BS1175" s="2318"/>
      <c r="BT1175" s="2318"/>
      <c r="BU1175" s="2318"/>
      <c r="BV1175" s="2318"/>
      <c r="BW1175" s="2318"/>
      <c r="BX1175" s="2318"/>
    </row>
    <row r="1176" spans="1:76" s="2608" customFormat="1" ht="51" customHeight="1">
      <c r="A1176" s="64"/>
      <c r="B1176" s="2632"/>
      <c r="C1176" s="1715">
        <v>2</v>
      </c>
      <c r="D1176" s="1715">
        <v>1</v>
      </c>
      <c r="E1176" s="3792" t="s">
        <v>65</v>
      </c>
      <c r="F1176" s="1715">
        <v>13</v>
      </c>
      <c r="G1176" s="1715">
        <v>16</v>
      </c>
      <c r="H1176" s="2583">
        <v>98</v>
      </c>
      <c r="I1176" s="1200" t="s">
        <v>2448</v>
      </c>
      <c r="J1176" s="728" t="s">
        <v>3402</v>
      </c>
      <c r="K1176" s="2398">
        <v>20</v>
      </c>
      <c r="L1176" s="2532">
        <v>457365200</v>
      </c>
      <c r="M1176" s="2349"/>
      <c r="N1176" s="2388"/>
      <c r="O1176" s="2349">
        <v>5</v>
      </c>
      <c r="P1176" s="2388">
        <v>69999900</v>
      </c>
      <c r="Q1176" s="2386">
        <v>0</v>
      </c>
      <c r="R1176" s="1731">
        <v>325000</v>
      </c>
      <c r="S1176" s="2632">
        <v>3.96</v>
      </c>
      <c r="T1176" s="1731">
        <v>2771750</v>
      </c>
      <c r="U1176" s="2632">
        <v>2.91</v>
      </c>
      <c r="V1176" s="2304">
        <v>2034000</v>
      </c>
      <c r="W1176" s="2632"/>
      <c r="X1176" s="2632"/>
      <c r="Y1176" s="2386">
        <f t="shared" si="390"/>
        <v>6.87</v>
      </c>
      <c r="Z1176" s="2304">
        <f t="shared" si="389"/>
        <v>5130750</v>
      </c>
      <c r="AA1176" s="2386">
        <f t="shared" si="391"/>
        <v>6.87</v>
      </c>
      <c r="AB1176" s="2304">
        <f t="shared" si="392"/>
        <v>5130750</v>
      </c>
      <c r="AC1176" s="2322">
        <f t="shared" si="393"/>
        <v>34.35</v>
      </c>
      <c r="AD1176" s="2426">
        <f t="shared" si="394"/>
        <v>1.1218059441339219</v>
      </c>
      <c r="AE1176" s="3183"/>
      <c r="AF1176" s="2318"/>
      <c r="AG1176" s="2318"/>
      <c r="AH1176" s="2318"/>
      <c r="AI1176" s="2318"/>
      <c r="AJ1176" s="2318"/>
      <c r="AK1176" s="2318"/>
      <c r="AL1176" s="2318"/>
      <c r="AM1176" s="2318"/>
      <c r="AN1176" s="2318"/>
      <c r="AO1176" s="2318"/>
      <c r="AP1176" s="2318"/>
      <c r="AQ1176" s="2318"/>
      <c r="AR1176" s="2318"/>
      <c r="AS1176" s="2318"/>
      <c r="AT1176" s="2318"/>
      <c r="AU1176" s="2318"/>
      <c r="AV1176" s="2318"/>
      <c r="AW1176" s="2318"/>
      <c r="AX1176" s="2318"/>
      <c r="AY1176" s="2318"/>
      <c r="AZ1176" s="2318"/>
      <c r="BA1176" s="2318"/>
      <c r="BB1176" s="2318"/>
      <c r="BC1176" s="2318"/>
      <c r="BD1176" s="2318"/>
      <c r="BE1176" s="2318"/>
      <c r="BF1176" s="2318"/>
      <c r="BG1176" s="2318"/>
      <c r="BH1176" s="2318"/>
      <c r="BI1176" s="2318"/>
      <c r="BJ1176" s="2318"/>
      <c r="BK1176" s="2318"/>
      <c r="BL1176" s="2318"/>
      <c r="BM1176" s="2318"/>
      <c r="BN1176" s="2318"/>
      <c r="BO1176" s="2318"/>
      <c r="BP1176" s="2318"/>
      <c r="BQ1176" s="2318"/>
      <c r="BR1176" s="2318"/>
      <c r="BS1176" s="2318"/>
      <c r="BT1176" s="2318"/>
      <c r="BU1176" s="2318"/>
      <c r="BV1176" s="2318"/>
      <c r="BW1176" s="2318"/>
      <c r="BX1176" s="2318"/>
    </row>
    <row r="1177" spans="1:76" s="2608" customFormat="1" ht="35.25" customHeight="1">
      <c r="A1177" s="2570">
        <v>2</v>
      </c>
      <c r="B1177" s="2335"/>
      <c r="C1177" s="2374" t="s">
        <v>2006</v>
      </c>
      <c r="D1177" s="2374" t="s">
        <v>66</v>
      </c>
      <c r="E1177" s="2374" t="s">
        <v>65</v>
      </c>
      <c r="F1177" s="2374" t="s">
        <v>155</v>
      </c>
      <c r="G1177" s="3795"/>
      <c r="H1177" s="3795"/>
      <c r="I1177" s="2335" t="s">
        <v>2450</v>
      </c>
      <c r="J1177" s="3156" t="s">
        <v>3403</v>
      </c>
      <c r="K1177" s="2361">
        <v>7030423</v>
      </c>
      <c r="L1177" s="2442">
        <f>SUM(L1178:L1181)</f>
        <v>8762661425</v>
      </c>
      <c r="M1177" s="3161">
        <v>1984312</v>
      </c>
      <c r="N1177" s="2442">
        <f>SUM(N1178:N1181)</f>
        <v>1488105550</v>
      </c>
      <c r="O1177" s="2523">
        <v>1050909</v>
      </c>
      <c r="P1177" s="2442">
        <f>SUM(P1178:P1181)</f>
        <v>1462480600</v>
      </c>
      <c r="Q1177" s="3161">
        <f>O1177/6</f>
        <v>175151.5</v>
      </c>
      <c r="R1177" s="2340">
        <f>SUM(R1178:R1181)</f>
        <v>57978600</v>
      </c>
      <c r="S1177" s="2335"/>
      <c r="T1177" s="2339">
        <f>SUM(T1178:T1184)</f>
        <v>243159300</v>
      </c>
      <c r="U1177" s="2335"/>
      <c r="V1177" s="2342">
        <f>SUM(V1178:V1181)</f>
        <v>44500900</v>
      </c>
      <c r="W1177" s="2335"/>
      <c r="X1177" s="2335"/>
      <c r="Y1177" s="2361">
        <f t="shared" si="390"/>
        <v>175151.5</v>
      </c>
      <c r="Z1177" s="2342">
        <f t="shared" si="389"/>
        <v>345638800</v>
      </c>
      <c r="AA1177" s="2361">
        <f t="shared" ref="AA1177:AB1184" si="395">M1177+Y1177</f>
        <v>2159463.5</v>
      </c>
      <c r="AB1177" s="2342">
        <f t="shared" si="395"/>
        <v>1833744350</v>
      </c>
      <c r="AC1177" s="2625">
        <f t="shared" ref="AC1177:AD1184" si="396">AA1177/K1177*100</f>
        <v>30.71598252338444</v>
      </c>
      <c r="AD1177" s="2625">
        <f t="shared" si="396"/>
        <v>20.926796792220006</v>
      </c>
      <c r="AE1177" s="2680" t="s">
        <v>2418</v>
      </c>
      <c r="AF1177" s="2318"/>
      <c r="AG1177" s="2318"/>
      <c r="AH1177" s="2318"/>
      <c r="AI1177" s="2318"/>
      <c r="AJ1177" s="2318"/>
      <c r="AK1177" s="2318"/>
      <c r="AL1177" s="2318"/>
      <c r="AM1177" s="2318"/>
      <c r="AN1177" s="2318"/>
      <c r="AO1177" s="2318"/>
      <c r="AP1177" s="2318"/>
      <c r="AQ1177" s="2318"/>
      <c r="AR1177" s="2318"/>
      <c r="AS1177" s="2318"/>
      <c r="AT1177" s="2318"/>
      <c r="AU1177" s="2318"/>
      <c r="AV1177" s="2318"/>
      <c r="AW1177" s="2318"/>
      <c r="AX1177" s="2318"/>
      <c r="AY1177" s="2318"/>
      <c r="AZ1177" s="2318"/>
      <c r="BA1177" s="2318"/>
      <c r="BB1177" s="2318"/>
      <c r="BC1177" s="2318"/>
      <c r="BD1177" s="2318"/>
      <c r="BE1177" s="2318"/>
      <c r="BF1177" s="2318"/>
      <c r="BG1177" s="2318"/>
      <c r="BH1177" s="2318"/>
      <c r="BI1177" s="2318"/>
      <c r="BJ1177" s="2318"/>
      <c r="BK1177" s="2318"/>
      <c r="BL1177" s="2318"/>
      <c r="BM1177" s="2318"/>
      <c r="BN1177" s="2318"/>
      <c r="BO1177" s="2318"/>
      <c r="BP1177" s="2318"/>
      <c r="BQ1177" s="2318"/>
      <c r="BR1177" s="2318"/>
      <c r="BS1177" s="2318"/>
      <c r="BT1177" s="2318"/>
      <c r="BU1177" s="2318"/>
      <c r="BV1177" s="2318"/>
      <c r="BW1177" s="2318"/>
      <c r="BX1177" s="2318"/>
    </row>
    <row r="1178" spans="1:76" s="2608" customFormat="1" ht="37.5" customHeight="1">
      <c r="A1178" s="64"/>
      <c r="B1178" s="2632"/>
      <c r="C1178" s="2446" t="s">
        <v>2006</v>
      </c>
      <c r="D1178" s="2446" t="s">
        <v>66</v>
      </c>
      <c r="E1178" s="2446" t="s">
        <v>65</v>
      </c>
      <c r="F1178" s="2446">
        <v>13</v>
      </c>
      <c r="G1178" s="2448">
        <v>15</v>
      </c>
      <c r="H1178" s="2207">
        <v>11</v>
      </c>
      <c r="I1178" s="1762" t="s">
        <v>2452</v>
      </c>
      <c r="J1178" s="1762" t="s">
        <v>2453</v>
      </c>
      <c r="K1178" s="2284">
        <v>5</v>
      </c>
      <c r="L1178" s="3071">
        <v>3369697000</v>
      </c>
      <c r="M1178" s="1396">
        <v>1</v>
      </c>
      <c r="N1178" s="2287">
        <f>'[8]triwulan II (2)'!$AH$74</f>
        <v>585839100</v>
      </c>
      <c r="O1178" s="1396">
        <v>1</v>
      </c>
      <c r="P1178" s="2286">
        <v>525007000</v>
      </c>
      <c r="Q1178" s="2415">
        <v>0</v>
      </c>
      <c r="R1178" s="1387">
        <v>1250000</v>
      </c>
      <c r="S1178" s="2516">
        <v>0.55000000000000004</v>
      </c>
      <c r="T1178" s="1387">
        <v>2921600</v>
      </c>
      <c r="U1178" s="2415">
        <v>0</v>
      </c>
      <c r="V1178" s="2307">
        <v>6176400</v>
      </c>
      <c r="W1178" s="2516"/>
      <c r="X1178" s="2516"/>
      <c r="Y1178" s="2415">
        <f t="shared" si="390"/>
        <v>0.55000000000000004</v>
      </c>
      <c r="Z1178" s="2307">
        <f t="shared" si="389"/>
        <v>10348000</v>
      </c>
      <c r="AA1178" s="2415">
        <f t="shared" si="395"/>
        <v>1.55</v>
      </c>
      <c r="AB1178" s="2307">
        <f t="shared" si="395"/>
        <v>596187100</v>
      </c>
      <c r="AC1178" s="2428">
        <f t="shared" si="396"/>
        <v>31</v>
      </c>
      <c r="AD1178" s="2428">
        <f t="shared" si="396"/>
        <v>17.692602628663646</v>
      </c>
      <c r="AE1178" s="3186"/>
      <c r="AF1178" s="2318"/>
      <c r="AG1178" s="2318"/>
      <c r="AH1178" s="2318"/>
      <c r="AI1178" s="2318"/>
      <c r="AJ1178" s="2318"/>
      <c r="AK1178" s="2318"/>
      <c r="AL1178" s="2318"/>
      <c r="AM1178" s="2318"/>
      <c r="AN1178" s="2318"/>
      <c r="AO1178" s="2318"/>
      <c r="AP1178" s="2318"/>
      <c r="AQ1178" s="2318"/>
      <c r="AR1178" s="2318"/>
      <c r="AS1178" s="2318"/>
      <c r="AT1178" s="2318"/>
      <c r="AU1178" s="2318"/>
      <c r="AV1178" s="2318"/>
      <c r="AW1178" s="2318"/>
      <c r="AX1178" s="2318"/>
      <c r="AY1178" s="2318"/>
      <c r="AZ1178" s="2318"/>
      <c r="BA1178" s="2318"/>
      <c r="BB1178" s="2318"/>
      <c r="BC1178" s="2318"/>
      <c r="BD1178" s="2318"/>
      <c r="BE1178" s="2318"/>
      <c r="BF1178" s="2318"/>
      <c r="BG1178" s="2318"/>
      <c r="BH1178" s="2318"/>
      <c r="BI1178" s="2318"/>
      <c r="BJ1178" s="2318"/>
      <c r="BK1178" s="2318"/>
      <c r="BL1178" s="2318"/>
      <c r="BM1178" s="2318"/>
      <c r="BN1178" s="2318"/>
      <c r="BO1178" s="2318"/>
      <c r="BP1178" s="2318"/>
      <c r="BQ1178" s="2318"/>
      <c r="BR1178" s="2318"/>
      <c r="BS1178" s="2318"/>
      <c r="BT1178" s="2318"/>
      <c r="BU1178" s="2318"/>
      <c r="BV1178" s="2318"/>
      <c r="BW1178" s="2318"/>
      <c r="BX1178" s="2318"/>
    </row>
    <row r="1179" spans="1:76" s="2608" customFormat="1" ht="57" customHeight="1">
      <c r="A1179" s="64"/>
      <c r="B1179" s="2632"/>
      <c r="C1179" s="2446" t="s">
        <v>2006</v>
      </c>
      <c r="D1179" s="2446" t="s">
        <v>66</v>
      </c>
      <c r="E1179" s="2446" t="s">
        <v>65</v>
      </c>
      <c r="F1179" s="2446">
        <v>13</v>
      </c>
      <c r="G1179" s="2448">
        <v>15</v>
      </c>
      <c r="H1179" s="2207">
        <v>14</v>
      </c>
      <c r="I1179" s="1762" t="s">
        <v>2454</v>
      </c>
      <c r="J1179" s="1762" t="s">
        <v>3405</v>
      </c>
      <c r="K1179" s="2284">
        <f>6*5</f>
        <v>30</v>
      </c>
      <c r="L1179" s="3071">
        <v>3080681500</v>
      </c>
      <c r="M1179" s="1396">
        <v>12</v>
      </c>
      <c r="N1179" s="2287">
        <f>'[8]triwulan II (2)'!$AH$76</f>
        <v>447533050</v>
      </c>
      <c r="O1179" s="2285">
        <v>6</v>
      </c>
      <c r="P1179" s="2286">
        <v>536075000</v>
      </c>
      <c r="Q1179" s="2415">
        <v>1</v>
      </c>
      <c r="R1179" s="1387">
        <v>44583800</v>
      </c>
      <c r="S1179" s="2415">
        <v>1</v>
      </c>
      <c r="T1179" s="1387">
        <v>96890300</v>
      </c>
      <c r="U1179" s="2415">
        <v>1</v>
      </c>
      <c r="V1179" s="2307">
        <v>33824500</v>
      </c>
      <c r="W1179" s="2516"/>
      <c r="X1179" s="2516"/>
      <c r="Y1179" s="2415">
        <f t="shared" si="390"/>
        <v>3</v>
      </c>
      <c r="Z1179" s="2307">
        <f t="shared" si="389"/>
        <v>175298600</v>
      </c>
      <c r="AA1179" s="2415">
        <f t="shared" si="395"/>
        <v>15</v>
      </c>
      <c r="AB1179" s="2307">
        <f t="shared" si="395"/>
        <v>622831650</v>
      </c>
      <c r="AC1179" s="2428">
        <f t="shared" si="396"/>
        <v>50</v>
      </c>
      <c r="AD1179" s="2428">
        <f t="shared" si="396"/>
        <v>20.217333404962506</v>
      </c>
      <c r="AE1179" s="3186"/>
      <c r="AF1179" s="2318"/>
      <c r="AG1179" s="2318"/>
      <c r="AH1179" s="2318"/>
      <c r="AI1179" s="2318"/>
      <c r="AJ1179" s="2318"/>
      <c r="AK1179" s="2318"/>
      <c r="AL1179" s="2318"/>
      <c r="AM1179" s="2318"/>
      <c r="AN1179" s="2318"/>
      <c r="AO1179" s="2318"/>
      <c r="AP1179" s="2318"/>
      <c r="AQ1179" s="2318"/>
      <c r="AR1179" s="2318"/>
      <c r="AS1179" s="2318"/>
      <c r="AT1179" s="2318"/>
      <c r="AU1179" s="2318"/>
      <c r="AV1179" s="2318"/>
      <c r="AW1179" s="2318"/>
      <c r="AX1179" s="2318"/>
      <c r="AY1179" s="2318"/>
      <c r="AZ1179" s="2318"/>
      <c r="BA1179" s="2318"/>
      <c r="BB1179" s="2318"/>
      <c r="BC1179" s="2318"/>
      <c r="BD1179" s="2318"/>
      <c r="BE1179" s="2318"/>
      <c r="BF1179" s="2318"/>
      <c r="BG1179" s="2318"/>
      <c r="BH1179" s="2318"/>
      <c r="BI1179" s="2318"/>
      <c r="BJ1179" s="2318"/>
      <c r="BK1179" s="2318"/>
      <c r="BL1179" s="2318"/>
      <c r="BM1179" s="2318"/>
      <c r="BN1179" s="2318"/>
      <c r="BO1179" s="2318"/>
      <c r="BP1179" s="2318"/>
      <c r="BQ1179" s="2318"/>
      <c r="BR1179" s="2318"/>
      <c r="BS1179" s="2318"/>
      <c r="BT1179" s="2318"/>
      <c r="BU1179" s="2318"/>
      <c r="BV1179" s="2318"/>
      <c r="BW1179" s="2318"/>
      <c r="BX1179" s="2318"/>
    </row>
    <row r="1180" spans="1:76" s="2608" customFormat="1" ht="39.75" customHeight="1">
      <c r="A1180" s="64"/>
      <c r="B1180" s="2632"/>
      <c r="C1180" s="2446" t="s">
        <v>2006</v>
      </c>
      <c r="D1180" s="2446" t="s">
        <v>66</v>
      </c>
      <c r="E1180" s="2446" t="s">
        <v>65</v>
      </c>
      <c r="F1180" s="2446">
        <v>13</v>
      </c>
      <c r="G1180" s="2448">
        <v>15</v>
      </c>
      <c r="H1180" s="2207">
        <v>28</v>
      </c>
      <c r="I1180" s="3168" t="s">
        <v>2456</v>
      </c>
      <c r="J1180" s="2516" t="s">
        <v>3404</v>
      </c>
      <c r="K1180" s="2284">
        <v>5</v>
      </c>
      <c r="L1180" s="3071">
        <v>423782925</v>
      </c>
      <c r="M1180" s="1396">
        <v>1</v>
      </c>
      <c r="N1180" s="2287">
        <v>77612400</v>
      </c>
      <c r="O1180" s="1396">
        <v>1</v>
      </c>
      <c r="P1180" s="2286">
        <v>58436000</v>
      </c>
      <c r="Q1180" s="2415">
        <v>0</v>
      </c>
      <c r="R1180" s="1387">
        <v>12144800</v>
      </c>
      <c r="S1180" s="2415">
        <v>0</v>
      </c>
      <c r="T1180" s="1387">
        <v>34486000</v>
      </c>
      <c r="U1180" s="2415">
        <v>0</v>
      </c>
      <c r="V1180" s="2307">
        <v>4500000</v>
      </c>
      <c r="W1180" s="2516"/>
      <c r="X1180" s="2516"/>
      <c r="Y1180" s="2415">
        <f t="shared" si="390"/>
        <v>0</v>
      </c>
      <c r="Z1180" s="2307">
        <f t="shared" si="389"/>
        <v>51130800</v>
      </c>
      <c r="AA1180" s="2415">
        <f t="shared" si="395"/>
        <v>1</v>
      </c>
      <c r="AB1180" s="2307">
        <f t="shared" si="395"/>
        <v>128743200</v>
      </c>
      <c r="AC1180" s="2428">
        <f t="shared" si="396"/>
        <v>20</v>
      </c>
      <c r="AD1180" s="2428">
        <f t="shared" si="396"/>
        <v>30.379515644713624</v>
      </c>
      <c r="AE1180" s="3186"/>
      <c r="AF1180" s="2318"/>
      <c r="AG1180" s="2318"/>
      <c r="AH1180" s="2318"/>
      <c r="AI1180" s="2318"/>
      <c r="AJ1180" s="2318"/>
      <c r="AK1180" s="2318"/>
      <c r="AL1180" s="2318"/>
      <c r="AM1180" s="2318"/>
      <c r="AN1180" s="2318"/>
      <c r="AO1180" s="2318"/>
      <c r="AP1180" s="2318"/>
      <c r="AQ1180" s="2318"/>
      <c r="AR1180" s="2318"/>
      <c r="AS1180" s="2318"/>
      <c r="AT1180" s="2318"/>
      <c r="AU1180" s="2318"/>
      <c r="AV1180" s="2318"/>
      <c r="AW1180" s="2318"/>
      <c r="AX1180" s="2318"/>
      <c r="AY1180" s="2318"/>
      <c r="AZ1180" s="2318"/>
      <c r="BA1180" s="2318"/>
      <c r="BB1180" s="2318"/>
      <c r="BC1180" s="2318"/>
      <c r="BD1180" s="2318"/>
      <c r="BE1180" s="2318"/>
      <c r="BF1180" s="2318"/>
      <c r="BG1180" s="2318"/>
      <c r="BH1180" s="2318"/>
      <c r="BI1180" s="2318"/>
      <c r="BJ1180" s="2318"/>
      <c r="BK1180" s="2318"/>
      <c r="BL1180" s="2318"/>
      <c r="BM1180" s="2318"/>
      <c r="BN1180" s="2318"/>
      <c r="BO1180" s="2318"/>
      <c r="BP1180" s="2318"/>
      <c r="BQ1180" s="2318"/>
      <c r="BR1180" s="2318"/>
      <c r="BS1180" s="2318"/>
      <c r="BT1180" s="2318"/>
      <c r="BU1180" s="2318"/>
      <c r="BV1180" s="2318"/>
      <c r="BW1180" s="2318"/>
      <c r="BX1180" s="2318"/>
    </row>
    <row r="1181" spans="1:76" s="2608" customFormat="1" ht="37.5" customHeight="1">
      <c r="A1181" s="64"/>
      <c r="B1181" s="2632"/>
      <c r="C1181" s="2446" t="s">
        <v>2006</v>
      </c>
      <c r="D1181" s="2446" t="s">
        <v>66</v>
      </c>
      <c r="E1181" s="2446" t="s">
        <v>65</v>
      </c>
      <c r="F1181" s="2446">
        <v>13</v>
      </c>
      <c r="G1181" s="2448">
        <v>15</v>
      </c>
      <c r="H1181" s="2207">
        <v>30</v>
      </c>
      <c r="I1181" s="1762" t="s">
        <v>2458</v>
      </c>
      <c r="J1181" s="1762" t="s">
        <v>2459</v>
      </c>
      <c r="K1181" s="2284">
        <v>5</v>
      </c>
      <c r="L1181" s="3071">
        <v>1888500000</v>
      </c>
      <c r="M1181" s="1396">
        <v>1</v>
      </c>
      <c r="N1181" s="240">
        <v>377121000</v>
      </c>
      <c r="O1181" s="1396">
        <v>1</v>
      </c>
      <c r="P1181" s="2286">
        <v>342962600</v>
      </c>
      <c r="Q1181" s="1396">
        <v>0</v>
      </c>
      <c r="R1181" s="1387">
        <v>0</v>
      </c>
      <c r="S1181" s="2516"/>
      <c r="T1181" s="2516"/>
      <c r="U1181" s="2516"/>
      <c r="V1181" s="2307"/>
      <c r="W1181" s="2516"/>
      <c r="X1181" s="2516"/>
      <c r="Y1181" s="1396">
        <f t="shared" si="390"/>
        <v>0</v>
      </c>
      <c r="Z1181" s="2307">
        <f t="shared" si="389"/>
        <v>0</v>
      </c>
      <c r="AA1181" s="1396">
        <f t="shared" si="395"/>
        <v>1</v>
      </c>
      <c r="AB1181" s="2307">
        <f t="shared" si="395"/>
        <v>377121000</v>
      </c>
      <c r="AC1181" s="2428">
        <f t="shared" si="396"/>
        <v>20</v>
      </c>
      <c r="AD1181" s="2428">
        <f t="shared" si="396"/>
        <v>19.969340746624304</v>
      </c>
      <c r="AE1181" s="3186"/>
      <c r="AF1181" s="2318"/>
      <c r="AG1181" s="2318"/>
      <c r="AH1181" s="2318"/>
      <c r="AI1181" s="2318"/>
      <c r="AJ1181" s="2318"/>
      <c r="AK1181" s="2318"/>
      <c r="AL1181" s="2318"/>
      <c r="AM1181" s="2318"/>
      <c r="AN1181" s="2318"/>
      <c r="AO1181" s="2318"/>
      <c r="AP1181" s="2318"/>
      <c r="AQ1181" s="2318"/>
      <c r="AR1181" s="2318"/>
      <c r="AS1181" s="2318"/>
      <c r="AT1181" s="2318"/>
      <c r="AU1181" s="2318"/>
      <c r="AV1181" s="2318"/>
      <c r="AW1181" s="2318"/>
      <c r="AX1181" s="2318"/>
      <c r="AY1181" s="2318"/>
      <c r="AZ1181" s="2318"/>
      <c r="BA1181" s="2318"/>
      <c r="BB1181" s="2318"/>
      <c r="BC1181" s="2318"/>
      <c r="BD1181" s="2318"/>
      <c r="BE1181" s="2318"/>
      <c r="BF1181" s="2318"/>
      <c r="BG1181" s="2318"/>
      <c r="BH1181" s="2318"/>
      <c r="BI1181" s="2318"/>
      <c r="BJ1181" s="2318"/>
      <c r="BK1181" s="2318"/>
      <c r="BL1181" s="2318"/>
      <c r="BM1181" s="2318"/>
      <c r="BN1181" s="2318"/>
      <c r="BO1181" s="2318"/>
      <c r="BP1181" s="2318"/>
      <c r="BQ1181" s="2318"/>
      <c r="BR1181" s="2318"/>
      <c r="BS1181" s="2318"/>
      <c r="BT1181" s="2318"/>
      <c r="BU1181" s="2318"/>
      <c r="BV1181" s="2318"/>
      <c r="BW1181" s="2318"/>
      <c r="BX1181" s="2318"/>
    </row>
    <row r="1182" spans="1:76" s="2608" customFormat="1" ht="45" customHeight="1">
      <c r="A1182" s="2570">
        <v>3</v>
      </c>
      <c r="B1182" s="2335"/>
      <c r="C1182" s="2374" t="s">
        <v>2006</v>
      </c>
      <c r="D1182" s="2374" t="s">
        <v>66</v>
      </c>
      <c r="E1182" s="2374" t="s">
        <v>65</v>
      </c>
      <c r="F1182" s="2374">
        <v>13</v>
      </c>
      <c r="G1182" s="2374">
        <v>17</v>
      </c>
      <c r="H1182" s="3795"/>
      <c r="I1182" s="2363" t="s">
        <v>2460</v>
      </c>
      <c r="J1182" s="2363" t="s">
        <v>3406</v>
      </c>
      <c r="K1182" s="3162">
        <v>37</v>
      </c>
      <c r="L1182" s="2442">
        <f>SUM(L1183:L1184)</f>
        <v>794592000</v>
      </c>
      <c r="M1182" s="3162">
        <v>28</v>
      </c>
      <c r="N1182" s="2442">
        <f>SUM(N1183:N1184)</f>
        <v>149577500</v>
      </c>
      <c r="O1182" s="3162">
        <v>2</v>
      </c>
      <c r="P1182" s="2442">
        <f>SUM(P1183:P1184)</f>
        <v>161521000</v>
      </c>
      <c r="Q1182" s="3162">
        <v>0</v>
      </c>
      <c r="R1182" s="2340">
        <f>SUM(R1183:R1184)</f>
        <v>19983500</v>
      </c>
      <c r="S1182" s="2335"/>
      <c r="T1182" s="2347">
        <f>SUM(T1183:T1184)</f>
        <v>54430700</v>
      </c>
      <c r="U1182" s="2335"/>
      <c r="V1182" s="2342">
        <f>SUM(V1183:V1184)</f>
        <v>21137000</v>
      </c>
      <c r="W1182" s="2335"/>
      <c r="X1182" s="2335"/>
      <c r="Y1182" s="3162">
        <f t="shared" si="390"/>
        <v>0</v>
      </c>
      <c r="Z1182" s="2342">
        <f t="shared" si="389"/>
        <v>95551200</v>
      </c>
      <c r="AA1182" s="3162">
        <f t="shared" si="395"/>
        <v>28</v>
      </c>
      <c r="AB1182" s="2342">
        <f t="shared" si="395"/>
        <v>245128700</v>
      </c>
      <c r="AC1182" s="2625">
        <f t="shared" si="396"/>
        <v>75.675675675675677</v>
      </c>
      <c r="AD1182" s="2625">
        <f t="shared" si="396"/>
        <v>30.849631005597843</v>
      </c>
      <c r="AE1182" s="2680" t="s">
        <v>2418</v>
      </c>
      <c r="AF1182" s="2318"/>
      <c r="AG1182" s="2318"/>
      <c r="AH1182" s="2318"/>
      <c r="AI1182" s="2318"/>
      <c r="AJ1182" s="2318"/>
      <c r="AK1182" s="2318"/>
      <c r="AL1182" s="2318"/>
      <c r="AM1182" s="2318"/>
      <c r="AN1182" s="2318"/>
      <c r="AO1182" s="2318"/>
      <c r="AP1182" s="2318"/>
      <c r="AQ1182" s="2318"/>
      <c r="AR1182" s="2318"/>
      <c r="AS1182" s="2318"/>
      <c r="AT1182" s="2318"/>
      <c r="AU1182" s="2318"/>
      <c r="AV1182" s="2318"/>
      <c r="AW1182" s="2318"/>
      <c r="AX1182" s="2318"/>
      <c r="AY1182" s="2318"/>
      <c r="AZ1182" s="2318"/>
      <c r="BA1182" s="2318"/>
      <c r="BB1182" s="2318"/>
      <c r="BC1182" s="2318"/>
      <c r="BD1182" s="2318"/>
      <c r="BE1182" s="2318"/>
      <c r="BF1182" s="2318"/>
      <c r="BG1182" s="2318"/>
      <c r="BH1182" s="2318"/>
      <c r="BI1182" s="2318"/>
      <c r="BJ1182" s="2318"/>
      <c r="BK1182" s="2318"/>
      <c r="BL1182" s="2318"/>
      <c r="BM1182" s="2318"/>
      <c r="BN1182" s="2318"/>
      <c r="BO1182" s="2318"/>
      <c r="BP1182" s="2318"/>
      <c r="BQ1182" s="2318"/>
      <c r="BR1182" s="2318"/>
      <c r="BS1182" s="2318"/>
      <c r="BT1182" s="2318"/>
      <c r="BU1182" s="2318"/>
      <c r="BV1182" s="2318"/>
      <c r="BW1182" s="2318"/>
      <c r="BX1182" s="2318"/>
    </row>
    <row r="1183" spans="1:76" s="2608" customFormat="1" ht="44.25" customHeight="1">
      <c r="A1183" s="64"/>
      <c r="B1183" s="2632"/>
      <c r="C1183" s="2448">
        <v>2</v>
      </c>
      <c r="D1183" s="2448">
        <v>1</v>
      </c>
      <c r="E1183" s="2448">
        <v>2</v>
      </c>
      <c r="F1183" s="2448">
        <v>13</v>
      </c>
      <c r="G1183" s="2446">
        <v>17</v>
      </c>
      <c r="H1183" s="3794">
        <v>1</v>
      </c>
      <c r="I1183" s="2631" t="s">
        <v>2462</v>
      </c>
      <c r="J1183" s="728" t="s">
        <v>2463</v>
      </c>
      <c r="K1183" s="2273">
        <v>10</v>
      </c>
      <c r="L1183" s="2532">
        <v>594592000</v>
      </c>
      <c r="M1183" s="2349">
        <v>4</v>
      </c>
      <c r="N1183" s="2534">
        <v>90550000</v>
      </c>
      <c r="O1183" s="2349">
        <v>2</v>
      </c>
      <c r="P1183" s="2388">
        <v>78591000</v>
      </c>
      <c r="Q1183" s="2386">
        <v>0</v>
      </c>
      <c r="R1183" s="1731">
        <v>17121000</v>
      </c>
      <c r="S1183" s="2386">
        <v>0</v>
      </c>
      <c r="T1183" s="1731">
        <v>21936100</v>
      </c>
      <c r="U1183" s="2632">
        <v>1</v>
      </c>
      <c r="V1183" s="2304">
        <v>20837000</v>
      </c>
      <c r="W1183" s="2632"/>
      <c r="X1183" s="2632"/>
      <c r="Y1183" s="2386">
        <f t="shared" si="390"/>
        <v>1</v>
      </c>
      <c r="Z1183" s="2304">
        <f t="shared" si="389"/>
        <v>59894100</v>
      </c>
      <c r="AA1183" s="2386">
        <f t="shared" si="395"/>
        <v>5</v>
      </c>
      <c r="AB1183" s="2304">
        <f t="shared" si="395"/>
        <v>150444100</v>
      </c>
      <c r="AC1183" s="2426">
        <f t="shared" si="396"/>
        <v>50</v>
      </c>
      <c r="AD1183" s="2426">
        <f t="shared" si="396"/>
        <v>25.302072681771705</v>
      </c>
      <c r="AE1183" s="3183"/>
      <c r="AF1183" s="2318"/>
      <c r="AG1183" s="2318"/>
      <c r="AH1183" s="2318"/>
      <c r="AI1183" s="2318"/>
      <c r="AJ1183" s="2318"/>
      <c r="AK1183" s="2318"/>
      <c r="AL1183" s="2318"/>
      <c r="AM1183" s="2318"/>
      <c r="AN1183" s="2318"/>
      <c r="AO1183" s="2318"/>
      <c r="AP1183" s="2318"/>
      <c r="AQ1183" s="2318"/>
      <c r="AR1183" s="2318"/>
      <c r="AS1183" s="2318"/>
      <c r="AT1183" s="2318"/>
      <c r="AU1183" s="2318"/>
      <c r="AV1183" s="2318"/>
      <c r="AW1183" s="2318"/>
      <c r="AX1183" s="2318"/>
      <c r="AY1183" s="2318"/>
      <c r="AZ1183" s="2318"/>
      <c r="BA1183" s="2318"/>
      <c r="BB1183" s="2318"/>
      <c r="BC1183" s="2318"/>
      <c r="BD1183" s="2318"/>
      <c r="BE1183" s="2318"/>
      <c r="BF1183" s="2318"/>
      <c r="BG1183" s="2318"/>
      <c r="BH1183" s="2318"/>
      <c r="BI1183" s="2318"/>
      <c r="BJ1183" s="2318"/>
      <c r="BK1183" s="2318"/>
      <c r="BL1183" s="2318"/>
      <c r="BM1183" s="2318"/>
      <c r="BN1183" s="2318"/>
      <c r="BO1183" s="2318"/>
      <c r="BP1183" s="2318"/>
      <c r="BQ1183" s="2318"/>
      <c r="BR1183" s="2318"/>
      <c r="BS1183" s="2318"/>
      <c r="BT1183" s="2318"/>
      <c r="BU1183" s="2318"/>
      <c r="BV1183" s="2318"/>
      <c r="BW1183" s="2318"/>
      <c r="BX1183" s="2318"/>
    </row>
    <row r="1184" spans="1:76" s="2608" customFormat="1" ht="44.25" customHeight="1">
      <c r="A1184" s="64"/>
      <c r="B1184" s="2632"/>
      <c r="C1184" s="2446">
        <v>2</v>
      </c>
      <c r="D1184" s="2446">
        <v>1</v>
      </c>
      <c r="E1184" s="2446">
        <v>2</v>
      </c>
      <c r="F1184" s="2446">
        <v>13</v>
      </c>
      <c r="G1184" s="2446"/>
      <c r="H1184" s="3794"/>
      <c r="I1184" s="3154" t="s">
        <v>2464</v>
      </c>
      <c r="J1184" s="2632" t="s">
        <v>2465</v>
      </c>
      <c r="K1184" s="2349">
        <v>40</v>
      </c>
      <c r="L1184" s="2388">
        <v>200000000</v>
      </c>
      <c r="M1184" s="3072">
        <v>10</v>
      </c>
      <c r="N1184" s="2387">
        <v>59027500</v>
      </c>
      <c r="O1184" s="2349">
        <v>3</v>
      </c>
      <c r="P1184" s="2388">
        <v>82930000</v>
      </c>
      <c r="Q1184" s="2386">
        <v>0</v>
      </c>
      <c r="R1184" s="1731">
        <v>2862500</v>
      </c>
      <c r="S1184" s="2386">
        <v>1</v>
      </c>
      <c r="T1184" s="1731">
        <v>32494600</v>
      </c>
      <c r="U1184" s="2632">
        <v>1</v>
      </c>
      <c r="V1184" s="2304">
        <v>300000</v>
      </c>
      <c r="W1184" s="2632"/>
      <c r="X1184" s="2632"/>
      <c r="Y1184" s="2386">
        <f t="shared" si="390"/>
        <v>2</v>
      </c>
      <c r="Z1184" s="2304">
        <f t="shared" si="389"/>
        <v>35657100</v>
      </c>
      <c r="AA1184" s="2386">
        <f t="shared" si="395"/>
        <v>12</v>
      </c>
      <c r="AB1184" s="2304">
        <f t="shared" si="395"/>
        <v>94684600</v>
      </c>
      <c r="AC1184" s="2426">
        <f t="shared" si="396"/>
        <v>30</v>
      </c>
      <c r="AD1184" s="2426">
        <f t="shared" si="396"/>
        <v>47.342300000000002</v>
      </c>
      <c r="AE1184" s="3183"/>
      <c r="AF1184" s="2318"/>
      <c r="AG1184" s="2318"/>
      <c r="AH1184" s="2318"/>
      <c r="AI1184" s="2318"/>
      <c r="AJ1184" s="2318"/>
      <c r="AK1184" s="2318"/>
      <c r="AL1184" s="2318"/>
      <c r="AM1184" s="2318"/>
      <c r="AN1184" s="2318"/>
      <c r="AO1184" s="2318"/>
      <c r="AP1184" s="2318"/>
      <c r="AQ1184" s="2318"/>
      <c r="AR1184" s="2318"/>
      <c r="AS1184" s="2318"/>
      <c r="AT1184" s="2318"/>
      <c r="AU1184" s="2318"/>
      <c r="AV1184" s="2318"/>
      <c r="AW1184" s="2318"/>
      <c r="AX1184" s="2318"/>
      <c r="AY1184" s="2318"/>
      <c r="AZ1184" s="2318"/>
      <c r="BA1184" s="2318"/>
      <c r="BB1184" s="2318"/>
      <c r="BC1184" s="2318"/>
      <c r="BD1184" s="2318"/>
      <c r="BE1184" s="2318"/>
      <c r="BF1184" s="2318"/>
      <c r="BG1184" s="2318"/>
      <c r="BH1184" s="2318"/>
      <c r="BI1184" s="2318"/>
      <c r="BJ1184" s="2318"/>
      <c r="BK1184" s="2318"/>
      <c r="BL1184" s="2318"/>
      <c r="BM1184" s="2318"/>
      <c r="BN1184" s="2318"/>
      <c r="BO1184" s="2318"/>
      <c r="BP1184" s="2318"/>
      <c r="BQ1184" s="2318"/>
      <c r="BR1184" s="2318"/>
      <c r="BS1184" s="2318"/>
      <c r="BT1184" s="2318"/>
      <c r="BU1184" s="2318"/>
      <c r="BV1184" s="2318"/>
      <c r="BW1184" s="2318"/>
      <c r="BX1184" s="2318"/>
    </row>
    <row r="1185" spans="1:76" s="2608" customFormat="1" ht="63.75" customHeight="1">
      <c r="A1185" s="2570">
        <v>4</v>
      </c>
      <c r="B1185" s="2632" t="s">
        <v>2467</v>
      </c>
      <c r="C1185" s="2374">
        <v>2</v>
      </c>
      <c r="D1185" s="2374">
        <v>1</v>
      </c>
      <c r="E1185" s="2374">
        <v>2</v>
      </c>
      <c r="F1185" s="2374">
        <v>13</v>
      </c>
      <c r="G1185" s="2374">
        <v>18</v>
      </c>
      <c r="H1185" s="3795"/>
      <c r="I1185" s="2501" t="s">
        <v>2466</v>
      </c>
      <c r="J1185" s="2335" t="s">
        <v>3407</v>
      </c>
      <c r="K1185" s="3162">
        <v>10</v>
      </c>
      <c r="L1185" s="2442">
        <f>SUM(L1186:L1190)</f>
        <v>3832311980</v>
      </c>
      <c r="M1185" s="3162">
        <v>4</v>
      </c>
      <c r="N1185" s="2442">
        <f>SUM(N1186:N1190)</f>
        <v>525335900</v>
      </c>
      <c r="O1185" s="3162">
        <v>2</v>
      </c>
      <c r="P1185" s="2442">
        <f>SUM(P1186:P1190)</f>
        <v>1089161000</v>
      </c>
      <c r="Q1185" s="3162">
        <v>0</v>
      </c>
      <c r="R1185" s="2340">
        <f>SUM(R1186:R1190)</f>
        <v>139970164</v>
      </c>
      <c r="S1185" s="2335"/>
      <c r="T1185" s="2347">
        <f>SUM(T1186:T1190)</f>
        <v>282353216</v>
      </c>
      <c r="U1185" s="2335"/>
      <c r="V1185" s="2342">
        <f>SUM(V1186:V1190)</f>
        <v>202022212</v>
      </c>
      <c r="W1185" s="2335"/>
      <c r="X1185" s="2335"/>
      <c r="Y1185" s="3162">
        <f t="shared" si="390"/>
        <v>0</v>
      </c>
      <c r="Z1185" s="2342">
        <f>SUM(R1185+T1185+V1185)</f>
        <v>624345592</v>
      </c>
      <c r="AA1185" s="3162">
        <f t="shared" ref="AA1185:AA1190" si="397">M1185+Y1185</f>
        <v>4</v>
      </c>
      <c r="AB1185" s="2342">
        <f t="shared" ref="AB1185:AB1190" si="398">N1185+Z1185</f>
        <v>1149681492</v>
      </c>
      <c r="AC1185" s="2625">
        <f t="shared" ref="AC1185:AC1190" si="399">AA1185/K1185*100</f>
        <v>40</v>
      </c>
      <c r="AD1185" s="2625">
        <f t="shared" ref="AD1185:AD1190" si="400">AB1185/L1185*100</f>
        <v>29.99968421151349</v>
      </c>
      <c r="AE1185" s="2680" t="s">
        <v>2418</v>
      </c>
      <c r="AF1185" s="2318"/>
      <c r="AG1185" s="2318"/>
      <c r="AH1185" s="2318"/>
      <c r="AI1185" s="2318"/>
      <c r="AJ1185" s="2318"/>
      <c r="AK1185" s="2318"/>
      <c r="AL1185" s="2318"/>
      <c r="AM1185" s="2318"/>
      <c r="AN1185" s="2318"/>
      <c r="AO1185" s="2318"/>
      <c r="AP1185" s="2318"/>
      <c r="AQ1185" s="2318"/>
      <c r="AR1185" s="2318"/>
      <c r="AS1185" s="2318"/>
      <c r="AT1185" s="2318"/>
      <c r="AU1185" s="2318"/>
      <c r="AV1185" s="2318"/>
      <c r="AW1185" s="2318"/>
      <c r="AX1185" s="2318"/>
      <c r="AY1185" s="2318"/>
      <c r="AZ1185" s="2318"/>
      <c r="BA1185" s="2318"/>
      <c r="BB1185" s="2318"/>
      <c r="BC1185" s="2318"/>
      <c r="BD1185" s="2318"/>
      <c r="BE1185" s="2318"/>
      <c r="BF1185" s="2318"/>
      <c r="BG1185" s="2318"/>
      <c r="BH1185" s="2318"/>
      <c r="BI1185" s="2318"/>
      <c r="BJ1185" s="2318"/>
      <c r="BK1185" s="2318"/>
      <c r="BL1185" s="2318"/>
      <c r="BM1185" s="2318"/>
      <c r="BN1185" s="2318"/>
      <c r="BO1185" s="2318"/>
      <c r="BP1185" s="2318"/>
      <c r="BQ1185" s="2318"/>
      <c r="BR1185" s="2318"/>
      <c r="BS1185" s="2318"/>
      <c r="BT1185" s="2318"/>
      <c r="BU1185" s="2318"/>
      <c r="BV1185" s="2318"/>
      <c r="BW1185" s="2318"/>
      <c r="BX1185" s="2318"/>
    </row>
    <row r="1186" spans="1:76" s="2608" customFormat="1" ht="36.75" customHeight="1">
      <c r="A1186" s="64"/>
      <c r="B1186" s="2632"/>
      <c r="C1186" s="2446">
        <v>2</v>
      </c>
      <c r="D1186" s="2448">
        <v>1</v>
      </c>
      <c r="E1186" s="2448">
        <v>2</v>
      </c>
      <c r="F1186" s="2448">
        <v>13</v>
      </c>
      <c r="G1186" s="2448">
        <v>18</v>
      </c>
      <c r="H1186" s="3794">
        <v>5</v>
      </c>
      <c r="I1186" s="2634" t="s">
        <v>2468</v>
      </c>
      <c r="J1186" s="2631" t="s">
        <v>3408</v>
      </c>
      <c r="K1186" s="2273">
        <v>6</v>
      </c>
      <c r="L1186" s="2533">
        <v>939685480</v>
      </c>
      <c r="M1186" s="2389">
        <v>2</v>
      </c>
      <c r="N1186" s="2387">
        <f>'[7]November 2017'!$I$150</f>
        <v>165984000</v>
      </c>
      <c r="O1186" s="2399">
        <v>1</v>
      </c>
      <c r="P1186" s="2388">
        <v>224800000</v>
      </c>
      <c r="Q1186" s="2386">
        <v>0</v>
      </c>
      <c r="R1186" s="1731">
        <v>9646000</v>
      </c>
      <c r="S1186" s="2632">
        <v>1</v>
      </c>
      <c r="T1186" s="1731">
        <v>170885800</v>
      </c>
      <c r="U1186" s="2386">
        <v>0</v>
      </c>
      <c r="V1186" s="2304">
        <v>1276000</v>
      </c>
      <c r="W1186" s="2632"/>
      <c r="X1186" s="2632"/>
      <c r="Y1186" s="2386">
        <f t="shared" si="390"/>
        <v>1</v>
      </c>
      <c r="Z1186" s="2304">
        <f t="shared" si="389"/>
        <v>181807800</v>
      </c>
      <c r="AA1186" s="2386">
        <f t="shared" si="397"/>
        <v>3</v>
      </c>
      <c r="AB1186" s="2304">
        <f t="shared" si="398"/>
        <v>347791800</v>
      </c>
      <c r="AC1186" s="2426">
        <f t="shared" si="399"/>
        <v>50</v>
      </c>
      <c r="AD1186" s="2426">
        <f t="shared" si="400"/>
        <v>37.011511553844592</v>
      </c>
      <c r="AE1186" s="3183"/>
      <c r="AF1186" s="2318"/>
      <c r="AG1186" s="2318"/>
      <c r="AH1186" s="2318"/>
      <c r="AI1186" s="2318"/>
      <c r="AJ1186" s="2318"/>
      <c r="AK1186" s="2318"/>
      <c r="AL1186" s="2318"/>
      <c r="AM1186" s="2318"/>
      <c r="AN1186" s="2318"/>
      <c r="AO1186" s="2318"/>
      <c r="AP1186" s="2318"/>
      <c r="AQ1186" s="2318"/>
      <c r="AR1186" s="2318"/>
      <c r="AS1186" s="2318"/>
      <c r="AT1186" s="2318"/>
      <c r="AU1186" s="2318"/>
      <c r="AV1186" s="2318"/>
      <c r="AW1186" s="2318"/>
      <c r="AX1186" s="2318"/>
      <c r="AY1186" s="2318"/>
      <c r="AZ1186" s="2318"/>
      <c r="BA1186" s="2318"/>
      <c r="BB1186" s="2318"/>
      <c r="BC1186" s="2318"/>
      <c r="BD1186" s="2318"/>
      <c r="BE1186" s="2318"/>
      <c r="BF1186" s="2318"/>
      <c r="BG1186" s="2318"/>
      <c r="BH1186" s="2318"/>
      <c r="BI1186" s="2318"/>
      <c r="BJ1186" s="2318"/>
      <c r="BK1186" s="2318"/>
      <c r="BL1186" s="2318"/>
      <c r="BM1186" s="2318"/>
      <c r="BN1186" s="2318"/>
      <c r="BO1186" s="2318"/>
      <c r="BP1186" s="2318"/>
      <c r="BQ1186" s="2318"/>
      <c r="BR1186" s="2318"/>
      <c r="BS1186" s="2318"/>
      <c r="BT1186" s="2318"/>
      <c r="BU1186" s="2318"/>
      <c r="BV1186" s="2318"/>
      <c r="BW1186" s="2318"/>
      <c r="BX1186" s="2318"/>
    </row>
    <row r="1187" spans="1:76" s="2608" customFormat="1" ht="36.75" customHeight="1">
      <c r="A1187" s="64"/>
      <c r="B1187" s="2632"/>
      <c r="C1187" s="2446">
        <v>2</v>
      </c>
      <c r="D1187" s="2446">
        <v>1</v>
      </c>
      <c r="E1187" s="2446">
        <v>2</v>
      </c>
      <c r="F1187" s="2446">
        <v>13</v>
      </c>
      <c r="G1187" s="2446">
        <v>18</v>
      </c>
      <c r="H1187" s="3794">
        <v>14</v>
      </c>
      <c r="I1187" s="3154" t="s">
        <v>2470</v>
      </c>
      <c r="J1187" s="2632" t="s">
        <v>3409</v>
      </c>
      <c r="K1187" s="2349">
        <v>72</v>
      </c>
      <c r="L1187" s="2388">
        <v>100000000</v>
      </c>
      <c r="M1187" s="2349">
        <v>24</v>
      </c>
      <c r="N1187" s="2388">
        <v>0</v>
      </c>
      <c r="O1187" s="2349">
        <v>12</v>
      </c>
      <c r="P1187" s="2388">
        <v>99820000</v>
      </c>
      <c r="Q1187" s="2389">
        <v>3</v>
      </c>
      <c r="R1187" s="1731">
        <v>5452000</v>
      </c>
      <c r="S1187" s="2632">
        <v>3</v>
      </c>
      <c r="T1187" s="1731">
        <v>32094830</v>
      </c>
      <c r="U1187" s="2632">
        <v>3</v>
      </c>
      <c r="V1187" s="2304">
        <v>46092613</v>
      </c>
      <c r="W1187" s="2632"/>
      <c r="X1187" s="2632"/>
      <c r="Y1187" s="2386">
        <f t="shared" si="390"/>
        <v>9</v>
      </c>
      <c r="Z1187" s="2304">
        <f t="shared" si="389"/>
        <v>83639443</v>
      </c>
      <c r="AA1187" s="2386">
        <f t="shared" si="397"/>
        <v>33</v>
      </c>
      <c r="AB1187" s="2304">
        <f t="shared" si="398"/>
        <v>83639443</v>
      </c>
      <c r="AC1187" s="2429">
        <f t="shared" si="399"/>
        <v>45.833333333333329</v>
      </c>
      <c r="AD1187" s="2426">
        <f t="shared" si="400"/>
        <v>83.639443</v>
      </c>
      <c r="AE1187" s="3183"/>
      <c r="AF1187" s="2318"/>
      <c r="AG1187" s="2318"/>
      <c r="AH1187" s="2318"/>
      <c r="AI1187" s="2318"/>
      <c r="AJ1187" s="2318"/>
      <c r="AK1187" s="2318"/>
      <c r="AL1187" s="2318"/>
      <c r="AM1187" s="2318"/>
      <c r="AN1187" s="2318"/>
      <c r="AO1187" s="2318"/>
      <c r="AP1187" s="2318"/>
      <c r="AQ1187" s="2318"/>
      <c r="AR1187" s="2318"/>
      <c r="AS1187" s="2318"/>
      <c r="AT1187" s="2318"/>
      <c r="AU1187" s="2318"/>
      <c r="AV1187" s="2318"/>
      <c r="AW1187" s="2318"/>
      <c r="AX1187" s="2318"/>
      <c r="AY1187" s="2318"/>
      <c r="AZ1187" s="2318"/>
      <c r="BA1187" s="2318"/>
      <c r="BB1187" s="2318"/>
      <c r="BC1187" s="2318"/>
      <c r="BD1187" s="2318"/>
      <c r="BE1187" s="2318"/>
      <c r="BF1187" s="2318"/>
      <c r="BG1187" s="2318"/>
      <c r="BH1187" s="2318"/>
      <c r="BI1187" s="2318"/>
      <c r="BJ1187" s="2318"/>
      <c r="BK1187" s="2318"/>
      <c r="BL1187" s="2318"/>
      <c r="BM1187" s="2318"/>
      <c r="BN1187" s="2318"/>
      <c r="BO1187" s="2318"/>
      <c r="BP1187" s="2318"/>
      <c r="BQ1187" s="2318"/>
      <c r="BR1187" s="2318"/>
      <c r="BS1187" s="2318"/>
      <c r="BT1187" s="2318"/>
      <c r="BU1187" s="2318"/>
      <c r="BV1187" s="2318"/>
      <c r="BW1187" s="2318"/>
      <c r="BX1187" s="2318"/>
    </row>
    <row r="1188" spans="1:76" s="2608" customFormat="1" ht="36.75" customHeight="1">
      <c r="A1188" s="64"/>
      <c r="B1188" s="2632"/>
      <c r="C1188" s="2446">
        <v>2</v>
      </c>
      <c r="D1188" s="2446">
        <v>1</v>
      </c>
      <c r="E1188" s="2446">
        <v>2</v>
      </c>
      <c r="F1188" s="2446">
        <v>13</v>
      </c>
      <c r="G1188" s="2446">
        <v>18</v>
      </c>
      <c r="H1188" s="3794">
        <v>23</v>
      </c>
      <c r="I1188" s="2634" t="s">
        <v>2472</v>
      </c>
      <c r="J1188" s="2631" t="s">
        <v>3410</v>
      </c>
      <c r="K1188" s="2273">
        <f>6*8</f>
        <v>48</v>
      </c>
      <c r="L1188" s="2533">
        <v>823777000</v>
      </c>
      <c r="M1188" s="2349">
        <v>10</v>
      </c>
      <c r="N1188" s="2534">
        <v>109989000</v>
      </c>
      <c r="O1188" s="2349">
        <v>6</v>
      </c>
      <c r="P1188" s="2388">
        <v>298038000</v>
      </c>
      <c r="Q1188" s="2389">
        <v>1</v>
      </c>
      <c r="R1188" s="1731">
        <v>37816000</v>
      </c>
      <c r="S1188" s="2632">
        <v>1</v>
      </c>
      <c r="T1188" s="1731">
        <v>29602200</v>
      </c>
      <c r="U1188" s="2632">
        <v>2</v>
      </c>
      <c r="V1188" s="2304">
        <v>12854000</v>
      </c>
      <c r="W1188" s="2632"/>
      <c r="X1188" s="2632"/>
      <c r="Y1188" s="2386">
        <f t="shared" si="390"/>
        <v>4</v>
      </c>
      <c r="Z1188" s="2304">
        <f t="shared" si="389"/>
        <v>80272200</v>
      </c>
      <c r="AA1188" s="2386">
        <f t="shared" si="397"/>
        <v>14</v>
      </c>
      <c r="AB1188" s="2304">
        <f t="shared" si="398"/>
        <v>190261200</v>
      </c>
      <c r="AC1188" s="2429">
        <f t="shared" si="399"/>
        <v>29.166666666666668</v>
      </c>
      <c r="AD1188" s="2426">
        <f t="shared" si="400"/>
        <v>23.096202006125445</v>
      </c>
      <c r="AE1188" s="3183"/>
      <c r="AF1188" s="2318"/>
      <c r="AG1188" s="2318"/>
      <c r="AH1188" s="2318"/>
      <c r="AI1188" s="2318"/>
      <c r="AJ1188" s="2318"/>
      <c r="AK1188" s="2318"/>
      <c r="AL1188" s="2318"/>
      <c r="AM1188" s="2318"/>
      <c r="AN1188" s="2318"/>
      <c r="AO1188" s="2318"/>
      <c r="AP1188" s="2318"/>
      <c r="AQ1188" s="2318"/>
      <c r="AR1188" s="2318"/>
      <c r="AS1188" s="2318"/>
      <c r="AT1188" s="2318"/>
      <c r="AU1188" s="2318"/>
      <c r="AV1188" s="2318"/>
      <c r="AW1188" s="2318"/>
      <c r="AX1188" s="2318"/>
      <c r="AY1188" s="2318"/>
      <c r="AZ1188" s="2318"/>
      <c r="BA1188" s="2318"/>
      <c r="BB1188" s="2318"/>
      <c r="BC1188" s="2318"/>
      <c r="BD1188" s="2318"/>
      <c r="BE1188" s="2318"/>
      <c r="BF1188" s="2318"/>
      <c r="BG1188" s="2318"/>
      <c r="BH1188" s="2318"/>
      <c r="BI1188" s="2318"/>
      <c r="BJ1188" s="2318"/>
      <c r="BK1188" s="2318"/>
      <c r="BL1188" s="2318"/>
      <c r="BM1188" s="2318"/>
      <c r="BN1188" s="2318"/>
      <c r="BO1188" s="2318"/>
      <c r="BP1188" s="2318"/>
      <c r="BQ1188" s="2318"/>
      <c r="BR1188" s="2318"/>
      <c r="BS1188" s="2318"/>
      <c r="BT1188" s="2318"/>
      <c r="BU1188" s="2318"/>
      <c r="BV1188" s="2318"/>
      <c r="BW1188" s="2318"/>
      <c r="BX1188" s="2318"/>
    </row>
    <row r="1189" spans="1:76" s="2608" customFormat="1" ht="36.75" customHeight="1">
      <c r="A1189" s="64"/>
      <c r="B1189" s="2274"/>
      <c r="C1189" s="2448">
        <v>2</v>
      </c>
      <c r="D1189" s="2448">
        <v>1</v>
      </c>
      <c r="E1189" s="2448">
        <v>2</v>
      </c>
      <c r="F1189" s="2448">
        <v>13</v>
      </c>
      <c r="G1189" s="2448">
        <v>18</v>
      </c>
      <c r="H1189" s="3794">
        <v>25</v>
      </c>
      <c r="I1189" s="2634" t="s">
        <v>2474</v>
      </c>
      <c r="J1189" s="2631" t="s">
        <v>3411</v>
      </c>
      <c r="K1189" s="2273">
        <v>5</v>
      </c>
      <c r="L1189" s="2533">
        <v>802185000</v>
      </c>
      <c r="M1189" s="2349">
        <v>1</v>
      </c>
      <c r="N1189" s="2388">
        <v>74705800</v>
      </c>
      <c r="O1189" s="2349">
        <v>1</v>
      </c>
      <c r="P1189" s="2388">
        <v>167515000</v>
      </c>
      <c r="Q1189" s="2386">
        <v>0</v>
      </c>
      <c r="R1189" s="1731">
        <v>11669000</v>
      </c>
      <c r="S1189" s="2386">
        <v>0</v>
      </c>
      <c r="T1189" s="1731">
        <v>44082000</v>
      </c>
      <c r="U1189" s="2386">
        <v>0</v>
      </c>
      <c r="V1189" s="2304">
        <v>30304000</v>
      </c>
      <c r="W1189" s="2632"/>
      <c r="X1189" s="2632"/>
      <c r="Y1189" s="2386">
        <f t="shared" si="390"/>
        <v>0</v>
      </c>
      <c r="Z1189" s="2304">
        <f t="shared" si="389"/>
        <v>86055000</v>
      </c>
      <c r="AA1189" s="2386">
        <f t="shared" si="397"/>
        <v>1</v>
      </c>
      <c r="AB1189" s="2304">
        <f t="shared" si="398"/>
        <v>160760800</v>
      </c>
      <c r="AC1189" s="2429">
        <f t="shared" si="399"/>
        <v>20</v>
      </c>
      <c r="AD1189" s="2426">
        <f t="shared" si="400"/>
        <v>20.040364753766276</v>
      </c>
      <c r="AE1189" s="3183"/>
      <c r="AF1189" s="2318"/>
      <c r="AG1189" s="2318"/>
      <c r="AH1189" s="2318"/>
      <c r="AI1189" s="2318"/>
      <c r="AJ1189" s="2318"/>
      <c r="AK1189" s="2318"/>
      <c r="AL1189" s="2318"/>
      <c r="AM1189" s="2318"/>
      <c r="AN1189" s="2318"/>
      <c r="AO1189" s="2318"/>
      <c r="AP1189" s="2318"/>
      <c r="AQ1189" s="2318"/>
      <c r="AR1189" s="2318"/>
      <c r="AS1189" s="2318"/>
      <c r="AT1189" s="2318"/>
      <c r="AU1189" s="2318"/>
      <c r="AV1189" s="2318"/>
      <c r="AW1189" s="2318"/>
      <c r="AX1189" s="2318"/>
      <c r="AY1189" s="2318"/>
      <c r="AZ1189" s="2318"/>
      <c r="BA1189" s="2318"/>
      <c r="BB1189" s="2318"/>
      <c r="BC1189" s="2318"/>
      <c r="BD1189" s="2318"/>
      <c r="BE1189" s="2318"/>
      <c r="BF1189" s="2318"/>
      <c r="BG1189" s="2318"/>
      <c r="BH1189" s="2318"/>
      <c r="BI1189" s="2318"/>
      <c r="BJ1189" s="2318"/>
      <c r="BK1189" s="2318"/>
      <c r="BL1189" s="2318"/>
      <c r="BM1189" s="2318"/>
      <c r="BN1189" s="2318"/>
      <c r="BO1189" s="2318"/>
      <c r="BP1189" s="2318"/>
      <c r="BQ1189" s="2318"/>
      <c r="BR1189" s="2318"/>
      <c r="BS1189" s="2318"/>
      <c r="BT1189" s="2318"/>
      <c r="BU1189" s="2318"/>
      <c r="BV1189" s="2318"/>
      <c r="BW1189" s="2318"/>
      <c r="BX1189" s="2318"/>
    </row>
    <row r="1190" spans="1:76" s="2608" customFormat="1" ht="67.5" customHeight="1">
      <c r="A1190" s="64"/>
      <c r="B1190" s="2274"/>
      <c r="C1190" s="2448">
        <v>2</v>
      </c>
      <c r="D1190" s="2448">
        <v>1</v>
      </c>
      <c r="E1190" s="2448">
        <v>2</v>
      </c>
      <c r="F1190" s="2448">
        <v>13</v>
      </c>
      <c r="G1190" s="2448">
        <v>18</v>
      </c>
      <c r="H1190" s="3794">
        <v>26</v>
      </c>
      <c r="I1190" s="2634" t="s">
        <v>2476</v>
      </c>
      <c r="J1190" s="2631" t="s">
        <v>2477</v>
      </c>
      <c r="K1190" s="2273">
        <v>10</v>
      </c>
      <c r="L1190" s="2533">
        <v>1166664500</v>
      </c>
      <c r="M1190" s="2349">
        <v>2</v>
      </c>
      <c r="N1190" s="2534">
        <v>174657100</v>
      </c>
      <c r="O1190" s="2399">
        <v>2</v>
      </c>
      <c r="P1190" s="2388">
        <v>298988000</v>
      </c>
      <c r="Q1190" s="2386">
        <v>1</v>
      </c>
      <c r="R1190" s="1731">
        <v>75387164</v>
      </c>
      <c r="S1190" s="2386">
        <v>0</v>
      </c>
      <c r="T1190" s="1731">
        <v>5688386</v>
      </c>
      <c r="U1190" s="2386">
        <v>0</v>
      </c>
      <c r="V1190" s="2304">
        <v>111495599</v>
      </c>
      <c r="W1190" s="2632"/>
      <c r="X1190" s="2632"/>
      <c r="Y1190" s="2386">
        <f t="shared" si="390"/>
        <v>1</v>
      </c>
      <c r="Z1190" s="2304">
        <f t="shared" si="389"/>
        <v>192571149</v>
      </c>
      <c r="AA1190" s="2386">
        <f t="shared" si="397"/>
        <v>3</v>
      </c>
      <c r="AB1190" s="2304">
        <f t="shared" si="398"/>
        <v>367228249</v>
      </c>
      <c r="AC1190" s="2429">
        <f t="shared" si="399"/>
        <v>30</v>
      </c>
      <c r="AD1190" s="2426">
        <f t="shared" si="400"/>
        <v>31.476765513993101</v>
      </c>
      <c r="AE1190" s="3183"/>
      <c r="AF1190" s="2318"/>
      <c r="AG1190" s="2318"/>
      <c r="AH1190" s="2318"/>
      <c r="AI1190" s="2318"/>
      <c r="AJ1190" s="2318"/>
      <c r="AK1190" s="2318"/>
      <c r="AL1190" s="2318"/>
      <c r="AM1190" s="2318"/>
      <c r="AN1190" s="2318"/>
      <c r="AO1190" s="2318"/>
      <c r="AP1190" s="2318"/>
      <c r="AQ1190" s="2318"/>
      <c r="AR1190" s="2318"/>
      <c r="AS1190" s="2318"/>
      <c r="AT1190" s="2318"/>
      <c r="AU1190" s="2318"/>
      <c r="AV1190" s="2318"/>
      <c r="AW1190" s="2318"/>
      <c r="AX1190" s="2318"/>
      <c r="AY1190" s="2318"/>
      <c r="AZ1190" s="2318"/>
      <c r="BA1190" s="2318"/>
      <c r="BB1190" s="2318"/>
      <c r="BC1190" s="2318"/>
      <c r="BD1190" s="2318"/>
      <c r="BE1190" s="2318"/>
      <c r="BF1190" s="2318"/>
      <c r="BG1190" s="2318"/>
      <c r="BH1190" s="2318"/>
      <c r="BI1190" s="2318"/>
      <c r="BJ1190" s="2318"/>
      <c r="BK1190" s="2318"/>
      <c r="BL1190" s="2318"/>
      <c r="BM1190" s="2318"/>
      <c r="BN1190" s="2318"/>
      <c r="BO1190" s="2318"/>
      <c r="BP1190" s="2318"/>
      <c r="BQ1190" s="2318"/>
      <c r="BR1190" s="2318"/>
      <c r="BS1190" s="2318"/>
      <c r="BT1190" s="2318"/>
      <c r="BU1190" s="2318"/>
      <c r="BV1190" s="2318"/>
      <c r="BW1190" s="2318"/>
      <c r="BX1190" s="2318"/>
    </row>
    <row r="1191" spans="1:76" s="114" customFormat="1" ht="18.75" customHeight="1">
      <c r="A1191" s="4244" t="s">
        <v>89</v>
      </c>
      <c r="B1191" s="4244"/>
      <c r="C1191" s="4245"/>
      <c r="D1191" s="4245"/>
      <c r="E1191" s="4245"/>
      <c r="F1191" s="4245"/>
      <c r="G1191" s="4245"/>
      <c r="H1191" s="4245"/>
      <c r="I1191" s="4245"/>
      <c r="J1191" s="4245"/>
      <c r="K1191" s="4245"/>
      <c r="L1191" s="4245"/>
      <c r="M1191" s="4245"/>
      <c r="N1191" s="4245"/>
      <c r="O1191" s="4245"/>
      <c r="P1191" s="4245"/>
      <c r="Q1191" s="4245"/>
      <c r="R1191" s="4245"/>
      <c r="S1191" s="4245"/>
      <c r="T1191" s="4245"/>
      <c r="U1191" s="4245"/>
      <c r="V1191" s="4245"/>
      <c r="W1191" s="4245"/>
      <c r="X1191" s="4245"/>
      <c r="Y1191" s="4245"/>
      <c r="Z1191" s="4245"/>
      <c r="AA1191" s="4245"/>
      <c r="AB1191" s="4245"/>
      <c r="AC1191" s="2030">
        <f>(AC1170+AC1177+AC1182+AC1185)/4</f>
        <v>44.097914549765029</v>
      </c>
      <c r="AD1191" s="2030">
        <f>(AD1170+AD1177+AD1182+AD1185)/4</f>
        <v>32.770526767105551</v>
      </c>
      <c r="AE1191" s="390"/>
    </row>
    <row r="1192" spans="1:76" s="475" customFormat="1" ht="15.75" customHeight="1">
      <c r="A1192" s="4244" t="s">
        <v>90</v>
      </c>
      <c r="B1192" s="4244"/>
      <c r="C1192" s="4245"/>
      <c r="D1192" s="4245"/>
      <c r="E1192" s="4245"/>
      <c r="F1192" s="4245"/>
      <c r="G1192" s="4245"/>
      <c r="H1192" s="4245"/>
      <c r="I1192" s="4245"/>
      <c r="J1192" s="4245"/>
      <c r="K1192" s="4245"/>
      <c r="L1192" s="4245"/>
      <c r="M1192" s="4245"/>
      <c r="N1192" s="4245"/>
      <c r="O1192" s="4245"/>
      <c r="P1192" s="4245"/>
      <c r="Q1192" s="4245"/>
      <c r="R1192" s="4245"/>
      <c r="S1192" s="4245"/>
      <c r="T1192" s="4245"/>
      <c r="U1192" s="4245"/>
      <c r="V1192" s="4245"/>
      <c r="W1192" s="4245"/>
      <c r="X1192" s="4245"/>
      <c r="Y1192" s="4245"/>
      <c r="Z1192" s="4245"/>
      <c r="AA1192" s="4245"/>
      <c r="AB1192" s="4245"/>
      <c r="AC1192" s="3152" t="str">
        <f>IF(AC1191&gt;=91,"ST",IF(AC1191&gt;=76,"T",IF(AC1191&gt;=66,"S",IF(AC1191&gt;=51,"R","SR"))))</f>
        <v>SR</v>
      </c>
      <c r="AD1192" s="3152" t="str">
        <f>IF(AD1191&gt;=91,"ST",IF(AD1191&gt;=76,"T",IF(AD1191&gt;=66,"S",IF(AD1191&gt;=51,"R","SR"))))</f>
        <v>SR</v>
      </c>
      <c r="AE1192" s="390"/>
    </row>
    <row r="1193" spans="1:76" s="2271" customFormat="1" ht="25.5" customHeight="1">
      <c r="A1193" s="2546" t="s">
        <v>122</v>
      </c>
      <c r="B1193" s="2918"/>
      <c r="C1193" s="2546"/>
      <c r="D1193" s="2546"/>
      <c r="E1193" s="2546"/>
      <c r="F1193" s="2546"/>
      <c r="G1193" s="2546"/>
      <c r="H1193" s="2546"/>
      <c r="I1193" s="2515" t="s">
        <v>214</v>
      </c>
      <c r="J1193" s="2918"/>
      <c r="K1193" s="3210"/>
      <c r="L1193" s="3198">
        <f>L1194+L1269</f>
        <v>89867258537</v>
      </c>
      <c r="M1193" s="3210"/>
      <c r="N1193" s="3195">
        <f>N1194+N1269</f>
        <v>21906367111.666668</v>
      </c>
      <c r="O1193" s="3210"/>
      <c r="P1193" s="3195">
        <f>P1194+P1269</f>
        <v>16527073933.639999</v>
      </c>
      <c r="Q1193" s="3210"/>
      <c r="R1193" s="2916">
        <f>R1194+R1269</f>
        <v>809553041.5</v>
      </c>
      <c r="S1193" s="2918"/>
      <c r="T1193" s="2916">
        <f>T1194+T1269</f>
        <v>3864479683</v>
      </c>
      <c r="U1193" s="2918"/>
      <c r="V1193" s="2916">
        <f>V1194+V1269</f>
        <v>5557006439</v>
      </c>
      <c r="W1193" s="2918"/>
      <c r="X1193" s="2918"/>
      <c r="Y1193" s="3210"/>
      <c r="Z1193" s="2916">
        <f>Z1194+Z1269</f>
        <v>9736356928</v>
      </c>
      <c r="AA1193" s="3210"/>
      <c r="AB1193" s="2916">
        <f>AB1194+AB1269</f>
        <v>29785070845.166664</v>
      </c>
      <c r="AC1193" s="3210"/>
      <c r="AD1193" s="3210"/>
      <c r="AE1193" s="3211"/>
      <c r="AF1193" s="2620"/>
      <c r="AG1193" s="2620"/>
      <c r="AH1193" s="2620"/>
      <c r="AI1193" s="2620"/>
      <c r="AJ1193" s="2620"/>
      <c r="AK1193" s="2620"/>
      <c r="AL1193" s="2620"/>
      <c r="AM1193" s="2620"/>
      <c r="AN1193" s="2620"/>
      <c r="AO1193" s="2620"/>
      <c r="AP1193" s="2620"/>
      <c r="AQ1193" s="2620"/>
      <c r="AR1193" s="2620"/>
      <c r="AS1193" s="2620"/>
      <c r="AT1193" s="2620"/>
      <c r="AU1193" s="2620"/>
      <c r="AV1193" s="2620"/>
      <c r="AW1193" s="2620"/>
      <c r="AX1193" s="2620"/>
      <c r="AY1193" s="2620"/>
      <c r="AZ1193" s="2620"/>
      <c r="BA1193" s="2620"/>
      <c r="BB1193" s="2620"/>
      <c r="BC1193" s="2620"/>
      <c r="BD1193" s="2620"/>
      <c r="BE1193" s="2620"/>
      <c r="BF1193" s="2620"/>
      <c r="BG1193" s="2620"/>
      <c r="BH1193" s="2620"/>
      <c r="BI1193" s="2620"/>
      <c r="BJ1193" s="2620"/>
      <c r="BK1193" s="2620"/>
      <c r="BL1193" s="2620"/>
      <c r="BM1193" s="2620"/>
      <c r="BN1193" s="2620"/>
      <c r="BO1193" s="2620"/>
      <c r="BP1193" s="2620"/>
      <c r="BQ1193" s="2620"/>
      <c r="BR1193" s="2620"/>
      <c r="BS1193" s="2620"/>
      <c r="BT1193" s="2620"/>
      <c r="BU1193" s="2620"/>
      <c r="BV1193" s="2620"/>
      <c r="BW1193" s="2620"/>
      <c r="BX1193" s="2620"/>
    </row>
    <row r="1194" spans="1:76" s="2608" customFormat="1" ht="24.75" customHeight="1">
      <c r="A1194" s="2089" t="s">
        <v>910</v>
      </c>
      <c r="B1194" s="2089"/>
      <c r="C1194" s="3842"/>
      <c r="D1194" s="3842"/>
      <c r="E1194" s="3842"/>
      <c r="F1194" s="3842"/>
      <c r="G1194" s="3842"/>
      <c r="H1194" s="3842"/>
      <c r="I1194" s="2089"/>
      <c r="J1194" s="2089"/>
      <c r="K1194" s="2089"/>
      <c r="L1194" s="3230">
        <f>L1195+L1207+L1213+L1219+L1248+L1254+L1262</f>
        <v>60903605000</v>
      </c>
      <c r="M1194" s="2089"/>
      <c r="N1194" s="3231">
        <f>N1195+N1207+N1213+N1219+N1248+N1254+N1262</f>
        <v>14544124100</v>
      </c>
      <c r="O1194" s="2089"/>
      <c r="P1194" s="3231">
        <f>SUM(P1195+P1207+P1213+P1219+P1244+P1248+P1254+P1262)</f>
        <v>11750039618.389999</v>
      </c>
      <c r="Q1194" s="2089"/>
      <c r="R1194" s="3231">
        <f>SUM(R1195+R1207+R1213+R1219+R1244+R1248+R1254+R1262)</f>
        <v>484600000</v>
      </c>
      <c r="S1194" s="2089"/>
      <c r="T1194" s="3231">
        <f>SUM(T1195+T1207+T1213+T1219+T1244+T1248+T1254+T1262)</f>
        <v>2563408582</v>
      </c>
      <c r="U1194" s="2089"/>
      <c r="V1194" s="3231">
        <f>SUM(V1195+V1207+V1213+V1219+V1244+V1248+V1254+V1262)</f>
        <v>4126290175</v>
      </c>
      <c r="W1194" s="2089"/>
      <c r="X1194" s="2089"/>
      <c r="Y1194" s="2089"/>
      <c r="Z1194" s="3231">
        <f>R1194+T1194+V1194</f>
        <v>7174298757</v>
      </c>
      <c r="AA1194" s="2089"/>
      <c r="AB1194" s="3231">
        <f>SUM(AB1195+AB1207+AB1213+AB1219+AB1244+AB1248+AB1254+AB1262)</f>
        <v>18744407957</v>
      </c>
      <c r="AC1194" s="2089"/>
      <c r="AD1194" s="2089"/>
      <c r="AE1194" s="2090"/>
      <c r="AF1194" s="2318"/>
      <c r="AG1194" s="2318"/>
      <c r="AH1194" s="2318"/>
      <c r="AI1194" s="2318"/>
      <c r="AJ1194" s="2318"/>
      <c r="AK1194" s="2318"/>
      <c r="AL1194" s="2318"/>
      <c r="AM1194" s="2318"/>
      <c r="AN1194" s="2318"/>
      <c r="AO1194" s="2318"/>
      <c r="AP1194" s="2318"/>
      <c r="AQ1194" s="2318"/>
      <c r="AR1194" s="2318"/>
      <c r="AS1194" s="2318"/>
      <c r="AT1194" s="2318"/>
      <c r="AU1194" s="2318"/>
      <c r="AV1194" s="2318"/>
      <c r="AW1194" s="2318"/>
      <c r="AX1194" s="2318"/>
      <c r="AY1194" s="2318"/>
      <c r="AZ1194" s="2318"/>
      <c r="BA1194" s="2318"/>
      <c r="BB1194" s="2318"/>
      <c r="BC1194" s="2318"/>
      <c r="BD1194" s="2318"/>
      <c r="BE1194" s="2318"/>
      <c r="BF1194" s="2318"/>
      <c r="BG1194" s="2318"/>
      <c r="BH1194" s="2318"/>
      <c r="BI1194" s="2318"/>
      <c r="BJ1194" s="2318"/>
      <c r="BK1194" s="2318"/>
      <c r="BL1194" s="2318"/>
      <c r="BM1194" s="2318"/>
      <c r="BN1194" s="2318"/>
      <c r="BO1194" s="2318"/>
      <c r="BP1194" s="2318"/>
      <c r="BQ1194" s="2318"/>
      <c r="BR1194" s="2318"/>
      <c r="BS1194" s="2318"/>
      <c r="BT1194" s="2318"/>
      <c r="BU1194" s="2318"/>
      <c r="BV1194" s="2318"/>
      <c r="BW1194" s="2318"/>
      <c r="BX1194" s="2318"/>
    </row>
    <row r="1195" spans="1:76" s="2608" customFormat="1" ht="57" customHeight="1">
      <c r="A1195" s="2570">
        <v>1</v>
      </c>
      <c r="B1195" s="2335"/>
      <c r="C1195" s="3795"/>
      <c r="D1195" s="3795"/>
      <c r="E1195" s="3795"/>
      <c r="F1195" s="3795"/>
      <c r="G1195" s="3795"/>
      <c r="H1195" s="3795"/>
      <c r="I1195" s="2359" t="s">
        <v>221</v>
      </c>
      <c r="J1195" s="2335" t="s">
        <v>1406</v>
      </c>
      <c r="K1195" s="2523">
        <v>100</v>
      </c>
      <c r="L1195" s="3161">
        <f>SUM(L1196:L1206)</f>
        <v>6474148000</v>
      </c>
      <c r="M1195" s="2672">
        <f>2/6*100</f>
        <v>33.333333333333329</v>
      </c>
      <c r="N1195" s="3161">
        <f>SUM(N1196:N1206)</f>
        <v>1393924000</v>
      </c>
      <c r="O1195" s="2672">
        <f>3/6*100</f>
        <v>50</v>
      </c>
      <c r="P1195" s="3161">
        <f>SUM(P1196:P1206)</f>
        <v>908865660</v>
      </c>
      <c r="Q1195" s="3161">
        <v>0</v>
      </c>
      <c r="R1195" s="2339">
        <f>SUM(R1196:R1206)</f>
        <v>121580000</v>
      </c>
      <c r="S1195" s="3124">
        <v>3</v>
      </c>
      <c r="T1195" s="3125">
        <f>SUM(T1196:T1206)</f>
        <v>453252019</v>
      </c>
      <c r="U1195" s="3264">
        <v>3</v>
      </c>
      <c r="V1195" s="3125">
        <f>SUM(V1196:V1206)</f>
        <v>168871520</v>
      </c>
      <c r="W1195" s="2339"/>
      <c r="X1195" s="2339"/>
      <c r="Y1195" s="3161">
        <f t="shared" ref="Y1195:Y1256" si="401">Q1195+S1195+U1195+W1195</f>
        <v>6</v>
      </c>
      <c r="Z1195" s="2342">
        <f t="shared" ref="Z1195:Z1254" si="402">R1195+T1195+V1195+X1195</f>
        <v>743703539</v>
      </c>
      <c r="AA1195" s="3161">
        <f t="shared" ref="AA1195:AA1206" si="403">M1195+Y1195</f>
        <v>39.333333333333329</v>
      </c>
      <c r="AB1195" s="2342">
        <f t="shared" ref="AB1195:AB1206" si="404">N1195+Z1195</f>
        <v>2137627539</v>
      </c>
      <c r="AC1195" s="3147">
        <f t="shared" ref="AC1195:AC1206" si="405">AA1195/K1195*100</f>
        <v>39.333333333333329</v>
      </c>
      <c r="AD1195" s="3147">
        <f t="shared" ref="AD1195:AD1206" si="406">AB1195/L1195*100</f>
        <v>33.017897320234262</v>
      </c>
      <c r="AE1195" s="3138" t="s">
        <v>3412</v>
      </c>
      <c r="AF1195" s="2318"/>
      <c r="AG1195" s="2318"/>
      <c r="AH1195" s="2318"/>
      <c r="AI1195" s="2318"/>
      <c r="AJ1195" s="2318"/>
      <c r="AK1195" s="2318"/>
      <c r="AL1195" s="2318"/>
      <c r="AM1195" s="2318"/>
      <c r="AN1195" s="2318"/>
      <c r="AO1195" s="2318"/>
      <c r="AP1195" s="2318"/>
      <c r="AQ1195" s="2318"/>
      <c r="AR1195" s="2318"/>
      <c r="AS1195" s="2318"/>
      <c r="AT1195" s="2318"/>
      <c r="AU1195" s="2318"/>
      <c r="AV1195" s="2318"/>
      <c r="AW1195" s="2318"/>
      <c r="AX1195" s="2318"/>
      <c r="AY1195" s="2318"/>
      <c r="AZ1195" s="2318"/>
      <c r="BA1195" s="2318"/>
      <c r="BB1195" s="2318"/>
      <c r="BC1195" s="2318"/>
      <c r="BD1195" s="2318"/>
      <c r="BE1195" s="2318"/>
      <c r="BF1195" s="2318"/>
      <c r="BG1195" s="2318"/>
      <c r="BH1195" s="2318"/>
      <c r="BI1195" s="2318"/>
      <c r="BJ1195" s="2318"/>
      <c r="BK1195" s="2318"/>
      <c r="BL1195" s="2318"/>
      <c r="BM1195" s="2318"/>
      <c r="BN1195" s="2318"/>
      <c r="BO1195" s="2318"/>
      <c r="BP1195" s="2318"/>
      <c r="BQ1195" s="2318"/>
      <c r="BR1195" s="2318"/>
      <c r="BS1195" s="2318"/>
      <c r="BT1195" s="2318"/>
      <c r="BU1195" s="2318"/>
      <c r="BV1195" s="2318"/>
      <c r="BW1195" s="2318"/>
      <c r="BX1195" s="2318"/>
    </row>
    <row r="1196" spans="1:76" s="2608" customFormat="1" ht="57" customHeight="1">
      <c r="A1196" s="64"/>
      <c r="B1196" s="2632"/>
      <c r="C1196" s="3794"/>
      <c r="D1196" s="3794"/>
      <c r="E1196" s="3794"/>
      <c r="F1196" s="3794"/>
      <c r="G1196" s="3794"/>
      <c r="H1196" s="3794"/>
      <c r="I1196" s="2631" t="s">
        <v>147</v>
      </c>
      <c r="J1196" s="2632" t="s">
        <v>1407</v>
      </c>
      <c r="K1196" s="2387">
        <v>72</v>
      </c>
      <c r="L1196" s="2389">
        <v>961416000</v>
      </c>
      <c r="M1196" s="2387">
        <v>24</v>
      </c>
      <c r="N1196" s="2387">
        <v>156305000</v>
      </c>
      <c r="O1196" s="2387">
        <v>12</v>
      </c>
      <c r="P1196" s="2389">
        <v>131100000</v>
      </c>
      <c r="Q1196" s="2389">
        <v>3</v>
      </c>
      <c r="R1196" s="1400">
        <v>21470000</v>
      </c>
      <c r="S1196" s="3073">
        <v>3</v>
      </c>
      <c r="T1196" s="3087">
        <v>38550028</v>
      </c>
      <c r="U1196" s="3073">
        <v>3</v>
      </c>
      <c r="V1196" s="2304">
        <v>31572833</v>
      </c>
      <c r="W1196" s="2276"/>
      <c r="X1196" s="2276"/>
      <c r="Y1196" s="2389">
        <f t="shared" si="401"/>
        <v>9</v>
      </c>
      <c r="Z1196" s="2304">
        <f t="shared" si="402"/>
        <v>91592861</v>
      </c>
      <c r="AA1196" s="2389">
        <f t="shared" si="403"/>
        <v>33</v>
      </c>
      <c r="AB1196" s="2304">
        <f t="shared" si="404"/>
        <v>247897861</v>
      </c>
      <c r="AC1196" s="2386">
        <f t="shared" si="405"/>
        <v>45.833333333333329</v>
      </c>
      <c r="AD1196" s="2386">
        <f t="shared" si="406"/>
        <v>25.784661478485898</v>
      </c>
      <c r="AE1196" s="3160"/>
      <c r="AF1196" s="2318"/>
      <c r="AG1196" s="3232"/>
      <c r="AH1196" s="2318"/>
      <c r="AI1196" s="2318"/>
      <c r="AJ1196" s="2318"/>
      <c r="AK1196" s="2318"/>
      <c r="AL1196" s="2318"/>
      <c r="AM1196" s="2318"/>
      <c r="AN1196" s="2318"/>
      <c r="AO1196" s="2318"/>
      <c r="AP1196" s="2318"/>
      <c r="AQ1196" s="2318"/>
      <c r="AR1196" s="2318"/>
      <c r="AS1196" s="2318"/>
      <c r="AT1196" s="2318"/>
      <c r="AU1196" s="2318"/>
      <c r="AV1196" s="2318"/>
      <c r="AW1196" s="2318"/>
      <c r="AX1196" s="2318"/>
      <c r="AY1196" s="2318"/>
      <c r="AZ1196" s="2318"/>
      <c r="BA1196" s="2318"/>
      <c r="BB1196" s="2318"/>
      <c r="BC1196" s="2318"/>
      <c r="BD1196" s="2318"/>
      <c r="BE1196" s="2318"/>
      <c r="BF1196" s="2318"/>
      <c r="BG1196" s="2318"/>
      <c r="BH1196" s="2318"/>
      <c r="BI1196" s="2318"/>
      <c r="BJ1196" s="2318"/>
      <c r="BK1196" s="2318"/>
      <c r="BL1196" s="2318"/>
      <c r="BM1196" s="2318"/>
      <c r="BN1196" s="2318"/>
      <c r="BO1196" s="2318"/>
      <c r="BP1196" s="2318"/>
      <c r="BQ1196" s="2318"/>
      <c r="BR1196" s="2318"/>
      <c r="BS1196" s="2318"/>
      <c r="BT1196" s="2318"/>
      <c r="BU1196" s="2318"/>
      <c r="BV1196" s="2318"/>
      <c r="BW1196" s="2318"/>
      <c r="BX1196" s="2318"/>
    </row>
    <row r="1197" spans="1:76" s="2608" customFormat="1" ht="57" customHeight="1">
      <c r="A1197" s="64"/>
      <c r="B1197" s="2632"/>
      <c r="C1197" s="3794"/>
      <c r="D1197" s="3794"/>
      <c r="E1197" s="3794"/>
      <c r="F1197" s="3794"/>
      <c r="G1197" s="3794"/>
      <c r="H1197" s="3794"/>
      <c r="I1197" s="2631" t="s">
        <v>148</v>
      </c>
      <c r="J1197" s="2632" t="s">
        <v>1408</v>
      </c>
      <c r="K1197" s="2387">
        <v>72</v>
      </c>
      <c r="L1197" s="2389">
        <v>1182633000</v>
      </c>
      <c r="M1197" s="2387">
        <v>24</v>
      </c>
      <c r="N1197" s="2387">
        <v>336834000</v>
      </c>
      <c r="O1197" s="2387">
        <v>12</v>
      </c>
      <c r="P1197" s="2389">
        <v>194500000</v>
      </c>
      <c r="Q1197" s="2389">
        <v>3</v>
      </c>
      <c r="R1197" s="1400">
        <v>17500000</v>
      </c>
      <c r="S1197" s="3073">
        <v>3</v>
      </c>
      <c r="T1197" s="3087">
        <v>63000000</v>
      </c>
      <c r="U1197" s="3073">
        <v>3</v>
      </c>
      <c r="V1197" s="2304">
        <v>47250000</v>
      </c>
      <c r="W1197" s="2276"/>
      <c r="X1197" s="2276"/>
      <c r="Y1197" s="2389">
        <f t="shared" si="401"/>
        <v>9</v>
      </c>
      <c r="Z1197" s="2304">
        <f t="shared" si="402"/>
        <v>127750000</v>
      </c>
      <c r="AA1197" s="2389">
        <f t="shared" si="403"/>
        <v>33</v>
      </c>
      <c r="AB1197" s="2304">
        <f t="shared" si="404"/>
        <v>464584000</v>
      </c>
      <c r="AC1197" s="2386">
        <f t="shared" si="405"/>
        <v>45.833333333333329</v>
      </c>
      <c r="AD1197" s="2386">
        <f t="shared" si="406"/>
        <v>39.283869129307227</v>
      </c>
      <c r="AE1197" s="3160"/>
      <c r="AF1197" s="2318"/>
      <c r="AG1197" s="3232"/>
      <c r="AH1197" s="2318"/>
      <c r="AI1197" s="2318"/>
      <c r="AJ1197" s="2318"/>
      <c r="AK1197" s="2318"/>
      <c r="AL1197" s="2318"/>
      <c r="AM1197" s="2318"/>
      <c r="AN1197" s="2318"/>
      <c r="AO1197" s="2318"/>
      <c r="AP1197" s="2318"/>
      <c r="AQ1197" s="2318"/>
      <c r="AR1197" s="2318"/>
      <c r="AS1197" s="2318"/>
      <c r="AT1197" s="2318"/>
      <c r="AU1197" s="2318"/>
      <c r="AV1197" s="2318"/>
      <c r="AW1197" s="2318"/>
      <c r="AX1197" s="2318"/>
      <c r="AY1197" s="2318"/>
      <c r="AZ1197" s="2318"/>
      <c r="BA1197" s="2318"/>
      <c r="BB1197" s="2318"/>
      <c r="BC1197" s="2318"/>
      <c r="BD1197" s="2318"/>
      <c r="BE1197" s="2318"/>
      <c r="BF1197" s="2318"/>
      <c r="BG1197" s="2318"/>
      <c r="BH1197" s="2318"/>
      <c r="BI1197" s="2318"/>
      <c r="BJ1197" s="2318"/>
      <c r="BK1197" s="2318"/>
      <c r="BL1197" s="2318"/>
      <c r="BM1197" s="2318"/>
      <c r="BN1197" s="2318"/>
      <c r="BO1197" s="2318"/>
      <c r="BP1197" s="2318"/>
      <c r="BQ1197" s="2318"/>
      <c r="BR1197" s="2318"/>
      <c r="BS1197" s="2318"/>
      <c r="BT1197" s="2318"/>
      <c r="BU1197" s="2318"/>
      <c r="BV1197" s="2318"/>
      <c r="BW1197" s="2318"/>
      <c r="BX1197" s="2318"/>
    </row>
    <row r="1198" spans="1:76" s="2608" customFormat="1" ht="57" customHeight="1">
      <c r="A1198" s="64"/>
      <c r="B1198" s="2632"/>
      <c r="C1198" s="3794"/>
      <c r="D1198" s="3794"/>
      <c r="E1198" s="3794"/>
      <c r="F1198" s="3794"/>
      <c r="G1198" s="3794"/>
      <c r="H1198" s="3794"/>
      <c r="I1198" s="2631" t="s">
        <v>876</v>
      </c>
      <c r="J1198" s="2632" t="s">
        <v>1409</v>
      </c>
      <c r="K1198" s="2387">
        <v>72</v>
      </c>
      <c r="L1198" s="2389">
        <v>622241000</v>
      </c>
      <c r="M1198" s="2387">
        <v>24</v>
      </c>
      <c r="N1198" s="2387">
        <v>16353000</v>
      </c>
      <c r="O1198" s="2387">
        <v>12</v>
      </c>
      <c r="P1198" s="2389">
        <v>130550000</v>
      </c>
      <c r="Q1198" s="2389">
        <v>0</v>
      </c>
      <c r="R1198" s="1400">
        <v>0</v>
      </c>
      <c r="S1198" s="3073">
        <v>3</v>
      </c>
      <c r="T1198" s="3087">
        <v>15520000</v>
      </c>
      <c r="U1198" s="3073">
        <v>3</v>
      </c>
      <c r="V1198" s="2304">
        <v>29794900</v>
      </c>
      <c r="W1198" s="2276"/>
      <c r="X1198" s="2276"/>
      <c r="Y1198" s="2389">
        <f t="shared" si="401"/>
        <v>6</v>
      </c>
      <c r="Z1198" s="2304">
        <f t="shared" si="402"/>
        <v>45314900</v>
      </c>
      <c r="AA1198" s="2389">
        <f t="shared" si="403"/>
        <v>30</v>
      </c>
      <c r="AB1198" s="2304">
        <f t="shared" si="404"/>
        <v>61667900</v>
      </c>
      <c r="AC1198" s="2386">
        <f t="shared" si="405"/>
        <v>41.666666666666671</v>
      </c>
      <c r="AD1198" s="2386">
        <f t="shared" si="406"/>
        <v>9.9106134118452491</v>
      </c>
      <c r="AE1198" s="3160"/>
      <c r="AF1198" s="2318"/>
      <c r="AG1198" s="3232"/>
      <c r="AH1198" s="2318"/>
      <c r="AI1198" s="2318"/>
      <c r="AJ1198" s="2318"/>
      <c r="AK1198" s="2318"/>
      <c r="AL1198" s="2318"/>
      <c r="AM1198" s="2318"/>
      <c r="AN1198" s="2318"/>
      <c r="AO1198" s="2318"/>
      <c r="AP1198" s="2318"/>
      <c r="AQ1198" s="2318"/>
      <c r="AR1198" s="2318"/>
      <c r="AS1198" s="2318"/>
      <c r="AT1198" s="2318"/>
      <c r="AU1198" s="2318"/>
      <c r="AV1198" s="2318"/>
      <c r="AW1198" s="2318"/>
      <c r="AX1198" s="2318"/>
      <c r="AY1198" s="2318"/>
      <c r="AZ1198" s="2318"/>
      <c r="BA1198" s="2318"/>
      <c r="BB1198" s="2318"/>
      <c r="BC1198" s="2318"/>
      <c r="BD1198" s="2318"/>
      <c r="BE1198" s="2318"/>
      <c r="BF1198" s="2318"/>
      <c r="BG1198" s="2318"/>
      <c r="BH1198" s="2318"/>
      <c r="BI1198" s="2318"/>
      <c r="BJ1198" s="2318"/>
      <c r="BK1198" s="2318"/>
      <c r="BL1198" s="2318"/>
      <c r="BM1198" s="2318"/>
      <c r="BN1198" s="2318"/>
      <c r="BO1198" s="2318"/>
      <c r="BP1198" s="2318"/>
      <c r="BQ1198" s="2318"/>
      <c r="BR1198" s="2318"/>
      <c r="BS1198" s="2318"/>
      <c r="BT1198" s="2318"/>
      <c r="BU1198" s="2318"/>
      <c r="BV1198" s="2318"/>
      <c r="BW1198" s="2318"/>
      <c r="BX1198" s="2318"/>
    </row>
    <row r="1199" spans="1:76" s="2321" customFormat="1" ht="57.75" customHeight="1">
      <c r="A1199" s="64"/>
      <c r="B1199" s="2632"/>
      <c r="C1199" s="3794"/>
      <c r="D1199" s="3794"/>
      <c r="E1199" s="3794"/>
      <c r="F1199" s="3794"/>
      <c r="G1199" s="3794"/>
      <c r="H1199" s="3794"/>
      <c r="I1199" s="2631" t="s">
        <v>1410</v>
      </c>
      <c r="J1199" s="2632" t="s">
        <v>1411</v>
      </c>
      <c r="K1199" s="2387">
        <v>72</v>
      </c>
      <c r="L1199" s="2389">
        <v>215116000</v>
      </c>
      <c r="M1199" s="2387">
        <v>24</v>
      </c>
      <c r="N1199" s="2387">
        <v>47473000</v>
      </c>
      <c r="O1199" s="2387">
        <v>12</v>
      </c>
      <c r="P1199" s="2389">
        <v>20250000</v>
      </c>
      <c r="Q1199" s="2389">
        <v>0</v>
      </c>
      <c r="R1199" s="1400">
        <v>0</v>
      </c>
      <c r="S1199" s="3073">
        <v>3</v>
      </c>
      <c r="T1199" s="3087">
        <v>38815000</v>
      </c>
      <c r="U1199" s="3073">
        <v>3</v>
      </c>
      <c r="V1199" s="2304">
        <v>1110000</v>
      </c>
      <c r="W1199" s="2276"/>
      <c r="X1199" s="2276"/>
      <c r="Y1199" s="2389">
        <f t="shared" si="401"/>
        <v>6</v>
      </c>
      <c r="Z1199" s="2304">
        <f t="shared" si="402"/>
        <v>39925000</v>
      </c>
      <c r="AA1199" s="2389">
        <f t="shared" si="403"/>
        <v>30</v>
      </c>
      <c r="AB1199" s="2304">
        <f t="shared" si="404"/>
        <v>87398000</v>
      </c>
      <c r="AC1199" s="2386">
        <f t="shared" si="405"/>
        <v>41.666666666666671</v>
      </c>
      <c r="AD1199" s="2386">
        <f t="shared" si="406"/>
        <v>40.628312166459025</v>
      </c>
      <c r="AE1199" s="3160"/>
      <c r="AF1199" s="2320"/>
      <c r="AG1199" s="3232"/>
      <c r="AH1199" s="2318"/>
      <c r="AI1199" s="2318"/>
      <c r="AJ1199" s="2318"/>
      <c r="AK1199" s="2318"/>
      <c r="AL1199" s="2318"/>
      <c r="AM1199" s="2318"/>
      <c r="AN1199" s="2320"/>
      <c r="AO1199" s="2320"/>
      <c r="AP1199" s="2320"/>
      <c r="AQ1199" s="2320"/>
      <c r="AR1199" s="2320"/>
      <c r="AS1199" s="2320"/>
      <c r="AT1199" s="2320"/>
      <c r="AU1199" s="2320"/>
      <c r="AV1199" s="2320"/>
      <c r="AW1199" s="2320"/>
      <c r="AX1199" s="2320"/>
      <c r="AY1199" s="2320"/>
      <c r="AZ1199" s="2320"/>
      <c r="BA1199" s="2320"/>
      <c r="BB1199" s="2320"/>
      <c r="BC1199" s="2320"/>
      <c r="BD1199" s="2320"/>
      <c r="BE1199" s="2320"/>
      <c r="BF1199" s="2320"/>
      <c r="BG1199" s="2320"/>
      <c r="BH1199" s="2320"/>
      <c r="BI1199" s="2320"/>
      <c r="BJ1199" s="2320"/>
      <c r="BK1199" s="2320"/>
      <c r="BL1199" s="2320"/>
      <c r="BM1199" s="2320"/>
      <c r="BN1199" s="2320"/>
      <c r="BO1199" s="2320"/>
      <c r="BP1199" s="2320"/>
      <c r="BQ1199" s="2320"/>
      <c r="BR1199" s="2320"/>
      <c r="BS1199" s="2320"/>
      <c r="BT1199" s="2320"/>
      <c r="BU1199" s="2320"/>
      <c r="BV1199" s="2320"/>
      <c r="BW1199" s="2320"/>
      <c r="BX1199" s="2320"/>
    </row>
    <row r="1200" spans="1:76" s="2321" customFormat="1" ht="57.75" customHeight="1">
      <c r="A1200" s="64"/>
      <c r="B1200" s="2632"/>
      <c r="C1200" s="3794"/>
      <c r="D1200" s="3794"/>
      <c r="E1200" s="3794"/>
      <c r="F1200" s="3794"/>
      <c r="G1200" s="3794"/>
      <c r="H1200" s="3794"/>
      <c r="I1200" s="2631" t="s">
        <v>150</v>
      </c>
      <c r="J1200" s="2632" t="s">
        <v>1412</v>
      </c>
      <c r="K1200" s="2387">
        <v>72</v>
      </c>
      <c r="L1200" s="2389">
        <v>724094000</v>
      </c>
      <c r="M1200" s="2387">
        <v>24</v>
      </c>
      <c r="N1200" s="2387">
        <v>213527000</v>
      </c>
      <c r="O1200" s="2387">
        <v>12</v>
      </c>
      <c r="P1200" s="2389">
        <v>110000000</v>
      </c>
      <c r="Q1200" s="2389">
        <v>3</v>
      </c>
      <c r="R1200" s="1400">
        <v>9816000</v>
      </c>
      <c r="S1200" s="3073">
        <v>3</v>
      </c>
      <c r="T1200" s="3087">
        <v>24689991</v>
      </c>
      <c r="U1200" s="3073">
        <v>3</v>
      </c>
      <c r="V1200" s="2304">
        <v>8023541</v>
      </c>
      <c r="W1200" s="2276"/>
      <c r="X1200" s="2276"/>
      <c r="Y1200" s="2389">
        <f t="shared" si="401"/>
        <v>9</v>
      </c>
      <c r="Z1200" s="2304">
        <f t="shared" si="402"/>
        <v>42529532</v>
      </c>
      <c r="AA1200" s="2389">
        <f t="shared" si="403"/>
        <v>33</v>
      </c>
      <c r="AB1200" s="2304">
        <f t="shared" si="404"/>
        <v>256056532</v>
      </c>
      <c r="AC1200" s="2386">
        <f t="shared" si="405"/>
        <v>45.833333333333329</v>
      </c>
      <c r="AD1200" s="2386">
        <f t="shared" si="406"/>
        <v>35.362333067253701</v>
      </c>
      <c r="AE1200" s="3160"/>
      <c r="AF1200" s="2320"/>
      <c r="AG1200" s="3232"/>
      <c r="AH1200" s="2318"/>
      <c r="AI1200" s="2318"/>
      <c r="AJ1200" s="2318"/>
      <c r="AK1200" s="2318"/>
      <c r="AL1200" s="2318"/>
      <c r="AM1200" s="2318"/>
      <c r="AN1200" s="2320"/>
      <c r="AO1200" s="2320"/>
      <c r="AP1200" s="2320"/>
      <c r="AQ1200" s="2320"/>
      <c r="AR1200" s="2320"/>
      <c r="AS1200" s="2320"/>
      <c r="AT1200" s="2320"/>
      <c r="AU1200" s="2320"/>
      <c r="AV1200" s="2320"/>
      <c r="AW1200" s="2320"/>
      <c r="AX1200" s="2320"/>
      <c r="AY1200" s="2320"/>
      <c r="AZ1200" s="2320"/>
      <c r="BA1200" s="2320"/>
      <c r="BB1200" s="2320"/>
      <c r="BC1200" s="2320"/>
      <c r="BD1200" s="2320"/>
      <c r="BE1200" s="2320"/>
      <c r="BF1200" s="2320"/>
      <c r="BG1200" s="2320"/>
      <c r="BH1200" s="2320"/>
      <c r="BI1200" s="2320"/>
      <c r="BJ1200" s="2320"/>
      <c r="BK1200" s="2320"/>
      <c r="BL1200" s="2320"/>
      <c r="BM1200" s="2320"/>
      <c r="BN1200" s="2320"/>
      <c r="BO1200" s="2320"/>
      <c r="BP1200" s="2320"/>
      <c r="BQ1200" s="2320"/>
      <c r="BR1200" s="2320"/>
      <c r="BS1200" s="2320"/>
      <c r="BT1200" s="2320"/>
      <c r="BU1200" s="2320"/>
      <c r="BV1200" s="2320"/>
      <c r="BW1200" s="2320"/>
      <c r="BX1200" s="2320"/>
    </row>
    <row r="1201" spans="1:76" s="2321" customFormat="1" ht="47.25" customHeight="1">
      <c r="A1201" s="64"/>
      <c r="B1201" s="2632"/>
      <c r="C1201" s="3794"/>
      <c r="D1201" s="3794"/>
      <c r="E1201" s="3794"/>
      <c r="F1201" s="3794"/>
      <c r="G1201" s="3794"/>
      <c r="H1201" s="3794"/>
      <c r="I1201" s="2631" t="s">
        <v>882</v>
      </c>
      <c r="J1201" s="2632" t="s">
        <v>1413</v>
      </c>
      <c r="K1201" s="2387">
        <v>72</v>
      </c>
      <c r="L1201" s="2389">
        <v>291174000</v>
      </c>
      <c r="M1201" s="2387">
        <v>24</v>
      </c>
      <c r="N1201" s="2387">
        <v>70027000</v>
      </c>
      <c r="O1201" s="2387">
        <v>12</v>
      </c>
      <c r="P1201" s="2389">
        <v>34233160</v>
      </c>
      <c r="Q1201" s="2389">
        <v>3</v>
      </c>
      <c r="R1201" s="1400">
        <v>6315000</v>
      </c>
      <c r="S1201" s="3263">
        <v>3</v>
      </c>
      <c r="T1201" s="3087">
        <v>194248000</v>
      </c>
      <c r="U1201" s="3073">
        <v>3</v>
      </c>
      <c r="V1201" s="2304">
        <v>3113000</v>
      </c>
      <c r="W1201" s="2276"/>
      <c r="X1201" s="2276"/>
      <c r="Y1201" s="2389">
        <f t="shared" si="401"/>
        <v>9</v>
      </c>
      <c r="Z1201" s="2304">
        <f t="shared" si="402"/>
        <v>203676000</v>
      </c>
      <c r="AA1201" s="2389">
        <f t="shared" si="403"/>
        <v>33</v>
      </c>
      <c r="AB1201" s="2304">
        <f t="shared" si="404"/>
        <v>273703000</v>
      </c>
      <c r="AC1201" s="2386">
        <f t="shared" si="405"/>
        <v>45.833333333333329</v>
      </c>
      <c r="AD1201" s="2386">
        <f t="shared" si="406"/>
        <v>93.999807675135827</v>
      </c>
      <c r="AE1201" s="3160"/>
      <c r="AF1201" s="2320"/>
      <c r="AG1201" s="3232"/>
      <c r="AH1201" s="2318"/>
      <c r="AI1201" s="2318"/>
      <c r="AJ1201" s="2318"/>
      <c r="AK1201" s="2318"/>
      <c r="AL1201" s="2318"/>
      <c r="AM1201" s="2318"/>
      <c r="AN1201" s="2320"/>
      <c r="AO1201" s="2320"/>
      <c r="AP1201" s="2320"/>
      <c r="AQ1201" s="2320"/>
      <c r="AR1201" s="2320"/>
      <c r="AS1201" s="2320"/>
      <c r="AT1201" s="2320"/>
      <c r="AU1201" s="2320"/>
      <c r="AV1201" s="2320"/>
      <c r="AW1201" s="2320"/>
      <c r="AX1201" s="2320"/>
      <c r="AY1201" s="2320"/>
      <c r="AZ1201" s="2320"/>
      <c r="BA1201" s="2320"/>
      <c r="BB1201" s="2320"/>
      <c r="BC1201" s="2320"/>
      <c r="BD1201" s="2320"/>
      <c r="BE1201" s="2320"/>
      <c r="BF1201" s="2320"/>
      <c r="BG1201" s="2320"/>
      <c r="BH1201" s="2320"/>
      <c r="BI1201" s="2320"/>
      <c r="BJ1201" s="2320"/>
      <c r="BK1201" s="2320"/>
      <c r="BL1201" s="2320"/>
      <c r="BM1201" s="2320"/>
      <c r="BN1201" s="2320"/>
      <c r="BO1201" s="2320"/>
      <c r="BP1201" s="2320"/>
      <c r="BQ1201" s="2320"/>
      <c r="BR1201" s="2320"/>
      <c r="BS1201" s="2320"/>
      <c r="BT1201" s="2320"/>
      <c r="BU1201" s="2320"/>
      <c r="BV1201" s="2320"/>
      <c r="BW1201" s="2320"/>
      <c r="BX1201" s="2320"/>
    </row>
    <row r="1202" spans="1:76" s="2321" customFormat="1" ht="57.75" customHeight="1">
      <c r="A1202" s="64"/>
      <c r="B1202" s="2632"/>
      <c r="C1202" s="3794"/>
      <c r="D1202" s="3794"/>
      <c r="E1202" s="3794"/>
      <c r="F1202" s="3794"/>
      <c r="G1202" s="3794"/>
      <c r="H1202" s="3794"/>
      <c r="I1202" s="2631" t="s">
        <v>884</v>
      </c>
      <c r="J1202" s="2632" t="s">
        <v>1414</v>
      </c>
      <c r="K1202" s="2387">
        <v>72</v>
      </c>
      <c r="L1202" s="2389">
        <v>58613000</v>
      </c>
      <c r="M1202" s="2387">
        <v>24</v>
      </c>
      <c r="N1202" s="2387">
        <v>12146000</v>
      </c>
      <c r="O1202" s="2387">
        <v>12</v>
      </c>
      <c r="P1202" s="2389">
        <v>7607500</v>
      </c>
      <c r="Q1202" s="2389">
        <v>0</v>
      </c>
      <c r="R1202" s="1400">
        <v>0</v>
      </c>
      <c r="S1202" s="3073">
        <v>3</v>
      </c>
      <c r="T1202" s="3087">
        <v>2820000</v>
      </c>
      <c r="U1202" s="3073">
        <v>3</v>
      </c>
      <c r="V1202" s="2304">
        <v>0</v>
      </c>
      <c r="W1202" s="2276"/>
      <c r="X1202" s="2276"/>
      <c r="Y1202" s="2389">
        <f t="shared" si="401"/>
        <v>6</v>
      </c>
      <c r="Z1202" s="2304">
        <f t="shared" si="402"/>
        <v>2820000</v>
      </c>
      <c r="AA1202" s="2389">
        <f t="shared" si="403"/>
        <v>30</v>
      </c>
      <c r="AB1202" s="2304">
        <f t="shared" si="404"/>
        <v>14966000</v>
      </c>
      <c r="AC1202" s="2386">
        <f t="shared" si="405"/>
        <v>41.666666666666671</v>
      </c>
      <c r="AD1202" s="2386">
        <f t="shared" si="406"/>
        <v>25.533584699640009</v>
      </c>
      <c r="AE1202" s="3160"/>
      <c r="AF1202" s="2320"/>
      <c r="AG1202" s="3232"/>
      <c r="AH1202" s="2318"/>
      <c r="AI1202" s="2318"/>
      <c r="AJ1202" s="2318"/>
      <c r="AK1202" s="2318"/>
      <c r="AL1202" s="2318"/>
      <c r="AM1202" s="2318"/>
      <c r="AN1202" s="2320"/>
      <c r="AO1202" s="2320"/>
      <c r="AP1202" s="2320"/>
      <c r="AQ1202" s="2320"/>
      <c r="AR1202" s="2320"/>
      <c r="AS1202" s="2320"/>
      <c r="AT1202" s="2320"/>
      <c r="AU1202" s="2320"/>
      <c r="AV1202" s="2320"/>
      <c r="AW1202" s="2320"/>
      <c r="AX1202" s="2320"/>
      <c r="AY1202" s="2320"/>
      <c r="AZ1202" s="2320"/>
      <c r="BA1202" s="2320"/>
      <c r="BB1202" s="2320"/>
      <c r="BC1202" s="2320"/>
      <c r="BD1202" s="2320"/>
      <c r="BE1202" s="2320"/>
      <c r="BF1202" s="2320"/>
      <c r="BG1202" s="2320"/>
      <c r="BH1202" s="2320"/>
      <c r="BI1202" s="2320"/>
      <c r="BJ1202" s="2320"/>
      <c r="BK1202" s="2320"/>
      <c r="BL1202" s="2320"/>
      <c r="BM1202" s="2320"/>
      <c r="BN1202" s="2320"/>
      <c r="BO1202" s="2320"/>
      <c r="BP1202" s="2320"/>
      <c r="BQ1202" s="2320"/>
      <c r="BR1202" s="2320"/>
      <c r="BS1202" s="2320"/>
      <c r="BT1202" s="2320"/>
      <c r="BU1202" s="2320"/>
      <c r="BV1202" s="2320"/>
      <c r="BW1202" s="2320"/>
      <c r="BX1202" s="2320"/>
    </row>
    <row r="1203" spans="1:76" s="2321" customFormat="1" ht="57.75" customHeight="1">
      <c r="A1203" s="64"/>
      <c r="B1203" s="2632"/>
      <c r="C1203" s="3794"/>
      <c r="D1203" s="3794"/>
      <c r="E1203" s="3794"/>
      <c r="F1203" s="3794"/>
      <c r="G1203" s="3794"/>
      <c r="H1203" s="3794"/>
      <c r="I1203" s="2631" t="s">
        <v>886</v>
      </c>
      <c r="J1203" s="2632" t="s">
        <v>1415</v>
      </c>
      <c r="K1203" s="2387">
        <v>72</v>
      </c>
      <c r="L1203" s="2389">
        <v>83448000</v>
      </c>
      <c r="M1203" s="2387">
        <v>24</v>
      </c>
      <c r="N1203" s="2387">
        <v>25790000</v>
      </c>
      <c r="O1203" s="2387">
        <v>12</v>
      </c>
      <c r="P1203" s="2389">
        <v>16400000</v>
      </c>
      <c r="Q1203" s="2389">
        <v>3</v>
      </c>
      <c r="R1203" s="1400">
        <v>1095000</v>
      </c>
      <c r="S1203" s="3073">
        <v>3</v>
      </c>
      <c r="T1203" s="3087">
        <v>1770000</v>
      </c>
      <c r="U1203" s="3073">
        <v>3</v>
      </c>
      <c r="V1203" s="2304">
        <v>1080000</v>
      </c>
      <c r="W1203" s="2276"/>
      <c r="X1203" s="2276"/>
      <c r="Y1203" s="2389">
        <f t="shared" si="401"/>
        <v>9</v>
      </c>
      <c r="Z1203" s="2304">
        <f t="shared" si="402"/>
        <v>3945000</v>
      </c>
      <c r="AA1203" s="2389">
        <f t="shared" si="403"/>
        <v>33</v>
      </c>
      <c r="AB1203" s="2304">
        <f t="shared" si="404"/>
        <v>29735000</v>
      </c>
      <c r="AC1203" s="2386">
        <f t="shared" si="405"/>
        <v>45.833333333333329</v>
      </c>
      <c r="AD1203" s="2386">
        <f t="shared" si="406"/>
        <v>35.632969034608379</v>
      </c>
      <c r="AE1203" s="3160"/>
      <c r="AF1203" s="2320"/>
      <c r="AG1203" s="3232"/>
      <c r="AH1203" s="2318"/>
      <c r="AI1203" s="2318"/>
      <c r="AJ1203" s="2318"/>
      <c r="AK1203" s="2318"/>
      <c r="AL1203" s="2318"/>
      <c r="AM1203" s="2318"/>
      <c r="AN1203" s="2320"/>
      <c r="AO1203" s="2320"/>
      <c r="AP1203" s="2320"/>
      <c r="AQ1203" s="2320"/>
      <c r="AR1203" s="2320"/>
      <c r="AS1203" s="2320"/>
      <c r="AT1203" s="2320"/>
      <c r="AU1203" s="2320"/>
      <c r="AV1203" s="2320"/>
      <c r="AW1203" s="2320"/>
      <c r="AX1203" s="2320"/>
      <c r="AY1203" s="2320"/>
      <c r="AZ1203" s="2320"/>
      <c r="BA1203" s="2320"/>
      <c r="BB1203" s="2320"/>
      <c r="BC1203" s="2320"/>
      <c r="BD1203" s="2320"/>
      <c r="BE1203" s="2320"/>
      <c r="BF1203" s="2320"/>
      <c r="BG1203" s="2320"/>
      <c r="BH1203" s="2320"/>
      <c r="BI1203" s="2320"/>
      <c r="BJ1203" s="2320"/>
      <c r="BK1203" s="2320"/>
      <c r="BL1203" s="2320"/>
      <c r="BM1203" s="2320"/>
      <c r="BN1203" s="2320"/>
      <c r="BO1203" s="2320"/>
      <c r="BP1203" s="2320"/>
      <c r="BQ1203" s="2320"/>
      <c r="BR1203" s="2320"/>
      <c r="BS1203" s="2320"/>
      <c r="BT1203" s="2320"/>
      <c r="BU1203" s="2320"/>
      <c r="BV1203" s="2320"/>
      <c r="BW1203" s="2320"/>
      <c r="BX1203" s="2320"/>
    </row>
    <row r="1204" spans="1:76" s="2321" customFormat="1" ht="57.75" customHeight="1">
      <c r="A1204" s="64"/>
      <c r="B1204" s="2632"/>
      <c r="C1204" s="3794"/>
      <c r="D1204" s="3794"/>
      <c r="E1204" s="3794"/>
      <c r="F1204" s="3794"/>
      <c r="G1204" s="3794"/>
      <c r="H1204" s="3794"/>
      <c r="I1204" s="2631" t="s">
        <v>157</v>
      </c>
      <c r="J1204" s="2632" t="s">
        <v>1416</v>
      </c>
      <c r="K1204" s="2387">
        <v>72</v>
      </c>
      <c r="L1204" s="2389">
        <v>289824000</v>
      </c>
      <c r="M1204" s="2387">
        <v>24</v>
      </c>
      <c r="N1204" s="2387">
        <v>56037000</v>
      </c>
      <c r="O1204" s="2387">
        <v>12</v>
      </c>
      <c r="P1204" s="2389">
        <v>45100000</v>
      </c>
      <c r="Q1204" s="2389">
        <v>3</v>
      </c>
      <c r="R1204" s="1400">
        <v>6772000</v>
      </c>
      <c r="S1204" s="3073">
        <v>3</v>
      </c>
      <c r="T1204" s="3087">
        <v>9534000</v>
      </c>
      <c r="U1204" s="3073">
        <v>3</v>
      </c>
      <c r="V1204" s="2304">
        <v>7810000</v>
      </c>
      <c r="W1204" s="2276"/>
      <c r="X1204" s="2276"/>
      <c r="Y1204" s="2389">
        <f t="shared" si="401"/>
        <v>9</v>
      </c>
      <c r="Z1204" s="2304">
        <f t="shared" si="402"/>
        <v>24116000</v>
      </c>
      <c r="AA1204" s="2389">
        <f t="shared" si="403"/>
        <v>33</v>
      </c>
      <c r="AB1204" s="2304">
        <f t="shared" si="404"/>
        <v>80153000</v>
      </c>
      <c r="AC1204" s="2386">
        <f t="shared" si="405"/>
        <v>45.833333333333329</v>
      </c>
      <c r="AD1204" s="2386">
        <f t="shared" si="406"/>
        <v>27.655749696367447</v>
      </c>
      <c r="AE1204" s="3160"/>
      <c r="AF1204" s="2320"/>
      <c r="AG1204" s="3232"/>
      <c r="AH1204" s="2318"/>
      <c r="AI1204" s="2318"/>
      <c r="AJ1204" s="2318"/>
      <c r="AK1204" s="2318"/>
      <c r="AL1204" s="2318"/>
      <c r="AM1204" s="2318"/>
      <c r="AN1204" s="2320"/>
      <c r="AO1204" s="2320"/>
      <c r="AP1204" s="2320"/>
      <c r="AQ1204" s="2320"/>
      <c r="AR1204" s="2320"/>
      <c r="AS1204" s="2320"/>
      <c r="AT1204" s="2320"/>
      <c r="AU1204" s="2320"/>
      <c r="AV1204" s="2320"/>
      <c r="AW1204" s="2320"/>
      <c r="AX1204" s="2320"/>
      <c r="AY1204" s="2320"/>
      <c r="AZ1204" s="2320"/>
      <c r="BA1204" s="2320"/>
      <c r="BB1204" s="2320"/>
      <c r="BC1204" s="2320"/>
      <c r="BD1204" s="2320"/>
      <c r="BE1204" s="2320"/>
      <c r="BF1204" s="2320"/>
      <c r="BG1204" s="2320"/>
      <c r="BH1204" s="2320"/>
      <c r="BI1204" s="2320"/>
      <c r="BJ1204" s="2320"/>
      <c r="BK1204" s="2320"/>
      <c r="BL1204" s="2320"/>
      <c r="BM1204" s="2320"/>
      <c r="BN1204" s="2320"/>
      <c r="BO1204" s="2320"/>
      <c r="BP1204" s="2320"/>
      <c r="BQ1204" s="2320"/>
      <c r="BR1204" s="2320"/>
      <c r="BS1204" s="2320"/>
      <c r="BT1204" s="2320"/>
      <c r="BU1204" s="2320"/>
      <c r="BV1204" s="2320"/>
      <c r="BW1204" s="2320"/>
      <c r="BX1204" s="2320"/>
    </row>
    <row r="1205" spans="1:76" s="2321" customFormat="1" ht="72" customHeight="1">
      <c r="A1205" s="64"/>
      <c r="B1205" s="2632"/>
      <c r="C1205" s="3794"/>
      <c r="D1205" s="3794"/>
      <c r="E1205" s="3794"/>
      <c r="F1205" s="3794"/>
      <c r="G1205" s="3794"/>
      <c r="H1205" s="3794"/>
      <c r="I1205" s="2631" t="s">
        <v>158</v>
      </c>
      <c r="J1205" s="2632" t="s">
        <v>1417</v>
      </c>
      <c r="K1205" s="2387">
        <v>72</v>
      </c>
      <c r="L1205" s="2389">
        <v>1266580000</v>
      </c>
      <c r="M1205" s="2387">
        <v>24</v>
      </c>
      <c r="N1205" s="2387">
        <v>295007000</v>
      </c>
      <c r="O1205" s="2387">
        <v>12</v>
      </c>
      <c r="P1205" s="2389">
        <v>143000000</v>
      </c>
      <c r="Q1205" s="2389">
        <v>3</v>
      </c>
      <c r="R1205" s="1400">
        <v>40932000</v>
      </c>
      <c r="S1205" s="3073">
        <v>3</v>
      </c>
      <c r="T1205" s="3087">
        <v>28680000</v>
      </c>
      <c r="U1205" s="3073">
        <v>3</v>
      </c>
      <c r="V1205" s="2304">
        <v>34322246</v>
      </c>
      <c r="W1205" s="2276"/>
      <c r="X1205" s="2276"/>
      <c r="Y1205" s="2389">
        <f t="shared" si="401"/>
        <v>9</v>
      </c>
      <c r="Z1205" s="2304">
        <f t="shared" si="402"/>
        <v>103934246</v>
      </c>
      <c r="AA1205" s="2389">
        <f t="shared" si="403"/>
        <v>33</v>
      </c>
      <c r="AB1205" s="2304">
        <f t="shared" si="404"/>
        <v>398941246</v>
      </c>
      <c r="AC1205" s="2386">
        <f t="shared" si="405"/>
        <v>45.833333333333329</v>
      </c>
      <c r="AD1205" s="2386">
        <f t="shared" si="406"/>
        <v>31.49751661955818</v>
      </c>
      <c r="AE1205" s="3160"/>
      <c r="AF1205" s="2320"/>
      <c r="AG1205" s="3232"/>
      <c r="AH1205" s="2318"/>
      <c r="AI1205" s="2318"/>
      <c r="AJ1205" s="2318"/>
      <c r="AK1205" s="2318"/>
      <c r="AL1205" s="2318"/>
      <c r="AM1205" s="2318"/>
      <c r="AN1205" s="2320"/>
      <c r="AO1205" s="2320"/>
      <c r="AP1205" s="2320"/>
      <c r="AQ1205" s="2320"/>
      <c r="AR1205" s="2320"/>
      <c r="AS1205" s="2320"/>
      <c r="AT1205" s="2320"/>
      <c r="AU1205" s="2320"/>
      <c r="AV1205" s="2320"/>
      <c r="AW1205" s="2320"/>
      <c r="AX1205" s="2320"/>
      <c r="AY1205" s="2320"/>
      <c r="AZ1205" s="2320"/>
      <c r="BA1205" s="2320"/>
      <c r="BB1205" s="2320"/>
      <c r="BC1205" s="2320"/>
      <c r="BD1205" s="2320"/>
      <c r="BE1205" s="2320"/>
      <c r="BF1205" s="2320"/>
      <c r="BG1205" s="2320"/>
      <c r="BH1205" s="2320"/>
      <c r="BI1205" s="2320"/>
      <c r="BJ1205" s="2320"/>
      <c r="BK1205" s="2320"/>
      <c r="BL1205" s="2320"/>
      <c r="BM1205" s="2320"/>
      <c r="BN1205" s="2320"/>
      <c r="BO1205" s="2320"/>
      <c r="BP1205" s="2320"/>
      <c r="BQ1205" s="2320"/>
      <c r="BR1205" s="2320"/>
      <c r="BS1205" s="2320"/>
      <c r="BT1205" s="2320"/>
      <c r="BU1205" s="2320"/>
      <c r="BV1205" s="2320"/>
      <c r="BW1205" s="2320"/>
      <c r="BX1205" s="2320"/>
    </row>
    <row r="1206" spans="1:76" s="2321" customFormat="1" ht="75.75" customHeight="1">
      <c r="A1206" s="64"/>
      <c r="B1206" s="2632"/>
      <c r="C1206" s="3794"/>
      <c r="D1206" s="3794"/>
      <c r="E1206" s="3794"/>
      <c r="F1206" s="3794"/>
      <c r="G1206" s="3794"/>
      <c r="H1206" s="3794"/>
      <c r="I1206" s="2631" t="s">
        <v>159</v>
      </c>
      <c r="J1206" s="2632" t="s">
        <v>1418</v>
      </c>
      <c r="K1206" s="2387">
        <v>72</v>
      </c>
      <c r="L1206" s="2389">
        <v>779009000</v>
      </c>
      <c r="M1206" s="2387">
        <v>24</v>
      </c>
      <c r="N1206" s="2387">
        <v>164425000</v>
      </c>
      <c r="O1206" s="2387">
        <v>12</v>
      </c>
      <c r="P1206" s="2389">
        <v>76125000</v>
      </c>
      <c r="Q1206" s="2389">
        <v>3</v>
      </c>
      <c r="R1206" s="1400">
        <v>17680000</v>
      </c>
      <c r="S1206" s="3073">
        <v>3</v>
      </c>
      <c r="T1206" s="3087">
        <v>35625000</v>
      </c>
      <c r="U1206" s="3073">
        <v>3</v>
      </c>
      <c r="V1206" s="2304">
        <v>4795000</v>
      </c>
      <c r="W1206" s="2276"/>
      <c r="X1206" s="2276"/>
      <c r="Y1206" s="2389">
        <f t="shared" si="401"/>
        <v>9</v>
      </c>
      <c r="Z1206" s="2304">
        <f t="shared" si="402"/>
        <v>58100000</v>
      </c>
      <c r="AA1206" s="2389">
        <f t="shared" si="403"/>
        <v>33</v>
      </c>
      <c r="AB1206" s="2304">
        <f t="shared" si="404"/>
        <v>222525000</v>
      </c>
      <c r="AC1206" s="2386">
        <f t="shared" si="405"/>
        <v>45.833333333333329</v>
      </c>
      <c r="AD1206" s="2386">
        <f t="shared" si="406"/>
        <v>28.565138528566418</v>
      </c>
      <c r="AE1206" s="3160"/>
      <c r="AF1206" s="2320"/>
      <c r="AG1206" s="3232"/>
      <c r="AH1206" s="2318"/>
      <c r="AI1206" s="2318"/>
      <c r="AJ1206" s="2318"/>
      <c r="AK1206" s="2318"/>
      <c r="AL1206" s="2318"/>
      <c r="AM1206" s="2318"/>
      <c r="AN1206" s="2320"/>
      <c r="AO1206" s="2320"/>
      <c r="AP1206" s="2320"/>
      <c r="AQ1206" s="2320"/>
      <c r="AR1206" s="2320"/>
      <c r="AS1206" s="2320"/>
      <c r="AT1206" s="2320"/>
      <c r="AU1206" s="2320"/>
      <c r="AV1206" s="2320"/>
      <c r="AW1206" s="2320"/>
      <c r="AX1206" s="2320"/>
      <c r="AY1206" s="2320"/>
      <c r="AZ1206" s="2320"/>
      <c r="BA1206" s="2320"/>
      <c r="BB1206" s="2320"/>
      <c r="BC1206" s="2320"/>
      <c r="BD1206" s="2320"/>
      <c r="BE1206" s="2320"/>
      <c r="BF1206" s="2320"/>
      <c r="BG1206" s="2320"/>
      <c r="BH1206" s="2320"/>
      <c r="BI1206" s="2320"/>
      <c r="BJ1206" s="2320"/>
      <c r="BK1206" s="2320"/>
      <c r="BL1206" s="2320"/>
      <c r="BM1206" s="2320"/>
      <c r="BN1206" s="2320"/>
      <c r="BO1206" s="2320"/>
      <c r="BP1206" s="2320"/>
      <c r="BQ1206" s="2320"/>
      <c r="BR1206" s="2320"/>
      <c r="BS1206" s="2320"/>
      <c r="BT1206" s="2320"/>
      <c r="BU1206" s="2320"/>
      <c r="BV1206" s="2320"/>
      <c r="BW1206" s="2320"/>
      <c r="BX1206" s="2320"/>
    </row>
    <row r="1207" spans="1:76" s="2321" customFormat="1" ht="72" customHeight="1">
      <c r="A1207" s="2570">
        <v>2</v>
      </c>
      <c r="B1207" s="2335"/>
      <c r="C1207" s="3795"/>
      <c r="D1207" s="3795"/>
      <c r="E1207" s="3795"/>
      <c r="F1207" s="3795"/>
      <c r="G1207" s="3795"/>
      <c r="H1207" s="3795"/>
      <c r="I1207" s="2359" t="s">
        <v>1419</v>
      </c>
      <c r="J1207" s="2335" t="s">
        <v>1420</v>
      </c>
      <c r="K1207" s="2523">
        <v>80</v>
      </c>
      <c r="L1207" s="3161">
        <f>SUM(L1208:L1212)</f>
        <v>2891920000</v>
      </c>
      <c r="M1207" s="2523">
        <f>2/6*80</f>
        <v>26.666666666666664</v>
      </c>
      <c r="N1207" s="3161">
        <f>SUM(N1208:N1212)</f>
        <v>693320000</v>
      </c>
      <c r="O1207" s="2523">
        <f>3/6*80</f>
        <v>40</v>
      </c>
      <c r="P1207" s="3161">
        <f>SUM(P1208:P1212)</f>
        <v>544213980</v>
      </c>
      <c r="Q1207" s="3161">
        <v>0</v>
      </c>
      <c r="R1207" s="2339">
        <f>SUM(R1208:R1212)</f>
        <v>22029000</v>
      </c>
      <c r="S1207" s="2339">
        <v>0</v>
      </c>
      <c r="T1207" s="2677">
        <f>SUM(T1209)</f>
        <v>111724000</v>
      </c>
      <c r="U1207" s="2339"/>
      <c r="V1207" s="2677">
        <f>SUM(V1209)</f>
        <v>0</v>
      </c>
      <c r="W1207" s="2339"/>
      <c r="X1207" s="2339"/>
      <c r="Y1207" s="3161">
        <f t="shared" si="401"/>
        <v>0</v>
      </c>
      <c r="Z1207" s="2342">
        <f t="shared" si="402"/>
        <v>133753000</v>
      </c>
      <c r="AA1207" s="3161">
        <f t="shared" ref="AA1207:AA1212" si="407">M1207+Y1207</f>
        <v>26.666666666666664</v>
      </c>
      <c r="AB1207" s="2342">
        <f t="shared" ref="AB1207:AB1212" si="408">N1207+Z1207</f>
        <v>827073000</v>
      </c>
      <c r="AC1207" s="3147">
        <f t="shared" ref="AC1207:AC1212" si="409">AA1207/K1207*100</f>
        <v>33.333333333333329</v>
      </c>
      <c r="AD1207" s="3147">
        <f t="shared" ref="AD1207:AD1212" si="410">AB1207/L1207*100</f>
        <v>28.599442584857123</v>
      </c>
      <c r="AE1207" s="3138" t="s">
        <v>3412</v>
      </c>
      <c r="AF1207" s="2320"/>
      <c r="AG1207" s="3232"/>
      <c r="AH1207" s="2318"/>
      <c r="AI1207" s="2318"/>
      <c r="AJ1207" s="2318"/>
      <c r="AK1207" s="2318"/>
      <c r="AL1207" s="2318"/>
      <c r="AM1207" s="2318"/>
      <c r="AN1207" s="2320"/>
      <c r="AO1207" s="2320"/>
      <c r="AP1207" s="2320"/>
      <c r="AQ1207" s="2320"/>
      <c r="AR1207" s="2320"/>
      <c r="AS1207" s="2320"/>
      <c r="AT1207" s="2320"/>
      <c r="AU1207" s="2320"/>
      <c r="AV1207" s="2320"/>
      <c r="AW1207" s="2320"/>
      <c r="AX1207" s="2320"/>
      <c r="AY1207" s="2320"/>
      <c r="AZ1207" s="2320"/>
      <c r="BA1207" s="2320"/>
      <c r="BB1207" s="2320"/>
      <c r="BC1207" s="2320"/>
      <c r="BD1207" s="2320"/>
      <c r="BE1207" s="2320"/>
      <c r="BF1207" s="2320"/>
      <c r="BG1207" s="2320"/>
      <c r="BH1207" s="2320"/>
      <c r="BI1207" s="2320"/>
      <c r="BJ1207" s="2320"/>
      <c r="BK1207" s="2320"/>
      <c r="BL1207" s="2320"/>
      <c r="BM1207" s="2320"/>
      <c r="BN1207" s="2320"/>
      <c r="BO1207" s="2320"/>
      <c r="BP1207" s="2320"/>
      <c r="BQ1207" s="2320"/>
      <c r="BR1207" s="2320"/>
      <c r="BS1207" s="2320"/>
      <c r="BT1207" s="2320"/>
      <c r="BU1207" s="2320"/>
      <c r="BV1207" s="2320"/>
      <c r="BW1207" s="2320"/>
      <c r="BX1207" s="2320"/>
    </row>
    <row r="1208" spans="1:76" s="2321" customFormat="1" ht="45" customHeight="1">
      <c r="A1208" s="64"/>
      <c r="B1208" s="2632"/>
      <c r="C1208" s="3794"/>
      <c r="D1208" s="3794"/>
      <c r="E1208" s="3794"/>
      <c r="F1208" s="3794"/>
      <c r="G1208" s="3794"/>
      <c r="H1208" s="3794"/>
      <c r="I1208" s="2631" t="s">
        <v>1421</v>
      </c>
      <c r="J1208" s="2632" t="s">
        <v>1422</v>
      </c>
      <c r="K1208" s="2387">
        <v>36</v>
      </c>
      <c r="L1208" s="2389">
        <v>813000000</v>
      </c>
      <c r="M1208" s="2387">
        <v>3</v>
      </c>
      <c r="N1208" s="2389">
        <v>54600000</v>
      </c>
      <c r="O1208" s="2387">
        <v>16</v>
      </c>
      <c r="P1208" s="2389">
        <v>320750000</v>
      </c>
      <c r="Q1208" s="2389">
        <v>0</v>
      </c>
      <c r="R1208" s="1400">
        <v>0</v>
      </c>
      <c r="S1208" s="2276">
        <f>Q1208</f>
        <v>0</v>
      </c>
      <c r="T1208" s="1400">
        <v>0</v>
      </c>
      <c r="U1208" s="2276">
        <v>16</v>
      </c>
      <c r="V1208" s="2304">
        <v>276270000</v>
      </c>
      <c r="W1208" s="2276">
        <f>Q1208+S1208+U1208</f>
        <v>16</v>
      </c>
      <c r="X1208" s="2276">
        <v>0</v>
      </c>
      <c r="Y1208" s="2389">
        <f t="shared" si="401"/>
        <v>32</v>
      </c>
      <c r="Z1208" s="2304">
        <f t="shared" si="402"/>
        <v>276270000</v>
      </c>
      <c r="AA1208" s="2389">
        <f t="shared" si="407"/>
        <v>35</v>
      </c>
      <c r="AB1208" s="2304">
        <f t="shared" si="408"/>
        <v>330870000</v>
      </c>
      <c r="AC1208" s="2386">
        <f t="shared" si="409"/>
        <v>97.222222222222214</v>
      </c>
      <c r="AD1208" s="2386">
        <f t="shared" si="410"/>
        <v>40.697416974169741</v>
      </c>
      <c r="AE1208" s="3160"/>
      <c r="AF1208" s="2320"/>
      <c r="AG1208" s="3232"/>
      <c r="AH1208" s="2318"/>
      <c r="AI1208" s="2318"/>
      <c r="AJ1208" s="2318"/>
      <c r="AK1208" s="2318"/>
      <c r="AL1208" s="2318"/>
      <c r="AM1208" s="2318"/>
      <c r="AN1208" s="2320"/>
      <c r="AO1208" s="2320"/>
      <c r="AP1208" s="2320"/>
      <c r="AQ1208" s="2320"/>
      <c r="AR1208" s="2320"/>
      <c r="AS1208" s="2320"/>
      <c r="AT1208" s="2320"/>
      <c r="AU1208" s="2320"/>
      <c r="AV1208" s="2320"/>
      <c r="AW1208" s="2320"/>
      <c r="AX1208" s="2320"/>
      <c r="AY1208" s="2320"/>
      <c r="AZ1208" s="2320"/>
      <c r="BA1208" s="2320"/>
      <c r="BB1208" s="2320"/>
      <c r="BC1208" s="2320"/>
      <c r="BD1208" s="2320"/>
      <c r="BE1208" s="2320"/>
      <c r="BF1208" s="2320"/>
      <c r="BG1208" s="2320"/>
      <c r="BH1208" s="2320"/>
      <c r="BI1208" s="2320"/>
      <c r="BJ1208" s="2320"/>
      <c r="BK1208" s="2320"/>
      <c r="BL1208" s="2320"/>
      <c r="BM1208" s="2320"/>
      <c r="BN1208" s="2320"/>
      <c r="BO1208" s="2320"/>
      <c r="BP1208" s="2320"/>
      <c r="BQ1208" s="2320"/>
      <c r="BR1208" s="2320"/>
      <c r="BS1208" s="2320"/>
      <c r="BT1208" s="2320"/>
      <c r="BU1208" s="2320"/>
      <c r="BV1208" s="2320"/>
      <c r="BW1208" s="2320"/>
      <c r="BX1208" s="2320"/>
    </row>
    <row r="1209" spans="1:76" s="2321" customFormat="1" ht="45" customHeight="1">
      <c r="A1209" s="64"/>
      <c r="B1209" s="2632"/>
      <c r="C1209" s="3794"/>
      <c r="D1209" s="3794"/>
      <c r="E1209" s="3794"/>
      <c r="F1209" s="3794"/>
      <c r="G1209" s="3794"/>
      <c r="H1209" s="3794"/>
      <c r="I1209" s="2631" t="s">
        <v>938</v>
      </c>
      <c r="J1209" s="2632" t="s">
        <v>1423</v>
      </c>
      <c r="K1209" s="2387">
        <v>6</v>
      </c>
      <c r="L1209" s="2389">
        <v>302338000</v>
      </c>
      <c r="M1209" s="2387">
        <v>4</v>
      </c>
      <c r="N1209" s="2389">
        <v>62250000</v>
      </c>
      <c r="O1209" s="2387">
        <v>2</v>
      </c>
      <c r="P1209" s="2389">
        <v>8250000</v>
      </c>
      <c r="Q1209" s="2389">
        <v>0</v>
      </c>
      <c r="R1209" s="1400">
        <v>0</v>
      </c>
      <c r="S1209" s="3074">
        <v>2</v>
      </c>
      <c r="T1209" s="3087">
        <v>111724000</v>
      </c>
      <c r="U1209" s="2276">
        <v>0</v>
      </c>
      <c r="V1209" s="2304">
        <v>0</v>
      </c>
      <c r="W1209" s="2276">
        <f>Q1209+S1209+U1209</f>
        <v>2</v>
      </c>
      <c r="X1209" s="2276">
        <v>0</v>
      </c>
      <c r="Y1209" s="2389">
        <f t="shared" si="401"/>
        <v>4</v>
      </c>
      <c r="Z1209" s="2304">
        <f t="shared" si="402"/>
        <v>111724000</v>
      </c>
      <c r="AA1209" s="2389">
        <f t="shared" si="407"/>
        <v>8</v>
      </c>
      <c r="AB1209" s="2304">
        <f t="shared" si="408"/>
        <v>173974000</v>
      </c>
      <c r="AC1209" s="2386">
        <f t="shared" si="409"/>
        <v>133.33333333333331</v>
      </c>
      <c r="AD1209" s="2386">
        <f t="shared" si="410"/>
        <v>57.542882469289339</v>
      </c>
      <c r="AE1209" s="3160"/>
      <c r="AF1209" s="2320"/>
      <c r="AG1209" s="3232"/>
      <c r="AH1209" s="2318"/>
      <c r="AI1209" s="2318"/>
      <c r="AJ1209" s="2318"/>
      <c r="AK1209" s="2318"/>
      <c r="AL1209" s="2318"/>
      <c r="AM1209" s="2318"/>
      <c r="AN1209" s="2320"/>
      <c r="AO1209" s="2320"/>
      <c r="AP1209" s="2320"/>
      <c r="AQ1209" s="2320"/>
      <c r="AR1209" s="2320"/>
      <c r="AS1209" s="2320"/>
      <c r="AT1209" s="2320"/>
      <c r="AU1209" s="2320"/>
      <c r="AV1209" s="2320"/>
      <c r="AW1209" s="2320"/>
      <c r="AX1209" s="2320"/>
      <c r="AY1209" s="2320"/>
      <c r="AZ1209" s="2320"/>
      <c r="BA1209" s="2320"/>
      <c r="BB1209" s="2320"/>
      <c r="BC1209" s="2320"/>
      <c r="BD1209" s="2320"/>
      <c r="BE1209" s="2320"/>
      <c r="BF1209" s="2320"/>
      <c r="BG1209" s="2320"/>
      <c r="BH1209" s="2320"/>
      <c r="BI1209" s="2320"/>
      <c r="BJ1209" s="2320"/>
      <c r="BK1209" s="2320"/>
      <c r="BL1209" s="2320"/>
      <c r="BM1209" s="2320"/>
      <c r="BN1209" s="2320"/>
      <c r="BO1209" s="2320"/>
      <c r="BP1209" s="2320"/>
      <c r="BQ1209" s="2320"/>
      <c r="BR1209" s="2320"/>
      <c r="BS1209" s="2320"/>
      <c r="BT1209" s="2320"/>
      <c r="BU1209" s="2320"/>
      <c r="BV1209" s="2320"/>
      <c r="BW1209" s="2320"/>
      <c r="BX1209" s="2320"/>
    </row>
    <row r="1210" spans="1:76" s="2321" customFormat="1" ht="45" customHeight="1">
      <c r="A1210" s="64"/>
      <c r="B1210" s="2632"/>
      <c r="C1210" s="3794"/>
      <c r="D1210" s="3794"/>
      <c r="E1210" s="3794"/>
      <c r="F1210" s="3794"/>
      <c r="G1210" s="3794"/>
      <c r="H1210" s="3794"/>
      <c r="I1210" s="2631" t="s">
        <v>258</v>
      </c>
      <c r="J1210" s="2632" t="s">
        <v>1424</v>
      </c>
      <c r="K1210" s="2387">
        <v>5</v>
      </c>
      <c r="L1210" s="2389">
        <v>617450000</v>
      </c>
      <c r="M1210" s="2387">
        <v>1</v>
      </c>
      <c r="N1210" s="2389">
        <v>370726000</v>
      </c>
      <c r="O1210" s="2387">
        <v>1</v>
      </c>
      <c r="P1210" s="2389">
        <v>10000000</v>
      </c>
      <c r="Q1210" s="2389">
        <v>0</v>
      </c>
      <c r="R1210" s="1400">
        <v>0</v>
      </c>
      <c r="S1210" s="2276">
        <f>Q1210</f>
        <v>0</v>
      </c>
      <c r="T1210" s="1400">
        <v>0</v>
      </c>
      <c r="U1210" s="2276">
        <f>Q1210+S1210</f>
        <v>0</v>
      </c>
      <c r="V1210" s="2304">
        <v>0</v>
      </c>
      <c r="W1210" s="2276">
        <f>Q1210+S1210+U1210</f>
        <v>0</v>
      </c>
      <c r="X1210" s="2276">
        <v>0</v>
      </c>
      <c r="Y1210" s="2389">
        <f t="shared" si="401"/>
        <v>0</v>
      </c>
      <c r="Z1210" s="2304">
        <f t="shared" si="402"/>
        <v>0</v>
      </c>
      <c r="AA1210" s="2389">
        <f t="shared" si="407"/>
        <v>1</v>
      </c>
      <c r="AB1210" s="2304">
        <f t="shared" si="408"/>
        <v>370726000</v>
      </c>
      <c r="AC1210" s="2386">
        <f t="shared" si="409"/>
        <v>20</v>
      </c>
      <c r="AD1210" s="2386">
        <f t="shared" si="410"/>
        <v>60.041460847032148</v>
      </c>
      <c r="AE1210" s="3160"/>
      <c r="AF1210" s="2320"/>
      <c r="AG1210" s="3232"/>
      <c r="AH1210" s="2318"/>
      <c r="AI1210" s="2318"/>
      <c r="AJ1210" s="2318"/>
      <c r="AK1210" s="2318"/>
      <c r="AL1210" s="2318"/>
      <c r="AM1210" s="2318"/>
      <c r="AN1210" s="2320"/>
      <c r="AO1210" s="2320"/>
      <c r="AP1210" s="2320"/>
      <c r="AQ1210" s="2320"/>
      <c r="AR1210" s="2320"/>
      <c r="AS1210" s="2320"/>
      <c r="AT1210" s="2320"/>
      <c r="AU1210" s="2320"/>
      <c r="AV1210" s="2320"/>
      <c r="AW1210" s="2320"/>
      <c r="AX1210" s="2320"/>
      <c r="AY1210" s="2320"/>
      <c r="AZ1210" s="2320"/>
      <c r="BA1210" s="2320"/>
      <c r="BB1210" s="2320"/>
      <c r="BC1210" s="2320"/>
      <c r="BD1210" s="2320"/>
      <c r="BE1210" s="2320"/>
      <c r="BF1210" s="2320"/>
      <c r="BG1210" s="2320"/>
      <c r="BH1210" s="2320"/>
      <c r="BI1210" s="2320"/>
      <c r="BJ1210" s="2320"/>
      <c r="BK1210" s="2320"/>
      <c r="BL1210" s="2320"/>
      <c r="BM1210" s="2320"/>
      <c r="BN1210" s="2320"/>
      <c r="BO1210" s="2320"/>
      <c r="BP1210" s="2320"/>
      <c r="BQ1210" s="2320"/>
      <c r="BR1210" s="2320"/>
      <c r="BS1210" s="2320"/>
      <c r="BT1210" s="2320"/>
      <c r="BU1210" s="2320"/>
      <c r="BV1210" s="2320"/>
      <c r="BW1210" s="2320"/>
      <c r="BX1210" s="2320"/>
    </row>
    <row r="1211" spans="1:76" s="2321" customFormat="1" ht="60.75" customHeight="1">
      <c r="A1211" s="64"/>
      <c r="B1211" s="2632"/>
      <c r="C1211" s="3794"/>
      <c r="D1211" s="3794"/>
      <c r="E1211" s="3794"/>
      <c r="F1211" s="3794"/>
      <c r="G1211" s="3794"/>
      <c r="H1211" s="3794"/>
      <c r="I1211" s="2631" t="s">
        <v>224</v>
      </c>
      <c r="J1211" s="2632" t="s">
        <v>1425</v>
      </c>
      <c r="K1211" s="2387">
        <v>72</v>
      </c>
      <c r="L1211" s="2389">
        <v>966132000</v>
      </c>
      <c r="M1211" s="2387">
        <v>12</v>
      </c>
      <c r="N1211" s="2389">
        <v>205744000</v>
      </c>
      <c r="O1211" s="2387">
        <v>25</v>
      </c>
      <c r="P1211" s="2389">
        <v>176713980</v>
      </c>
      <c r="Q1211" s="2389">
        <v>3</v>
      </c>
      <c r="R1211" s="1400">
        <v>22029000</v>
      </c>
      <c r="S1211" s="2276">
        <f>Q1211</f>
        <v>3</v>
      </c>
      <c r="T1211" s="1400">
        <v>0</v>
      </c>
      <c r="U1211" s="2276">
        <v>3</v>
      </c>
      <c r="V1211" s="2304">
        <v>14683350</v>
      </c>
      <c r="W1211" s="2276">
        <f>Q1211+S1211+U1211</f>
        <v>9</v>
      </c>
      <c r="X1211" s="2276">
        <v>0</v>
      </c>
      <c r="Y1211" s="2389">
        <f t="shared" si="401"/>
        <v>18</v>
      </c>
      <c r="Z1211" s="2304">
        <f t="shared" si="402"/>
        <v>36712350</v>
      </c>
      <c r="AA1211" s="2389">
        <f t="shared" si="407"/>
        <v>30</v>
      </c>
      <c r="AB1211" s="2304">
        <f t="shared" si="408"/>
        <v>242456350</v>
      </c>
      <c r="AC1211" s="2386">
        <f t="shared" si="409"/>
        <v>41.666666666666671</v>
      </c>
      <c r="AD1211" s="2386">
        <f t="shared" si="410"/>
        <v>25.095571826624109</v>
      </c>
      <c r="AE1211" s="3160"/>
      <c r="AF1211" s="2320"/>
      <c r="AG1211" s="3232"/>
      <c r="AH1211" s="2318"/>
      <c r="AI1211" s="2318"/>
      <c r="AJ1211" s="2318"/>
      <c r="AK1211" s="2318"/>
      <c r="AL1211" s="2318"/>
      <c r="AM1211" s="2318"/>
      <c r="AN1211" s="2320"/>
      <c r="AO1211" s="2320"/>
      <c r="AP1211" s="2320"/>
      <c r="AQ1211" s="2320"/>
      <c r="AR1211" s="2320"/>
      <c r="AS1211" s="2320"/>
      <c r="AT1211" s="2320"/>
      <c r="AU1211" s="2320"/>
      <c r="AV1211" s="2320"/>
      <c r="AW1211" s="2320"/>
      <c r="AX1211" s="2320"/>
      <c r="AY1211" s="2320"/>
      <c r="AZ1211" s="2320"/>
      <c r="BA1211" s="2320"/>
      <c r="BB1211" s="2320"/>
      <c r="BC1211" s="2320"/>
      <c r="BD1211" s="2320"/>
      <c r="BE1211" s="2320"/>
      <c r="BF1211" s="2320"/>
      <c r="BG1211" s="2320"/>
      <c r="BH1211" s="2320"/>
      <c r="BI1211" s="2320"/>
      <c r="BJ1211" s="2320"/>
      <c r="BK1211" s="2320"/>
      <c r="BL1211" s="2320"/>
      <c r="BM1211" s="2320"/>
      <c r="BN1211" s="2320"/>
      <c r="BO1211" s="2320"/>
      <c r="BP1211" s="2320"/>
      <c r="BQ1211" s="2320"/>
      <c r="BR1211" s="2320"/>
      <c r="BS1211" s="2320"/>
      <c r="BT1211" s="2320"/>
      <c r="BU1211" s="2320"/>
      <c r="BV1211" s="2320"/>
      <c r="BW1211" s="2320"/>
      <c r="BX1211" s="2320"/>
    </row>
    <row r="1212" spans="1:76" s="2321" customFormat="1" ht="69.75" customHeight="1">
      <c r="A1212" s="64"/>
      <c r="B1212" s="2632"/>
      <c r="C1212" s="3794"/>
      <c r="D1212" s="3794"/>
      <c r="E1212" s="3794"/>
      <c r="F1212" s="3794"/>
      <c r="G1212" s="3794"/>
      <c r="H1212" s="3794"/>
      <c r="I1212" s="2631" t="s">
        <v>638</v>
      </c>
      <c r="J1212" s="2632" t="s">
        <v>1426</v>
      </c>
      <c r="K1212" s="2387">
        <v>5</v>
      </c>
      <c r="L1212" s="2389">
        <v>193000000</v>
      </c>
      <c r="M1212" s="2387">
        <v>1</v>
      </c>
      <c r="N1212" s="2389">
        <v>0</v>
      </c>
      <c r="O1212" s="2387">
        <v>3</v>
      </c>
      <c r="P1212" s="2389">
        <v>28500000</v>
      </c>
      <c r="Q1212" s="2389">
        <v>0</v>
      </c>
      <c r="R1212" s="1400">
        <v>0</v>
      </c>
      <c r="S1212" s="2276">
        <f>Q1212</f>
        <v>0</v>
      </c>
      <c r="T1212" s="1400">
        <v>0</v>
      </c>
      <c r="U1212" s="2276">
        <f>Q1212+S1212</f>
        <v>0</v>
      </c>
      <c r="V1212" s="2304">
        <v>0</v>
      </c>
      <c r="W1212" s="2276">
        <f>Q1212+S1212+U1212</f>
        <v>0</v>
      </c>
      <c r="X1212" s="2276">
        <v>0</v>
      </c>
      <c r="Y1212" s="2389">
        <f t="shared" si="401"/>
        <v>0</v>
      </c>
      <c r="Z1212" s="2304">
        <f t="shared" si="402"/>
        <v>0</v>
      </c>
      <c r="AA1212" s="2389">
        <f t="shared" si="407"/>
        <v>1</v>
      </c>
      <c r="AB1212" s="2304">
        <f t="shared" si="408"/>
        <v>0</v>
      </c>
      <c r="AC1212" s="2386">
        <f t="shared" si="409"/>
        <v>20</v>
      </c>
      <c r="AD1212" s="2386">
        <f t="shared" si="410"/>
        <v>0</v>
      </c>
      <c r="AE1212" s="3160"/>
      <c r="AF1212" s="2320"/>
      <c r="AG1212" s="3232"/>
      <c r="AH1212" s="2318"/>
      <c r="AI1212" s="2318"/>
      <c r="AJ1212" s="2318"/>
      <c r="AK1212" s="2318"/>
      <c r="AL1212" s="2318"/>
      <c r="AM1212" s="2318"/>
      <c r="AN1212" s="2320"/>
      <c r="AO1212" s="2320"/>
      <c r="AP1212" s="2320"/>
      <c r="AQ1212" s="2320"/>
      <c r="AR1212" s="2320"/>
      <c r="AS1212" s="2320"/>
      <c r="AT1212" s="2320"/>
      <c r="AU1212" s="2320"/>
      <c r="AV1212" s="2320"/>
      <c r="AW1212" s="2320"/>
      <c r="AX1212" s="2320"/>
      <c r="AY1212" s="2320"/>
      <c r="AZ1212" s="2320"/>
      <c r="BA1212" s="2320"/>
      <c r="BB1212" s="2320"/>
      <c r="BC1212" s="2320"/>
      <c r="BD1212" s="2320"/>
      <c r="BE1212" s="2320"/>
      <c r="BF1212" s="2320"/>
      <c r="BG1212" s="2320"/>
      <c r="BH1212" s="2320"/>
      <c r="BI1212" s="2320"/>
      <c r="BJ1212" s="2320"/>
      <c r="BK1212" s="2320"/>
      <c r="BL1212" s="2320"/>
      <c r="BM1212" s="2320"/>
      <c r="BN1212" s="2320"/>
      <c r="BO1212" s="2320"/>
      <c r="BP1212" s="2320"/>
      <c r="BQ1212" s="2320"/>
      <c r="BR1212" s="2320"/>
      <c r="BS1212" s="2320"/>
      <c r="BT1212" s="2320"/>
      <c r="BU1212" s="2320"/>
      <c r="BV1212" s="2320"/>
      <c r="BW1212" s="2320"/>
      <c r="BX1212" s="2320"/>
    </row>
    <row r="1213" spans="1:76" s="2321" customFormat="1" ht="51">
      <c r="A1213" s="2570">
        <v>3</v>
      </c>
      <c r="B1213" s="2359" t="s">
        <v>1308</v>
      </c>
      <c r="C1213" s="2374"/>
      <c r="D1213" s="2374"/>
      <c r="E1213" s="2374"/>
      <c r="F1213" s="2374"/>
      <c r="G1213" s="2374"/>
      <c r="H1213" s="2595"/>
      <c r="I1213" s="2359" t="s">
        <v>1309</v>
      </c>
      <c r="J1213" s="2335" t="s">
        <v>1310</v>
      </c>
      <c r="K1213" s="2442">
        <f>6*O1213</f>
        <v>144</v>
      </c>
      <c r="L1213" s="4303">
        <f>SUM(L1215:L1218)</f>
        <v>5601639000</v>
      </c>
      <c r="M1213" s="2442">
        <v>22</v>
      </c>
      <c r="N1213" s="4303">
        <f>SUM(N1215:N1218)</f>
        <v>897759200</v>
      </c>
      <c r="O1213" s="3162">
        <v>24</v>
      </c>
      <c r="P1213" s="4303">
        <f>SUM(P1215:P1218)</f>
        <v>1239232507</v>
      </c>
      <c r="Q1213" s="3162">
        <v>24</v>
      </c>
      <c r="R1213" s="4305">
        <f>SUM(R1215:R1218)</f>
        <v>17168000</v>
      </c>
      <c r="S1213" s="2340">
        <v>0</v>
      </c>
      <c r="T1213" s="4305">
        <f>SUM(T1215:T1218)</f>
        <v>373679076</v>
      </c>
      <c r="U1213" s="2340">
        <v>0</v>
      </c>
      <c r="V1213" s="4305">
        <f>SUM(V1215:V1218)</f>
        <v>250197500</v>
      </c>
      <c r="W1213" s="2340">
        <v>0</v>
      </c>
      <c r="X1213" s="4313"/>
      <c r="Y1213" s="2523">
        <f t="shared" si="401"/>
        <v>24</v>
      </c>
      <c r="Z1213" s="4266">
        <f t="shared" si="402"/>
        <v>641044576</v>
      </c>
      <c r="AA1213" s="2523">
        <f t="shared" ref="AA1213:AA1218" si="411">M1213+Y1213</f>
        <v>46</v>
      </c>
      <c r="AB1213" s="4266">
        <f t="shared" ref="AB1213:AB1218" si="412">N1213+Z1213</f>
        <v>1538803776</v>
      </c>
      <c r="AC1213" s="3147">
        <f t="shared" ref="AC1213:AC1218" si="413">AA1213/K1213*100</f>
        <v>31.944444444444443</v>
      </c>
      <c r="AD1213" s="4263">
        <f t="shared" ref="AD1213:AD1218" si="414">AB1213/L1213*100</f>
        <v>27.470598801529338</v>
      </c>
      <c r="AE1213" s="4240" t="s">
        <v>3412</v>
      </c>
      <c r="AF1213" s="2320"/>
      <c r="AG1213" s="3232"/>
      <c r="AH1213" s="2318"/>
      <c r="AI1213" s="2318"/>
      <c r="AJ1213" s="2318"/>
      <c r="AK1213" s="2318"/>
      <c r="AL1213" s="2318"/>
      <c r="AM1213" s="2318"/>
      <c r="AN1213" s="2320"/>
      <c r="AO1213" s="2320"/>
      <c r="AP1213" s="2320"/>
      <c r="AQ1213" s="2320"/>
      <c r="AR1213" s="2320"/>
      <c r="AS1213" s="2320"/>
      <c r="AT1213" s="2320"/>
      <c r="AU1213" s="2320"/>
      <c r="AV1213" s="2320"/>
      <c r="AW1213" s="2320"/>
      <c r="AX1213" s="2320"/>
      <c r="AY1213" s="2320"/>
      <c r="AZ1213" s="2320"/>
      <c r="BA1213" s="2320"/>
      <c r="BB1213" s="2320"/>
      <c r="BC1213" s="2320"/>
      <c r="BD1213" s="2320"/>
      <c r="BE1213" s="2320"/>
      <c r="BF1213" s="2320"/>
      <c r="BG1213" s="2320"/>
      <c r="BH1213" s="2320"/>
      <c r="BI1213" s="2320"/>
      <c r="BJ1213" s="2320"/>
      <c r="BK1213" s="2320"/>
      <c r="BL1213" s="2320"/>
      <c r="BM1213" s="2320"/>
      <c r="BN1213" s="2320"/>
      <c r="BO1213" s="2320"/>
      <c r="BP1213" s="2320"/>
      <c r="BQ1213" s="2320"/>
      <c r="BR1213" s="2320"/>
      <c r="BS1213" s="2320"/>
      <c r="BT1213" s="2320"/>
      <c r="BU1213" s="2320"/>
      <c r="BV1213" s="2320"/>
      <c r="BW1213" s="2320"/>
      <c r="BX1213" s="2320"/>
    </row>
    <row r="1214" spans="1:76" s="2321" customFormat="1" ht="63.75">
      <c r="A1214" s="2570"/>
      <c r="B1214" s="2549"/>
      <c r="C1214" s="2374"/>
      <c r="D1214" s="2374"/>
      <c r="E1214" s="2374"/>
      <c r="F1214" s="2374"/>
      <c r="G1214" s="2374"/>
      <c r="H1214" s="2595"/>
      <c r="I1214" s="2359"/>
      <c r="J1214" s="2335" t="s">
        <v>1312</v>
      </c>
      <c r="K1214" s="2442">
        <v>123</v>
      </c>
      <c r="L1214" s="4304"/>
      <c r="M1214" s="2442">
        <v>120</v>
      </c>
      <c r="N1214" s="4304"/>
      <c r="O1214" s="3162">
        <v>123</v>
      </c>
      <c r="P1214" s="4304"/>
      <c r="Q1214" s="3162">
        <v>32</v>
      </c>
      <c r="R1214" s="4305"/>
      <c r="S1214" s="2340">
        <v>0</v>
      </c>
      <c r="T1214" s="4305"/>
      <c r="U1214" s="2340">
        <v>0</v>
      </c>
      <c r="V1214" s="4305"/>
      <c r="W1214" s="2340">
        <v>0</v>
      </c>
      <c r="X1214" s="4313"/>
      <c r="Y1214" s="2523">
        <f t="shared" si="401"/>
        <v>32</v>
      </c>
      <c r="Z1214" s="4266">
        <f t="shared" si="402"/>
        <v>0</v>
      </c>
      <c r="AA1214" s="2523">
        <f t="shared" si="411"/>
        <v>152</v>
      </c>
      <c r="AB1214" s="4266">
        <f t="shared" si="412"/>
        <v>0</v>
      </c>
      <c r="AC1214" s="3147">
        <f t="shared" si="413"/>
        <v>123.57723577235772</v>
      </c>
      <c r="AD1214" s="4263" t="e">
        <f t="shared" si="414"/>
        <v>#DIV/0!</v>
      </c>
      <c r="AE1214" s="4240"/>
      <c r="AF1214" s="2320"/>
      <c r="AG1214" s="3232"/>
      <c r="AH1214" s="2318"/>
      <c r="AI1214" s="2318"/>
      <c r="AJ1214" s="2318"/>
      <c r="AK1214" s="2318"/>
      <c r="AL1214" s="2318"/>
      <c r="AM1214" s="2318"/>
      <c r="AN1214" s="2320"/>
      <c r="AO1214" s="2320"/>
      <c r="AP1214" s="2320"/>
      <c r="AQ1214" s="2320"/>
      <c r="AR1214" s="2320"/>
      <c r="AS1214" s="2320"/>
      <c r="AT1214" s="2320"/>
      <c r="AU1214" s="2320"/>
      <c r="AV1214" s="2320"/>
      <c r="AW1214" s="2320"/>
      <c r="AX1214" s="2320"/>
      <c r="AY1214" s="2320"/>
      <c r="AZ1214" s="2320"/>
      <c r="BA1214" s="2320"/>
      <c r="BB1214" s="2320"/>
      <c r="BC1214" s="2320"/>
      <c r="BD1214" s="2320"/>
      <c r="BE1214" s="2320"/>
      <c r="BF1214" s="2320"/>
      <c r="BG1214" s="2320"/>
      <c r="BH1214" s="2320"/>
      <c r="BI1214" s="2320"/>
      <c r="BJ1214" s="2320"/>
      <c r="BK1214" s="2320"/>
      <c r="BL1214" s="2320"/>
      <c r="BM1214" s="2320"/>
      <c r="BN1214" s="2320"/>
      <c r="BO1214" s="2320"/>
      <c r="BP1214" s="2320"/>
      <c r="BQ1214" s="2320"/>
      <c r="BR1214" s="2320"/>
      <c r="BS1214" s="2320"/>
      <c r="BT1214" s="2320"/>
      <c r="BU1214" s="2320"/>
      <c r="BV1214" s="2320"/>
      <c r="BW1214" s="2320"/>
      <c r="BX1214" s="2320"/>
    </row>
    <row r="1215" spans="1:76" s="2321" customFormat="1" ht="52.5" customHeight="1">
      <c r="A1215" s="64"/>
      <c r="B1215" s="1785"/>
      <c r="C1215" s="2446"/>
      <c r="D1215" s="2446"/>
      <c r="E1215" s="2446"/>
      <c r="F1215" s="2446"/>
      <c r="G1215" s="2446"/>
      <c r="H1215" s="1718"/>
      <c r="I1215" s="2631" t="s">
        <v>1313</v>
      </c>
      <c r="J1215" s="3140" t="s">
        <v>1314</v>
      </c>
      <c r="K1215" s="2635">
        <v>148</v>
      </c>
      <c r="L1215" s="2635">
        <v>1137662000</v>
      </c>
      <c r="M1215" s="2431">
        <v>33</v>
      </c>
      <c r="N1215" s="2389">
        <v>778195000</v>
      </c>
      <c r="O1215" s="2431">
        <v>31</v>
      </c>
      <c r="P1215" s="2389">
        <v>752283787</v>
      </c>
      <c r="Q1215" s="2389">
        <v>0</v>
      </c>
      <c r="R1215" s="2276">
        <v>10843000</v>
      </c>
      <c r="S1215" s="2276">
        <v>26</v>
      </c>
      <c r="T1215" s="1400">
        <v>340275100</v>
      </c>
      <c r="U1215" s="2276">
        <v>0</v>
      </c>
      <c r="V1215" s="2304">
        <v>6127400</v>
      </c>
      <c r="W1215" s="2276">
        <f>Q1215+S1215+U1215</f>
        <v>26</v>
      </c>
      <c r="X1215" s="2276">
        <v>0</v>
      </c>
      <c r="Y1215" s="2389">
        <f t="shared" si="401"/>
        <v>52</v>
      </c>
      <c r="Z1215" s="2304">
        <f t="shared" si="402"/>
        <v>357245500</v>
      </c>
      <c r="AA1215" s="2389">
        <f t="shared" si="411"/>
        <v>85</v>
      </c>
      <c r="AB1215" s="2304">
        <f t="shared" si="412"/>
        <v>1135440500</v>
      </c>
      <c r="AC1215" s="2386">
        <f t="shared" si="413"/>
        <v>57.432432432432435</v>
      </c>
      <c r="AD1215" s="2386">
        <f t="shared" si="414"/>
        <v>99.804731106427042</v>
      </c>
      <c r="AE1215" s="3160"/>
      <c r="AF1215" s="2320"/>
      <c r="AG1215" s="3232"/>
      <c r="AH1215" s="2318"/>
      <c r="AI1215" s="2318"/>
      <c r="AJ1215" s="2318"/>
      <c r="AK1215" s="2318"/>
      <c r="AL1215" s="2318"/>
      <c r="AM1215" s="2318"/>
      <c r="AN1215" s="2320"/>
      <c r="AO1215" s="2320"/>
      <c r="AP1215" s="2320"/>
      <c r="AQ1215" s="2320"/>
      <c r="AR1215" s="2320"/>
      <c r="AS1215" s="2320"/>
      <c r="AT1215" s="2320"/>
      <c r="AU1215" s="2320"/>
      <c r="AV1215" s="2320"/>
      <c r="AW1215" s="2320"/>
      <c r="AX1215" s="2320"/>
      <c r="AY1215" s="2320"/>
      <c r="AZ1215" s="2320"/>
      <c r="BA1215" s="2320"/>
      <c r="BB1215" s="2320"/>
      <c r="BC1215" s="2320"/>
      <c r="BD1215" s="2320"/>
      <c r="BE1215" s="2320"/>
      <c r="BF1215" s="2320"/>
      <c r="BG1215" s="2320"/>
      <c r="BH1215" s="2320"/>
      <c r="BI1215" s="2320"/>
      <c r="BJ1215" s="2320"/>
      <c r="BK1215" s="2320"/>
      <c r="BL1215" s="2320"/>
      <c r="BM1215" s="2320"/>
      <c r="BN1215" s="2320"/>
      <c r="BO1215" s="2320"/>
      <c r="BP1215" s="2320"/>
      <c r="BQ1215" s="2320"/>
      <c r="BR1215" s="2320"/>
      <c r="BS1215" s="2320"/>
      <c r="BT1215" s="2320"/>
      <c r="BU1215" s="2320"/>
      <c r="BV1215" s="2320"/>
      <c r="BW1215" s="2320"/>
      <c r="BX1215" s="2320"/>
    </row>
    <row r="1216" spans="1:76" s="2321" customFormat="1" ht="60.75" customHeight="1">
      <c r="A1216" s="64"/>
      <c r="B1216" s="2632"/>
      <c r="C1216" s="3794"/>
      <c r="D1216" s="3794"/>
      <c r="E1216" s="3794"/>
      <c r="F1216" s="3794"/>
      <c r="G1216" s="3794"/>
      <c r="H1216" s="3794"/>
      <c r="I1216" s="2632" t="s">
        <v>1315</v>
      </c>
      <c r="J1216" s="2632" t="s">
        <v>1316</v>
      </c>
      <c r="K1216" s="2349">
        <v>300</v>
      </c>
      <c r="L1216" s="2386">
        <v>332806000</v>
      </c>
      <c r="M1216" s="2349">
        <v>50</v>
      </c>
      <c r="N1216" s="2389">
        <v>49756200</v>
      </c>
      <c r="O1216" s="2349">
        <v>50</v>
      </c>
      <c r="P1216" s="2389">
        <v>51725000</v>
      </c>
      <c r="Q1216" s="2389">
        <v>0</v>
      </c>
      <c r="R1216" s="1400">
        <v>6190000</v>
      </c>
      <c r="S1216" s="2276">
        <v>50</v>
      </c>
      <c r="T1216" s="1400">
        <v>26903500</v>
      </c>
      <c r="U1216" s="2276">
        <v>0</v>
      </c>
      <c r="V1216" s="2304">
        <v>7738500</v>
      </c>
      <c r="W1216" s="2276">
        <f>Q1216+S1216+U1216</f>
        <v>50</v>
      </c>
      <c r="X1216" s="2276">
        <v>0</v>
      </c>
      <c r="Y1216" s="2389">
        <f t="shared" si="401"/>
        <v>100</v>
      </c>
      <c r="Z1216" s="2304">
        <f t="shared" si="402"/>
        <v>40832000</v>
      </c>
      <c r="AA1216" s="2389">
        <f t="shared" si="411"/>
        <v>150</v>
      </c>
      <c r="AB1216" s="2304">
        <f t="shared" si="412"/>
        <v>90588200</v>
      </c>
      <c r="AC1216" s="2386">
        <f t="shared" si="413"/>
        <v>50</v>
      </c>
      <c r="AD1216" s="2386">
        <f t="shared" si="414"/>
        <v>27.219521282669184</v>
      </c>
      <c r="AE1216" s="3160"/>
      <c r="AF1216" s="2320"/>
      <c r="AG1216" s="3232"/>
      <c r="AH1216" s="2318"/>
      <c r="AI1216" s="2318"/>
      <c r="AJ1216" s="2318"/>
      <c r="AK1216" s="2318"/>
      <c r="AL1216" s="2318"/>
      <c r="AM1216" s="2318"/>
      <c r="AN1216" s="2320"/>
      <c r="AO1216" s="2320"/>
      <c r="AP1216" s="2320"/>
      <c r="AQ1216" s="2320"/>
      <c r="AR1216" s="2320"/>
      <c r="AS1216" s="2320"/>
      <c r="AT1216" s="2320"/>
      <c r="AU1216" s="2320"/>
      <c r="AV1216" s="2320"/>
      <c r="AW1216" s="2320"/>
      <c r="AX1216" s="2320"/>
      <c r="AY1216" s="2320"/>
      <c r="AZ1216" s="2320"/>
      <c r="BA1216" s="2320"/>
      <c r="BB1216" s="2320"/>
      <c r="BC1216" s="2320"/>
      <c r="BD1216" s="2320"/>
      <c r="BE1216" s="2320"/>
      <c r="BF1216" s="2320"/>
      <c r="BG1216" s="2320"/>
      <c r="BH1216" s="2320"/>
      <c r="BI1216" s="2320"/>
      <c r="BJ1216" s="2320"/>
      <c r="BK1216" s="2320"/>
      <c r="BL1216" s="2320"/>
      <c r="BM1216" s="2320"/>
      <c r="BN1216" s="2320"/>
      <c r="BO1216" s="2320"/>
      <c r="BP1216" s="2320"/>
      <c r="BQ1216" s="2320"/>
      <c r="BR1216" s="2320"/>
      <c r="BS1216" s="2320"/>
      <c r="BT1216" s="2320"/>
      <c r="BU1216" s="2320"/>
      <c r="BV1216" s="2320"/>
      <c r="BW1216" s="2320"/>
      <c r="BX1216" s="2320"/>
    </row>
    <row r="1217" spans="1:76" s="2321" customFormat="1" ht="60.75" customHeight="1">
      <c r="A1217" s="64"/>
      <c r="B1217" s="2632"/>
      <c r="C1217" s="3794"/>
      <c r="D1217" s="3794"/>
      <c r="E1217" s="3794"/>
      <c r="F1217" s="3794"/>
      <c r="G1217" s="3794"/>
      <c r="H1217" s="3794"/>
      <c r="I1217" s="2631" t="s">
        <v>1317</v>
      </c>
      <c r="J1217" s="2632" t="s">
        <v>1318</v>
      </c>
      <c r="K1217" s="2387">
        <v>125</v>
      </c>
      <c r="L1217" s="2389">
        <v>408538000</v>
      </c>
      <c r="M1217" s="2387">
        <v>25</v>
      </c>
      <c r="N1217" s="2389">
        <v>9686000</v>
      </c>
      <c r="O1217" s="2349">
        <v>50</v>
      </c>
      <c r="P1217" s="2389">
        <v>22590000</v>
      </c>
      <c r="Q1217" s="2389">
        <v>0</v>
      </c>
      <c r="R1217" s="1400">
        <v>0</v>
      </c>
      <c r="S1217" s="2276">
        <v>0</v>
      </c>
      <c r="T1217" s="1400">
        <v>0</v>
      </c>
      <c r="U1217" s="2276">
        <v>0</v>
      </c>
      <c r="V1217" s="2304">
        <v>8025000</v>
      </c>
      <c r="W1217" s="2276">
        <f>Q1217+S1217+U1217</f>
        <v>0</v>
      </c>
      <c r="X1217" s="2276">
        <v>0</v>
      </c>
      <c r="Y1217" s="2389">
        <f t="shared" si="401"/>
        <v>0</v>
      </c>
      <c r="Z1217" s="2304">
        <f t="shared" si="402"/>
        <v>8025000</v>
      </c>
      <c r="AA1217" s="2389">
        <f t="shared" si="411"/>
        <v>25</v>
      </c>
      <c r="AB1217" s="2304">
        <f t="shared" si="412"/>
        <v>17711000</v>
      </c>
      <c r="AC1217" s="2386">
        <f t="shared" si="413"/>
        <v>20</v>
      </c>
      <c r="AD1217" s="2386">
        <f t="shared" si="414"/>
        <v>4.3352148392560785</v>
      </c>
      <c r="AE1217" s="3160"/>
      <c r="AF1217" s="2320"/>
      <c r="AG1217" s="3232"/>
      <c r="AH1217" s="2318"/>
      <c r="AI1217" s="2318"/>
      <c r="AJ1217" s="2318"/>
      <c r="AK1217" s="2318"/>
      <c r="AL1217" s="2318"/>
      <c r="AM1217" s="2318"/>
      <c r="AN1217" s="2320"/>
      <c r="AO1217" s="2320"/>
      <c r="AP1217" s="2320"/>
      <c r="AQ1217" s="2320"/>
      <c r="AR1217" s="2320"/>
      <c r="AS1217" s="2320"/>
      <c r="AT1217" s="2320"/>
      <c r="AU1217" s="2320"/>
      <c r="AV1217" s="2320"/>
      <c r="AW1217" s="2320"/>
      <c r="AX1217" s="2320"/>
      <c r="AY1217" s="2320"/>
      <c r="AZ1217" s="2320"/>
      <c r="BA1217" s="2320"/>
      <c r="BB1217" s="2320"/>
      <c r="BC1217" s="2320"/>
      <c r="BD1217" s="2320"/>
      <c r="BE1217" s="2320"/>
      <c r="BF1217" s="2320"/>
      <c r="BG1217" s="2320"/>
      <c r="BH1217" s="2320"/>
      <c r="BI1217" s="2320"/>
      <c r="BJ1217" s="2320"/>
      <c r="BK1217" s="2320"/>
      <c r="BL1217" s="2320"/>
      <c r="BM1217" s="2320"/>
      <c r="BN1217" s="2320"/>
      <c r="BO1217" s="2320"/>
      <c r="BP1217" s="2320"/>
      <c r="BQ1217" s="2320"/>
      <c r="BR1217" s="2320"/>
      <c r="BS1217" s="2320"/>
      <c r="BT1217" s="2320"/>
      <c r="BU1217" s="2320"/>
      <c r="BV1217" s="2320"/>
      <c r="BW1217" s="2320"/>
      <c r="BX1217" s="2320"/>
    </row>
    <row r="1218" spans="1:76" s="2321" customFormat="1" ht="67.5" customHeight="1">
      <c r="A1218" s="64"/>
      <c r="B1218" s="2632"/>
      <c r="C1218" s="3794"/>
      <c r="D1218" s="3794"/>
      <c r="E1218" s="3794"/>
      <c r="F1218" s="3794"/>
      <c r="G1218" s="3794"/>
      <c r="H1218" s="3794"/>
      <c r="I1218" s="2631" t="s">
        <v>1319</v>
      </c>
      <c r="J1218" s="2632" t="s">
        <v>1320</v>
      </c>
      <c r="K1218" s="2349">
        <v>240</v>
      </c>
      <c r="L1218" s="2389">
        <v>3722633000</v>
      </c>
      <c r="M1218" s="2349">
        <v>60</v>
      </c>
      <c r="N1218" s="2389">
        <v>60122000</v>
      </c>
      <c r="O1218" s="2349">
        <v>60</v>
      </c>
      <c r="P1218" s="2389">
        <v>412633720</v>
      </c>
      <c r="Q1218" s="2389">
        <v>0</v>
      </c>
      <c r="R1218" s="1400">
        <v>135000</v>
      </c>
      <c r="S1218" s="2276">
        <v>0</v>
      </c>
      <c r="T1218" s="1400">
        <v>6500476</v>
      </c>
      <c r="U1218" s="2276">
        <v>0</v>
      </c>
      <c r="V1218" s="2304">
        <v>228306600</v>
      </c>
      <c r="W1218" s="2276">
        <f>Q1218+S1218+U1218</f>
        <v>0</v>
      </c>
      <c r="X1218" s="2276">
        <v>0</v>
      </c>
      <c r="Y1218" s="2389">
        <f t="shared" si="401"/>
        <v>0</v>
      </c>
      <c r="Z1218" s="2304">
        <f t="shared" si="402"/>
        <v>234942076</v>
      </c>
      <c r="AA1218" s="2389">
        <f t="shared" si="411"/>
        <v>60</v>
      </c>
      <c r="AB1218" s="2304">
        <f t="shared" si="412"/>
        <v>295064076</v>
      </c>
      <c r="AC1218" s="2386">
        <f t="shared" si="413"/>
        <v>25</v>
      </c>
      <c r="AD1218" s="2386">
        <f t="shared" si="414"/>
        <v>7.9262198556774202</v>
      </c>
      <c r="AE1218" s="3160"/>
      <c r="AF1218" s="2320"/>
      <c r="AG1218" s="3232"/>
      <c r="AH1218" s="2318"/>
      <c r="AI1218" s="2318"/>
      <c r="AJ1218" s="2318"/>
      <c r="AK1218" s="2318"/>
      <c r="AL1218" s="2318"/>
      <c r="AM1218" s="2318"/>
      <c r="AN1218" s="2320"/>
      <c r="AO1218" s="2320"/>
      <c r="AP1218" s="2320"/>
      <c r="AQ1218" s="2320"/>
      <c r="AR1218" s="2320"/>
      <c r="AS1218" s="2320"/>
      <c r="AT1218" s="2320"/>
      <c r="AU1218" s="2320"/>
      <c r="AV1218" s="2320"/>
      <c r="AW1218" s="2320"/>
      <c r="AX1218" s="2320"/>
      <c r="AY1218" s="2320"/>
      <c r="AZ1218" s="2320"/>
      <c r="BA1218" s="2320"/>
      <c r="BB1218" s="2320"/>
      <c r="BC1218" s="2320"/>
      <c r="BD1218" s="2320"/>
      <c r="BE1218" s="2320"/>
      <c r="BF1218" s="2320"/>
      <c r="BG1218" s="2320"/>
      <c r="BH1218" s="2320"/>
      <c r="BI1218" s="2320"/>
      <c r="BJ1218" s="2320"/>
      <c r="BK1218" s="2320"/>
      <c r="BL1218" s="2320"/>
      <c r="BM1218" s="2320"/>
      <c r="BN1218" s="2320"/>
      <c r="BO1218" s="2320"/>
      <c r="BP1218" s="2320"/>
      <c r="BQ1218" s="2320"/>
      <c r="BR1218" s="2320"/>
      <c r="BS1218" s="2320"/>
      <c r="BT1218" s="2320"/>
      <c r="BU1218" s="2320"/>
      <c r="BV1218" s="2320"/>
      <c r="BW1218" s="2320"/>
      <c r="BX1218" s="2320"/>
    </row>
    <row r="1219" spans="1:76" s="2320" customFormat="1" ht="46.5" customHeight="1">
      <c r="A1219" s="2570">
        <v>4</v>
      </c>
      <c r="B1219" s="2335"/>
      <c r="C1219" s="3795"/>
      <c r="D1219" s="3795"/>
      <c r="E1219" s="3795"/>
      <c r="F1219" s="3795"/>
      <c r="G1219" s="3795"/>
      <c r="H1219" s="3795"/>
      <c r="I1219" s="2359" t="s">
        <v>1321</v>
      </c>
      <c r="J1219" s="2335" t="s">
        <v>1322</v>
      </c>
      <c r="K1219" s="2442">
        <v>1796305</v>
      </c>
      <c r="L1219" s="3161">
        <f>SUM(L1231:L1243)</f>
        <v>21986966000</v>
      </c>
      <c r="M1219" s="2442">
        <v>647192.19999999995</v>
      </c>
      <c r="N1219" s="3161">
        <f>SUM(N1231:N1243)</f>
        <v>3216043900</v>
      </c>
      <c r="O1219" s="2442">
        <v>296078</v>
      </c>
      <c r="P1219" s="3161">
        <f>SUM(P1231:P1243)</f>
        <v>2675797830.3899999</v>
      </c>
      <c r="Q1219" s="2442">
        <v>109610</v>
      </c>
      <c r="R1219" s="2347">
        <f>SUM(R1231:R1243)</f>
        <v>112234200</v>
      </c>
      <c r="S1219" s="2339">
        <v>0</v>
      </c>
      <c r="T1219" s="2347">
        <f>SUM(T1231:T1243)</f>
        <v>710057768</v>
      </c>
      <c r="U1219" s="2339">
        <v>0</v>
      </c>
      <c r="V1219" s="2347">
        <f>SUM(V1231:V1243)</f>
        <v>289197505</v>
      </c>
      <c r="W1219" s="2339">
        <v>0</v>
      </c>
      <c r="X1219" s="2339">
        <v>0</v>
      </c>
      <c r="Y1219" s="3161">
        <f t="shared" si="401"/>
        <v>109610</v>
      </c>
      <c r="Z1219" s="2342">
        <f>SUM(Z1231:Z1243)</f>
        <v>1111489473</v>
      </c>
      <c r="AA1219" s="3161">
        <f t="shared" ref="AA1219:AA1247" si="415">M1219+Y1219</f>
        <v>756802.2</v>
      </c>
      <c r="AB1219" s="2342">
        <f>SUM(AB1231:AB1243)</f>
        <v>4327533373</v>
      </c>
      <c r="AC1219" s="3147">
        <f t="shared" ref="AC1219:AC1247" si="416">AA1219/K1219*100</f>
        <v>42.131052354694773</v>
      </c>
      <c r="AD1219" s="2551">
        <f t="shared" ref="AD1219:AD1247" si="417">AB1219/L1219*100</f>
        <v>19.682267089511122</v>
      </c>
      <c r="AE1219" s="3138"/>
      <c r="AG1219" s="3232"/>
      <c r="AH1219" s="2318"/>
      <c r="AI1219" s="2318"/>
      <c r="AJ1219" s="2318"/>
      <c r="AK1219" s="2318"/>
      <c r="AL1219" s="2318"/>
      <c r="AM1219" s="2318"/>
    </row>
    <row r="1220" spans="1:76" s="2320" customFormat="1" ht="33.75" customHeight="1">
      <c r="A1220" s="616"/>
      <c r="B1220" s="383"/>
      <c r="C1220" s="753"/>
      <c r="D1220" s="753"/>
      <c r="E1220" s="753"/>
      <c r="F1220" s="753"/>
      <c r="G1220" s="753"/>
      <c r="H1220" s="753"/>
      <c r="I1220" s="1237"/>
      <c r="J1220" s="383" t="s">
        <v>1323</v>
      </c>
      <c r="K1220" s="2818">
        <v>775968</v>
      </c>
      <c r="L1220" s="2819"/>
      <c r="M1220" s="2818">
        <v>327261.09999999998</v>
      </c>
      <c r="N1220" s="2819"/>
      <c r="O1220" s="2818">
        <v>117398</v>
      </c>
      <c r="P1220" s="2819"/>
      <c r="Q1220" s="2818">
        <v>34684</v>
      </c>
      <c r="R1220" s="1194"/>
      <c r="S1220" s="1227">
        <v>23855</v>
      </c>
      <c r="T1220" s="1194"/>
      <c r="U1220" s="1227">
        <v>32382</v>
      </c>
      <c r="V1220" s="629"/>
      <c r="W1220" s="1227">
        <v>0</v>
      </c>
      <c r="X1220" s="1227"/>
      <c r="Y1220" s="2819">
        <f t="shared" si="401"/>
        <v>90921</v>
      </c>
      <c r="Z1220" s="629">
        <f t="shared" si="402"/>
        <v>0</v>
      </c>
      <c r="AA1220" s="2819">
        <f t="shared" si="415"/>
        <v>418182.1</v>
      </c>
      <c r="AB1220" s="629">
        <f t="shared" ref="AB1220:AB1247" si="418">N1220+Z1220</f>
        <v>0</v>
      </c>
      <c r="AC1220" s="2820">
        <f t="shared" si="416"/>
        <v>53.891668213122188</v>
      </c>
      <c r="AD1220" s="2821"/>
      <c r="AE1220" s="753"/>
      <c r="AG1220" s="3232"/>
      <c r="AH1220" s="2318"/>
      <c r="AI1220" s="2318"/>
      <c r="AJ1220" s="2318"/>
      <c r="AK1220" s="2318"/>
      <c r="AL1220" s="2318"/>
      <c r="AM1220" s="2318"/>
    </row>
    <row r="1221" spans="1:76" s="2320" customFormat="1" ht="34.5" customHeight="1">
      <c r="A1221" s="616"/>
      <c r="B1221" s="383"/>
      <c r="C1221" s="753"/>
      <c r="D1221" s="753"/>
      <c r="E1221" s="753"/>
      <c r="F1221" s="753"/>
      <c r="G1221" s="753"/>
      <c r="H1221" s="753"/>
      <c r="I1221" s="1237"/>
      <c r="J1221" s="383" t="s">
        <v>1324</v>
      </c>
      <c r="K1221" s="2818">
        <v>18455</v>
      </c>
      <c r="L1221" s="2819"/>
      <c r="M1221" s="2818">
        <v>8241</v>
      </c>
      <c r="N1221" s="2819"/>
      <c r="O1221" s="2818">
        <v>2991</v>
      </c>
      <c r="P1221" s="2819"/>
      <c r="Q1221" s="2818">
        <v>750</v>
      </c>
      <c r="R1221" s="1194"/>
      <c r="S1221" s="1227">
        <v>336</v>
      </c>
      <c r="T1221" s="1194"/>
      <c r="U1221" s="1227">
        <v>387.7</v>
      </c>
      <c r="V1221" s="629"/>
      <c r="W1221" s="1227">
        <v>0</v>
      </c>
      <c r="X1221" s="1227"/>
      <c r="Y1221" s="2819">
        <f t="shared" si="401"/>
        <v>1473.7</v>
      </c>
      <c r="Z1221" s="629">
        <f t="shared" si="402"/>
        <v>0</v>
      </c>
      <c r="AA1221" s="2819">
        <f t="shared" si="415"/>
        <v>9714.7000000000007</v>
      </c>
      <c r="AB1221" s="629">
        <f t="shared" si="418"/>
        <v>0</v>
      </c>
      <c r="AC1221" s="2820">
        <f t="shared" si="416"/>
        <v>52.639934976971013</v>
      </c>
      <c r="AD1221" s="2821"/>
      <c r="AE1221" s="753"/>
      <c r="AG1221" s="3232"/>
      <c r="AH1221" s="2318"/>
      <c r="AI1221" s="2318"/>
      <c r="AJ1221" s="2318"/>
      <c r="AK1221" s="2318"/>
      <c r="AL1221" s="2318"/>
      <c r="AM1221" s="2318"/>
    </row>
    <row r="1222" spans="1:76" s="2320" customFormat="1" ht="43.5" customHeight="1">
      <c r="A1222" s="616"/>
      <c r="B1222" s="383"/>
      <c r="C1222" s="753"/>
      <c r="D1222" s="753"/>
      <c r="E1222" s="753"/>
      <c r="F1222" s="753"/>
      <c r="G1222" s="753"/>
      <c r="H1222" s="753"/>
      <c r="I1222" s="1237"/>
      <c r="J1222" s="383" t="s">
        <v>1325</v>
      </c>
      <c r="K1222" s="2818">
        <f>2*M1222</f>
        <v>3104</v>
      </c>
      <c r="L1222" s="2819"/>
      <c r="M1222" s="2818">
        <v>1552</v>
      </c>
      <c r="N1222" s="2819"/>
      <c r="O1222" s="2818">
        <v>250</v>
      </c>
      <c r="P1222" s="2819"/>
      <c r="Q1222" s="2818">
        <v>15</v>
      </c>
      <c r="R1222" s="1194"/>
      <c r="S1222" s="1227">
        <v>21</v>
      </c>
      <c r="T1222" s="1194"/>
      <c r="U1222" s="1227">
        <v>20</v>
      </c>
      <c r="V1222" s="629"/>
      <c r="W1222" s="1227">
        <v>0</v>
      </c>
      <c r="X1222" s="1227"/>
      <c r="Y1222" s="2819">
        <f t="shared" si="401"/>
        <v>56</v>
      </c>
      <c r="Z1222" s="629">
        <f t="shared" si="402"/>
        <v>0</v>
      </c>
      <c r="AA1222" s="2819">
        <f t="shared" si="415"/>
        <v>1608</v>
      </c>
      <c r="AB1222" s="629">
        <f t="shared" si="418"/>
        <v>0</v>
      </c>
      <c r="AC1222" s="2820">
        <f t="shared" si="416"/>
        <v>51.80412371134021</v>
      </c>
      <c r="AD1222" s="2821"/>
      <c r="AE1222" s="753"/>
      <c r="AG1222" s="3232"/>
      <c r="AH1222" s="2318"/>
      <c r="AI1222" s="2318"/>
      <c r="AJ1222" s="2318"/>
      <c r="AK1222" s="2318"/>
      <c r="AL1222" s="2318"/>
      <c r="AM1222" s="2318"/>
    </row>
    <row r="1223" spans="1:76" s="2320" customFormat="1" ht="39" customHeight="1">
      <c r="A1223" s="616"/>
      <c r="B1223" s="383"/>
      <c r="C1223" s="753"/>
      <c r="D1223" s="753"/>
      <c r="E1223" s="753"/>
      <c r="F1223" s="753"/>
      <c r="G1223" s="753"/>
      <c r="H1223" s="753"/>
      <c r="I1223" s="1237"/>
      <c r="J1223" s="383" t="s">
        <v>1326</v>
      </c>
      <c r="K1223" s="2818">
        <v>179202</v>
      </c>
      <c r="L1223" s="2819"/>
      <c r="M1223" s="2818">
        <v>64362</v>
      </c>
      <c r="N1223" s="2819"/>
      <c r="O1223" s="2818">
        <v>29713</v>
      </c>
      <c r="P1223" s="2819"/>
      <c r="Q1223" s="2818">
        <v>12547</v>
      </c>
      <c r="R1223" s="1194"/>
      <c r="S1223" s="1227">
        <v>12939</v>
      </c>
      <c r="T1223" s="1194"/>
      <c r="U1223" s="1227">
        <v>3234.75</v>
      </c>
      <c r="V1223" s="629"/>
      <c r="W1223" s="1227">
        <v>0</v>
      </c>
      <c r="X1223" s="1227"/>
      <c r="Y1223" s="2819">
        <f t="shared" si="401"/>
        <v>28720.75</v>
      </c>
      <c r="Z1223" s="629">
        <f t="shared" si="402"/>
        <v>0</v>
      </c>
      <c r="AA1223" s="2819">
        <f t="shared" si="415"/>
        <v>93082.75</v>
      </c>
      <c r="AB1223" s="629">
        <f t="shared" si="418"/>
        <v>0</v>
      </c>
      <c r="AC1223" s="2820">
        <f t="shared" si="416"/>
        <v>51.942919163848622</v>
      </c>
      <c r="AD1223" s="2821"/>
      <c r="AE1223" s="753"/>
      <c r="AG1223" s="3232"/>
      <c r="AH1223" s="2318"/>
      <c r="AI1223" s="2318"/>
      <c r="AJ1223" s="2318"/>
      <c r="AK1223" s="2318"/>
      <c r="AL1223" s="2318"/>
      <c r="AM1223" s="2318"/>
    </row>
    <row r="1224" spans="1:76" s="2320" customFormat="1" ht="39" customHeight="1">
      <c r="A1224" s="616"/>
      <c r="B1224" s="383"/>
      <c r="C1224" s="753"/>
      <c r="D1224" s="753"/>
      <c r="E1224" s="753"/>
      <c r="F1224" s="753"/>
      <c r="G1224" s="753"/>
      <c r="H1224" s="753"/>
      <c r="I1224" s="1237"/>
      <c r="J1224" s="383" t="s">
        <v>1327</v>
      </c>
      <c r="K1224" s="2818">
        <v>1063225</v>
      </c>
      <c r="L1224" s="2819"/>
      <c r="M1224" s="2818">
        <v>333218.40000000002</v>
      </c>
      <c r="N1224" s="2819"/>
      <c r="O1224" s="2818">
        <v>166740</v>
      </c>
      <c r="P1224" s="2819"/>
      <c r="Q1224" s="2818">
        <v>83800</v>
      </c>
      <c r="R1224" s="1194"/>
      <c r="S1224" s="1227">
        <v>57018</v>
      </c>
      <c r="T1224" s="1194"/>
      <c r="U1224" s="1227">
        <v>11200</v>
      </c>
      <c r="V1224" s="629"/>
      <c r="W1224" s="1227">
        <v>0</v>
      </c>
      <c r="X1224" s="1227"/>
      <c r="Y1224" s="2819">
        <f t="shared" si="401"/>
        <v>152018</v>
      </c>
      <c r="Z1224" s="629">
        <f t="shared" si="402"/>
        <v>0</v>
      </c>
      <c r="AA1224" s="2819">
        <f t="shared" si="415"/>
        <v>485236.4</v>
      </c>
      <c r="AB1224" s="629">
        <f t="shared" si="418"/>
        <v>0</v>
      </c>
      <c r="AC1224" s="2820">
        <f t="shared" si="416"/>
        <v>45.638166897881447</v>
      </c>
      <c r="AD1224" s="2821"/>
      <c r="AE1224" s="753"/>
      <c r="AG1224" s="3232"/>
      <c r="AH1224" s="2318"/>
      <c r="AI1224" s="2318"/>
      <c r="AJ1224" s="2318"/>
      <c r="AK1224" s="2318"/>
      <c r="AL1224" s="2318"/>
      <c r="AM1224" s="2318"/>
    </row>
    <row r="1225" spans="1:76" s="2320" customFormat="1" ht="39" customHeight="1">
      <c r="A1225" s="616"/>
      <c r="B1225" s="383"/>
      <c r="C1225" s="753"/>
      <c r="D1225" s="753"/>
      <c r="E1225" s="753"/>
      <c r="F1225" s="753"/>
      <c r="G1225" s="753"/>
      <c r="H1225" s="753"/>
      <c r="I1225" s="1237"/>
      <c r="J1225" s="383" t="s">
        <v>1328</v>
      </c>
      <c r="K1225" s="2818">
        <v>66118</v>
      </c>
      <c r="L1225" s="2819"/>
      <c r="M1225" s="2818">
        <v>20938</v>
      </c>
      <c r="N1225" s="2819"/>
      <c r="O1225" s="2818">
        <v>10963</v>
      </c>
      <c r="P1225" s="2819"/>
      <c r="Q1225" s="2818">
        <v>2957</v>
      </c>
      <c r="R1225" s="1194"/>
      <c r="S1225" s="1227">
        <v>4488</v>
      </c>
      <c r="T1225" s="1194"/>
      <c r="U1225" s="1227">
        <v>211</v>
      </c>
      <c r="V1225" s="629"/>
      <c r="W1225" s="1227">
        <v>0</v>
      </c>
      <c r="X1225" s="1227"/>
      <c r="Y1225" s="2819">
        <f t="shared" si="401"/>
        <v>7656</v>
      </c>
      <c r="Z1225" s="629">
        <f t="shared" si="402"/>
        <v>0</v>
      </c>
      <c r="AA1225" s="2819">
        <f t="shared" si="415"/>
        <v>28594</v>
      </c>
      <c r="AB1225" s="629">
        <f t="shared" si="418"/>
        <v>0</v>
      </c>
      <c r="AC1225" s="2820">
        <f t="shared" si="416"/>
        <v>43.246922169454614</v>
      </c>
      <c r="AD1225" s="2821"/>
      <c r="AE1225" s="753"/>
      <c r="AG1225" s="3232"/>
      <c r="AH1225" s="2318"/>
      <c r="AI1225" s="2318"/>
      <c r="AJ1225" s="2318"/>
      <c r="AK1225" s="2318"/>
      <c r="AL1225" s="2318"/>
      <c r="AM1225" s="2318"/>
    </row>
    <row r="1226" spans="1:76" s="2320" customFormat="1" ht="39" customHeight="1">
      <c r="A1226" s="616"/>
      <c r="B1226" s="383"/>
      <c r="C1226" s="753"/>
      <c r="D1226" s="753"/>
      <c r="E1226" s="753"/>
      <c r="F1226" s="753"/>
      <c r="G1226" s="753"/>
      <c r="H1226" s="753"/>
      <c r="I1226" s="1237"/>
      <c r="J1226" s="383" t="s">
        <v>1329</v>
      </c>
      <c r="K1226" s="2818">
        <v>41090</v>
      </c>
      <c r="L1226" s="2819"/>
      <c r="M1226" s="2818">
        <v>11177</v>
      </c>
      <c r="N1226" s="2819"/>
      <c r="O1226" s="2818">
        <v>6817</v>
      </c>
      <c r="P1226" s="2819"/>
      <c r="Q1226" s="2818">
        <v>2577</v>
      </c>
      <c r="R1226" s="1194"/>
      <c r="S1226" s="1227">
        <v>1350</v>
      </c>
      <c r="T1226" s="1194"/>
      <c r="U1226" s="1227">
        <v>748</v>
      </c>
      <c r="V1226" s="629"/>
      <c r="W1226" s="1227">
        <v>0</v>
      </c>
      <c r="X1226" s="1227"/>
      <c r="Y1226" s="2819">
        <f t="shared" si="401"/>
        <v>4675</v>
      </c>
      <c r="Z1226" s="629">
        <f t="shared" si="402"/>
        <v>0</v>
      </c>
      <c r="AA1226" s="2819">
        <f t="shared" si="415"/>
        <v>15852</v>
      </c>
      <c r="AB1226" s="629">
        <f t="shared" si="418"/>
        <v>0</v>
      </c>
      <c r="AC1226" s="2820">
        <f t="shared" si="416"/>
        <v>38.578729617911897</v>
      </c>
      <c r="AD1226" s="2821"/>
      <c r="AE1226" s="753"/>
      <c r="AG1226" s="3232"/>
      <c r="AH1226" s="2318"/>
      <c r="AI1226" s="2318"/>
      <c r="AJ1226" s="2318"/>
      <c r="AK1226" s="2318"/>
      <c r="AL1226" s="2318"/>
      <c r="AM1226" s="2318"/>
    </row>
    <row r="1227" spans="1:76" s="2320" customFormat="1" ht="39" customHeight="1">
      <c r="A1227" s="616"/>
      <c r="B1227" s="383"/>
      <c r="C1227" s="753"/>
      <c r="D1227" s="753"/>
      <c r="E1227" s="753"/>
      <c r="F1227" s="753"/>
      <c r="G1227" s="753"/>
      <c r="H1227" s="753"/>
      <c r="I1227" s="1237"/>
      <c r="J1227" s="383" t="s">
        <v>1330</v>
      </c>
      <c r="K1227" s="2818">
        <v>1783</v>
      </c>
      <c r="L1227" s="2819"/>
      <c r="M1227" s="2818">
        <v>496.9</v>
      </c>
      <c r="N1227" s="2819"/>
      <c r="O1227" s="2818">
        <v>288</v>
      </c>
      <c r="P1227" s="2819"/>
      <c r="Q1227" s="2818">
        <v>134</v>
      </c>
      <c r="R1227" s="1194"/>
      <c r="S1227" s="1227">
        <v>78</v>
      </c>
      <c r="T1227" s="1194"/>
      <c r="U1227" s="1227">
        <v>8</v>
      </c>
      <c r="V1227" s="629"/>
      <c r="W1227" s="1227">
        <v>0</v>
      </c>
      <c r="X1227" s="1227"/>
      <c r="Y1227" s="2819">
        <f t="shared" si="401"/>
        <v>220</v>
      </c>
      <c r="Z1227" s="629">
        <f t="shared" si="402"/>
        <v>0</v>
      </c>
      <c r="AA1227" s="2819">
        <f t="shared" si="415"/>
        <v>716.9</v>
      </c>
      <c r="AB1227" s="629">
        <f t="shared" si="418"/>
        <v>0</v>
      </c>
      <c r="AC1227" s="2820">
        <f t="shared" si="416"/>
        <v>40.207515423443638</v>
      </c>
      <c r="AD1227" s="2821"/>
      <c r="AE1227" s="753"/>
      <c r="AG1227" s="3232"/>
      <c r="AH1227" s="2318"/>
      <c r="AI1227" s="2318"/>
      <c r="AJ1227" s="2318"/>
      <c r="AK1227" s="2318"/>
      <c r="AL1227" s="2318"/>
      <c r="AM1227" s="2318"/>
    </row>
    <row r="1228" spans="1:76" s="2320" customFormat="1" ht="39" customHeight="1">
      <c r="A1228" s="616"/>
      <c r="B1228" s="383"/>
      <c r="C1228" s="753"/>
      <c r="D1228" s="753"/>
      <c r="E1228" s="753"/>
      <c r="F1228" s="753"/>
      <c r="G1228" s="753"/>
      <c r="H1228" s="753"/>
      <c r="I1228" s="1237"/>
      <c r="J1228" s="383" t="s">
        <v>1331</v>
      </c>
      <c r="K1228" s="2818">
        <v>8547</v>
      </c>
      <c r="L1228" s="2819"/>
      <c r="M1228" s="2818">
        <v>2198.3000000000002</v>
      </c>
      <c r="N1228" s="2819"/>
      <c r="O1228" s="2818">
        <v>1424</v>
      </c>
      <c r="P1228" s="2819"/>
      <c r="Q1228" s="2818">
        <v>226</v>
      </c>
      <c r="R1228" s="1194"/>
      <c r="S1228" s="1227">
        <v>212</v>
      </c>
      <c r="T1228" s="1194"/>
      <c r="U1228" s="1227">
        <v>210</v>
      </c>
      <c r="V1228" s="629"/>
      <c r="W1228" s="1227">
        <v>0</v>
      </c>
      <c r="X1228" s="1227"/>
      <c r="Y1228" s="2819">
        <f t="shared" si="401"/>
        <v>648</v>
      </c>
      <c r="Z1228" s="629">
        <f t="shared" si="402"/>
        <v>0</v>
      </c>
      <c r="AA1228" s="2819">
        <f t="shared" si="415"/>
        <v>2846.3</v>
      </c>
      <c r="AB1228" s="629">
        <f t="shared" si="418"/>
        <v>0</v>
      </c>
      <c r="AC1228" s="2820">
        <f t="shared" si="416"/>
        <v>33.301743301743301</v>
      </c>
      <c r="AD1228" s="2821"/>
      <c r="AE1228" s="753"/>
      <c r="AG1228" s="3232"/>
      <c r="AH1228" s="2318"/>
      <c r="AI1228" s="2318"/>
      <c r="AJ1228" s="2318"/>
      <c r="AK1228" s="2318"/>
      <c r="AL1228" s="2318"/>
      <c r="AM1228" s="2318"/>
    </row>
    <row r="1229" spans="1:76" s="2320" customFormat="1" ht="39" customHeight="1">
      <c r="A1229" s="616"/>
      <c r="B1229" s="383"/>
      <c r="C1229" s="753"/>
      <c r="D1229" s="753"/>
      <c r="E1229" s="753"/>
      <c r="F1229" s="753"/>
      <c r="G1229" s="753"/>
      <c r="H1229" s="753"/>
      <c r="I1229" s="1237"/>
      <c r="J1229" s="383" t="s">
        <v>1332</v>
      </c>
      <c r="K1229" s="2818">
        <v>7315</v>
      </c>
      <c r="L1229" s="2819"/>
      <c r="M1229" s="2818">
        <v>1989</v>
      </c>
      <c r="N1229" s="2819"/>
      <c r="O1229" s="2818">
        <v>1234</v>
      </c>
      <c r="P1229" s="2819"/>
      <c r="Q1229" s="2818">
        <v>661</v>
      </c>
      <c r="R1229" s="1194"/>
      <c r="S1229" s="1227">
        <v>612</v>
      </c>
      <c r="T1229" s="1194"/>
      <c r="U1229" s="1227">
        <v>14</v>
      </c>
      <c r="V1229" s="629"/>
      <c r="W1229" s="1227">
        <v>0</v>
      </c>
      <c r="X1229" s="1227"/>
      <c r="Y1229" s="2819">
        <f t="shared" si="401"/>
        <v>1287</v>
      </c>
      <c r="Z1229" s="629">
        <f t="shared" si="402"/>
        <v>0</v>
      </c>
      <c r="AA1229" s="2819">
        <f t="shared" si="415"/>
        <v>3276</v>
      </c>
      <c r="AB1229" s="629">
        <f t="shared" si="418"/>
        <v>0</v>
      </c>
      <c r="AC1229" s="2820">
        <f t="shared" si="416"/>
        <v>44.784688995215312</v>
      </c>
      <c r="AD1229" s="2821"/>
      <c r="AE1229" s="753"/>
      <c r="AG1229" s="3232"/>
      <c r="AH1229" s="2318"/>
      <c r="AI1229" s="2318"/>
      <c r="AJ1229" s="2318"/>
      <c r="AK1229" s="2318"/>
      <c r="AL1229" s="2318"/>
      <c r="AM1229" s="2318"/>
    </row>
    <row r="1230" spans="1:76" s="2320" customFormat="1" ht="39" customHeight="1">
      <c r="A1230" s="616"/>
      <c r="B1230" s="383"/>
      <c r="C1230" s="753"/>
      <c r="D1230" s="753"/>
      <c r="E1230" s="753"/>
      <c r="F1230" s="753"/>
      <c r="G1230" s="753"/>
      <c r="H1230" s="753"/>
      <c r="I1230" s="1237"/>
      <c r="J1230" s="383" t="s">
        <v>1333</v>
      </c>
      <c r="K1230" s="2818">
        <v>1970</v>
      </c>
      <c r="L1230" s="2819"/>
      <c r="M1230" s="2818">
        <v>722.4</v>
      </c>
      <c r="N1230" s="2819"/>
      <c r="O1230" s="2818">
        <v>325</v>
      </c>
      <c r="P1230" s="2819"/>
      <c r="Q1230" s="2818">
        <v>53</v>
      </c>
      <c r="R1230" s="1194"/>
      <c r="S1230" s="1227">
        <v>143</v>
      </c>
      <c r="T1230" s="1194"/>
      <c r="U1230" s="1227">
        <v>97</v>
      </c>
      <c r="V1230" s="629"/>
      <c r="W1230" s="1227">
        <v>0</v>
      </c>
      <c r="X1230" s="1227"/>
      <c r="Y1230" s="2819">
        <f t="shared" si="401"/>
        <v>293</v>
      </c>
      <c r="Z1230" s="629">
        <f t="shared" si="402"/>
        <v>0</v>
      </c>
      <c r="AA1230" s="2819">
        <f t="shared" si="415"/>
        <v>1015.4</v>
      </c>
      <c r="AB1230" s="629">
        <f t="shared" si="418"/>
        <v>0</v>
      </c>
      <c r="AC1230" s="2820">
        <f t="shared" si="416"/>
        <v>51.54314720812183</v>
      </c>
      <c r="AD1230" s="2821"/>
      <c r="AE1230" s="753"/>
      <c r="AG1230" s="3232"/>
      <c r="AH1230" s="2318"/>
      <c r="AI1230" s="2318"/>
      <c r="AJ1230" s="2318"/>
      <c r="AK1230" s="2318"/>
      <c r="AL1230" s="2318"/>
      <c r="AM1230" s="2318"/>
    </row>
    <row r="1231" spans="1:76" s="2321" customFormat="1" ht="41.25" customHeight="1">
      <c r="A1231" s="64"/>
      <c r="B1231" s="2632"/>
      <c r="C1231" s="3794"/>
      <c r="D1231" s="3794"/>
      <c r="E1231" s="3794"/>
      <c r="F1231" s="3794"/>
      <c r="G1231" s="3794"/>
      <c r="H1231" s="3794"/>
      <c r="I1231" s="2634" t="s">
        <v>1334</v>
      </c>
      <c r="J1231" s="2632" t="s">
        <v>1335</v>
      </c>
      <c r="K1231" s="2388">
        <v>23250</v>
      </c>
      <c r="L1231" s="2389">
        <v>4573073000</v>
      </c>
      <c r="M1231" s="2349">
        <v>7407</v>
      </c>
      <c r="N1231" s="2389">
        <v>372540000</v>
      </c>
      <c r="O1231" s="2349">
        <v>82040</v>
      </c>
      <c r="P1231" s="2389">
        <v>622722037.75</v>
      </c>
      <c r="Q1231" s="2389">
        <v>0</v>
      </c>
      <c r="R1231" s="1400">
        <v>9046200</v>
      </c>
      <c r="S1231" s="2276">
        <v>0</v>
      </c>
      <c r="T1231" s="1400">
        <v>113664718</v>
      </c>
      <c r="U1231" s="2276">
        <v>0</v>
      </c>
      <c r="V1231" s="2304">
        <v>11105000</v>
      </c>
      <c r="W1231" s="2276">
        <f t="shared" ref="W1231:W1236" si="419">Q1231+S1231+U1231</f>
        <v>0</v>
      </c>
      <c r="X1231" s="2276">
        <v>0</v>
      </c>
      <c r="Y1231" s="2389">
        <f t="shared" si="401"/>
        <v>0</v>
      </c>
      <c r="Z1231" s="2304">
        <f t="shared" si="402"/>
        <v>133815918</v>
      </c>
      <c r="AA1231" s="2389">
        <f t="shared" si="415"/>
        <v>7407</v>
      </c>
      <c r="AB1231" s="2304">
        <f t="shared" si="418"/>
        <v>506355918</v>
      </c>
      <c r="AC1231" s="2386">
        <f t="shared" si="416"/>
        <v>31.85806451612903</v>
      </c>
      <c r="AD1231" s="2386">
        <f t="shared" si="417"/>
        <v>11.072552701432931</v>
      </c>
      <c r="AE1231" s="3160"/>
      <c r="AF1231" s="2320"/>
      <c r="AG1231" s="3232"/>
      <c r="AH1231" s="2318"/>
      <c r="AI1231" s="2318"/>
      <c r="AJ1231" s="2318"/>
      <c r="AK1231" s="2318"/>
      <c r="AL1231" s="2318"/>
      <c r="AM1231" s="2318"/>
      <c r="AN1231" s="2320"/>
      <c r="AO1231" s="2320"/>
      <c r="AP1231" s="2320"/>
      <c r="AQ1231" s="2320"/>
      <c r="AR1231" s="2320"/>
      <c r="AS1231" s="2320"/>
      <c r="AT1231" s="2320"/>
      <c r="AU1231" s="2320"/>
      <c r="AV1231" s="2320"/>
      <c r="AW1231" s="2320"/>
      <c r="AX1231" s="2320"/>
      <c r="AY1231" s="2320"/>
      <c r="AZ1231" s="2320"/>
      <c r="BA1231" s="2320"/>
      <c r="BB1231" s="2320"/>
      <c r="BC1231" s="2320"/>
      <c r="BD1231" s="2320"/>
      <c r="BE1231" s="2320"/>
      <c r="BF1231" s="2320"/>
      <c r="BG1231" s="2320"/>
      <c r="BH1231" s="2320"/>
      <c r="BI1231" s="2320"/>
      <c r="BJ1231" s="2320"/>
      <c r="BK1231" s="2320"/>
      <c r="BL1231" s="2320"/>
      <c r="BM1231" s="2320"/>
      <c r="BN1231" s="2320"/>
      <c r="BO1231" s="2320"/>
      <c r="BP1231" s="2320"/>
      <c r="BQ1231" s="2320"/>
      <c r="BR1231" s="2320"/>
      <c r="BS1231" s="2320"/>
      <c r="BT1231" s="2320"/>
      <c r="BU1231" s="2320"/>
      <c r="BV1231" s="2320"/>
      <c r="BW1231" s="2320"/>
      <c r="BX1231" s="2320"/>
    </row>
    <row r="1232" spans="1:76" s="2321" customFormat="1" ht="41.25" customHeight="1">
      <c r="A1232" s="64"/>
      <c r="B1232" s="2632"/>
      <c r="C1232" s="3794"/>
      <c r="D1232" s="3794"/>
      <c r="E1232" s="3794"/>
      <c r="F1232" s="3794"/>
      <c r="G1232" s="3794"/>
      <c r="H1232" s="3794"/>
      <c r="I1232" s="2631" t="s">
        <v>1336</v>
      </c>
      <c r="J1232" s="3140" t="s">
        <v>1337</v>
      </c>
      <c r="K1232" s="2635">
        <v>6</v>
      </c>
      <c r="L1232" s="2635">
        <v>1016642000</v>
      </c>
      <c r="M1232" s="3143">
        <v>2</v>
      </c>
      <c r="N1232" s="2389">
        <v>288962000</v>
      </c>
      <c r="O1232" s="3143">
        <v>1</v>
      </c>
      <c r="P1232" s="2389">
        <v>195647200</v>
      </c>
      <c r="Q1232" s="2389">
        <v>0</v>
      </c>
      <c r="R1232" s="1400">
        <v>13039900</v>
      </c>
      <c r="S1232" s="2276">
        <v>0</v>
      </c>
      <c r="T1232" s="1400">
        <v>20870000</v>
      </c>
      <c r="U1232" s="2276">
        <v>0</v>
      </c>
      <c r="V1232" s="2304">
        <v>44860000</v>
      </c>
      <c r="W1232" s="2276">
        <f t="shared" si="419"/>
        <v>0</v>
      </c>
      <c r="X1232" s="2276">
        <v>0</v>
      </c>
      <c r="Y1232" s="2389">
        <f t="shared" si="401"/>
        <v>0</v>
      </c>
      <c r="Z1232" s="2304">
        <f t="shared" si="402"/>
        <v>78769900</v>
      </c>
      <c r="AA1232" s="2389">
        <f t="shared" si="415"/>
        <v>2</v>
      </c>
      <c r="AB1232" s="2304">
        <f t="shared" si="418"/>
        <v>367731900</v>
      </c>
      <c r="AC1232" s="2386">
        <f t="shared" si="416"/>
        <v>33.333333333333329</v>
      </c>
      <c r="AD1232" s="2386">
        <f t="shared" si="417"/>
        <v>36.171228416689452</v>
      </c>
      <c r="AE1232" s="3160"/>
      <c r="AF1232" s="2320"/>
      <c r="AG1232" s="3232"/>
      <c r="AH1232" s="2318"/>
      <c r="AI1232" s="2318"/>
      <c r="AJ1232" s="2318"/>
      <c r="AK1232" s="2318"/>
      <c r="AL1232" s="2318"/>
      <c r="AM1232" s="2318"/>
      <c r="AN1232" s="2320"/>
      <c r="AO1232" s="2320"/>
      <c r="AP1232" s="2320"/>
      <c r="AQ1232" s="2320"/>
      <c r="AR1232" s="2320"/>
      <c r="AS1232" s="2320"/>
      <c r="AT1232" s="2320"/>
      <c r="AU1232" s="2320"/>
      <c r="AV1232" s="2320"/>
      <c r="AW1232" s="2320"/>
      <c r="AX1232" s="2320"/>
      <c r="AY1232" s="2320"/>
      <c r="AZ1232" s="2320"/>
      <c r="BA1232" s="2320"/>
      <c r="BB1232" s="2320"/>
      <c r="BC1232" s="2320"/>
      <c r="BD1232" s="2320"/>
      <c r="BE1232" s="2320"/>
      <c r="BF1232" s="2320"/>
      <c r="BG1232" s="2320"/>
      <c r="BH1232" s="2320"/>
      <c r="BI1232" s="2320"/>
      <c r="BJ1232" s="2320"/>
      <c r="BK1232" s="2320"/>
      <c r="BL1232" s="2320"/>
      <c r="BM1232" s="2320"/>
      <c r="BN1232" s="2320"/>
      <c r="BO1232" s="2320"/>
      <c r="BP1232" s="2320"/>
      <c r="BQ1232" s="2320"/>
      <c r="BR1232" s="2320"/>
      <c r="BS1232" s="2320"/>
      <c r="BT1232" s="2320"/>
      <c r="BU1232" s="2320"/>
      <c r="BV1232" s="2320"/>
      <c r="BW1232" s="2320"/>
      <c r="BX1232" s="2320"/>
    </row>
    <row r="1233" spans="1:76" s="2321" customFormat="1" ht="41.25" customHeight="1">
      <c r="A1233" s="64"/>
      <c r="B1233" s="2632"/>
      <c r="C1233" s="3794"/>
      <c r="D1233" s="3794"/>
      <c r="E1233" s="3794"/>
      <c r="F1233" s="3794"/>
      <c r="G1233" s="3794"/>
      <c r="H1233" s="3794"/>
      <c r="I1233" s="2631" t="s">
        <v>1338</v>
      </c>
      <c r="J1233" s="2632" t="s">
        <v>1339</v>
      </c>
      <c r="K1233" s="2349">
        <v>75</v>
      </c>
      <c r="L1233" s="2389">
        <v>651000000</v>
      </c>
      <c r="M1233" s="2388">
        <v>15</v>
      </c>
      <c r="N1233" s="2388">
        <v>249321000</v>
      </c>
      <c r="O1233" s="2349">
        <v>15</v>
      </c>
      <c r="P1233" s="2389">
        <v>147579020</v>
      </c>
      <c r="Q1233" s="2389">
        <v>0</v>
      </c>
      <c r="R1233" s="1400">
        <v>7000000</v>
      </c>
      <c r="S1233" s="2276">
        <v>4</v>
      </c>
      <c r="T1233" s="1400">
        <v>104310500</v>
      </c>
      <c r="U1233" s="2276">
        <v>5</v>
      </c>
      <c r="V1233" s="2304">
        <v>17701000</v>
      </c>
      <c r="W1233" s="2276">
        <f t="shared" si="419"/>
        <v>9</v>
      </c>
      <c r="X1233" s="2276">
        <v>0</v>
      </c>
      <c r="Y1233" s="2389">
        <f t="shared" si="401"/>
        <v>18</v>
      </c>
      <c r="Z1233" s="2304">
        <f t="shared" si="402"/>
        <v>129011500</v>
      </c>
      <c r="AA1233" s="2389">
        <f t="shared" si="415"/>
        <v>33</v>
      </c>
      <c r="AB1233" s="2304">
        <f t="shared" si="418"/>
        <v>378332500</v>
      </c>
      <c r="AC1233" s="2386">
        <f t="shared" si="416"/>
        <v>44</v>
      </c>
      <c r="AD1233" s="2386">
        <f t="shared" si="417"/>
        <v>58.115591397849464</v>
      </c>
      <c r="AE1233" s="3160"/>
      <c r="AF1233" s="2320"/>
      <c r="AG1233" s="3232"/>
      <c r="AH1233" s="2318"/>
      <c r="AI1233" s="2318"/>
      <c r="AJ1233" s="2318"/>
      <c r="AK1233" s="2318"/>
      <c r="AL1233" s="2318"/>
      <c r="AM1233" s="2318"/>
      <c r="AN1233" s="2320"/>
      <c r="AO1233" s="2320"/>
      <c r="AP1233" s="2320"/>
      <c r="AQ1233" s="2320"/>
      <c r="AR1233" s="2320"/>
      <c r="AS1233" s="2320"/>
      <c r="AT1233" s="2320"/>
      <c r="AU1233" s="2320"/>
      <c r="AV1233" s="2320"/>
      <c r="AW1233" s="2320"/>
      <c r="AX1233" s="2320"/>
      <c r="AY1233" s="2320"/>
      <c r="AZ1233" s="2320"/>
      <c r="BA1233" s="2320"/>
      <c r="BB1233" s="2320"/>
      <c r="BC1233" s="2320"/>
      <c r="BD1233" s="2320"/>
      <c r="BE1233" s="2320"/>
      <c r="BF1233" s="2320"/>
      <c r="BG1233" s="2320"/>
      <c r="BH1233" s="2320"/>
      <c r="BI1233" s="2320"/>
      <c r="BJ1233" s="2320"/>
      <c r="BK1233" s="2320"/>
      <c r="BL1233" s="2320"/>
      <c r="BM1233" s="2320"/>
      <c r="BN1233" s="2320"/>
      <c r="BO1233" s="2320"/>
      <c r="BP1233" s="2320"/>
      <c r="BQ1233" s="2320"/>
      <c r="BR1233" s="2320"/>
      <c r="BS1233" s="2320"/>
      <c r="BT1233" s="2320"/>
      <c r="BU1233" s="2320"/>
      <c r="BV1233" s="2320"/>
      <c r="BW1233" s="2320"/>
      <c r="BX1233" s="2320"/>
    </row>
    <row r="1234" spans="1:76" s="2321" customFormat="1" ht="45.75" customHeight="1">
      <c r="A1234" s="64"/>
      <c r="B1234" s="2632"/>
      <c r="C1234" s="3794"/>
      <c r="D1234" s="3794"/>
      <c r="E1234" s="3794"/>
      <c r="F1234" s="3794"/>
      <c r="G1234" s="3794"/>
      <c r="H1234" s="3794"/>
      <c r="I1234" s="2631" t="s">
        <v>1340</v>
      </c>
      <c r="J1234" s="2632" t="s">
        <v>1341</v>
      </c>
      <c r="K1234" s="2349">
        <v>10</v>
      </c>
      <c r="L1234" s="2389">
        <v>1231119000</v>
      </c>
      <c r="M1234" s="2387">
        <v>2</v>
      </c>
      <c r="N1234" s="2389">
        <v>232176000</v>
      </c>
      <c r="O1234" s="2349">
        <v>4</v>
      </c>
      <c r="P1234" s="2389">
        <v>387027680</v>
      </c>
      <c r="Q1234" s="2389">
        <v>0</v>
      </c>
      <c r="R1234" s="1400">
        <v>6335000</v>
      </c>
      <c r="S1234" s="2276">
        <v>0</v>
      </c>
      <c r="T1234" s="1400">
        <v>208275650</v>
      </c>
      <c r="U1234" s="2276">
        <v>0</v>
      </c>
      <c r="V1234" s="2304">
        <v>16562000</v>
      </c>
      <c r="W1234" s="2276">
        <f t="shared" si="419"/>
        <v>0</v>
      </c>
      <c r="X1234" s="2276">
        <v>0</v>
      </c>
      <c r="Y1234" s="2389">
        <f t="shared" si="401"/>
        <v>0</v>
      </c>
      <c r="Z1234" s="2304">
        <f t="shared" si="402"/>
        <v>231172650</v>
      </c>
      <c r="AA1234" s="2389">
        <f t="shared" si="415"/>
        <v>2</v>
      </c>
      <c r="AB1234" s="2304">
        <f t="shared" si="418"/>
        <v>463348650</v>
      </c>
      <c r="AC1234" s="2386">
        <f t="shared" si="416"/>
        <v>20</v>
      </c>
      <c r="AD1234" s="2386">
        <f t="shared" si="417"/>
        <v>37.636382023183785</v>
      </c>
      <c r="AE1234" s="3160"/>
      <c r="AF1234" s="2320"/>
      <c r="AG1234" s="3232"/>
      <c r="AH1234" s="2318"/>
      <c r="AI1234" s="2318"/>
      <c r="AJ1234" s="2318"/>
      <c r="AK1234" s="2318"/>
      <c r="AL1234" s="2318"/>
      <c r="AM1234" s="2318"/>
      <c r="AN1234" s="2320"/>
      <c r="AO1234" s="2320"/>
      <c r="AP1234" s="2320"/>
      <c r="AQ1234" s="2320"/>
      <c r="AR1234" s="2320"/>
      <c r="AS1234" s="2320"/>
      <c r="AT1234" s="2320"/>
      <c r="AU1234" s="2320"/>
      <c r="AV1234" s="2320"/>
      <c r="AW1234" s="2320"/>
      <c r="AX1234" s="2320"/>
      <c r="AY1234" s="2320"/>
      <c r="AZ1234" s="2320"/>
      <c r="BA1234" s="2320"/>
      <c r="BB1234" s="2320"/>
      <c r="BC1234" s="2320"/>
      <c r="BD1234" s="2320"/>
      <c r="BE1234" s="2320"/>
      <c r="BF1234" s="2320"/>
      <c r="BG1234" s="2320"/>
      <c r="BH1234" s="2320"/>
      <c r="BI1234" s="2320"/>
      <c r="BJ1234" s="2320"/>
      <c r="BK1234" s="2320"/>
      <c r="BL1234" s="2320"/>
      <c r="BM1234" s="2320"/>
      <c r="BN1234" s="2320"/>
      <c r="BO1234" s="2320"/>
      <c r="BP1234" s="2320"/>
      <c r="BQ1234" s="2320"/>
      <c r="BR1234" s="2320"/>
      <c r="BS1234" s="2320"/>
      <c r="BT1234" s="2320"/>
      <c r="BU1234" s="2320"/>
      <c r="BV1234" s="2320"/>
      <c r="BW1234" s="2320"/>
      <c r="BX1234" s="2320"/>
    </row>
    <row r="1235" spans="1:76" s="2321" customFormat="1" ht="58.5" customHeight="1">
      <c r="A1235" s="64"/>
      <c r="B1235" s="2632"/>
      <c r="C1235" s="3794"/>
      <c r="D1235" s="3794"/>
      <c r="E1235" s="3794"/>
      <c r="F1235" s="3794"/>
      <c r="G1235" s="3794"/>
      <c r="H1235" s="3794"/>
      <c r="I1235" s="2631" t="s">
        <v>1342</v>
      </c>
      <c r="J1235" s="2632" t="s">
        <v>1343</v>
      </c>
      <c r="K1235" s="2349">
        <f>3*125</f>
        <v>375</v>
      </c>
      <c r="L1235" s="2389">
        <v>2341856000</v>
      </c>
      <c r="M1235" s="2387">
        <v>125</v>
      </c>
      <c r="N1235" s="2389">
        <v>640563000</v>
      </c>
      <c r="O1235" s="2349">
        <v>25</v>
      </c>
      <c r="P1235" s="2389">
        <v>314562430</v>
      </c>
      <c r="Q1235" s="2389">
        <v>0</v>
      </c>
      <c r="R1235" s="1400">
        <v>4481400</v>
      </c>
      <c r="S1235" s="2276">
        <v>0</v>
      </c>
      <c r="T1235" s="1400">
        <v>4563600</v>
      </c>
      <c r="U1235" s="2276">
        <v>0</v>
      </c>
      <c r="V1235" s="2304">
        <v>3395000</v>
      </c>
      <c r="W1235" s="2276">
        <f t="shared" si="419"/>
        <v>0</v>
      </c>
      <c r="X1235" s="2276">
        <v>0</v>
      </c>
      <c r="Y1235" s="2389">
        <f t="shared" si="401"/>
        <v>0</v>
      </c>
      <c r="Z1235" s="2304">
        <f t="shared" si="402"/>
        <v>12440000</v>
      </c>
      <c r="AA1235" s="2389">
        <f t="shared" si="415"/>
        <v>125</v>
      </c>
      <c r="AB1235" s="2304">
        <f t="shared" si="418"/>
        <v>653003000</v>
      </c>
      <c r="AC1235" s="2386">
        <f t="shared" si="416"/>
        <v>33.333333333333329</v>
      </c>
      <c r="AD1235" s="2386">
        <f t="shared" si="417"/>
        <v>27.88399457524288</v>
      </c>
      <c r="AE1235" s="3160"/>
      <c r="AF1235" s="2320"/>
      <c r="AG1235" s="3232"/>
      <c r="AH1235" s="2318"/>
      <c r="AI1235" s="2318"/>
      <c r="AJ1235" s="2318"/>
      <c r="AK1235" s="2318"/>
      <c r="AL1235" s="2318"/>
      <c r="AM1235" s="2318"/>
      <c r="AN1235" s="2320"/>
      <c r="AO1235" s="2320"/>
      <c r="AP1235" s="2320"/>
      <c r="AQ1235" s="2320"/>
      <c r="AR1235" s="2320"/>
      <c r="AS1235" s="2320"/>
      <c r="AT1235" s="2320"/>
      <c r="AU1235" s="2320"/>
      <c r="AV1235" s="2320"/>
      <c r="AW1235" s="2320"/>
      <c r="AX1235" s="2320"/>
      <c r="AY1235" s="2320"/>
      <c r="AZ1235" s="2320"/>
      <c r="BA1235" s="2320"/>
      <c r="BB1235" s="2320"/>
      <c r="BC1235" s="2320"/>
      <c r="BD1235" s="2320"/>
      <c r="BE1235" s="2320"/>
      <c r="BF1235" s="2320"/>
      <c r="BG1235" s="2320"/>
      <c r="BH1235" s="2320"/>
      <c r="BI1235" s="2320"/>
      <c r="BJ1235" s="2320"/>
      <c r="BK1235" s="2320"/>
      <c r="BL1235" s="2320"/>
      <c r="BM1235" s="2320"/>
      <c r="BN1235" s="2320"/>
      <c r="BO1235" s="2320"/>
      <c r="BP1235" s="2320"/>
      <c r="BQ1235" s="2320"/>
      <c r="BR1235" s="2320"/>
      <c r="BS1235" s="2320"/>
      <c r="BT1235" s="2320"/>
      <c r="BU1235" s="2320"/>
      <c r="BV1235" s="2320"/>
      <c r="BW1235" s="2320"/>
      <c r="BX1235" s="2320"/>
    </row>
    <row r="1236" spans="1:76" s="2321" customFormat="1" ht="27.75" customHeight="1">
      <c r="A1236" s="64"/>
      <c r="B1236" s="2632"/>
      <c r="C1236" s="3794"/>
      <c r="D1236" s="3794"/>
      <c r="E1236" s="3794"/>
      <c r="F1236" s="3794"/>
      <c r="G1236" s="3794"/>
      <c r="H1236" s="3794"/>
      <c r="I1236" s="2631" t="s">
        <v>1344</v>
      </c>
      <c r="J1236" s="2632" t="s">
        <v>1345</v>
      </c>
      <c r="K1236" s="2349">
        <v>16</v>
      </c>
      <c r="L1236" s="2389">
        <v>113765000</v>
      </c>
      <c r="M1236" s="2387">
        <v>8</v>
      </c>
      <c r="N1236" s="2389">
        <v>54004000</v>
      </c>
      <c r="O1236" s="2349">
        <v>0</v>
      </c>
      <c r="P1236" s="2389">
        <v>28638000</v>
      </c>
      <c r="Q1236" s="2389">
        <v>0</v>
      </c>
      <c r="R1236" s="1400">
        <v>4893600</v>
      </c>
      <c r="S1236" s="2276">
        <v>0</v>
      </c>
      <c r="T1236" s="1400">
        <v>3697300</v>
      </c>
      <c r="U1236" s="2276">
        <v>0</v>
      </c>
      <c r="V1236" s="2304">
        <v>400000</v>
      </c>
      <c r="W1236" s="2276">
        <f t="shared" si="419"/>
        <v>0</v>
      </c>
      <c r="X1236" s="2276">
        <v>0</v>
      </c>
      <c r="Y1236" s="2389">
        <f t="shared" si="401"/>
        <v>0</v>
      </c>
      <c r="Z1236" s="2304">
        <f t="shared" si="402"/>
        <v>8990900</v>
      </c>
      <c r="AA1236" s="2389">
        <f t="shared" si="415"/>
        <v>8</v>
      </c>
      <c r="AB1236" s="2304">
        <f t="shared" si="418"/>
        <v>62994900</v>
      </c>
      <c r="AC1236" s="2386">
        <f t="shared" si="416"/>
        <v>50</v>
      </c>
      <c r="AD1236" s="2386">
        <f t="shared" si="417"/>
        <v>55.372829956489255</v>
      </c>
      <c r="AE1236" s="3160"/>
      <c r="AF1236" s="2320"/>
      <c r="AG1236" s="3232"/>
      <c r="AH1236" s="2318"/>
      <c r="AI1236" s="2318"/>
      <c r="AJ1236" s="2318"/>
      <c r="AK1236" s="2318"/>
      <c r="AL1236" s="2318"/>
      <c r="AM1236" s="2318"/>
      <c r="AN1236" s="2320"/>
      <c r="AO1236" s="2320"/>
      <c r="AP1236" s="2320"/>
      <c r="AQ1236" s="2320"/>
      <c r="AR1236" s="2320"/>
      <c r="AS1236" s="2320"/>
      <c r="AT1236" s="2320"/>
      <c r="AU1236" s="2320"/>
      <c r="AV1236" s="2320"/>
      <c r="AW1236" s="2320"/>
      <c r="AX1236" s="2320"/>
      <c r="AY1236" s="2320"/>
      <c r="AZ1236" s="2320"/>
      <c r="BA1236" s="2320"/>
      <c r="BB1236" s="2320"/>
      <c r="BC1236" s="2320"/>
      <c r="BD1236" s="2320"/>
      <c r="BE1236" s="2320"/>
      <c r="BF1236" s="2320"/>
      <c r="BG1236" s="2320"/>
      <c r="BH1236" s="2320"/>
      <c r="BI1236" s="2320"/>
      <c r="BJ1236" s="2320"/>
      <c r="BK1236" s="2320"/>
      <c r="BL1236" s="2320"/>
      <c r="BM1236" s="2320"/>
      <c r="BN1236" s="2320"/>
      <c r="BO1236" s="2320"/>
      <c r="BP1236" s="2320"/>
      <c r="BQ1236" s="2320"/>
      <c r="BR1236" s="2320"/>
      <c r="BS1236" s="2320"/>
      <c r="BT1236" s="2320"/>
      <c r="BU1236" s="2320"/>
      <c r="BV1236" s="2320"/>
      <c r="BW1236" s="2320"/>
      <c r="BX1236" s="2320"/>
    </row>
    <row r="1237" spans="1:76" s="2321" customFormat="1" ht="45" customHeight="1">
      <c r="A1237" s="64"/>
      <c r="B1237" s="2632"/>
      <c r="C1237" s="3794"/>
      <c r="D1237" s="3794"/>
      <c r="E1237" s="3794"/>
      <c r="F1237" s="3794"/>
      <c r="G1237" s="3794"/>
      <c r="H1237" s="3794"/>
      <c r="I1237" s="2631" t="s">
        <v>1346</v>
      </c>
      <c r="J1237" s="2632" t="s">
        <v>1347</v>
      </c>
      <c r="K1237" s="2349">
        <v>15</v>
      </c>
      <c r="L1237" s="2389">
        <v>2295690000</v>
      </c>
      <c r="M1237" s="2387">
        <v>4</v>
      </c>
      <c r="N1237" s="2389">
        <v>532998000</v>
      </c>
      <c r="O1237" s="2349">
        <v>2</v>
      </c>
      <c r="P1237" s="2389">
        <v>343819360</v>
      </c>
      <c r="Q1237" s="2389">
        <v>0</v>
      </c>
      <c r="R1237" s="1400">
        <v>0</v>
      </c>
      <c r="S1237" s="2276">
        <v>0</v>
      </c>
      <c r="T1237" s="1400">
        <v>134376600</v>
      </c>
      <c r="U1237" s="2276">
        <v>0</v>
      </c>
      <c r="V1237" s="2304">
        <v>3264000</v>
      </c>
      <c r="W1237" s="2276">
        <f t="shared" ref="W1237:W1245" si="420">Q1237+S1237+U1237</f>
        <v>0</v>
      </c>
      <c r="X1237" s="2276">
        <v>0</v>
      </c>
      <c r="Y1237" s="2389">
        <f t="shared" si="401"/>
        <v>0</v>
      </c>
      <c r="Z1237" s="2304">
        <f t="shared" si="402"/>
        <v>137640600</v>
      </c>
      <c r="AA1237" s="2389">
        <f t="shared" si="415"/>
        <v>4</v>
      </c>
      <c r="AB1237" s="2304">
        <f t="shared" si="418"/>
        <v>670638600</v>
      </c>
      <c r="AC1237" s="2386">
        <f t="shared" si="416"/>
        <v>26.666666666666668</v>
      </c>
      <c r="AD1237" s="2386">
        <f t="shared" si="417"/>
        <v>29.212942514015396</v>
      </c>
      <c r="AE1237" s="3160"/>
      <c r="AF1237" s="2320"/>
      <c r="AG1237" s="3232"/>
      <c r="AH1237" s="2318"/>
      <c r="AI1237" s="2318"/>
      <c r="AJ1237" s="2318"/>
      <c r="AK1237" s="2318"/>
      <c r="AL1237" s="2318"/>
      <c r="AM1237" s="2318"/>
      <c r="AN1237" s="2320"/>
      <c r="AO1237" s="2320"/>
      <c r="AP1237" s="2320"/>
      <c r="AQ1237" s="2320"/>
      <c r="AR1237" s="2320"/>
      <c r="AS1237" s="2320"/>
      <c r="AT1237" s="2320"/>
      <c r="AU1237" s="2320"/>
      <c r="AV1237" s="2320"/>
      <c r="AW1237" s="2320"/>
      <c r="AX1237" s="2320"/>
      <c r="AY1237" s="2320"/>
      <c r="AZ1237" s="2320"/>
      <c r="BA1237" s="2320"/>
      <c r="BB1237" s="2320"/>
      <c r="BC1237" s="2320"/>
      <c r="BD1237" s="2320"/>
      <c r="BE1237" s="2320"/>
      <c r="BF1237" s="2320"/>
      <c r="BG1237" s="2320"/>
      <c r="BH1237" s="2320"/>
      <c r="BI1237" s="2320"/>
      <c r="BJ1237" s="2320"/>
      <c r="BK1237" s="2320"/>
      <c r="BL1237" s="2320"/>
      <c r="BM1237" s="2320"/>
      <c r="BN1237" s="2320"/>
      <c r="BO1237" s="2320"/>
      <c r="BP1237" s="2320"/>
      <c r="BQ1237" s="2320"/>
      <c r="BR1237" s="2320"/>
      <c r="BS1237" s="2320"/>
      <c r="BT1237" s="2320"/>
      <c r="BU1237" s="2320"/>
      <c r="BV1237" s="2320"/>
      <c r="BW1237" s="2320"/>
      <c r="BX1237" s="2320"/>
    </row>
    <row r="1238" spans="1:76" s="2321" customFormat="1" ht="46.5" customHeight="1">
      <c r="A1238" s="64"/>
      <c r="B1238" s="2632"/>
      <c r="C1238" s="3794"/>
      <c r="D1238" s="3794"/>
      <c r="E1238" s="3794"/>
      <c r="F1238" s="3794"/>
      <c r="G1238" s="3794"/>
      <c r="H1238" s="3794"/>
      <c r="I1238" s="2631" t="s">
        <v>1348</v>
      </c>
      <c r="J1238" s="2632" t="s">
        <v>1349</v>
      </c>
      <c r="K1238" s="2387">
        <v>60</v>
      </c>
      <c r="L1238" s="2389">
        <v>276655000</v>
      </c>
      <c r="M1238" s="2387">
        <v>11</v>
      </c>
      <c r="N1238" s="2389">
        <v>161181000</v>
      </c>
      <c r="O1238" s="2387">
        <v>1</v>
      </c>
      <c r="P1238" s="2389">
        <v>50310100</v>
      </c>
      <c r="Q1238" s="2389">
        <v>0</v>
      </c>
      <c r="R1238" s="1400">
        <v>525000</v>
      </c>
      <c r="S1238" s="2276">
        <v>0</v>
      </c>
      <c r="T1238" s="1400">
        <v>3320500</v>
      </c>
      <c r="U1238" s="2276">
        <v>0</v>
      </c>
      <c r="V1238" s="2304">
        <v>20892000</v>
      </c>
      <c r="W1238" s="2276">
        <f t="shared" si="420"/>
        <v>0</v>
      </c>
      <c r="X1238" s="2276">
        <v>0</v>
      </c>
      <c r="Y1238" s="2389">
        <f t="shared" si="401"/>
        <v>0</v>
      </c>
      <c r="Z1238" s="2304">
        <f t="shared" si="402"/>
        <v>24737500</v>
      </c>
      <c r="AA1238" s="2389">
        <f t="shared" si="415"/>
        <v>11</v>
      </c>
      <c r="AB1238" s="2304">
        <f t="shared" si="418"/>
        <v>185918500</v>
      </c>
      <c r="AC1238" s="2386">
        <f t="shared" si="416"/>
        <v>18.333333333333332</v>
      </c>
      <c r="AD1238" s="2386">
        <f t="shared" si="417"/>
        <v>67.202291662901445</v>
      </c>
      <c r="AE1238" s="3160"/>
      <c r="AF1238" s="2320"/>
      <c r="AG1238" s="3232"/>
      <c r="AH1238" s="2318"/>
      <c r="AI1238" s="2318"/>
      <c r="AJ1238" s="2318"/>
      <c r="AK1238" s="2318"/>
      <c r="AL1238" s="2318"/>
      <c r="AM1238" s="2318"/>
      <c r="AN1238" s="2320"/>
      <c r="AO1238" s="2320"/>
      <c r="AP1238" s="2320"/>
      <c r="AQ1238" s="2320"/>
      <c r="AR1238" s="2320"/>
      <c r="AS1238" s="2320"/>
      <c r="AT1238" s="2320"/>
      <c r="AU1238" s="2320"/>
      <c r="AV1238" s="2320"/>
      <c r="AW1238" s="2320"/>
      <c r="AX1238" s="2320"/>
      <c r="AY1238" s="2320"/>
      <c r="AZ1238" s="2320"/>
      <c r="BA1238" s="2320"/>
      <c r="BB1238" s="2320"/>
      <c r="BC1238" s="2320"/>
      <c r="BD1238" s="2320"/>
      <c r="BE1238" s="2320"/>
      <c r="BF1238" s="2320"/>
      <c r="BG1238" s="2320"/>
      <c r="BH1238" s="2320"/>
      <c r="BI1238" s="2320"/>
      <c r="BJ1238" s="2320"/>
      <c r="BK1238" s="2320"/>
      <c r="BL1238" s="2320"/>
      <c r="BM1238" s="2320"/>
      <c r="BN1238" s="2320"/>
      <c r="BO1238" s="2320"/>
      <c r="BP1238" s="2320"/>
      <c r="BQ1238" s="2320"/>
      <c r="BR1238" s="2320"/>
      <c r="BS1238" s="2320"/>
      <c r="BT1238" s="2320"/>
      <c r="BU1238" s="2320"/>
      <c r="BV1238" s="2320"/>
      <c r="BW1238" s="2320"/>
      <c r="BX1238" s="2320"/>
    </row>
    <row r="1239" spans="1:76" s="2321" customFormat="1" ht="58.5" customHeight="1">
      <c r="A1239" s="64"/>
      <c r="B1239" s="2632"/>
      <c r="C1239" s="3794"/>
      <c r="D1239" s="3794"/>
      <c r="E1239" s="3794"/>
      <c r="F1239" s="3794"/>
      <c r="G1239" s="3794"/>
      <c r="H1239" s="3794"/>
      <c r="I1239" s="2631" t="s">
        <v>1350</v>
      </c>
      <c r="J1239" s="2632" t="s">
        <v>1351</v>
      </c>
      <c r="K1239" s="2349">
        <v>140</v>
      </c>
      <c r="L1239" s="2389">
        <v>1969770000</v>
      </c>
      <c r="M1239" s="2387">
        <v>65</v>
      </c>
      <c r="N1239" s="2389">
        <v>416676000</v>
      </c>
      <c r="O1239" s="2349">
        <v>25</v>
      </c>
      <c r="P1239" s="2389">
        <v>124570998.14</v>
      </c>
      <c r="Q1239" s="2389">
        <v>0</v>
      </c>
      <c r="R1239" s="1400">
        <v>3206200</v>
      </c>
      <c r="S1239" s="2276">
        <v>0</v>
      </c>
      <c r="T1239" s="1400">
        <v>2138000</v>
      </c>
      <c r="U1239" s="2276">
        <v>0</v>
      </c>
      <c r="V1239" s="2304">
        <v>79050600</v>
      </c>
      <c r="W1239" s="2276">
        <f t="shared" si="420"/>
        <v>0</v>
      </c>
      <c r="X1239" s="2276">
        <v>0</v>
      </c>
      <c r="Y1239" s="2389">
        <f t="shared" si="401"/>
        <v>0</v>
      </c>
      <c r="Z1239" s="2304">
        <f t="shared" si="402"/>
        <v>84394800</v>
      </c>
      <c r="AA1239" s="2389">
        <f t="shared" si="415"/>
        <v>65</v>
      </c>
      <c r="AB1239" s="2304">
        <f t="shared" si="418"/>
        <v>501070800</v>
      </c>
      <c r="AC1239" s="2386">
        <f t="shared" si="416"/>
        <v>46.428571428571431</v>
      </c>
      <c r="AD1239" s="2386">
        <f t="shared" si="417"/>
        <v>25.438035912822311</v>
      </c>
      <c r="AE1239" s="3160"/>
      <c r="AF1239" s="2320"/>
      <c r="AG1239" s="3232"/>
      <c r="AH1239" s="2318"/>
      <c r="AI1239" s="2318"/>
      <c r="AJ1239" s="2318"/>
      <c r="AK1239" s="2318"/>
      <c r="AL1239" s="2318"/>
      <c r="AM1239" s="2318"/>
      <c r="AN1239" s="2320"/>
      <c r="AO1239" s="2320"/>
      <c r="AP1239" s="2320"/>
      <c r="AQ1239" s="2320"/>
      <c r="AR1239" s="2320"/>
      <c r="AS1239" s="2320"/>
      <c r="AT1239" s="2320"/>
      <c r="AU1239" s="2320"/>
      <c r="AV1239" s="2320"/>
      <c r="AW1239" s="2320"/>
      <c r="AX1239" s="2320"/>
      <c r="AY1239" s="2320"/>
      <c r="AZ1239" s="2320"/>
      <c r="BA1239" s="2320"/>
      <c r="BB1239" s="2320"/>
      <c r="BC1239" s="2320"/>
      <c r="BD1239" s="2320"/>
      <c r="BE1239" s="2320"/>
      <c r="BF1239" s="2320"/>
      <c r="BG1239" s="2320"/>
      <c r="BH1239" s="2320"/>
      <c r="BI1239" s="2320"/>
      <c r="BJ1239" s="2320"/>
      <c r="BK1239" s="2320"/>
      <c r="BL1239" s="2320"/>
      <c r="BM1239" s="2320"/>
      <c r="BN1239" s="2320"/>
      <c r="BO1239" s="2320"/>
      <c r="BP1239" s="2320"/>
      <c r="BQ1239" s="2320"/>
      <c r="BR1239" s="2320"/>
      <c r="BS1239" s="2320"/>
      <c r="BT1239" s="2320"/>
      <c r="BU1239" s="2320"/>
      <c r="BV1239" s="2320"/>
      <c r="BW1239" s="2320"/>
      <c r="BX1239" s="2320"/>
    </row>
    <row r="1240" spans="1:76" s="2321" customFormat="1" ht="51">
      <c r="A1240" s="64"/>
      <c r="B1240" s="2632"/>
      <c r="C1240" s="3794"/>
      <c r="D1240" s="3794"/>
      <c r="E1240" s="3794"/>
      <c r="F1240" s="3794"/>
      <c r="G1240" s="3794"/>
      <c r="H1240" s="3794"/>
      <c r="I1240" s="2631" t="s">
        <v>1352</v>
      </c>
      <c r="J1240" s="2632" t="s">
        <v>1353</v>
      </c>
      <c r="K1240" s="2349">
        <v>90</v>
      </c>
      <c r="L1240" s="2389">
        <v>750377000</v>
      </c>
      <c r="M1240" s="2349">
        <v>24</v>
      </c>
      <c r="N1240" s="2389">
        <v>230717900</v>
      </c>
      <c r="O1240" s="2349">
        <v>15</v>
      </c>
      <c r="P1240" s="2389">
        <v>155015584.5</v>
      </c>
      <c r="Q1240" s="2389">
        <v>0</v>
      </c>
      <c r="R1240" s="1400">
        <v>18345000</v>
      </c>
      <c r="S1240" s="2276">
        <v>6</v>
      </c>
      <c r="T1240" s="1400">
        <v>19695000</v>
      </c>
      <c r="U1240" s="2276">
        <v>4</v>
      </c>
      <c r="V1240" s="2304">
        <v>23477000</v>
      </c>
      <c r="W1240" s="2276">
        <f t="shared" si="420"/>
        <v>10</v>
      </c>
      <c r="X1240" s="2276">
        <v>0</v>
      </c>
      <c r="Y1240" s="2389">
        <f t="shared" si="401"/>
        <v>20</v>
      </c>
      <c r="Z1240" s="2304">
        <f t="shared" si="402"/>
        <v>61517000</v>
      </c>
      <c r="AA1240" s="2389">
        <f t="shared" si="415"/>
        <v>44</v>
      </c>
      <c r="AB1240" s="2304">
        <f t="shared" si="418"/>
        <v>292234900</v>
      </c>
      <c r="AC1240" s="2386">
        <f t="shared" si="416"/>
        <v>48.888888888888886</v>
      </c>
      <c r="AD1240" s="2386">
        <f t="shared" si="417"/>
        <v>38.94507694132416</v>
      </c>
      <c r="AE1240" s="3160"/>
      <c r="AF1240" s="2320"/>
      <c r="AG1240" s="3232"/>
      <c r="AH1240" s="2318"/>
      <c r="AI1240" s="2318"/>
      <c r="AJ1240" s="2318"/>
      <c r="AK1240" s="2318"/>
      <c r="AL1240" s="2318"/>
      <c r="AM1240" s="2318"/>
      <c r="AN1240" s="2320"/>
      <c r="AO1240" s="2320"/>
      <c r="AP1240" s="2320"/>
      <c r="AQ1240" s="2320"/>
      <c r="AR1240" s="2320"/>
      <c r="AS1240" s="2320"/>
      <c r="AT1240" s="2320"/>
      <c r="AU1240" s="2320"/>
      <c r="AV1240" s="2320"/>
      <c r="AW1240" s="2320"/>
      <c r="AX1240" s="2320"/>
      <c r="AY1240" s="2320"/>
      <c r="AZ1240" s="2320"/>
      <c r="BA1240" s="2320"/>
      <c r="BB1240" s="2320"/>
      <c r="BC1240" s="2320"/>
      <c r="BD1240" s="2320"/>
      <c r="BE1240" s="2320"/>
      <c r="BF1240" s="2320"/>
      <c r="BG1240" s="2320"/>
      <c r="BH1240" s="2320"/>
      <c r="BI1240" s="2320"/>
      <c r="BJ1240" s="2320"/>
      <c r="BK1240" s="2320"/>
      <c r="BL1240" s="2320"/>
      <c r="BM1240" s="2320"/>
      <c r="BN1240" s="2320"/>
      <c r="BO1240" s="2320"/>
      <c r="BP1240" s="2320"/>
      <c r="BQ1240" s="2320"/>
      <c r="BR1240" s="2320"/>
      <c r="BS1240" s="2320"/>
      <c r="BT1240" s="2320"/>
      <c r="BU1240" s="2320"/>
      <c r="BV1240" s="2320"/>
      <c r="BW1240" s="2320"/>
      <c r="BX1240" s="2320"/>
    </row>
    <row r="1241" spans="1:76" s="2321" customFormat="1" ht="54" customHeight="1">
      <c r="A1241" s="64"/>
      <c r="B1241" s="2632"/>
      <c r="C1241" s="3794"/>
      <c r="D1241" s="3794"/>
      <c r="E1241" s="3794"/>
      <c r="F1241" s="3794"/>
      <c r="G1241" s="3794"/>
      <c r="H1241" s="3794"/>
      <c r="I1241" s="2631" t="s">
        <v>1354</v>
      </c>
      <c r="J1241" s="3140" t="s">
        <v>1355</v>
      </c>
      <c r="K1241" s="2635">
        <v>40</v>
      </c>
      <c r="L1241" s="2635">
        <v>342046000</v>
      </c>
      <c r="M1241" s="2277">
        <v>0</v>
      </c>
      <c r="N1241" s="2389">
        <v>0</v>
      </c>
      <c r="O1241" s="2387">
        <v>2</v>
      </c>
      <c r="P1241" s="2430">
        <v>92229500</v>
      </c>
      <c r="Q1241" s="2389">
        <v>0</v>
      </c>
      <c r="R1241" s="1400">
        <v>9516200</v>
      </c>
      <c r="S1241" s="2276">
        <v>0</v>
      </c>
      <c r="T1241" s="1400">
        <v>29320500</v>
      </c>
      <c r="U1241" s="2276">
        <v>0</v>
      </c>
      <c r="V1241" s="2304">
        <v>15109000</v>
      </c>
      <c r="W1241" s="2276">
        <f t="shared" si="420"/>
        <v>0</v>
      </c>
      <c r="X1241" s="2276">
        <v>0</v>
      </c>
      <c r="Y1241" s="2389">
        <f t="shared" si="401"/>
        <v>0</v>
      </c>
      <c r="Z1241" s="2304">
        <f t="shared" si="402"/>
        <v>53945700</v>
      </c>
      <c r="AA1241" s="2389">
        <f t="shared" si="415"/>
        <v>0</v>
      </c>
      <c r="AB1241" s="2304">
        <f t="shared" si="418"/>
        <v>53945700</v>
      </c>
      <c r="AC1241" s="2386">
        <f t="shared" si="416"/>
        <v>0</v>
      </c>
      <c r="AD1241" s="2386">
        <f t="shared" si="417"/>
        <v>15.771475181700707</v>
      </c>
      <c r="AE1241" s="3160"/>
      <c r="AF1241" s="2320"/>
      <c r="AG1241" s="3232"/>
      <c r="AH1241" s="2318"/>
      <c r="AI1241" s="2318"/>
      <c r="AJ1241" s="2318"/>
      <c r="AK1241" s="2318"/>
      <c r="AL1241" s="2318"/>
      <c r="AM1241" s="2318"/>
      <c r="AN1241" s="2320"/>
      <c r="AO1241" s="2320"/>
      <c r="AP1241" s="2320"/>
      <c r="AQ1241" s="2320"/>
      <c r="AR1241" s="2320"/>
      <c r="AS1241" s="2320"/>
      <c r="AT1241" s="2320"/>
      <c r="AU1241" s="2320"/>
      <c r="AV1241" s="2320"/>
      <c r="AW1241" s="2320"/>
      <c r="AX1241" s="2320"/>
      <c r="AY1241" s="2320"/>
      <c r="AZ1241" s="2320"/>
      <c r="BA1241" s="2320"/>
      <c r="BB1241" s="2320"/>
      <c r="BC1241" s="2320"/>
      <c r="BD1241" s="2320"/>
      <c r="BE1241" s="2320"/>
      <c r="BF1241" s="2320"/>
      <c r="BG1241" s="2320"/>
      <c r="BH1241" s="2320"/>
      <c r="BI1241" s="2320"/>
      <c r="BJ1241" s="2320"/>
      <c r="BK1241" s="2320"/>
      <c r="BL1241" s="2320"/>
      <c r="BM1241" s="2320"/>
      <c r="BN1241" s="2320"/>
      <c r="BO1241" s="2320"/>
      <c r="BP1241" s="2320"/>
      <c r="BQ1241" s="2320"/>
      <c r="BR1241" s="2320"/>
      <c r="BS1241" s="2320"/>
      <c r="BT1241" s="2320"/>
      <c r="BU1241" s="2320"/>
      <c r="BV1241" s="2320"/>
      <c r="BW1241" s="2320"/>
      <c r="BX1241" s="2320"/>
    </row>
    <row r="1242" spans="1:76" s="2321" customFormat="1" ht="54" customHeight="1">
      <c r="A1242" s="64"/>
      <c r="B1242" s="2632"/>
      <c r="C1242" s="3794"/>
      <c r="D1242" s="3794"/>
      <c r="E1242" s="3794"/>
      <c r="F1242" s="3794"/>
      <c r="G1242" s="3794"/>
      <c r="H1242" s="3794"/>
      <c r="I1242" s="2632" t="s">
        <v>1356</v>
      </c>
      <c r="J1242" s="3140" t="s">
        <v>1357</v>
      </c>
      <c r="K1242" s="2635">
        <v>60</v>
      </c>
      <c r="L1242" s="2635">
        <v>415837000</v>
      </c>
      <c r="M1242" s="2278">
        <v>12</v>
      </c>
      <c r="N1242" s="2389">
        <v>36905000</v>
      </c>
      <c r="O1242" s="2387">
        <v>12</v>
      </c>
      <c r="P1242" s="2389">
        <v>213675920</v>
      </c>
      <c r="Q1242" s="2389">
        <v>0</v>
      </c>
      <c r="R1242" s="1400">
        <v>35845700</v>
      </c>
      <c r="S1242" s="2276">
        <v>6</v>
      </c>
      <c r="T1242" s="1400">
        <v>65825400</v>
      </c>
      <c r="U1242" s="2276">
        <v>9</v>
      </c>
      <c r="V1242" s="2304">
        <v>44096905</v>
      </c>
      <c r="W1242" s="2276">
        <f t="shared" si="420"/>
        <v>15</v>
      </c>
      <c r="X1242" s="2276">
        <v>0</v>
      </c>
      <c r="Y1242" s="2389">
        <f t="shared" si="401"/>
        <v>30</v>
      </c>
      <c r="Z1242" s="2304">
        <f t="shared" si="402"/>
        <v>145768005</v>
      </c>
      <c r="AA1242" s="2389">
        <f t="shared" si="415"/>
        <v>42</v>
      </c>
      <c r="AB1242" s="2304">
        <f t="shared" si="418"/>
        <v>182673005</v>
      </c>
      <c r="AC1242" s="2386">
        <f t="shared" si="416"/>
        <v>70</v>
      </c>
      <c r="AD1242" s="2386">
        <f t="shared" si="417"/>
        <v>43.928992610085196</v>
      </c>
      <c r="AE1242" s="3160"/>
      <c r="AF1242" s="2320"/>
      <c r="AG1242" s="3232"/>
      <c r="AH1242" s="2318"/>
      <c r="AI1242" s="2318"/>
      <c r="AJ1242" s="2318"/>
      <c r="AK1242" s="2318"/>
      <c r="AL1242" s="2318"/>
      <c r="AM1242" s="2318"/>
      <c r="AN1242" s="2320"/>
      <c r="AO1242" s="2320"/>
      <c r="AP1242" s="2320"/>
      <c r="AQ1242" s="2320"/>
      <c r="AR1242" s="2320"/>
      <c r="AS1242" s="2320"/>
      <c r="AT1242" s="2320"/>
      <c r="AU1242" s="2320"/>
      <c r="AV1242" s="2320"/>
      <c r="AW1242" s="2320"/>
      <c r="AX1242" s="2320"/>
      <c r="AY1242" s="2320"/>
      <c r="AZ1242" s="2320"/>
      <c r="BA1242" s="2320"/>
      <c r="BB1242" s="2320"/>
      <c r="BC1242" s="2320"/>
      <c r="BD1242" s="2320"/>
      <c r="BE1242" s="2320"/>
      <c r="BF1242" s="2320"/>
      <c r="BG1242" s="2320"/>
      <c r="BH1242" s="2320"/>
      <c r="BI1242" s="2320"/>
      <c r="BJ1242" s="2320"/>
      <c r="BK1242" s="2320"/>
      <c r="BL1242" s="2320"/>
      <c r="BM1242" s="2320"/>
      <c r="BN1242" s="2320"/>
      <c r="BO1242" s="2320"/>
      <c r="BP1242" s="2320"/>
      <c r="BQ1242" s="2320"/>
      <c r="BR1242" s="2320"/>
      <c r="BS1242" s="2320"/>
      <c r="BT1242" s="2320"/>
      <c r="BU1242" s="2320"/>
      <c r="BV1242" s="2320"/>
      <c r="BW1242" s="2320"/>
      <c r="BX1242" s="2320"/>
    </row>
    <row r="1243" spans="1:76" s="2321" customFormat="1" ht="51">
      <c r="A1243" s="64"/>
      <c r="B1243" s="2632"/>
      <c r="C1243" s="3794"/>
      <c r="D1243" s="3794"/>
      <c r="E1243" s="3794"/>
      <c r="F1243" s="3794"/>
      <c r="G1243" s="3794"/>
      <c r="H1243" s="3794"/>
      <c r="I1243" s="2632" t="s">
        <v>1358</v>
      </c>
      <c r="J1243" s="3140" t="s">
        <v>1359</v>
      </c>
      <c r="K1243" s="2635">
        <v>720</v>
      </c>
      <c r="L1243" s="2635">
        <v>6009136000</v>
      </c>
      <c r="M1243" s="2278">
        <v>0</v>
      </c>
      <c r="N1243" s="2389">
        <v>0</v>
      </c>
      <c r="O1243" s="2387">
        <v>0</v>
      </c>
      <c r="P1243" s="2389">
        <v>0</v>
      </c>
      <c r="Q1243" s="2389">
        <v>0</v>
      </c>
      <c r="R1243" s="1400">
        <v>0</v>
      </c>
      <c r="S1243" s="2276">
        <v>0</v>
      </c>
      <c r="T1243" s="1400">
        <v>0</v>
      </c>
      <c r="U1243" s="2276">
        <v>0</v>
      </c>
      <c r="V1243" s="2304">
        <v>9285000</v>
      </c>
      <c r="W1243" s="2276">
        <f t="shared" si="420"/>
        <v>0</v>
      </c>
      <c r="X1243" s="2276">
        <v>0</v>
      </c>
      <c r="Y1243" s="2389">
        <f t="shared" si="401"/>
        <v>0</v>
      </c>
      <c r="Z1243" s="2304">
        <f t="shared" si="402"/>
        <v>9285000</v>
      </c>
      <c r="AA1243" s="2389">
        <f t="shared" si="415"/>
        <v>0</v>
      </c>
      <c r="AB1243" s="2304">
        <f t="shared" si="418"/>
        <v>9285000</v>
      </c>
      <c r="AC1243" s="2386">
        <f t="shared" si="416"/>
        <v>0</v>
      </c>
      <c r="AD1243" s="2386">
        <f t="shared" si="417"/>
        <v>0.15451472557785345</v>
      </c>
      <c r="AE1243" s="3160"/>
      <c r="AF1243" s="2320"/>
      <c r="AG1243" s="3232"/>
      <c r="AH1243" s="2318"/>
      <c r="AI1243" s="2318"/>
      <c r="AJ1243" s="2318"/>
      <c r="AK1243" s="2318"/>
      <c r="AL1243" s="2318"/>
      <c r="AM1243" s="2318"/>
      <c r="AN1243" s="2320"/>
      <c r="AO1243" s="2320"/>
      <c r="AP1243" s="2320"/>
      <c r="AQ1243" s="2320"/>
      <c r="AR1243" s="2320"/>
      <c r="AS1243" s="2320"/>
      <c r="AT1243" s="2320"/>
      <c r="AU1243" s="2320"/>
      <c r="AV1243" s="2320"/>
      <c r="AW1243" s="2320"/>
      <c r="AX1243" s="2320"/>
      <c r="AY1243" s="2320"/>
      <c r="AZ1243" s="2320"/>
      <c r="BA1243" s="2320"/>
      <c r="BB1243" s="2320"/>
      <c r="BC1243" s="2320"/>
      <c r="BD1243" s="2320"/>
      <c r="BE1243" s="2320"/>
      <c r="BF1243" s="2320"/>
      <c r="BG1243" s="2320"/>
      <c r="BH1243" s="2320"/>
      <c r="BI1243" s="2320"/>
      <c r="BJ1243" s="2320"/>
      <c r="BK1243" s="2320"/>
      <c r="BL1243" s="2320"/>
      <c r="BM1243" s="2320"/>
      <c r="BN1243" s="2320"/>
      <c r="BO1243" s="2320"/>
      <c r="BP1243" s="2320"/>
      <c r="BQ1243" s="2320"/>
      <c r="BR1243" s="2320"/>
      <c r="BS1243" s="2320"/>
      <c r="BT1243" s="2320"/>
      <c r="BU1243" s="2320"/>
      <c r="BV1243" s="2320"/>
      <c r="BW1243" s="2320"/>
      <c r="BX1243" s="2320"/>
    </row>
    <row r="1244" spans="1:76" s="2321" customFormat="1" ht="48" customHeight="1">
      <c r="A1244" s="2355"/>
      <c r="B1244" s="2345"/>
      <c r="C1244" s="2874"/>
      <c r="D1244" s="2874"/>
      <c r="E1244" s="2874"/>
      <c r="F1244" s="2874"/>
      <c r="G1244" s="2874"/>
      <c r="H1244" s="2874"/>
      <c r="I1244" s="2335" t="s">
        <v>3888</v>
      </c>
      <c r="J1244" s="2673" t="s">
        <v>1361</v>
      </c>
      <c r="K1244" s="3121">
        <v>0.10299999999999999</v>
      </c>
      <c r="L1244" s="4267">
        <f>SUM(L1246:L1247)</f>
        <v>6072687000</v>
      </c>
      <c r="M1244" s="3122">
        <v>9.7000000000000003E-2</v>
      </c>
      <c r="N1244" s="4267">
        <f>SUM(N1246:N1247)</f>
        <v>387967000</v>
      </c>
      <c r="O1244" s="3123">
        <v>0.10299999999999999</v>
      </c>
      <c r="P1244" s="4267">
        <f>SUM(P1246:P1247)</f>
        <v>560307750</v>
      </c>
      <c r="Q1244" s="3161">
        <v>0</v>
      </c>
      <c r="R1244" s="4267">
        <v>75927600</v>
      </c>
      <c r="S1244" s="2339">
        <f>Q1244</f>
        <v>0</v>
      </c>
      <c r="T1244" s="4268">
        <f>SUM(T1246:T1247)</f>
        <v>205434876</v>
      </c>
      <c r="U1244" s="2339">
        <f>Q1244+S1244</f>
        <v>0</v>
      </c>
      <c r="V1244" s="4269">
        <f>SUM(V1246:V1247)</f>
        <v>95914100</v>
      </c>
      <c r="W1244" s="2339">
        <f t="shared" si="420"/>
        <v>0</v>
      </c>
      <c r="X1244" s="4267">
        <f>SUM(X1246:X1247)</f>
        <v>0</v>
      </c>
      <c r="Y1244" s="3161">
        <f t="shared" si="401"/>
        <v>0</v>
      </c>
      <c r="Z1244" s="4266">
        <f t="shared" si="402"/>
        <v>377276576</v>
      </c>
      <c r="AA1244" s="3161">
        <f t="shared" si="415"/>
        <v>9.7000000000000003E-2</v>
      </c>
      <c r="AB1244" s="4266">
        <f t="shared" si="418"/>
        <v>765243576</v>
      </c>
      <c r="AC1244" s="3147">
        <f t="shared" si="416"/>
        <v>94.174757281553397</v>
      </c>
      <c r="AD1244" s="4263">
        <f t="shared" si="417"/>
        <v>12.601399940421762</v>
      </c>
      <c r="AE1244" s="3138"/>
      <c r="AF1244" s="2320"/>
      <c r="AG1244" s="3232"/>
      <c r="AH1244" s="2318"/>
      <c r="AI1244" s="2318"/>
      <c r="AJ1244" s="2318"/>
      <c r="AK1244" s="2318"/>
      <c r="AL1244" s="2318"/>
      <c r="AM1244" s="2318"/>
      <c r="AN1244" s="2320"/>
      <c r="AO1244" s="2320"/>
      <c r="AP1244" s="2320"/>
      <c r="AQ1244" s="2320"/>
      <c r="AR1244" s="2320"/>
      <c r="AS1244" s="2320"/>
      <c r="AT1244" s="2320"/>
      <c r="AU1244" s="2320"/>
      <c r="AV1244" s="2320"/>
      <c r="AW1244" s="2320"/>
      <c r="AX1244" s="2320"/>
      <c r="AY1244" s="2320"/>
      <c r="AZ1244" s="2320"/>
      <c r="BA1244" s="2320"/>
      <c r="BB1244" s="2320"/>
      <c r="BC1244" s="2320"/>
      <c r="BD1244" s="2320"/>
      <c r="BE1244" s="2320"/>
      <c r="BF1244" s="2320"/>
      <c r="BG1244" s="2320"/>
      <c r="BH1244" s="2320"/>
      <c r="BI1244" s="2320"/>
      <c r="BJ1244" s="2320"/>
      <c r="BK1244" s="2320"/>
      <c r="BL1244" s="2320"/>
      <c r="BM1244" s="2320"/>
      <c r="BN1244" s="2320"/>
      <c r="BO1244" s="2320"/>
      <c r="BP1244" s="2320"/>
      <c r="BQ1244" s="2320"/>
      <c r="BR1244" s="2320"/>
      <c r="BS1244" s="2320"/>
      <c r="BT1244" s="2320"/>
      <c r="BU1244" s="2320"/>
      <c r="BV1244" s="2320"/>
      <c r="BW1244" s="2320"/>
      <c r="BX1244" s="2320"/>
    </row>
    <row r="1245" spans="1:76" s="2321" customFormat="1" ht="40.5" customHeight="1">
      <c r="A1245" s="2355"/>
      <c r="B1245" s="2345"/>
      <c r="C1245" s="2874"/>
      <c r="D1245" s="2874"/>
      <c r="E1245" s="2874"/>
      <c r="F1245" s="2874"/>
      <c r="G1245" s="2874"/>
      <c r="H1245" s="2874"/>
      <c r="I1245" s="2335"/>
      <c r="J1245" s="2673" t="s">
        <v>1362</v>
      </c>
      <c r="K1245" s="2357">
        <v>10</v>
      </c>
      <c r="L1245" s="4267"/>
      <c r="M1245" s="2587">
        <v>4</v>
      </c>
      <c r="N1245" s="4267"/>
      <c r="O1245" s="2523">
        <v>2</v>
      </c>
      <c r="P1245" s="4267"/>
      <c r="Q1245" s="3161">
        <v>0</v>
      </c>
      <c r="R1245" s="4267"/>
      <c r="S1245" s="2339">
        <f>Q1245</f>
        <v>0</v>
      </c>
      <c r="T1245" s="4268"/>
      <c r="U1245" s="2339">
        <f>Q1245+S1245</f>
        <v>0</v>
      </c>
      <c r="V1245" s="4269"/>
      <c r="W1245" s="2339">
        <f t="shared" si="420"/>
        <v>0</v>
      </c>
      <c r="X1245" s="4267"/>
      <c r="Y1245" s="3161">
        <f t="shared" si="401"/>
        <v>0</v>
      </c>
      <c r="Z1245" s="4266">
        <f t="shared" si="402"/>
        <v>0</v>
      </c>
      <c r="AA1245" s="3161">
        <f t="shared" si="415"/>
        <v>4</v>
      </c>
      <c r="AB1245" s="4266">
        <f t="shared" si="418"/>
        <v>0</v>
      </c>
      <c r="AC1245" s="3147">
        <f t="shared" si="416"/>
        <v>40</v>
      </c>
      <c r="AD1245" s="4263" t="e">
        <f t="shared" si="417"/>
        <v>#DIV/0!</v>
      </c>
      <c r="AE1245" s="3138"/>
      <c r="AF1245" s="2320"/>
      <c r="AG1245" s="3232"/>
      <c r="AH1245" s="2318"/>
      <c r="AI1245" s="2318"/>
      <c r="AJ1245" s="2318"/>
      <c r="AK1245" s="2318"/>
      <c r="AL1245" s="2318"/>
      <c r="AM1245" s="2318"/>
      <c r="AN1245" s="2320"/>
      <c r="AO1245" s="2320"/>
      <c r="AP1245" s="2320"/>
      <c r="AQ1245" s="2320"/>
      <c r="AR1245" s="2320"/>
      <c r="AS1245" s="2320"/>
      <c r="AT1245" s="2320"/>
      <c r="AU1245" s="2320"/>
      <c r="AV1245" s="2320"/>
      <c r="AW1245" s="2320"/>
      <c r="AX1245" s="2320"/>
      <c r="AY1245" s="2320"/>
      <c r="AZ1245" s="2320"/>
      <c r="BA1245" s="2320"/>
      <c r="BB1245" s="2320"/>
      <c r="BC1245" s="2320"/>
      <c r="BD1245" s="2320"/>
      <c r="BE1245" s="2320"/>
      <c r="BF1245" s="2320"/>
      <c r="BG1245" s="2320"/>
      <c r="BH1245" s="2320"/>
      <c r="BI1245" s="2320"/>
      <c r="BJ1245" s="2320"/>
      <c r="BK1245" s="2320"/>
      <c r="BL1245" s="2320"/>
      <c r="BM1245" s="2320"/>
      <c r="BN1245" s="2320"/>
      <c r="BO1245" s="2320"/>
      <c r="BP1245" s="2320"/>
      <c r="BQ1245" s="2320"/>
      <c r="BR1245" s="2320"/>
      <c r="BS1245" s="2320"/>
      <c r="BT1245" s="2320"/>
      <c r="BU1245" s="2320"/>
      <c r="BV1245" s="2320"/>
      <c r="BW1245" s="2320"/>
      <c r="BX1245" s="2320"/>
    </row>
    <row r="1246" spans="1:76" s="2321" customFormat="1" ht="48" customHeight="1">
      <c r="A1246" s="64"/>
      <c r="B1246" s="2632"/>
      <c r="C1246" s="3794"/>
      <c r="D1246" s="3794"/>
      <c r="E1246" s="3794"/>
      <c r="F1246" s="3794"/>
      <c r="G1246" s="3794"/>
      <c r="H1246" s="3794"/>
      <c r="I1246" s="2632" t="s">
        <v>1363</v>
      </c>
      <c r="J1246" s="3140" t="s">
        <v>1364</v>
      </c>
      <c r="K1246" s="2635">
        <v>780</v>
      </c>
      <c r="L1246" s="2635">
        <v>5358687000</v>
      </c>
      <c r="M1246" s="2278">
        <v>156</v>
      </c>
      <c r="N1246" s="2389">
        <v>310710000</v>
      </c>
      <c r="O1246" s="2387">
        <v>156</v>
      </c>
      <c r="P1246" s="2389">
        <v>517182250</v>
      </c>
      <c r="Q1246" s="2389">
        <v>0</v>
      </c>
      <c r="R1246" s="1400">
        <v>75927600</v>
      </c>
      <c r="S1246" s="2276">
        <v>42</v>
      </c>
      <c r="T1246" s="1400">
        <v>194831676</v>
      </c>
      <c r="U1246" s="2276">
        <v>42</v>
      </c>
      <c r="V1246" s="2304">
        <v>71307600</v>
      </c>
      <c r="W1246" s="2276">
        <v>0</v>
      </c>
      <c r="X1246" s="2276">
        <v>0</v>
      </c>
      <c r="Y1246" s="2389">
        <f t="shared" si="401"/>
        <v>84</v>
      </c>
      <c r="Z1246" s="2304">
        <f t="shared" si="402"/>
        <v>342066876</v>
      </c>
      <c r="AA1246" s="2389">
        <f t="shared" si="415"/>
        <v>240</v>
      </c>
      <c r="AB1246" s="2304">
        <f t="shared" si="418"/>
        <v>652776876</v>
      </c>
      <c r="AC1246" s="2386">
        <f t="shared" si="416"/>
        <v>30.76923076923077</v>
      </c>
      <c r="AD1246" s="2386">
        <f t="shared" si="417"/>
        <v>12.181657111154282</v>
      </c>
      <c r="AE1246" s="3160"/>
      <c r="AF1246" s="2320"/>
      <c r="AG1246" s="3232"/>
      <c r="AH1246" s="2318"/>
      <c r="AI1246" s="2318"/>
      <c r="AJ1246" s="2318"/>
      <c r="AK1246" s="2318"/>
      <c r="AL1246" s="2318"/>
      <c r="AM1246" s="2318"/>
      <c r="AN1246" s="2320"/>
      <c r="AO1246" s="2320"/>
      <c r="AP1246" s="2320"/>
      <c r="AQ1246" s="2320"/>
      <c r="AR1246" s="2320"/>
      <c r="AS1246" s="2320"/>
      <c r="AT1246" s="2320"/>
      <c r="AU1246" s="2320"/>
      <c r="AV1246" s="2320"/>
      <c r="AW1246" s="2320"/>
      <c r="AX1246" s="2320"/>
      <c r="AY1246" s="2320"/>
      <c r="AZ1246" s="2320"/>
      <c r="BA1246" s="2320"/>
      <c r="BB1246" s="2320"/>
      <c r="BC1246" s="2320"/>
      <c r="BD1246" s="2320"/>
      <c r="BE1246" s="2320"/>
      <c r="BF1246" s="2320"/>
      <c r="BG1246" s="2320"/>
      <c r="BH1246" s="2320"/>
      <c r="BI1246" s="2320"/>
      <c r="BJ1246" s="2320"/>
      <c r="BK1246" s="2320"/>
      <c r="BL1246" s="2320"/>
      <c r="BM1246" s="2320"/>
      <c r="BN1246" s="2320"/>
      <c r="BO1246" s="2320"/>
      <c r="BP1246" s="2320"/>
      <c r="BQ1246" s="2320"/>
      <c r="BR1246" s="2320"/>
      <c r="BS1246" s="2320"/>
      <c r="BT1246" s="2320"/>
      <c r="BU1246" s="2320"/>
      <c r="BV1246" s="2320"/>
      <c r="BW1246" s="2320"/>
      <c r="BX1246" s="2320"/>
    </row>
    <row r="1247" spans="1:76" s="2321" customFormat="1" ht="48" customHeight="1">
      <c r="A1247" s="64"/>
      <c r="B1247" s="2632"/>
      <c r="C1247" s="3794"/>
      <c r="D1247" s="3794"/>
      <c r="E1247" s="3794"/>
      <c r="F1247" s="3794"/>
      <c r="G1247" s="3794"/>
      <c r="H1247" s="3794"/>
      <c r="I1247" s="2632" t="s">
        <v>1365</v>
      </c>
      <c r="J1247" s="3140" t="s">
        <v>1366</v>
      </c>
      <c r="K1247" s="2635">
        <v>64</v>
      </c>
      <c r="L1247" s="2635">
        <v>714000000</v>
      </c>
      <c r="M1247" s="2278">
        <v>16</v>
      </c>
      <c r="N1247" s="2389">
        <v>77257000</v>
      </c>
      <c r="O1247" s="2387">
        <v>16</v>
      </c>
      <c r="P1247" s="2389">
        <v>43125500</v>
      </c>
      <c r="Q1247" s="2389">
        <v>0</v>
      </c>
      <c r="R1247" s="1400">
        <v>0</v>
      </c>
      <c r="S1247" s="2276">
        <v>5</v>
      </c>
      <c r="T1247" s="1400">
        <v>10603200</v>
      </c>
      <c r="U1247" s="2276">
        <v>6</v>
      </c>
      <c r="V1247" s="2304">
        <v>24606500</v>
      </c>
      <c r="W1247" s="2276">
        <v>0</v>
      </c>
      <c r="X1247" s="2276">
        <v>0</v>
      </c>
      <c r="Y1247" s="2389">
        <f t="shared" si="401"/>
        <v>11</v>
      </c>
      <c r="Z1247" s="2304">
        <f t="shared" si="402"/>
        <v>35209700</v>
      </c>
      <c r="AA1247" s="2389">
        <f t="shared" si="415"/>
        <v>27</v>
      </c>
      <c r="AB1247" s="2304">
        <f t="shared" si="418"/>
        <v>112466700</v>
      </c>
      <c r="AC1247" s="2386">
        <f t="shared" si="416"/>
        <v>42.1875</v>
      </c>
      <c r="AD1247" s="2386">
        <f t="shared" si="417"/>
        <v>15.751638655462186</v>
      </c>
      <c r="AE1247" s="3160"/>
      <c r="AF1247" s="2320"/>
      <c r="AG1247" s="3232"/>
      <c r="AH1247" s="2318"/>
      <c r="AI1247" s="2318"/>
      <c r="AJ1247" s="2318"/>
      <c r="AK1247" s="2318"/>
      <c r="AL1247" s="2318"/>
      <c r="AM1247" s="2318"/>
      <c r="AN1247" s="2320"/>
      <c r="AO1247" s="2320"/>
      <c r="AP1247" s="2320"/>
      <c r="AQ1247" s="2320"/>
      <c r="AR1247" s="2320"/>
      <c r="AS1247" s="2320"/>
      <c r="AT1247" s="2320"/>
      <c r="AU1247" s="2320"/>
      <c r="AV1247" s="2320"/>
      <c r="AW1247" s="2320"/>
      <c r="AX1247" s="2320"/>
      <c r="AY1247" s="2320"/>
      <c r="AZ1247" s="2320"/>
      <c r="BA1247" s="2320"/>
      <c r="BB1247" s="2320"/>
      <c r="BC1247" s="2320"/>
      <c r="BD1247" s="2320"/>
      <c r="BE1247" s="2320"/>
      <c r="BF1247" s="2320"/>
      <c r="BG1247" s="2320"/>
      <c r="BH1247" s="2320"/>
      <c r="BI1247" s="2320"/>
      <c r="BJ1247" s="2320"/>
      <c r="BK1247" s="2320"/>
      <c r="BL1247" s="2320"/>
      <c r="BM1247" s="2320"/>
      <c r="BN1247" s="2320"/>
      <c r="BO1247" s="2320"/>
      <c r="BP1247" s="2320"/>
      <c r="BQ1247" s="2320"/>
      <c r="BR1247" s="2320"/>
      <c r="BS1247" s="2320"/>
      <c r="BT1247" s="2320"/>
      <c r="BU1247" s="2320"/>
      <c r="BV1247" s="2320"/>
      <c r="BW1247" s="2320"/>
      <c r="BX1247" s="2320"/>
    </row>
    <row r="1248" spans="1:76" s="2319" customFormat="1" ht="51.75" customHeight="1">
      <c r="A1248" s="2570">
        <v>5</v>
      </c>
      <c r="B1248" s="2335"/>
      <c r="C1248" s="3795"/>
      <c r="D1248" s="3795"/>
      <c r="E1248" s="3795"/>
      <c r="F1248" s="3795"/>
      <c r="G1248" s="3795"/>
      <c r="H1248" s="3795"/>
      <c r="I1248" s="2335" t="s">
        <v>1367</v>
      </c>
      <c r="J1248" s="2673" t="s">
        <v>1368</v>
      </c>
      <c r="K1248" s="2357">
        <v>6</v>
      </c>
      <c r="L1248" s="2357">
        <f>SUM(L1251:L1253)</f>
        <v>1404994000</v>
      </c>
      <c r="M1248" s="2587">
        <v>2</v>
      </c>
      <c r="N1248" s="2357">
        <f>SUM(N1251:N1253)</f>
        <v>226411000</v>
      </c>
      <c r="O1248" s="2523">
        <v>1</v>
      </c>
      <c r="P1248" s="2357">
        <f>SUM(P1251:P1253)</f>
        <v>399033880</v>
      </c>
      <c r="Q1248" s="3161">
        <v>3</v>
      </c>
      <c r="R1248" s="2357">
        <f>SUM(R1251:R1253)</f>
        <v>43236900</v>
      </c>
      <c r="S1248" s="2339">
        <v>3</v>
      </c>
      <c r="T1248" s="2357">
        <f>SUM(T1251:T1253)</f>
        <v>35733100</v>
      </c>
      <c r="U1248" s="2339">
        <v>0</v>
      </c>
      <c r="V1248" s="2357">
        <f>SUM(V1251:V1253)</f>
        <v>211832100</v>
      </c>
      <c r="W1248" s="2339"/>
      <c r="X1248" s="2339">
        <v>0</v>
      </c>
      <c r="Y1248" s="3161">
        <f t="shared" si="401"/>
        <v>6</v>
      </c>
      <c r="Z1248" s="2342">
        <f t="shared" si="402"/>
        <v>290802100</v>
      </c>
      <c r="AA1248" s="3161">
        <f t="shared" ref="AA1248:AA1253" si="421">M1248+Y1248</f>
        <v>8</v>
      </c>
      <c r="AB1248" s="2342">
        <f t="shared" ref="AB1248:AB1253" si="422">N1248+Z1248</f>
        <v>517213100</v>
      </c>
      <c r="AC1248" s="3147">
        <f t="shared" ref="AC1248:AC1253" si="423">AA1248/K1248*100</f>
        <v>133.33333333333331</v>
      </c>
      <c r="AD1248" s="3147">
        <f t="shared" ref="AD1248:AD1253" si="424">AB1248/L1248*100</f>
        <v>36.81247749100708</v>
      </c>
      <c r="AE1248" s="3138" t="s">
        <v>3412</v>
      </c>
      <c r="AG1248" s="3233"/>
      <c r="AH1248" s="3205"/>
      <c r="AI1248" s="3205"/>
      <c r="AJ1248" s="3205"/>
      <c r="AK1248" s="3205"/>
      <c r="AL1248" s="3205"/>
      <c r="AM1248" s="3205"/>
    </row>
    <row r="1249" spans="1:76" s="2319" customFormat="1" ht="55.5" customHeight="1">
      <c r="A1249" s="2570"/>
      <c r="B1249" s="2335"/>
      <c r="C1249" s="3795"/>
      <c r="D1249" s="3795"/>
      <c r="E1249" s="3795"/>
      <c r="F1249" s="3795"/>
      <c r="G1249" s="3795"/>
      <c r="H1249" s="3795"/>
      <c r="I1249" s="2335"/>
      <c r="J1249" s="2673" t="s">
        <v>1369</v>
      </c>
      <c r="K1249" s="2357">
        <v>7</v>
      </c>
      <c r="L1249" s="2357"/>
      <c r="M1249" s="2587">
        <v>3</v>
      </c>
      <c r="N1249" s="2357"/>
      <c r="O1249" s="2523">
        <v>1</v>
      </c>
      <c r="P1249" s="2357"/>
      <c r="Q1249" s="3161">
        <v>0</v>
      </c>
      <c r="R1249" s="2347"/>
      <c r="S1249" s="2339">
        <v>1</v>
      </c>
      <c r="T1249" s="2347"/>
      <c r="U1249" s="2339">
        <v>0</v>
      </c>
      <c r="V1249" s="2342"/>
      <c r="W1249" s="2339"/>
      <c r="X1249" s="2339"/>
      <c r="Y1249" s="3161">
        <f t="shared" si="401"/>
        <v>1</v>
      </c>
      <c r="Z1249" s="2342">
        <f t="shared" si="402"/>
        <v>0</v>
      </c>
      <c r="AA1249" s="3161">
        <f t="shared" si="421"/>
        <v>4</v>
      </c>
      <c r="AB1249" s="2342">
        <f t="shared" si="422"/>
        <v>0</v>
      </c>
      <c r="AC1249" s="3147">
        <f t="shared" si="423"/>
        <v>57.142857142857139</v>
      </c>
      <c r="AD1249" s="3147"/>
      <c r="AE1249" s="3138"/>
      <c r="AG1249" s="3233"/>
      <c r="AH1249" s="3205"/>
      <c r="AI1249" s="3205"/>
      <c r="AJ1249" s="3205"/>
      <c r="AK1249" s="3205"/>
      <c r="AL1249" s="3205"/>
      <c r="AM1249" s="3205"/>
    </row>
    <row r="1250" spans="1:76" s="2319" customFormat="1" ht="45" customHeight="1">
      <c r="A1250" s="2570"/>
      <c r="B1250" s="2335"/>
      <c r="C1250" s="3795"/>
      <c r="D1250" s="3795"/>
      <c r="E1250" s="3795"/>
      <c r="F1250" s="3795"/>
      <c r="G1250" s="3795"/>
      <c r="H1250" s="3795"/>
      <c r="I1250" s="2335"/>
      <c r="J1250" s="2673" t="s">
        <v>1370</v>
      </c>
      <c r="K1250" s="2357">
        <v>5</v>
      </c>
      <c r="L1250" s="2357"/>
      <c r="M1250" s="2587">
        <v>1</v>
      </c>
      <c r="N1250" s="2357"/>
      <c r="O1250" s="2523">
        <v>1</v>
      </c>
      <c r="P1250" s="2357"/>
      <c r="Q1250" s="3161">
        <v>0</v>
      </c>
      <c r="R1250" s="2347"/>
      <c r="S1250" s="2339">
        <v>1</v>
      </c>
      <c r="T1250" s="2347"/>
      <c r="U1250" s="2339">
        <v>0</v>
      </c>
      <c r="V1250" s="2342"/>
      <c r="W1250" s="2339"/>
      <c r="X1250" s="2339"/>
      <c r="Y1250" s="3161">
        <f t="shared" si="401"/>
        <v>1</v>
      </c>
      <c r="Z1250" s="2342">
        <f t="shared" si="402"/>
        <v>0</v>
      </c>
      <c r="AA1250" s="3161">
        <f t="shared" si="421"/>
        <v>2</v>
      </c>
      <c r="AB1250" s="2342">
        <f t="shared" si="422"/>
        <v>0</v>
      </c>
      <c r="AC1250" s="3147">
        <f t="shared" si="423"/>
        <v>40</v>
      </c>
      <c r="AD1250" s="3147"/>
      <c r="AE1250" s="3138"/>
      <c r="AG1250" s="3233"/>
      <c r="AH1250" s="3205"/>
      <c r="AI1250" s="3205"/>
      <c r="AJ1250" s="3205"/>
      <c r="AK1250" s="3205"/>
      <c r="AL1250" s="3205"/>
      <c r="AM1250" s="3205"/>
    </row>
    <row r="1251" spans="1:76" s="2321" customFormat="1" ht="39" customHeight="1">
      <c r="A1251" s="64"/>
      <c r="B1251" s="2632"/>
      <c r="C1251" s="3794"/>
      <c r="D1251" s="3794"/>
      <c r="E1251" s="3794"/>
      <c r="F1251" s="3794"/>
      <c r="G1251" s="3794"/>
      <c r="H1251" s="3794"/>
      <c r="I1251" s="2632" t="s">
        <v>1371</v>
      </c>
      <c r="J1251" s="3140" t="s">
        <v>1372</v>
      </c>
      <c r="K1251" s="2635">
        <f>4*M1251</f>
        <v>580</v>
      </c>
      <c r="L1251" s="2635">
        <v>210390000</v>
      </c>
      <c r="M1251" s="2278">
        <v>145</v>
      </c>
      <c r="N1251" s="2389">
        <v>98984000</v>
      </c>
      <c r="O1251" s="2387">
        <v>145</v>
      </c>
      <c r="P1251" s="2389">
        <v>116040880</v>
      </c>
      <c r="Q1251" s="2389">
        <v>0</v>
      </c>
      <c r="R1251" s="1400">
        <v>16248200</v>
      </c>
      <c r="S1251" s="2276">
        <v>40</v>
      </c>
      <c r="T1251" s="1400">
        <v>16499000</v>
      </c>
      <c r="U1251" s="2276">
        <v>5</v>
      </c>
      <c r="V1251" s="2304">
        <v>13194000</v>
      </c>
      <c r="W1251" s="2276"/>
      <c r="X1251" s="2276">
        <v>0</v>
      </c>
      <c r="Y1251" s="2389">
        <f t="shared" si="401"/>
        <v>45</v>
      </c>
      <c r="Z1251" s="2304">
        <f t="shared" si="402"/>
        <v>45941200</v>
      </c>
      <c r="AA1251" s="2389">
        <f t="shared" si="421"/>
        <v>190</v>
      </c>
      <c r="AB1251" s="2304">
        <f t="shared" si="422"/>
        <v>144925200</v>
      </c>
      <c r="AC1251" s="2386">
        <f t="shared" si="423"/>
        <v>32.758620689655174</v>
      </c>
      <c r="AD1251" s="2386">
        <f t="shared" si="424"/>
        <v>68.884072436902898</v>
      </c>
      <c r="AE1251" s="3160"/>
      <c r="AF1251" s="2320"/>
      <c r="AG1251" s="3232"/>
      <c r="AH1251" s="2318"/>
      <c r="AI1251" s="2318"/>
      <c r="AJ1251" s="2318"/>
      <c r="AK1251" s="2318"/>
      <c r="AL1251" s="2318"/>
      <c r="AM1251" s="2318"/>
      <c r="AN1251" s="2320"/>
      <c r="AO1251" s="2320"/>
      <c r="AP1251" s="2320"/>
      <c r="AQ1251" s="2320"/>
      <c r="AR1251" s="2320"/>
      <c r="AS1251" s="2320"/>
      <c r="AT1251" s="2320"/>
      <c r="AU1251" s="2320"/>
      <c r="AV1251" s="2320"/>
      <c r="AW1251" s="2320"/>
      <c r="AX1251" s="2320"/>
      <c r="AY1251" s="2320"/>
      <c r="AZ1251" s="2320"/>
      <c r="BA1251" s="2320"/>
      <c r="BB1251" s="2320"/>
      <c r="BC1251" s="2320"/>
      <c r="BD1251" s="2320"/>
      <c r="BE1251" s="2320"/>
      <c r="BF1251" s="2320"/>
      <c r="BG1251" s="2320"/>
      <c r="BH1251" s="2320"/>
      <c r="BI1251" s="2320"/>
      <c r="BJ1251" s="2320"/>
      <c r="BK1251" s="2320"/>
      <c r="BL1251" s="2320"/>
      <c r="BM1251" s="2320"/>
      <c r="BN1251" s="2320"/>
      <c r="BO1251" s="2320"/>
      <c r="BP1251" s="2320"/>
      <c r="BQ1251" s="2320"/>
      <c r="BR1251" s="2320"/>
      <c r="BS1251" s="2320"/>
      <c r="BT1251" s="2320"/>
      <c r="BU1251" s="2320"/>
      <c r="BV1251" s="2320"/>
      <c r="BW1251" s="2320"/>
      <c r="BX1251" s="2320"/>
    </row>
    <row r="1252" spans="1:76" s="2321" customFormat="1" ht="42" customHeight="1">
      <c r="A1252" s="64"/>
      <c r="B1252" s="2632"/>
      <c r="C1252" s="3794"/>
      <c r="D1252" s="3794"/>
      <c r="E1252" s="3794"/>
      <c r="F1252" s="3794"/>
      <c r="G1252" s="3794"/>
      <c r="H1252" s="3794"/>
      <c r="I1252" s="2632" t="s">
        <v>1373</v>
      </c>
      <c r="J1252" s="3140" t="s">
        <v>1374</v>
      </c>
      <c r="K1252" s="2635">
        <v>465</v>
      </c>
      <c r="L1252" s="2635">
        <v>813146000</v>
      </c>
      <c r="M1252" s="2278">
        <v>50</v>
      </c>
      <c r="N1252" s="2389">
        <v>93633000</v>
      </c>
      <c r="O1252" s="2387">
        <v>115</v>
      </c>
      <c r="P1252" s="2389">
        <v>246496500</v>
      </c>
      <c r="Q1252" s="2389">
        <v>0</v>
      </c>
      <c r="R1252" s="1400">
        <v>24988700</v>
      </c>
      <c r="S1252" s="2276">
        <v>100</v>
      </c>
      <c r="T1252" s="1400">
        <v>9495600</v>
      </c>
      <c r="U1252" s="2276">
        <v>15</v>
      </c>
      <c r="V1252" s="2304">
        <v>195388100</v>
      </c>
      <c r="W1252" s="2276"/>
      <c r="X1252" s="2276">
        <v>0</v>
      </c>
      <c r="Y1252" s="2389">
        <f t="shared" si="401"/>
        <v>115</v>
      </c>
      <c r="Z1252" s="2304">
        <f t="shared" si="402"/>
        <v>229872400</v>
      </c>
      <c r="AA1252" s="2389">
        <f t="shared" si="421"/>
        <v>165</v>
      </c>
      <c r="AB1252" s="2304">
        <f t="shared" si="422"/>
        <v>323505400</v>
      </c>
      <c r="AC1252" s="2386">
        <f t="shared" si="423"/>
        <v>35.483870967741936</v>
      </c>
      <c r="AD1252" s="2386">
        <f t="shared" si="424"/>
        <v>39.784417558470437</v>
      </c>
      <c r="AE1252" s="3160"/>
      <c r="AF1252" s="2320"/>
      <c r="AG1252" s="3232"/>
      <c r="AH1252" s="2318"/>
      <c r="AI1252" s="2318"/>
      <c r="AJ1252" s="2318"/>
      <c r="AK1252" s="2318"/>
      <c r="AL1252" s="2318"/>
      <c r="AM1252" s="2318"/>
      <c r="AN1252" s="2320"/>
      <c r="AO1252" s="2320"/>
      <c r="AP1252" s="2320"/>
      <c r="AQ1252" s="2320"/>
      <c r="AR1252" s="2320"/>
      <c r="AS1252" s="2320"/>
      <c r="AT1252" s="2320"/>
      <c r="AU1252" s="2320"/>
      <c r="AV1252" s="2320"/>
      <c r="AW1252" s="2320"/>
      <c r="AX1252" s="2320"/>
      <c r="AY1252" s="2320"/>
      <c r="AZ1252" s="2320"/>
      <c r="BA1252" s="2320"/>
      <c r="BB1252" s="2320"/>
      <c r="BC1252" s="2320"/>
      <c r="BD1252" s="2320"/>
      <c r="BE1252" s="2320"/>
      <c r="BF1252" s="2320"/>
      <c r="BG1252" s="2320"/>
      <c r="BH1252" s="2320"/>
      <c r="BI1252" s="2320"/>
      <c r="BJ1252" s="2320"/>
      <c r="BK1252" s="2320"/>
      <c r="BL1252" s="2320"/>
      <c r="BM1252" s="2320"/>
      <c r="BN1252" s="2320"/>
      <c r="BO1252" s="2320"/>
      <c r="BP1252" s="2320"/>
      <c r="BQ1252" s="2320"/>
      <c r="BR1252" s="2320"/>
      <c r="BS1252" s="2320"/>
      <c r="BT1252" s="2320"/>
      <c r="BU1252" s="2320"/>
      <c r="BV1252" s="2320"/>
      <c r="BW1252" s="2320"/>
      <c r="BX1252" s="2320"/>
    </row>
    <row r="1253" spans="1:76" s="2321" customFormat="1" ht="38.25">
      <c r="A1253" s="64"/>
      <c r="B1253" s="2632"/>
      <c r="C1253" s="3794"/>
      <c r="D1253" s="3794"/>
      <c r="E1253" s="3794"/>
      <c r="F1253" s="3794"/>
      <c r="G1253" s="3794"/>
      <c r="H1253" s="3794"/>
      <c r="I1253" s="2632" t="s">
        <v>1375</v>
      </c>
      <c r="J1253" s="3140" t="s">
        <v>1376</v>
      </c>
      <c r="K1253" s="2635">
        <v>6600</v>
      </c>
      <c r="L1253" s="2635">
        <v>381458000</v>
      </c>
      <c r="M1253" s="2278">
        <v>168</v>
      </c>
      <c r="N1253" s="2389">
        <v>33794000</v>
      </c>
      <c r="O1253" s="2387">
        <v>2000</v>
      </c>
      <c r="P1253" s="2389">
        <v>36496500</v>
      </c>
      <c r="Q1253" s="2389">
        <v>0</v>
      </c>
      <c r="R1253" s="1400">
        <v>2000000</v>
      </c>
      <c r="S1253" s="2276">
        <v>126</v>
      </c>
      <c r="T1253" s="1400">
        <v>9738500</v>
      </c>
      <c r="U1253" s="2276">
        <v>800</v>
      </c>
      <c r="V1253" s="2304">
        <v>3250000</v>
      </c>
      <c r="W1253" s="2276"/>
      <c r="X1253" s="2276">
        <v>0</v>
      </c>
      <c r="Y1253" s="2389">
        <f t="shared" si="401"/>
        <v>926</v>
      </c>
      <c r="Z1253" s="2304">
        <f t="shared" si="402"/>
        <v>14988500</v>
      </c>
      <c r="AA1253" s="2389">
        <f t="shared" si="421"/>
        <v>1094</v>
      </c>
      <c r="AB1253" s="2304">
        <f t="shared" si="422"/>
        <v>48782500</v>
      </c>
      <c r="AC1253" s="2386">
        <f t="shared" si="423"/>
        <v>16.575757575757578</v>
      </c>
      <c r="AD1253" s="2386">
        <f t="shared" si="424"/>
        <v>12.788432802562799</v>
      </c>
      <c r="AE1253" s="3160"/>
      <c r="AF1253" s="2320"/>
      <c r="AG1253" s="3232"/>
      <c r="AH1253" s="2318"/>
      <c r="AI1253" s="2318"/>
      <c r="AJ1253" s="2318"/>
      <c r="AK1253" s="2318"/>
      <c r="AL1253" s="2318"/>
      <c r="AM1253" s="2318"/>
      <c r="AN1253" s="2320"/>
      <c r="AO1253" s="2320"/>
      <c r="AP1253" s="2320"/>
      <c r="AQ1253" s="2320"/>
      <c r="AR1253" s="2320"/>
      <c r="AS1253" s="2320"/>
      <c r="AT1253" s="2320"/>
      <c r="AU1253" s="2320"/>
      <c r="AV1253" s="2320"/>
      <c r="AW1253" s="2320"/>
      <c r="AX1253" s="2320"/>
      <c r="AY1253" s="2320"/>
      <c r="AZ1253" s="2320"/>
      <c r="BA1253" s="2320"/>
      <c r="BB1253" s="2320"/>
      <c r="BC1253" s="2320"/>
      <c r="BD1253" s="2320"/>
      <c r="BE1253" s="2320"/>
      <c r="BF1253" s="2320"/>
      <c r="BG1253" s="2320"/>
      <c r="BH1253" s="2320"/>
      <c r="BI1253" s="2320"/>
      <c r="BJ1253" s="2320"/>
      <c r="BK1253" s="2320"/>
      <c r="BL1253" s="2320"/>
      <c r="BM1253" s="2320"/>
      <c r="BN1253" s="2320"/>
      <c r="BO1253" s="2320"/>
      <c r="BP1253" s="2320"/>
      <c r="BQ1253" s="2320"/>
      <c r="BR1253" s="2320"/>
      <c r="BS1253" s="2320"/>
      <c r="BT1253" s="2320"/>
      <c r="BU1253" s="2320"/>
      <c r="BV1253" s="2320"/>
      <c r="BW1253" s="2320"/>
      <c r="BX1253" s="2320"/>
    </row>
    <row r="1254" spans="1:76" ht="51">
      <c r="A1254" s="2570">
        <v>6</v>
      </c>
      <c r="B1254" s="2335" t="s">
        <v>1377</v>
      </c>
      <c r="C1254" s="3795"/>
      <c r="D1254" s="3795"/>
      <c r="E1254" s="3795"/>
      <c r="F1254" s="3795"/>
      <c r="G1254" s="3795"/>
      <c r="H1254" s="3795"/>
      <c r="I1254" s="2335" t="s">
        <v>1378</v>
      </c>
      <c r="J1254" s="2339" t="s">
        <v>1379</v>
      </c>
      <c r="K1254" s="3161">
        <v>6</v>
      </c>
      <c r="L1254" s="3161">
        <f>SUM(L1255:L1261)</f>
        <v>3299958000</v>
      </c>
      <c r="M1254" s="3161">
        <v>2</v>
      </c>
      <c r="N1254" s="3161">
        <f>SUM(N1255:N1261)</f>
        <v>421180000</v>
      </c>
      <c r="O1254" s="2523">
        <v>3</v>
      </c>
      <c r="P1254" s="3161">
        <f>SUM(P1255:P1261)</f>
        <v>914979716</v>
      </c>
      <c r="Q1254" s="3161"/>
      <c r="R1254" s="2339">
        <v>27570800</v>
      </c>
      <c r="S1254" s="2339">
        <f>Q1254</f>
        <v>0</v>
      </c>
      <c r="T1254" s="2347">
        <f>SUM(T1255:T1261)</f>
        <v>105618443</v>
      </c>
      <c r="U1254" s="2339">
        <f>Q1254+S1254</f>
        <v>0</v>
      </c>
      <c r="V1254" s="2342">
        <f>SUM(V1255:V1261)</f>
        <v>316204850</v>
      </c>
      <c r="W1254" s="2339">
        <f>Q1254+S1254+U1254</f>
        <v>0</v>
      </c>
      <c r="X1254" s="2339">
        <f>SUM(X1255:X1261)</f>
        <v>0</v>
      </c>
      <c r="Y1254" s="3161">
        <f t="shared" si="401"/>
        <v>0</v>
      </c>
      <c r="Z1254" s="2342">
        <f t="shared" si="402"/>
        <v>449394093</v>
      </c>
      <c r="AA1254" s="3161">
        <f t="shared" ref="AA1254:AA1261" si="425">M1254+Y1254</f>
        <v>2</v>
      </c>
      <c r="AB1254" s="2342">
        <f t="shared" ref="AB1254:AB1261" si="426">N1254+Z1254</f>
        <v>870574093</v>
      </c>
      <c r="AC1254" s="3147">
        <f t="shared" ref="AC1254:AC1261" si="427">AA1254/K1254*100</f>
        <v>33.333333333333329</v>
      </c>
      <c r="AD1254" s="3147">
        <f t="shared" ref="AD1254:AD1261" si="428">AB1254/L1254*100</f>
        <v>26.381368884088829</v>
      </c>
      <c r="AE1254" s="3138" t="s">
        <v>3412</v>
      </c>
      <c r="AG1254" s="3232"/>
      <c r="AH1254" s="2318"/>
      <c r="AI1254" s="2318"/>
      <c r="AJ1254" s="2318"/>
      <c r="AK1254" s="2318"/>
      <c r="AL1254" s="2318"/>
      <c r="AM1254" s="2318"/>
    </row>
    <row r="1255" spans="1:76" s="2319" customFormat="1" ht="46.5" customHeight="1">
      <c r="A1255" s="64"/>
      <c r="B1255" s="2632"/>
      <c r="C1255" s="3794"/>
      <c r="D1255" s="3794"/>
      <c r="E1255" s="3794"/>
      <c r="F1255" s="3794"/>
      <c r="G1255" s="3794"/>
      <c r="H1255" s="3794"/>
      <c r="I1255" s="2631" t="s">
        <v>1382</v>
      </c>
      <c r="J1255" s="2632" t="s">
        <v>1383</v>
      </c>
      <c r="K1255" s="2349">
        <v>8</v>
      </c>
      <c r="L1255" s="2389">
        <v>1276126000</v>
      </c>
      <c r="M1255" s="2387">
        <v>1</v>
      </c>
      <c r="N1255" s="2389">
        <v>99826000</v>
      </c>
      <c r="O1255" s="2349">
        <v>1</v>
      </c>
      <c r="P1255" s="2389">
        <v>482127720</v>
      </c>
      <c r="Q1255" s="2389">
        <v>0</v>
      </c>
      <c r="R1255" s="1400">
        <v>15368700</v>
      </c>
      <c r="S1255" s="2276">
        <v>0</v>
      </c>
      <c r="T1255" s="1400">
        <v>27381200</v>
      </c>
      <c r="U1255" s="2276">
        <v>1</v>
      </c>
      <c r="V1255" s="2304">
        <v>113960000</v>
      </c>
      <c r="W1255" s="2276"/>
      <c r="X1255" s="2276">
        <v>0</v>
      </c>
      <c r="Y1255" s="2389">
        <f t="shared" si="401"/>
        <v>1</v>
      </c>
      <c r="Z1255" s="2304">
        <f>R1255</f>
        <v>15368700</v>
      </c>
      <c r="AA1255" s="2389">
        <f t="shared" si="425"/>
        <v>2</v>
      </c>
      <c r="AB1255" s="2304">
        <f t="shared" si="426"/>
        <v>115194700</v>
      </c>
      <c r="AC1255" s="2386">
        <f t="shared" si="427"/>
        <v>25</v>
      </c>
      <c r="AD1255" s="2386">
        <f t="shared" si="428"/>
        <v>9.0269064340041663</v>
      </c>
      <c r="AE1255" s="3160"/>
      <c r="AF1255" s="2320"/>
      <c r="AG1255" s="3232"/>
      <c r="AH1255" s="2318"/>
      <c r="AI1255" s="2318"/>
      <c r="AJ1255" s="2318"/>
      <c r="AK1255" s="2318"/>
      <c r="AL1255" s="2318"/>
      <c r="AM1255" s="2318"/>
      <c r="AN1255" s="2320"/>
      <c r="AO1255" s="2320"/>
      <c r="AP1255" s="2320"/>
      <c r="AQ1255" s="2320"/>
      <c r="AR1255" s="2320"/>
      <c r="AS1255" s="2320"/>
      <c r="AT1255" s="2320"/>
      <c r="AU1255" s="2320"/>
      <c r="AV1255" s="2320"/>
      <c r="AW1255" s="2320"/>
      <c r="AX1255" s="2320"/>
      <c r="AY1255" s="2320"/>
      <c r="AZ1255" s="2320"/>
      <c r="BA1255" s="2320"/>
      <c r="BB1255" s="2320"/>
      <c r="BC1255" s="2320"/>
      <c r="BD1255" s="2320"/>
      <c r="BE1255" s="2320"/>
      <c r="BF1255" s="2320"/>
      <c r="BG1255" s="2320"/>
      <c r="BH1255" s="2320"/>
      <c r="BI1255" s="2320"/>
      <c r="BJ1255" s="2320"/>
      <c r="BK1255" s="2320"/>
      <c r="BL1255" s="2320"/>
      <c r="BM1255" s="2320"/>
      <c r="BN1255" s="2320"/>
      <c r="BO1255" s="2320"/>
      <c r="BP1255" s="2320"/>
      <c r="BQ1255" s="2320"/>
      <c r="BR1255" s="2320"/>
      <c r="BS1255" s="2320"/>
      <c r="BT1255" s="2320"/>
      <c r="BU1255" s="2320"/>
      <c r="BV1255" s="2320"/>
      <c r="BW1255" s="2320"/>
      <c r="BX1255" s="2320"/>
    </row>
    <row r="1256" spans="1:76" s="2321" customFormat="1" ht="58.5" customHeight="1">
      <c r="A1256" s="64"/>
      <c r="B1256" s="2632"/>
      <c r="C1256" s="3794"/>
      <c r="D1256" s="3794"/>
      <c r="E1256" s="3794"/>
      <c r="F1256" s="3794"/>
      <c r="G1256" s="3794"/>
      <c r="H1256" s="3794"/>
      <c r="I1256" s="2631" t="s">
        <v>1384</v>
      </c>
      <c r="J1256" s="2632" t="s">
        <v>1385</v>
      </c>
      <c r="K1256" s="2349">
        <v>30</v>
      </c>
      <c r="L1256" s="2389">
        <v>323920000</v>
      </c>
      <c r="M1256" s="2387">
        <v>6</v>
      </c>
      <c r="N1256" s="2389">
        <v>216899000</v>
      </c>
      <c r="O1256" s="2349">
        <v>3</v>
      </c>
      <c r="P1256" s="2389">
        <v>50752079</v>
      </c>
      <c r="Q1256" s="2389">
        <v>0</v>
      </c>
      <c r="R1256" s="1400">
        <v>1904800</v>
      </c>
      <c r="S1256" s="2276">
        <v>0</v>
      </c>
      <c r="T1256" s="1400">
        <v>5443000</v>
      </c>
      <c r="U1256" s="2276">
        <v>0</v>
      </c>
      <c r="V1256" s="2304">
        <v>1197000</v>
      </c>
      <c r="W1256" s="2276"/>
      <c r="X1256" s="2276">
        <v>0</v>
      </c>
      <c r="Y1256" s="2389">
        <f t="shared" si="401"/>
        <v>0</v>
      </c>
      <c r="Z1256" s="2304">
        <f>R1256</f>
        <v>1904800</v>
      </c>
      <c r="AA1256" s="2389">
        <f t="shared" si="425"/>
        <v>6</v>
      </c>
      <c r="AB1256" s="2304">
        <f t="shared" si="426"/>
        <v>218803800</v>
      </c>
      <c r="AC1256" s="2386">
        <f t="shared" si="427"/>
        <v>20</v>
      </c>
      <c r="AD1256" s="2386">
        <f t="shared" si="428"/>
        <v>67.548715732279575</v>
      </c>
      <c r="AE1256" s="3160"/>
      <c r="AF1256" s="2320"/>
      <c r="AG1256" s="3232"/>
      <c r="AH1256" s="2318"/>
      <c r="AI1256" s="2318"/>
      <c r="AJ1256" s="2318"/>
      <c r="AK1256" s="2318"/>
      <c r="AL1256" s="2318"/>
      <c r="AM1256" s="2318"/>
      <c r="AN1256" s="2320"/>
      <c r="AO1256" s="2320"/>
      <c r="AP1256" s="2320"/>
      <c r="AQ1256" s="2320"/>
      <c r="AR1256" s="2320"/>
      <c r="AS1256" s="2320"/>
      <c r="AT1256" s="2320"/>
      <c r="AU1256" s="2320"/>
      <c r="AV1256" s="2320"/>
      <c r="AW1256" s="2320"/>
      <c r="AX1256" s="2320"/>
      <c r="AY1256" s="2320"/>
      <c r="AZ1256" s="2320"/>
      <c r="BA1256" s="2320"/>
      <c r="BB1256" s="2320"/>
      <c r="BC1256" s="2320"/>
      <c r="BD1256" s="2320"/>
      <c r="BE1256" s="2320"/>
      <c r="BF1256" s="2320"/>
      <c r="BG1256" s="2320"/>
      <c r="BH1256" s="2320"/>
      <c r="BI1256" s="2320"/>
      <c r="BJ1256" s="2320"/>
      <c r="BK1256" s="2320"/>
      <c r="BL1256" s="2320"/>
      <c r="BM1256" s="2320"/>
      <c r="BN1256" s="2320"/>
      <c r="BO1256" s="2320"/>
      <c r="BP1256" s="2320"/>
      <c r="BQ1256" s="2320"/>
      <c r="BR1256" s="2320"/>
      <c r="BS1256" s="2320"/>
      <c r="BT1256" s="2320"/>
      <c r="BU1256" s="2320"/>
      <c r="BV1256" s="2320"/>
      <c r="BW1256" s="2320"/>
      <c r="BX1256" s="2320"/>
    </row>
    <row r="1257" spans="1:76" s="2321" customFormat="1" ht="57.75" customHeight="1">
      <c r="A1257" s="64"/>
      <c r="B1257" s="2632"/>
      <c r="C1257" s="3794"/>
      <c r="D1257" s="3794"/>
      <c r="E1257" s="3794"/>
      <c r="F1257" s="3794"/>
      <c r="G1257" s="3794"/>
      <c r="H1257" s="3794"/>
      <c r="I1257" s="2631" t="s">
        <v>1386</v>
      </c>
      <c r="J1257" s="2632" t="s">
        <v>1387</v>
      </c>
      <c r="K1257" s="2387">
        <v>16</v>
      </c>
      <c r="L1257" s="2389">
        <v>153810000</v>
      </c>
      <c r="M1257" s="2387">
        <v>8</v>
      </c>
      <c r="N1257" s="2389">
        <v>70820000</v>
      </c>
      <c r="O1257" s="2387">
        <v>5</v>
      </c>
      <c r="P1257" s="2389">
        <v>61252020</v>
      </c>
      <c r="Q1257" s="2389">
        <v>0</v>
      </c>
      <c r="R1257" s="1400">
        <v>2479300</v>
      </c>
      <c r="S1257" s="2276">
        <v>0</v>
      </c>
      <c r="T1257" s="1400">
        <v>9037300</v>
      </c>
      <c r="U1257" s="2276">
        <v>5</v>
      </c>
      <c r="V1257" s="2304">
        <v>37481250</v>
      </c>
      <c r="W1257" s="2276"/>
      <c r="X1257" s="2276">
        <v>0</v>
      </c>
      <c r="Y1257" s="2389">
        <f t="shared" ref="Y1257:Y1266" si="429">Q1257+S1257+U1257+W1257</f>
        <v>5</v>
      </c>
      <c r="Z1257" s="2304">
        <f>R1257+T1257+V1257+X1257</f>
        <v>48997850</v>
      </c>
      <c r="AA1257" s="2389">
        <f t="shared" si="425"/>
        <v>13</v>
      </c>
      <c r="AB1257" s="2304">
        <f t="shared" si="426"/>
        <v>119817850</v>
      </c>
      <c r="AC1257" s="2386">
        <f t="shared" si="427"/>
        <v>81.25</v>
      </c>
      <c r="AD1257" s="2386">
        <f t="shared" si="428"/>
        <v>77.899908978609972</v>
      </c>
      <c r="AE1257" s="3160"/>
      <c r="AF1257" s="2320"/>
      <c r="AG1257" s="3232"/>
      <c r="AH1257" s="2318"/>
      <c r="AI1257" s="2318"/>
      <c r="AJ1257" s="2318"/>
      <c r="AK1257" s="2318"/>
      <c r="AL1257" s="2318"/>
      <c r="AM1257" s="2318"/>
      <c r="AN1257" s="2320"/>
      <c r="AO1257" s="2320"/>
      <c r="AP1257" s="2320"/>
      <c r="AQ1257" s="2320"/>
      <c r="AR1257" s="2320"/>
      <c r="AS1257" s="2320"/>
      <c r="AT1257" s="2320"/>
      <c r="AU1257" s="2320"/>
      <c r="AV1257" s="2320"/>
      <c r="AW1257" s="2320"/>
      <c r="AX1257" s="2320"/>
      <c r="AY1257" s="2320"/>
      <c r="AZ1257" s="2320"/>
      <c r="BA1257" s="2320"/>
      <c r="BB1257" s="2320"/>
      <c r="BC1257" s="2320"/>
      <c r="BD1257" s="2320"/>
      <c r="BE1257" s="2320"/>
      <c r="BF1257" s="2320"/>
      <c r="BG1257" s="2320"/>
      <c r="BH1257" s="2320"/>
      <c r="BI1257" s="2320"/>
      <c r="BJ1257" s="2320"/>
      <c r="BK1257" s="2320"/>
      <c r="BL1257" s="2320"/>
      <c r="BM1257" s="2320"/>
      <c r="BN1257" s="2320"/>
      <c r="BO1257" s="2320"/>
      <c r="BP1257" s="2320"/>
      <c r="BQ1257" s="2320"/>
      <c r="BR1257" s="2320"/>
      <c r="BS1257" s="2320"/>
      <c r="BT1257" s="2320"/>
      <c r="BU1257" s="2320"/>
      <c r="BV1257" s="2320"/>
      <c r="BW1257" s="2320"/>
      <c r="BX1257" s="2320"/>
    </row>
    <row r="1258" spans="1:76" s="2321" customFormat="1" ht="57.75" customHeight="1">
      <c r="A1258" s="64"/>
      <c r="B1258" s="2632"/>
      <c r="C1258" s="3794"/>
      <c r="D1258" s="3794"/>
      <c r="E1258" s="3794"/>
      <c r="F1258" s="3794"/>
      <c r="G1258" s="3794"/>
      <c r="H1258" s="3794"/>
      <c r="I1258" s="2631" t="s">
        <v>1388</v>
      </c>
      <c r="J1258" s="2632" t="s">
        <v>1389</v>
      </c>
      <c r="K1258" s="2387">
        <v>12</v>
      </c>
      <c r="L1258" s="2389">
        <v>208902000</v>
      </c>
      <c r="M1258" s="2387">
        <v>3</v>
      </c>
      <c r="N1258" s="2389">
        <v>33635000</v>
      </c>
      <c r="O1258" s="2387">
        <v>3</v>
      </c>
      <c r="P1258" s="2389">
        <v>42057300</v>
      </c>
      <c r="Q1258" s="2389">
        <v>0</v>
      </c>
      <c r="R1258" s="1400">
        <v>0</v>
      </c>
      <c r="S1258" s="2276">
        <v>1</v>
      </c>
      <c r="T1258" s="1400">
        <v>19074043</v>
      </c>
      <c r="U1258" s="2276">
        <v>0</v>
      </c>
      <c r="V1258" s="2304">
        <v>0</v>
      </c>
      <c r="W1258" s="2276"/>
      <c r="X1258" s="2276">
        <v>0</v>
      </c>
      <c r="Y1258" s="2389">
        <f t="shared" si="429"/>
        <v>1</v>
      </c>
      <c r="Z1258" s="2304">
        <f>R1258+T1258+V1258+X1258</f>
        <v>19074043</v>
      </c>
      <c r="AA1258" s="2389">
        <f t="shared" si="425"/>
        <v>4</v>
      </c>
      <c r="AB1258" s="2304">
        <f t="shared" si="426"/>
        <v>52709043</v>
      </c>
      <c r="AC1258" s="2386">
        <f t="shared" si="427"/>
        <v>33.333333333333329</v>
      </c>
      <c r="AD1258" s="2386">
        <f t="shared" si="428"/>
        <v>25.231468822701551</v>
      </c>
      <c r="AE1258" s="3160"/>
      <c r="AF1258" s="2320"/>
      <c r="AG1258" s="3232"/>
      <c r="AH1258" s="2318"/>
      <c r="AI1258" s="2318"/>
      <c r="AJ1258" s="2318"/>
      <c r="AK1258" s="2318"/>
      <c r="AL1258" s="2318"/>
      <c r="AM1258" s="2318"/>
      <c r="AN1258" s="2320"/>
      <c r="AO1258" s="2320"/>
      <c r="AP1258" s="2320"/>
      <c r="AQ1258" s="2320"/>
      <c r="AR1258" s="2320"/>
      <c r="AS1258" s="2320"/>
      <c r="AT1258" s="2320"/>
      <c r="AU1258" s="2320"/>
      <c r="AV1258" s="2320"/>
      <c r="AW1258" s="2320"/>
      <c r="AX1258" s="2320"/>
      <c r="AY1258" s="2320"/>
      <c r="AZ1258" s="2320"/>
      <c r="BA1258" s="2320"/>
      <c r="BB1258" s="2320"/>
      <c r="BC1258" s="2320"/>
      <c r="BD1258" s="2320"/>
      <c r="BE1258" s="2320"/>
      <c r="BF1258" s="2320"/>
      <c r="BG1258" s="2320"/>
      <c r="BH1258" s="2320"/>
      <c r="BI1258" s="2320"/>
      <c r="BJ1258" s="2320"/>
      <c r="BK1258" s="2320"/>
      <c r="BL1258" s="2320"/>
      <c r="BM1258" s="2320"/>
      <c r="BN1258" s="2320"/>
      <c r="BO1258" s="2320"/>
      <c r="BP1258" s="2320"/>
      <c r="BQ1258" s="2320"/>
      <c r="BR1258" s="2320"/>
      <c r="BS1258" s="2320"/>
      <c r="BT1258" s="2320"/>
      <c r="BU1258" s="2320"/>
      <c r="BV1258" s="2320"/>
      <c r="BW1258" s="2320"/>
      <c r="BX1258" s="2320"/>
    </row>
    <row r="1259" spans="1:76" s="2321" customFormat="1" ht="57.75" customHeight="1">
      <c r="A1259" s="64"/>
      <c r="B1259" s="2632"/>
      <c r="C1259" s="3794"/>
      <c r="D1259" s="3794"/>
      <c r="E1259" s="3794"/>
      <c r="F1259" s="3794"/>
      <c r="G1259" s="3794"/>
      <c r="H1259" s="3794"/>
      <c r="I1259" s="2631" t="s">
        <v>1390</v>
      </c>
      <c r="J1259" s="2632" t="s">
        <v>1391</v>
      </c>
      <c r="K1259" s="2387">
        <v>105</v>
      </c>
      <c r="L1259" s="2389">
        <v>330000000</v>
      </c>
      <c r="M1259" s="2387">
        <v>0</v>
      </c>
      <c r="N1259" s="2389">
        <v>0</v>
      </c>
      <c r="O1259" s="2387">
        <v>20</v>
      </c>
      <c r="P1259" s="2389">
        <v>41049000</v>
      </c>
      <c r="Q1259" s="2389">
        <v>0</v>
      </c>
      <c r="R1259" s="1400">
        <v>1288000</v>
      </c>
      <c r="S1259" s="2276">
        <v>20</v>
      </c>
      <c r="T1259" s="1400">
        <v>10190100</v>
      </c>
      <c r="U1259" s="2276">
        <v>0</v>
      </c>
      <c r="V1259" s="2304">
        <v>1992000</v>
      </c>
      <c r="W1259" s="2276"/>
      <c r="X1259" s="2276">
        <v>0</v>
      </c>
      <c r="Y1259" s="2389">
        <f t="shared" si="429"/>
        <v>20</v>
      </c>
      <c r="Z1259" s="2304">
        <f>R1259+T1259+V1259+X1259</f>
        <v>13470100</v>
      </c>
      <c r="AA1259" s="2389">
        <f t="shared" si="425"/>
        <v>20</v>
      </c>
      <c r="AB1259" s="2304">
        <f t="shared" si="426"/>
        <v>13470100</v>
      </c>
      <c r="AC1259" s="2386">
        <f t="shared" si="427"/>
        <v>19.047619047619047</v>
      </c>
      <c r="AD1259" s="2386">
        <f t="shared" si="428"/>
        <v>4.0818484848484848</v>
      </c>
      <c r="AE1259" s="3160"/>
      <c r="AF1259" s="2320"/>
      <c r="AG1259" s="3232"/>
      <c r="AH1259" s="2318"/>
      <c r="AI1259" s="2318"/>
      <c r="AJ1259" s="2318"/>
      <c r="AK1259" s="2318"/>
      <c r="AL1259" s="2318"/>
      <c r="AM1259" s="2318"/>
      <c r="AN1259" s="2320"/>
      <c r="AO1259" s="2320"/>
      <c r="AP1259" s="2320"/>
      <c r="AQ1259" s="2320"/>
      <c r="AR1259" s="2320"/>
      <c r="AS1259" s="2320"/>
      <c r="AT1259" s="2320"/>
      <c r="AU1259" s="2320"/>
      <c r="AV1259" s="2320"/>
      <c r="AW1259" s="2320"/>
      <c r="AX1259" s="2320"/>
      <c r="AY1259" s="2320"/>
      <c r="AZ1259" s="2320"/>
      <c r="BA1259" s="2320"/>
      <c r="BB1259" s="2320"/>
      <c r="BC1259" s="2320"/>
      <c r="BD1259" s="2320"/>
      <c r="BE1259" s="2320"/>
      <c r="BF1259" s="2320"/>
      <c r="BG1259" s="2320"/>
      <c r="BH1259" s="2320"/>
      <c r="BI1259" s="2320"/>
      <c r="BJ1259" s="2320"/>
      <c r="BK1259" s="2320"/>
      <c r="BL1259" s="2320"/>
      <c r="BM1259" s="2320"/>
      <c r="BN1259" s="2320"/>
      <c r="BO1259" s="2320"/>
      <c r="BP1259" s="2320"/>
      <c r="BQ1259" s="2320"/>
      <c r="BR1259" s="2320"/>
      <c r="BS1259" s="2320"/>
      <c r="BT1259" s="2320"/>
      <c r="BU1259" s="2320"/>
      <c r="BV1259" s="2320"/>
      <c r="BW1259" s="2320"/>
      <c r="BX1259" s="2320"/>
    </row>
    <row r="1260" spans="1:76" s="2321" customFormat="1" ht="68.25" customHeight="1">
      <c r="A1260" s="64"/>
      <c r="B1260" s="2632"/>
      <c r="C1260" s="3794"/>
      <c r="D1260" s="3794"/>
      <c r="E1260" s="3794"/>
      <c r="F1260" s="3794"/>
      <c r="G1260" s="3794"/>
      <c r="H1260" s="3794"/>
      <c r="I1260" s="2631" t="s">
        <v>1392</v>
      </c>
      <c r="J1260" s="2632" t="s">
        <v>1393</v>
      </c>
      <c r="K1260" s="2387">
        <v>48</v>
      </c>
      <c r="L1260" s="2389">
        <v>447200000</v>
      </c>
      <c r="M1260" s="2387">
        <v>0</v>
      </c>
      <c r="N1260" s="2389">
        <v>0</v>
      </c>
      <c r="O1260" s="2387">
        <v>30</v>
      </c>
      <c r="P1260" s="2389">
        <v>49832057</v>
      </c>
      <c r="Q1260" s="2389">
        <v>0</v>
      </c>
      <c r="R1260" s="1400">
        <v>4872000</v>
      </c>
      <c r="S1260" s="2276">
        <v>0</v>
      </c>
      <c r="T1260" s="1400">
        <v>8926800</v>
      </c>
      <c r="U1260" s="2276">
        <v>0</v>
      </c>
      <c r="V1260" s="2304">
        <v>20932600</v>
      </c>
      <c r="W1260" s="2276"/>
      <c r="X1260" s="2276">
        <v>0</v>
      </c>
      <c r="Y1260" s="2389">
        <f t="shared" si="429"/>
        <v>0</v>
      </c>
      <c r="Z1260" s="2304">
        <f>R1260+T1260+V1260+X1260</f>
        <v>34731400</v>
      </c>
      <c r="AA1260" s="2389">
        <f t="shared" si="425"/>
        <v>0</v>
      </c>
      <c r="AB1260" s="2304">
        <f t="shared" si="426"/>
        <v>34731400</v>
      </c>
      <c r="AC1260" s="2386">
        <f t="shared" si="427"/>
        <v>0</v>
      </c>
      <c r="AD1260" s="2386">
        <f t="shared" si="428"/>
        <v>7.7664132379248656</v>
      </c>
      <c r="AE1260" s="3160"/>
      <c r="AF1260" s="2320"/>
      <c r="AG1260" s="3232"/>
      <c r="AH1260" s="2318"/>
      <c r="AI1260" s="2318"/>
      <c r="AJ1260" s="2318"/>
      <c r="AK1260" s="2318"/>
      <c r="AL1260" s="2318"/>
      <c r="AM1260" s="2318"/>
      <c r="AN1260" s="2320"/>
      <c r="AO1260" s="2320"/>
      <c r="AP1260" s="2320"/>
      <c r="AQ1260" s="2320"/>
      <c r="AR1260" s="2320"/>
      <c r="AS1260" s="2320"/>
      <c r="AT1260" s="2320"/>
      <c r="AU1260" s="2320"/>
      <c r="AV1260" s="2320"/>
      <c r="AW1260" s="2320"/>
      <c r="AX1260" s="2320"/>
      <c r="AY1260" s="2320"/>
      <c r="AZ1260" s="2320"/>
      <c r="BA1260" s="2320"/>
      <c r="BB1260" s="2320"/>
      <c r="BC1260" s="2320"/>
      <c r="BD1260" s="2320"/>
      <c r="BE1260" s="2320"/>
      <c r="BF1260" s="2320"/>
      <c r="BG1260" s="2320"/>
      <c r="BH1260" s="2320"/>
      <c r="BI1260" s="2320"/>
      <c r="BJ1260" s="2320"/>
      <c r="BK1260" s="2320"/>
      <c r="BL1260" s="2320"/>
      <c r="BM1260" s="2320"/>
      <c r="BN1260" s="2320"/>
      <c r="BO1260" s="2320"/>
      <c r="BP1260" s="2320"/>
      <c r="BQ1260" s="2320"/>
      <c r="BR1260" s="2320"/>
      <c r="BS1260" s="2320"/>
      <c r="BT1260" s="2320"/>
      <c r="BU1260" s="2320"/>
      <c r="BV1260" s="2320"/>
      <c r="BW1260" s="2320"/>
      <c r="BX1260" s="2320"/>
    </row>
    <row r="1261" spans="1:76" s="2321" customFormat="1" ht="57.75" customHeight="1">
      <c r="A1261" s="64"/>
      <c r="B1261" s="2632"/>
      <c r="C1261" s="3794"/>
      <c r="D1261" s="3794"/>
      <c r="E1261" s="3794"/>
      <c r="F1261" s="3794"/>
      <c r="G1261" s="3794"/>
      <c r="H1261" s="3794"/>
      <c r="I1261" s="2631" t="s">
        <v>1394</v>
      </c>
      <c r="J1261" s="2632" t="s">
        <v>1395</v>
      </c>
      <c r="K1261" s="2387">
        <v>2</v>
      </c>
      <c r="L1261" s="2389">
        <v>560000000</v>
      </c>
      <c r="M1261" s="2387">
        <v>0</v>
      </c>
      <c r="N1261" s="2389">
        <v>0</v>
      </c>
      <c r="O1261" s="2387">
        <v>1</v>
      </c>
      <c r="P1261" s="2389">
        <v>187909540</v>
      </c>
      <c r="Q1261" s="2389">
        <v>0</v>
      </c>
      <c r="R1261" s="1400">
        <v>1658000</v>
      </c>
      <c r="S1261" s="2276">
        <v>1</v>
      </c>
      <c r="T1261" s="1400">
        <v>25566000</v>
      </c>
      <c r="U1261" s="2276">
        <v>0</v>
      </c>
      <c r="V1261" s="2304">
        <v>140642000</v>
      </c>
      <c r="W1261" s="2276"/>
      <c r="X1261" s="2276">
        <v>0</v>
      </c>
      <c r="Y1261" s="2389">
        <f t="shared" si="429"/>
        <v>1</v>
      </c>
      <c r="Z1261" s="2304">
        <f>R1261+T1261+V1261+X1261</f>
        <v>167866000</v>
      </c>
      <c r="AA1261" s="2389">
        <f t="shared" si="425"/>
        <v>1</v>
      </c>
      <c r="AB1261" s="2304">
        <f t="shared" si="426"/>
        <v>167866000</v>
      </c>
      <c r="AC1261" s="2386">
        <f t="shared" si="427"/>
        <v>50</v>
      </c>
      <c r="AD1261" s="2386">
        <f t="shared" si="428"/>
        <v>29.976071428571426</v>
      </c>
      <c r="AE1261" s="3160"/>
      <c r="AF1261" s="2320"/>
      <c r="AG1261" s="3232"/>
      <c r="AH1261" s="2318"/>
      <c r="AI1261" s="2318"/>
      <c r="AJ1261" s="2318"/>
      <c r="AK1261" s="2318"/>
      <c r="AL1261" s="2318"/>
      <c r="AM1261" s="2318"/>
      <c r="AN1261" s="2320"/>
      <c r="AO1261" s="2320"/>
      <c r="AP1261" s="2320"/>
      <c r="AQ1261" s="2320"/>
      <c r="AR1261" s="2320"/>
      <c r="AS1261" s="2320"/>
      <c r="AT1261" s="2320"/>
      <c r="AU1261" s="2320"/>
      <c r="AV1261" s="2320"/>
      <c r="AW1261" s="2320"/>
      <c r="AX1261" s="2320"/>
      <c r="AY1261" s="2320"/>
      <c r="AZ1261" s="2320"/>
      <c r="BA1261" s="2320"/>
      <c r="BB1261" s="2320"/>
      <c r="BC1261" s="2320"/>
      <c r="BD1261" s="2320"/>
      <c r="BE1261" s="2320"/>
      <c r="BF1261" s="2320"/>
      <c r="BG1261" s="2320"/>
      <c r="BH1261" s="2320"/>
      <c r="BI1261" s="2320"/>
      <c r="BJ1261" s="2320"/>
      <c r="BK1261" s="2320"/>
      <c r="BL1261" s="2320"/>
      <c r="BM1261" s="2320"/>
      <c r="BN1261" s="2320"/>
      <c r="BO1261" s="2320"/>
      <c r="BP1261" s="2320"/>
      <c r="BQ1261" s="2320"/>
      <c r="BR1261" s="2320"/>
      <c r="BS1261" s="2320"/>
      <c r="BT1261" s="2320"/>
      <c r="BU1261" s="2320"/>
      <c r="BV1261" s="2320"/>
      <c r="BW1261" s="2320"/>
      <c r="BX1261" s="2320"/>
    </row>
    <row r="1262" spans="1:76" s="2321" customFormat="1" ht="76.5">
      <c r="A1262" s="2570">
        <v>7</v>
      </c>
      <c r="B1262" s="2335"/>
      <c r="C1262" s="3795"/>
      <c r="D1262" s="3795"/>
      <c r="E1262" s="3795"/>
      <c r="F1262" s="3795"/>
      <c r="G1262" s="3795"/>
      <c r="H1262" s="3795"/>
      <c r="I1262" s="2359" t="s">
        <v>1396</v>
      </c>
      <c r="J1262" s="2335" t="s">
        <v>1397</v>
      </c>
      <c r="K1262" s="2672">
        <v>6.9</v>
      </c>
      <c r="L1262" s="3161">
        <f>SUM(L1263:L1266)</f>
        <v>19243980000</v>
      </c>
      <c r="M1262" s="2672">
        <v>4.0599999999999996</v>
      </c>
      <c r="N1262" s="3161">
        <f>SUM(N1263:N1266)</f>
        <v>7695486000</v>
      </c>
      <c r="O1262" s="2523">
        <v>4.6399999999999997</v>
      </c>
      <c r="P1262" s="3161">
        <f>SUM(P1263:P1266)</f>
        <v>4507608295</v>
      </c>
      <c r="Q1262" s="3161">
        <v>0</v>
      </c>
      <c r="R1262" s="2347">
        <f>SUM(R1263:R1266)</f>
        <v>64853500</v>
      </c>
      <c r="S1262" s="2339">
        <f>Q1262</f>
        <v>0</v>
      </c>
      <c r="T1262" s="2347">
        <f>SUM(T1263:T1266)</f>
        <v>567909300</v>
      </c>
      <c r="U1262" s="2339">
        <f>Q1262+S1262</f>
        <v>0</v>
      </c>
      <c r="V1262" s="2347">
        <f>SUM(V1263:V1266)</f>
        <v>2794072600</v>
      </c>
      <c r="W1262" s="2339">
        <f>Q1262+S1262+U1262</f>
        <v>0</v>
      </c>
      <c r="X1262" s="2339">
        <v>0</v>
      </c>
      <c r="Y1262" s="3161">
        <f t="shared" si="429"/>
        <v>0</v>
      </c>
      <c r="Z1262" s="2342">
        <f>SUM(Z1263:Z1266)</f>
        <v>64853500</v>
      </c>
      <c r="AA1262" s="3161">
        <f t="shared" ref="AA1262:AB1266" si="430">M1262+Y1262</f>
        <v>4.0599999999999996</v>
      </c>
      <c r="AB1262" s="2342">
        <f t="shared" si="430"/>
        <v>7760339500</v>
      </c>
      <c r="AC1262" s="3147">
        <f t="shared" ref="AC1262:AD1266" si="431">AA1262/K1262*100</f>
        <v>58.840579710144915</v>
      </c>
      <c r="AD1262" s="3147">
        <f t="shared" si="431"/>
        <v>40.32606300775619</v>
      </c>
      <c r="AE1262" s="3138" t="s">
        <v>3412</v>
      </c>
      <c r="AF1262" s="2320"/>
      <c r="AG1262" s="3232"/>
      <c r="AH1262" s="2318"/>
      <c r="AI1262" s="2318"/>
      <c r="AJ1262" s="2318"/>
      <c r="AK1262" s="2318"/>
      <c r="AL1262" s="2318"/>
      <c r="AM1262" s="2318"/>
      <c r="AN1262" s="2320"/>
      <c r="AO1262" s="2320"/>
      <c r="AP1262" s="2320"/>
      <c r="AQ1262" s="2320"/>
      <c r="AR1262" s="2320"/>
      <c r="AS1262" s="2320"/>
      <c r="AT1262" s="2320"/>
      <c r="AU1262" s="2320"/>
      <c r="AV1262" s="2320"/>
      <c r="AW1262" s="2320"/>
      <c r="AX1262" s="2320"/>
      <c r="AY1262" s="2320"/>
      <c r="AZ1262" s="2320"/>
      <c r="BA1262" s="2320"/>
      <c r="BB1262" s="2320"/>
      <c r="BC1262" s="2320"/>
      <c r="BD1262" s="2320"/>
      <c r="BE1262" s="2320"/>
      <c r="BF1262" s="2320"/>
      <c r="BG1262" s="2320"/>
      <c r="BH1262" s="2320"/>
      <c r="BI1262" s="2320"/>
      <c r="BJ1262" s="2320"/>
      <c r="BK1262" s="2320"/>
      <c r="BL1262" s="2320"/>
      <c r="BM1262" s="2320"/>
      <c r="BN1262" s="2320"/>
      <c r="BO1262" s="2320"/>
      <c r="BP1262" s="2320"/>
      <c r="BQ1262" s="2320"/>
      <c r="BR1262" s="2320"/>
      <c r="BS1262" s="2320"/>
      <c r="BT1262" s="2320"/>
      <c r="BU1262" s="2320"/>
      <c r="BV1262" s="2320"/>
      <c r="BW1262" s="2320"/>
      <c r="BX1262" s="2320"/>
    </row>
    <row r="1263" spans="1:76" s="2321" customFormat="1" ht="54" customHeight="1">
      <c r="A1263" s="64"/>
      <c r="B1263" s="2632"/>
      <c r="C1263" s="3794"/>
      <c r="D1263" s="3794"/>
      <c r="E1263" s="3794"/>
      <c r="F1263" s="3794"/>
      <c r="G1263" s="3794"/>
      <c r="H1263" s="3794"/>
      <c r="I1263" s="2631" t="s">
        <v>1398</v>
      </c>
      <c r="J1263" s="2632" t="s">
        <v>1399</v>
      </c>
      <c r="K1263" s="2387">
        <v>4</v>
      </c>
      <c r="L1263" s="2389">
        <v>464100000</v>
      </c>
      <c r="M1263" s="2387">
        <v>1</v>
      </c>
      <c r="N1263" s="2389">
        <v>62250000</v>
      </c>
      <c r="O1263" s="2387">
        <v>1</v>
      </c>
      <c r="P1263" s="2389">
        <v>95676250</v>
      </c>
      <c r="Q1263" s="2389">
        <v>0</v>
      </c>
      <c r="R1263" s="1400">
        <v>16683700</v>
      </c>
      <c r="S1263" s="2276">
        <v>0</v>
      </c>
      <c r="T1263" s="1400">
        <v>11459400</v>
      </c>
      <c r="U1263" s="2276">
        <v>0</v>
      </c>
      <c r="V1263" s="2304">
        <v>27490000</v>
      </c>
      <c r="W1263" s="2276"/>
      <c r="X1263" s="2276">
        <v>0</v>
      </c>
      <c r="Y1263" s="2389">
        <f t="shared" si="429"/>
        <v>0</v>
      </c>
      <c r="Z1263" s="2304">
        <f>SUM(R1263)</f>
        <v>16683700</v>
      </c>
      <c r="AA1263" s="2389">
        <f t="shared" si="430"/>
        <v>1</v>
      </c>
      <c r="AB1263" s="2304">
        <f t="shared" si="430"/>
        <v>78933700</v>
      </c>
      <c r="AC1263" s="2386">
        <f t="shared" si="431"/>
        <v>25</v>
      </c>
      <c r="AD1263" s="2386">
        <f t="shared" si="431"/>
        <v>17.007907778496016</v>
      </c>
      <c r="AE1263" s="2279"/>
      <c r="AF1263" s="2320"/>
      <c r="AG1263" s="3232"/>
      <c r="AH1263" s="2318"/>
      <c r="AI1263" s="2318"/>
      <c r="AJ1263" s="2318"/>
      <c r="AK1263" s="2318"/>
      <c r="AL1263" s="2318"/>
      <c r="AM1263" s="2318"/>
      <c r="AN1263" s="2320"/>
      <c r="AO1263" s="2320"/>
      <c r="AP1263" s="2320"/>
      <c r="AQ1263" s="2320"/>
      <c r="AR1263" s="2320"/>
      <c r="AS1263" s="2320"/>
      <c r="AT1263" s="2320"/>
      <c r="AU1263" s="2320"/>
      <c r="AV1263" s="2320"/>
      <c r="AW1263" s="2320"/>
      <c r="AX1263" s="2320"/>
      <c r="AY1263" s="2320"/>
      <c r="AZ1263" s="2320"/>
      <c r="BA1263" s="2320"/>
      <c r="BB1263" s="2320"/>
      <c r="BC1263" s="2320"/>
      <c r="BD1263" s="2320"/>
      <c r="BE1263" s="2320"/>
      <c r="BF1263" s="2320"/>
      <c r="BG1263" s="2320"/>
      <c r="BH1263" s="2320"/>
      <c r="BI1263" s="2320"/>
      <c r="BJ1263" s="2320"/>
      <c r="BK1263" s="2320"/>
      <c r="BL1263" s="2320"/>
      <c r="BM1263" s="2320"/>
      <c r="BN1263" s="2320"/>
      <c r="BO1263" s="2320"/>
      <c r="BP1263" s="2320"/>
      <c r="BQ1263" s="2320"/>
      <c r="BR1263" s="2320"/>
      <c r="BS1263" s="2320"/>
      <c r="BT1263" s="2320"/>
      <c r="BU1263" s="2320"/>
      <c r="BV1263" s="2320"/>
      <c r="BW1263" s="2320"/>
      <c r="BX1263" s="2320"/>
    </row>
    <row r="1264" spans="1:76" s="2321" customFormat="1" ht="67.5" customHeight="1">
      <c r="A1264" s="64"/>
      <c r="B1264" s="2632"/>
      <c r="C1264" s="3794"/>
      <c r="D1264" s="3794"/>
      <c r="E1264" s="3794"/>
      <c r="F1264" s="3794"/>
      <c r="G1264" s="3794"/>
      <c r="H1264" s="3794"/>
      <c r="I1264" s="2631" t="s">
        <v>1400</v>
      </c>
      <c r="J1264" s="2632" t="s">
        <v>4651</v>
      </c>
      <c r="K1264" s="2387">
        <v>60</v>
      </c>
      <c r="L1264" s="2389">
        <v>4226880000</v>
      </c>
      <c r="M1264" s="2387">
        <v>13</v>
      </c>
      <c r="N1264" s="2389">
        <v>2261697000</v>
      </c>
      <c r="O1264" s="2387">
        <v>8</v>
      </c>
      <c r="P1264" s="2389">
        <v>1945199045</v>
      </c>
      <c r="Q1264" s="2389">
        <v>0</v>
      </c>
      <c r="R1264" s="1400">
        <v>11532500</v>
      </c>
      <c r="S1264" s="2276">
        <v>2</v>
      </c>
      <c r="T1264" s="1400">
        <v>401263000</v>
      </c>
      <c r="U1264" s="2276">
        <v>9</v>
      </c>
      <c r="V1264" s="2304">
        <v>1113628500</v>
      </c>
      <c r="W1264" s="2276"/>
      <c r="X1264" s="2276">
        <v>0</v>
      </c>
      <c r="Y1264" s="2389">
        <f t="shared" si="429"/>
        <v>11</v>
      </c>
      <c r="Z1264" s="2304">
        <f>SUM(R1264)</f>
        <v>11532500</v>
      </c>
      <c r="AA1264" s="2389">
        <f t="shared" si="430"/>
        <v>24</v>
      </c>
      <c r="AB1264" s="2304">
        <f t="shared" si="430"/>
        <v>2273229500</v>
      </c>
      <c r="AC1264" s="2386">
        <f t="shared" si="431"/>
        <v>40</v>
      </c>
      <c r="AD1264" s="2386">
        <f t="shared" si="431"/>
        <v>53.7803178703914</v>
      </c>
      <c r="AE1264" s="3160"/>
      <c r="AF1264" s="2320"/>
      <c r="AG1264" s="3232"/>
      <c r="AH1264" s="2318"/>
      <c r="AI1264" s="2318"/>
      <c r="AJ1264" s="2318"/>
      <c r="AK1264" s="2318"/>
      <c r="AL1264" s="2318"/>
      <c r="AM1264" s="2318"/>
      <c r="AN1264" s="2320"/>
      <c r="AO1264" s="2320"/>
      <c r="AP1264" s="2320"/>
      <c r="AQ1264" s="2320"/>
      <c r="AR1264" s="2320"/>
      <c r="AS1264" s="2320"/>
      <c r="AT1264" s="2320"/>
      <c r="AU1264" s="2320"/>
      <c r="AV1264" s="2320"/>
      <c r="AW1264" s="2320"/>
      <c r="AX1264" s="2320"/>
      <c r="AY1264" s="2320"/>
      <c r="AZ1264" s="2320"/>
      <c r="BA1264" s="2320"/>
      <c r="BB1264" s="2320"/>
      <c r="BC1264" s="2320"/>
      <c r="BD1264" s="2320"/>
      <c r="BE1264" s="2320"/>
      <c r="BF1264" s="2320"/>
      <c r="BG1264" s="2320"/>
      <c r="BH1264" s="2320"/>
      <c r="BI1264" s="2320"/>
      <c r="BJ1264" s="2320"/>
      <c r="BK1264" s="2320"/>
      <c r="BL1264" s="2320"/>
      <c r="BM1264" s="2320"/>
      <c r="BN1264" s="2320"/>
      <c r="BO1264" s="2320"/>
      <c r="BP1264" s="2320"/>
      <c r="BQ1264" s="2320"/>
      <c r="BR1264" s="2320"/>
      <c r="BS1264" s="2320"/>
      <c r="BT1264" s="2320"/>
      <c r="BU1264" s="2320"/>
      <c r="BV1264" s="2320"/>
      <c r="BW1264" s="2320"/>
      <c r="BX1264" s="2320"/>
    </row>
    <row r="1265" spans="1:77" s="2321" customFormat="1" ht="59.25" customHeight="1">
      <c r="A1265" s="64"/>
      <c r="B1265" s="2632"/>
      <c r="C1265" s="3794"/>
      <c r="D1265" s="3794"/>
      <c r="E1265" s="3794"/>
      <c r="F1265" s="3794"/>
      <c r="G1265" s="3794"/>
      <c r="H1265" s="3794"/>
      <c r="I1265" s="2631" t="s">
        <v>1402</v>
      </c>
      <c r="J1265" s="2632" t="s">
        <v>1403</v>
      </c>
      <c r="K1265" s="2387">
        <v>72</v>
      </c>
      <c r="L1265" s="2389">
        <v>13230000000</v>
      </c>
      <c r="M1265" s="2387">
        <v>24</v>
      </c>
      <c r="N1265" s="2389">
        <v>5334634000</v>
      </c>
      <c r="O1265" s="2387">
        <v>12</v>
      </c>
      <c r="P1265" s="2389">
        <v>2423233000</v>
      </c>
      <c r="Q1265" s="2389">
        <v>0</v>
      </c>
      <c r="R1265" s="1400">
        <v>8629500</v>
      </c>
      <c r="S1265" s="2276">
        <v>0</v>
      </c>
      <c r="T1265" s="1400">
        <v>155186900</v>
      </c>
      <c r="U1265" s="2276">
        <v>0</v>
      </c>
      <c r="V1265" s="2304">
        <v>1652954100</v>
      </c>
      <c r="W1265" s="2276"/>
      <c r="X1265" s="2276">
        <v>0</v>
      </c>
      <c r="Y1265" s="2389">
        <f t="shared" si="429"/>
        <v>0</v>
      </c>
      <c r="Z1265" s="2304">
        <f>SUM(R1265)</f>
        <v>8629500</v>
      </c>
      <c r="AA1265" s="2389">
        <f t="shared" si="430"/>
        <v>24</v>
      </c>
      <c r="AB1265" s="2304">
        <f t="shared" si="430"/>
        <v>5343263500</v>
      </c>
      <c r="AC1265" s="2386">
        <f t="shared" si="431"/>
        <v>33.333333333333329</v>
      </c>
      <c r="AD1265" s="2386">
        <f t="shared" si="431"/>
        <v>40.387479213907781</v>
      </c>
      <c r="AE1265" s="3160"/>
      <c r="AF1265" s="2320"/>
      <c r="AG1265" s="3232"/>
      <c r="AH1265" s="2318"/>
      <c r="AI1265" s="2318"/>
      <c r="AJ1265" s="2318"/>
      <c r="AK1265" s="2318"/>
      <c r="AL1265" s="2318"/>
      <c r="AM1265" s="2318"/>
      <c r="AN1265" s="2320"/>
      <c r="AO1265" s="2320"/>
      <c r="AP1265" s="2320"/>
      <c r="AQ1265" s="2320"/>
      <c r="AR1265" s="2320"/>
      <c r="AS1265" s="2320"/>
      <c r="AT1265" s="2320"/>
      <c r="AU1265" s="2320"/>
      <c r="AV1265" s="2320"/>
      <c r="AW1265" s="2320"/>
      <c r="AX1265" s="2320"/>
      <c r="AY1265" s="2320"/>
      <c r="AZ1265" s="2320"/>
      <c r="BA1265" s="2320"/>
      <c r="BB1265" s="2320"/>
      <c r="BC1265" s="2320"/>
      <c r="BD1265" s="2320"/>
      <c r="BE1265" s="2320"/>
      <c r="BF1265" s="2320"/>
      <c r="BG1265" s="2320"/>
      <c r="BH1265" s="2320"/>
      <c r="BI1265" s="2320"/>
      <c r="BJ1265" s="2320"/>
      <c r="BK1265" s="2320"/>
      <c r="BL1265" s="2320"/>
      <c r="BM1265" s="2320"/>
      <c r="BN1265" s="2320"/>
      <c r="BO1265" s="2320"/>
      <c r="BP1265" s="2320"/>
      <c r="BQ1265" s="2320"/>
      <c r="BR1265" s="2320"/>
      <c r="BS1265" s="2320"/>
      <c r="BT1265" s="2320"/>
      <c r="BU1265" s="2320"/>
      <c r="BV1265" s="2320"/>
      <c r="BW1265" s="2320"/>
      <c r="BX1265" s="2320"/>
    </row>
    <row r="1266" spans="1:77" s="2321" customFormat="1" ht="66" customHeight="1">
      <c r="A1266" s="64"/>
      <c r="B1266" s="2632"/>
      <c r="C1266" s="3794"/>
      <c r="D1266" s="3794"/>
      <c r="E1266" s="3794"/>
      <c r="F1266" s="3794"/>
      <c r="G1266" s="3794"/>
      <c r="H1266" s="3794"/>
      <c r="I1266" s="2631" t="s">
        <v>1404</v>
      </c>
      <c r="J1266" s="2632" t="s">
        <v>1405</v>
      </c>
      <c r="K1266" s="2387">
        <v>4</v>
      </c>
      <c r="L1266" s="2389">
        <v>1323000000</v>
      </c>
      <c r="M1266" s="2387">
        <v>2</v>
      </c>
      <c r="N1266" s="2389">
        <v>36905000</v>
      </c>
      <c r="O1266" s="2387">
        <v>1</v>
      </c>
      <c r="P1266" s="2389">
        <v>43500000</v>
      </c>
      <c r="Q1266" s="2389">
        <v>0</v>
      </c>
      <c r="R1266" s="1400">
        <v>28007800</v>
      </c>
      <c r="S1266" s="2276">
        <v>0</v>
      </c>
      <c r="T1266" s="1400">
        <v>0</v>
      </c>
      <c r="U1266" s="2276">
        <v>0</v>
      </c>
      <c r="V1266" s="2304">
        <v>0</v>
      </c>
      <c r="W1266" s="2276"/>
      <c r="X1266" s="2276">
        <v>0</v>
      </c>
      <c r="Y1266" s="2389">
        <f t="shared" si="429"/>
        <v>0</v>
      </c>
      <c r="Z1266" s="2304">
        <f>SUM(R1266)</f>
        <v>28007800</v>
      </c>
      <c r="AA1266" s="2389">
        <f t="shared" si="430"/>
        <v>2</v>
      </c>
      <c r="AB1266" s="2304">
        <f t="shared" si="430"/>
        <v>64912800</v>
      </c>
      <c r="AC1266" s="2386">
        <f t="shared" si="431"/>
        <v>50</v>
      </c>
      <c r="AD1266" s="2386">
        <f t="shared" si="431"/>
        <v>4.9064852607709746</v>
      </c>
      <c r="AE1266" s="3160"/>
      <c r="AF1266" s="2320"/>
      <c r="AG1266" s="3232"/>
      <c r="AH1266" s="2318"/>
      <c r="AI1266" s="2318"/>
      <c r="AJ1266" s="2318"/>
      <c r="AK1266" s="2318"/>
      <c r="AL1266" s="2318"/>
      <c r="AM1266" s="2318"/>
      <c r="AN1266" s="2320"/>
      <c r="AO1266" s="2320"/>
      <c r="AP1266" s="2320"/>
      <c r="AQ1266" s="2320"/>
      <c r="AR1266" s="2320"/>
      <c r="AS1266" s="2320"/>
      <c r="AT1266" s="2320"/>
      <c r="AU1266" s="2320"/>
      <c r="AV1266" s="2320"/>
      <c r="AW1266" s="2320"/>
      <c r="AX1266" s="2320"/>
      <c r="AY1266" s="2320"/>
      <c r="AZ1266" s="2320"/>
      <c r="BA1266" s="2320"/>
      <c r="BB1266" s="2320"/>
      <c r="BC1266" s="2320"/>
      <c r="BD1266" s="2320"/>
      <c r="BE1266" s="2320"/>
      <c r="BF1266" s="2320"/>
      <c r="BG1266" s="2320"/>
      <c r="BH1266" s="2320"/>
      <c r="BI1266" s="2320"/>
      <c r="BJ1266" s="2320"/>
      <c r="BK1266" s="2320"/>
      <c r="BL1266" s="2320"/>
      <c r="BM1266" s="2320"/>
      <c r="BN1266" s="2320"/>
      <c r="BO1266" s="2320"/>
      <c r="BP1266" s="2320"/>
      <c r="BQ1266" s="2320"/>
      <c r="BR1266" s="2320"/>
      <c r="BS1266" s="2320"/>
      <c r="BT1266" s="2320"/>
      <c r="BU1266" s="2320"/>
      <c r="BV1266" s="2320"/>
      <c r="BW1266" s="2320"/>
      <c r="BX1266" s="2320"/>
    </row>
    <row r="1267" spans="1:77" s="114" customFormat="1" ht="18.75" customHeight="1">
      <c r="A1267" s="4244" t="s">
        <v>89</v>
      </c>
      <c r="B1267" s="4244"/>
      <c r="C1267" s="4245"/>
      <c r="D1267" s="4245"/>
      <c r="E1267" s="4245"/>
      <c r="F1267" s="4245"/>
      <c r="G1267" s="4245"/>
      <c r="H1267" s="4245"/>
      <c r="I1267" s="4245"/>
      <c r="J1267" s="4245"/>
      <c r="K1267" s="4245"/>
      <c r="L1267" s="4245"/>
      <c r="M1267" s="4245"/>
      <c r="N1267" s="4245"/>
      <c r="O1267" s="4245"/>
      <c r="P1267" s="4245"/>
      <c r="Q1267" s="4245"/>
      <c r="R1267" s="4245"/>
      <c r="S1267" s="4245"/>
      <c r="T1267" s="4245"/>
      <c r="U1267" s="4245"/>
      <c r="V1267" s="4245"/>
      <c r="W1267" s="4245"/>
      <c r="X1267" s="4245"/>
      <c r="Y1267" s="4245"/>
      <c r="Z1267" s="4245"/>
      <c r="AA1267" s="4245"/>
      <c r="AB1267" s="4245"/>
      <c r="AC1267" s="2030">
        <f>(AC1195+AC1207+AC1213+AC1214+AC1219+AC1220+AC1221+AC1222+AC1223+AC1224+AC1225+AC1226+AC1227+AC1228+AC1229+AC1230+AC1248+AC1249+AC1250+AC1254+AC1262)/21</f>
        <v>52.407098211280299</v>
      </c>
      <c r="AD1267" s="2030">
        <f>(AD1195+AD1207+AD1213+AD1219+AD1248+AD1254+AD1262)/7</f>
        <v>30.327159311283424</v>
      </c>
      <c r="AE1267" s="390"/>
    </row>
    <row r="1268" spans="1:77" s="475" customFormat="1" ht="15.75" customHeight="1">
      <c r="A1268" s="4244" t="s">
        <v>90</v>
      </c>
      <c r="B1268" s="4244"/>
      <c r="C1268" s="4245"/>
      <c r="D1268" s="4245"/>
      <c r="E1268" s="4245"/>
      <c r="F1268" s="4245"/>
      <c r="G1268" s="4245"/>
      <c r="H1268" s="4245"/>
      <c r="I1268" s="4245"/>
      <c r="J1268" s="4245"/>
      <c r="K1268" s="4245"/>
      <c r="L1268" s="4245"/>
      <c r="M1268" s="4245"/>
      <c r="N1268" s="4245"/>
      <c r="O1268" s="4245"/>
      <c r="P1268" s="4245"/>
      <c r="Q1268" s="4245"/>
      <c r="R1268" s="4245"/>
      <c r="S1268" s="4245"/>
      <c r="T1268" s="4245"/>
      <c r="U1268" s="4245"/>
      <c r="V1268" s="4245"/>
      <c r="W1268" s="4245"/>
      <c r="X1268" s="4245"/>
      <c r="Y1268" s="4245"/>
      <c r="Z1268" s="4245"/>
      <c r="AA1268" s="4245"/>
      <c r="AB1268" s="4245"/>
      <c r="AC1268" s="3152" t="str">
        <f>IF(AC1267&gt;=91,"ST",IF(AC1267&gt;=76,"T",IF(AC1267&gt;=66,"S",IF(AC1267&gt;=51,"R","SR"))))</f>
        <v>R</v>
      </c>
      <c r="AD1268" s="3152" t="str">
        <f>IF(AD1267&gt;=91,"ST",IF(AD1267&gt;=76,"T",IF(AD1267&gt;=66,"S",IF(AD1267&gt;=51,"R","SR"))))</f>
        <v>SR</v>
      </c>
      <c r="AE1268" s="390"/>
    </row>
    <row r="1269" spans="1:77" s="3636" customFormat="1" ht="21.75" customHeight="1">
      <c r="A1269" s="3629" t="s">
        <v>909</v>
      </c>
      <c r="B1269" s="3629"/>
      <c r="C1269" s="3843"/>
      <c r="D1269" s="3843"/>
      <c r="E1269" s="3843"/>
      <c r="F1269" s="3843"/>
      <c r="G1269" s="3843"/>
      <c r="H1269" s="3843"/>
      <c r="I1269" s="3629"/>
      <c r="J1269" s="3629"/>
      <c r="K1269" s="3629"/>
      <c r="L1269" s="3630">
        <f>L1270+L1283+L1288+L1290+L1317+L1319+L1327+L1329+L1331</f>
        <v>28963653537</v>
      </c>
      <c r="M1269" s="3629"/>
      <c r="N1269" s="3631">
        <f>N1270+N1283+N1288+N1290+N1317+N1319+N1327+N1329+N1331</f>
        <v>7362243011.666667</v>
      </c>
      <c r="O1269" s="3629"/>
      <c r="P1269" s="3631">
        <f>SUM(P1270+P1283+P1288+P1290+P1317+P1319+P1327+P1329+P1331)</f>
        <v>4777034315.25</v>
      </c>
      <c r="Q1269" s="3629"/>
      <c r="R1269" s="3631">
        <f>R1270+R1283+R1288+R1290+R1317+R1319+R1327+R1329+R1331</f>
        <v>324953041.5</v>
      </c>
      <c r="S1269" s="3629"/>
      <c r="T1269" s="3632">
        <f>T1270+T1283+T1288+T1290+T1317+T1319+T1327+T1329+T1331</f>
        <v>1301071101</v>
      </c>
      <c r="U1269" s="3629"/>
      <c r="V1269" s="3631">
        <f>V1270+V1283+V1288+V1290+V1317+V1319+V1327+V1329+V1331</f>
        <v>1430716264</v>
      </c>
      <c r="W1269" s="3629"/>
      <c r="X1269" s="3629"/>
      <c r="Y1269" s="3629"/>
      <c r="Z1269" s="3633">
        <v>2562058171</v>
      </c>
      <c r="AA1269" s="3629"/>
      <c r="AB1269" s="3631">
        <f>AB1270+AB1283+AB1288+AB1290+AB1317+AB1319+AB1327+AB1329+AB1331</f>
        <v>11040662888.166666</v>
      </c>
      <c r="AC1269" s="3629"/>
      <c r="AD1269" s="3629"/>
      <c r="AE1269" s="3634"/>
      <c r="AF1269" s="3635"/>
      <c r="AG1269" s="3635"/>
      <c r="AH1269" s="3635"/>
      <c r="AI1269" s="3635"/>
      <c r="AJ1269" s="3635"/>
      <c r="AK1269" s="3635"/>
      <c r="AL1269" s="3635"/>
      <c r="AM1269" s="3635"/>
      <c r="AN1269" s="3635"/>
      <c r="AO1269" s="3635"/>
      <c r="AP1269" s="3635"/>
      <c r="AQ1269" s="3635"/>
      <c r="AR1269" s="3635"/>
      <c r="AS1269" s="3635"/>
      <c r="AT1269" s="3635"/>
      <c r="AU1269" s="3635"/>
      <c r="AV1269" s="3635"/>
      <c r="AW1269" s="3635"/>
      <c r="AX1269" s="3635"/>
      <c r="AY1269" s="3635"/>
      <c r="AZ1269" s="3635"/>
      <c r="BA1269" s="3635"/>
      <c r="BB1269" s="3635"/>
      <c r="BC1269" s="3635"/>
      <c r="BD1269" s="3635"/>
      <c r="BE1269" s="3635"/>
      <c r="BF1269" s="3635"/>
      <c r="BG1269" s="3635"/>
      <c r="BH1269" s="3635"/>
      <c r="BI1269" s="3635"/>
      <c r="BJ1269" s="3635"/>
      <c r="BK1269" s="3635"/>
      <c r="BL1269" s="3635"/>
      <c r="BM1269" s="3635"/>
      <c r="BN1269" s="3635"/>
      <c r="BO1269" s="3635"/>
      <c r="BP1269" s="3635"/>
      <c r="BQ1269" s="3635"/>
      <c r="BR1269" s="3635"/>
      <c r="BS1269" s="3635"/>
      <c r="BT1269" s="3635"/>
      <c r="BU1269" s="3635"/>
      <c r="BV1269" s="3635"/>
      <c r="BW1269" s="3635"/>
      <c r="BX1269" s="3635"/>
    </row>
    <row r="1270" spans="1:77" s="3530" customFormat="1" ht="53.25" customHeight="1">
      <c r="A1270" s="4142">
        <v>1</v>
      </c>
      <c r="B1270" s="4092" t="s">
        <v>870</v>
      </c>
      <c r="C1270" s="4143">
        <v>2</v>
      </c>
      <c r="D1270" s="4143" t="s">
        <v>107</v>
      </c>
      <c r="E1270" s="4143" t="s">
        <v>196</v>
      </c>
      <c r="F1270" s="4143" t="s">
        <v>65</v>
      </c>
      <c r="G1270" s="4143" t="s">
        <v>66</v>
      </c>
      <c r="H1270" s="4143"/>
      <c r="I1270" s="4144" t="s">
        <v>871</v>
      </c>
      <c r="J1270" s="4144" t="s">
        <v>872</v>
      </c>
      <c r="K1270" s="4145">
        <v>72</v>
      </c>
      <c r="L1270" s="4146">
        <f>SUM(L1271:L1282)</f>
        <v>3067772264</v>
      </c>
      <c r="M1270" s="4147">
        <v>24</v>
      </c>
      <c r="N1270" s="4148">
        <f>SUM(N1271:N1282)</f>
        <v>1105940872</v>
      </c>
      <c r="O1270" s="4149">
        <v>12</v>
      </c>
      <c r="P1270" s="4150">
        <f>SUM(P1271:P1282)</f>
        <v>561930701</v>
      </c>
      <c r="Q1270" s="4151">
        <v>3</v>
      </c>
      <c r="R1270" s="4152">
        <f>SUM(R1271:R1282)</f>
        <v>132839590</v>
      </c>
      <c r="S1270" s="4153">
        <v>3</v>
      </c>
      <c r="T1270" s="4152">
        <f>SUM(T1271:T1282)</f>
        <v>121626989</v>
      </c>
      <c r="U1270" s="4153">
        <v>3</v>
      </c>
      <c r="V1270" s="4154">
        <f>SUM(V1271:V1282)</f>
        <v>109247414</v>
      </c>
      <c r="W1270" s="4153"/>
      <c r="X1270" s="4153"/>
      <c r="Y1270" s="4150">
        <f t="shared" ref="Y1270:Z1332" si="432">Q1270+S1270+U1270+W1270</f>
        <v>9</v>
      </c>
      <c r="Z1270" s="4155">
        <f>R1270+T1270+V1270</f>
        <v>363713993</v>
      </c>
      <c r="AA1270" s="4156">
        <f t="shared" ref="AA1270:AB1285" si="433">M1270+Y1270</f>
        <v>33</v>
      </c>
      <c r="AB1270" s="4155">
        <f t="shared" si="433"/>
        <v>1469654865</v>
      </c>
      <c r="AC1270" s="4157">
        <f t="shared" ref="AC1270:AD1285" si="434">AA1270/K1270*100</f>
        <v>45.833333333333329</v>
      </c>
      <c r="AD1270" s="4157">
        <f t="shared" si="434"/>
        <v>47.90625700109009</v>
      </c>
      <c r="AE1270" s="4158" t="s">
        <v>826</v>
      </c>
      <c r="AF1270" s="3528"/>
      <c r="AG1270" s="3528"/>
      <c r="AH1270" s="3528"/>
      <c r="AI1270" s="3529"/>
      <c r="AJ1270" s="3529"/>
      <c r="AK1270" s="3529"/>
      <c r="AL1270" s="3529"/>
      <c r="AM1270" s="3529"/>
      <c r="AN1270" s="3529"/>
      <c r="AO1270" s="3529"/>
      <c r="AP1270" s="3529"/>
      <c r="AQ1270" s="3529"/>
      <c r="AR1270" s="3529"/>
      <c r="AS1270" s="3529"/>
      <c r="AT1270" s="3529"/>
      <c r="AU1270" s="3529"/>
      <c r="AV1270" s="3529"/>
      <c r="AW1270" s="3529"/>
      <c r="AX1270" s="3529"/>
      <c r="AY1270" s="3529"/>
      <c r="AZ1270" s="3529"/>
      <c r="BA1270" s="3529"/>
      <c r="BB1270" s="3529"/>
      <c r="BC1270" s="3529"/>
      <c r="BD1270" s="3529"/>
      <c r="BE1270" s="3529"/>
      <c r="BF1270" s="3529"/>
      <c r="BG1270" s="3529"/>
      <c r="BH1270" s="3529"/>
      <c r="BI1270" s="3529"/>
      <c r="BJ1270" s="3529"/>
      <c r="BK1270" s="3529"/>
      <c r="BL1270" s="3529"/>
      <c r="BM1270" s="3529"/>
      <c r="BN1270" s="3529"/>
      <c r="BO1270" s="3529"/>
      <c r="BP1270" s="3529"/>
      <c r="BQ1270" s="3529"/>
      <c r="BR1270" s="3529"/>
      <c r="BS1270" s="3529"/>
      <c r="BT1270" s="3529"/>
      <c r="BU1270" s="3529"/>
      <c r="BV1270" s="3529"/>
      <c r="BW1270" s="3529"/>
      <c r="BX1270" s="3529"/>
      <c r="BY1270" s="3529"/>
    </row>
    <row r="1271" spans="1:77" s="3530" customFormat="1" ht="69" customHeight="1">
      <c r="A1271" s="3434"/>
      <c r="B1271" s="3338"/>
      <c r="C1271" s="3531"/>
      <c r="D1271" s="3531"/>
      <c r="E1271" s="3531"/>
      <c r="F1271" s="3531"/>
      <c r="G1271" s="3531"/>
      <c r="H1271" s="3531"/>
      <c r="I1271" s="3532" t="s">
        <v>873</v>
      </c>
      <c r="J1271" s="3532" t="s">
        <v>4036</v>
      </c>
      <c r="K1271" s="3533">
        <v>72</v>
      </c>
      <c r="L1271" s="3534">
        <v>257400000</v>
      </c>
      <c r="M1271" s="3535">
        <v>24</v>
      </c>
      <c r="N1271" s="3536">
        <v>81289040.000000015</v>
      </c>
      <c r="O1271" s="3533">
        <v>12</v>
      </c>
      <c r="P1271" s="3537">
        <v>56000000</v>
      </c>
      <c r="Q1271" s="3538">
        <v>3</v>
      </c>
      <c r="R1271" s="3539">
        <v>23653751</v>
      </c>
      <c r="S1271" s="3540">
        <v>3</v>
      </c>
      <c r="T1271" s="3539">
        <v>14896258</v>
      </c>
      <c r="U1271" s="3541">
        <v>3</v>
      </c>
      <c r="V1271" s="3542">
        <v>15376893</v>
      </c>
      <c r="W1271" s="3540"/>
      <c r="X1271" s="3540"/>
      <c r="Y1271" s="3537">
        <f t="shared" si="432"/>
        <v>9</v>
      </c>
      <c r="Z1271" s="3543">
        <f t="shared" ref="Z1271:Z1332" si="435">R1271+T1271+V1271+X1271</f>
        <v>53926902</v>
      </c>
      <c r="AA1271" s="3544">
        <f t="shared" si="433"/>
        <v>33</v>
      </c>
      <c r="AB1271" s="3543">
        <f t="shared" si="433"/>
        <v>135215942</v>
      </c>
      <c r="AC1271" s="3545">
        <f t="shared" si="434"/>
        <v>45.833333333333329</v>
      </c>
      <c r="AD1271" s="3545">
        <f t="shared" si="434"/>
        <v>52.531445998446003</v>
      </c>
      <c r="AE1271" s="3546"/>
      <c r="AF1271" s="3529"/>
      <c r="AG1271" s="3547"/>
      <c r="AH1271" s="3548"/>
      <c r="AI1271" s="3529"/>
      <c r="AJ1271" s="3529"/>
      <c r="AK1271" s="3529"/>
      <c r="AL1271" s="3529"/>
      <c r="AM1271" s="3529"/>
      <c r="AN1271" s="3529"/>
      <c r="AO1271" s="3529"/>
      <c r="AP1271" s="3529"/>
      <c r="AQ1271" s="3529"/>
      <c r="AR1271" s="3529"/>
      <c r="AS1271" s="3529"/>
      <c r="AT1271" s="3529"/>
      <c r="AU1271" s="3529"/>
      <c r="AV1271" s="3529"/>
      <c r="AW1271" s="3529"/>
      <c r="AX1271" s="3529"/>
      <c r="AY1271" s="3529"/>
      <c r="AZ1271" s="3529"/>
      <c r="BA1271" s="3529"/>
      <c r="BB1271" s="3529"/>
      <c r="BC1271" s="3529"/>
      <c r="BD1271" s="3529"/>
      <c r="BE1271" s="3529"/>
      <c r="BF1271" s="3529"/>
      <c r="BG1271" s="3529"/>
      <c r="BH1271" s="3529"/>
      <c r="BI1271" s="3529"/>
      <c r="BJ1271" s="3529"/>
      <c r="BK1271" s="3529"/>
      <c r="BL1271" s="3529"/>
      <c r="BM1271" s="3529"/>
      <c r="BN1271" s="3529"/>
      <c r="BO1271" s="3529"/>
      <c r="BP1271" s="3529"/>
      <c r="BQ1271" s="3529"/>
      <c r="BR1271" s="3529"/>
      <c r="BS1271" s="3529"/>
      <c r="BT1271" s="3529"/>
      <c r="BU1271" s="3529"/>
      <c r="BV1271" s="3529"/>
      <c r="BW1271" s="3529"/>
      <c r="BX1271" s="3529"/>
      <c r="BY1271" s="3529"/>
    </row>
    <row r="1272" spans="1:77" s="3530" customFormat="1" ht="56.25" customHeight="1">
      <c r="A1272" s="3434"/>
      <c r="B1272" s="3338"/>
      <c r="C1272" s="3531"/>
      <c r="D1272" s="3531"/>
      <c r="E1272" s="3531"/>
      <c r="F1272" s="3531"/>
      <c r="G1272" s="3531"/>
      <c r="H1272" s="3531"/>
      <c r="I1272" s="3532" t="s">
        <v>148</v>
      </c>
      <c r="J1272" s="3532" t="s">
        <v>4037</v>
      </c>
      <c r="K1272" s="3533">
        <v>72</v>
      </c>
      <c r="L1272" s="3534">
        <v>572400000</v>
      </c>
      <c r="M1272" s="3535">
        <v>24</v>
      </c>
      <c r="N1272" s="3536">
        <v>238250000</v>
      </c>
      <c r="O1272" s="3533">
        <v>20</v>
      </c>
      <c r="P1272" s="3537">
        <v>140920000</v>
      </c>
      <c r="Q1272" s="3538">
        <v>3</v>
      </c>
      <c r="R1272" s="3539">
        <v>31800000</v>
      </c>
      <c r="S1272" s="3540">
        <v>3</v>
      </c>
      <c r="T1272" s="3539">
        <v>31200000</v>
      </c>
      <c r="U1272" s="3541">
        <v>3</v>
      </c>
      <c r="V1272" s="3542">
        <v>30450000</v>
      </c>
      <c r="W1272" s="3540"/>
      <c r="X1272" s="3540"/>
      <c r="Y1272" s="3537">
        <f t="shared" si="432"/>
        <v>9</v>
      </c>
      <c r="Z1272" s="3543">
        <f t="shared" si="435"/>
        <v>93450000</v>
      </c>
      <c r="AA1272" s="3544">
        <f t="shared" si="433"/>
        <v>33</v>
      </c>
      <c r="AB1272" s="3543">
        <f t="shared" si="433"/>
        <v>331700000</v>
      </c>
      <c r="AC1272" s="3545">
        <f t="shared" si="434"/>
        <v>45.833333333333329</v>
      </c>
      <c r="AD1272" s="3545">
        <f t="shared" si="434"/>
        <v>57.948986722571625</v>
      </c>
      <c r="AE1272" s="3546"/>
      <c r="AF1272" s="3529"/>
      <c r="AG1272" s="3547"/>
      <c r="AH1272" s="3548"/>
      <c r="AI1272" s="3529"/>
      <c r="AJ1272" s="3529"/>
      <c r="AK1272" s="3529"/>
      <c r="AL1272" s="3529"/>
      <c r="AM1272" s="3529"/>
      <c r="AN1272" s="3529"/>
      <c r="AO1272" s="3529"/>
      <c r="AP1272" s="3529"/>
      <c r="AQ1272" s="3529"/>
      <c r="AR1272" s="3529"/>
      <c r="AS1272" s="3529"/>
      <c r="AT1272" s="3529"/>
      <c r="AU1272" s="3529"/>
      <c r="AV1272" s="3529"/>
      <c r="AW1272" s="3529"/>
      <c r="AX1272" s="3529"/>
      <c r="AY1272" s="3529"/>
      <c r="AZ1272" s="3529"/>
      <c r="BA1272" s="3529"/>
      <c r="BB1272" s="3529"/>
      <c r="BC1272" s="3529"/>
      <c r="BD1272" s="3529"/>
      <c r="BE1272" s="3529"/>
      <c r="BF1272" s="3529"/>
      <c r="BG1272" s="3529"/>
      <c r="BH1272" s="3529"/>
      <c r="BI1272" s="3529"/>
      <c r="BJ1272" s="3529"/>
      <c r="BK1272" s="3529"/>
      <c r="BL1272" s="3529"/>
      <c r="BM1272" s="3529"/>
      <c r="BN1272" s="3529"/>
      <c r="BO1272" s="3529"/>
      <c r="BP1272" s="3529"/>
      <c r="BQ1272" s="3529"/>
      <c r="BR1272" s="3529"/>
      <c r="BS1272" s="3529"/>
      <c r="BT1272" s="3529"/>
      <c r="BU1272" s="3529"/>
      <c r="BV1272" s="3529"/>
      <c r="BW1272" s="3529"/>
      <c r="BX1272" s="3529"/>
      <c r="BY1272" s="3529"/>
    </row>
    <row r="1273" spans="1:77" s="3530" customFormat="1" ht="45.75" customHeight="1">
      <c r="A1273" s="3434"/>
      <c r="B1273" s="3338"/>
      <c r="C1273" s="3531"/>
      <c r="D1273" s="3531"/>
      <c r="E1273" s="3531"/>
      <c r="F1273" s="3531"/>
      <c r="G1273" s="3531"/>
      <c r="H1273" s="3531"/>
      <c r="I1273" s="3532" t="s">
        <v>876</v>
      </c>
      <c r="J1273" s="3532" t="s">
        <v>4038</v>
      </c>
      <c r="K1273" s="3533">
        <v>72</v>
      </c>
      <c r="L1273" s="3534">
        <v>41172000</v>
      </c>
      <c r="M1273" s="3535">
        <v>24</v>
      </c>
      <c r="N1273" s="3536">
        <v>12320000</v>
      </c>
      <c r="O1273" s="3533">
        <v>12</v>
      </c>
      <c r="P1273" s="3537">
        <v>30858000</v>
      </c>
      <c r="Q1273" s="3538">
        <v>3</v>
      </c>
      <c r="R1273" s="3539">
        <v>5049500</v>
      </c>
      <c r="S1273" s="3540">
        <v>3</v>
      </c>
      <c r="T1273" s="3539">
        <v>10470500</v>
      </c>
      <c r="U1273" s="3541">
        <v>3</v>
      </c>
      <c r="V1273" s="3542">
        <v>6426000</v>
      </c>
      <c r="W1273" s="3540"/>
      <c r="X1273" s="3540"/>
      <c r="Y1273" s="3537">
        <f t="shared" si="432"/>
        <v>9</v>
      </c>
      <c r="Z1273" s="3543">
        <f t="shared" si="435"/>
        <v>21946000</v>
      </c>
      <c r="AA1273" s="3544">
        <f t="shared" si="433"/>
        <v>33</v>
      </c>
      <c r="AB1273" s="3543">
        <f t="shared" si="433"/>
        <v>34266000</v>
      </c>
      <c r="AC1273" s="3545">
        <f t="shared" si="434"/>
        <v>45.833333333333329</v>
      </c>
      <c r="AD1273" s="3545">
        <f t="shared" si="434"/>
        <v>83.226464587583791</v>
      </c>
      <c r="AE1273" s="3546"/>
      <c r="AF1273" s="3529"/>
      <c r="AG1273" s="3547"/>
      <c r="AH1273" s="3548"/>
      <c r="AI1273" s="3529"/>
      <c r="AJ1273" s="3529"/>
      <c r="AK1273" s="3529"/>
      <c r="AL1273" s="3529"/>
      <c r="AM1273" s="3529"/>
      <c r="AN1273" s="3529"/>
      <c r="AO1273" s="3529"/>
      <c r="AP1273" s="3529"/>
      <c r="AQ1273" s="3529"/>
      <c r="AR1273" s="3529"/>
      <c r="AS1273" s="3529"/>
      <c r="AT1273" s="3529"/>
      <c r="AU1273" s="3529"/>
      <c r="AV1273" s="3529"/>
      <c r="AW1273" s="3529"/>
      <c r="AX1273" s="3529"/>
      <c r="AY1273" s="3529"/>
      <c r="AZ1273" s="3529"/>
      <c r="BA1273" s="3529"/>
      <c r="BB1273" s="3529"/>
      <c r="BC1273" s="3529"/>
      <c r="BD1273" s="3529"/>
      <c r="BE1273" s="3529"/>
      <c r="BF1273" s="3529"/>
      <c r="BG1273" s="3529"/>
      <c r="BH1273" s="3529"/>
      <c r="BI1273" s="3529"/>
      <c r="BJ1273" s="3529"/>
      <c r="BK1273" s="3529"/>
      <c r="BL1273" s="3529"/>
      <c r="BM1273" s="3529"/>
      <c r="BN1273" s="3529"/>
      <c r="BO1273" s="3529"/>
      <c r="BP1273" s="3529"/>
      <c r="BQ1273" s="3529"/>
      <c r="BR1273" s="3529"/>
      <c r="BS1273" s="3529"/>
      <c r="BT1273" s="3529"/>
      <c r="BU1273" s="3529"/>
      <c r="BV1273" s="3529"/>
      <c r="BW1273" s="3529"/>
      <c r="BX1273" s="3529"/>
      <c r="BY1273" s="3529"/>
    </row>
    <row r="1274" spans="1:77" s="3530" customFormat="1" ht="56.25" customHeight="1">
      <c r="A1274" s="3434"/>
      <c r="B1274" s="3338"/>
      <c r="C1274" s="3531"/>
      <c r="D1274" s="3531"/>
      <c r="E1274" s="3531"/>
      <c r="F1274" s="3531"/>
      <c r="G1274" s="3531"/>
      <c r="H1274" s="3531"/>
      <c r="I1274" s="3532" t="s">
        <v>878</v>
      </c>
      <c r="J1274" s="3532" t="s">
        <v>4039</v>
      </c>
      <c r="K1274" s="3533">
        <v>72</v>
      </c>
      <c r="L1274" s="3534">
        <v>93900000</v>
      </c>
      <c r="M1274" s="3535">
        <v>24</v>
      </c>
      <c r="N1274" s="3536">
        <v>35183500</v>
      </c>
      <c r="O1274" s="3533">
        <v>12</v>
      </c>
      <c r="P1274" s="3537">
        <v>20040000</v>
      </c>
      <c r="Q1274" s="3538">
        <v>3</v>
      </c>
      <c r="R1274" s="3539">
        <v>1377000</v>
      </c>
      <c r="S1274" s="3540">
        <v>3</v>
      </c>
      <c r="T1274" s="3539">
        <v>2504500</v>
      </c>
      <c r="U1274" s="3541">
        <v>3</v>
      </c>
      <c r="V1274" s="3542">
        <v>1395000</v>
      </c>
      <c r="W1274" s="3540"/>
      <c r="X1274" s="3540"/>
      <c r="Y1274" s="3537">
        <f t="shared" si="432"/>
        <v>9</v>
      </c>
      <c r="Z1274" s="3543">
        <f t="shared" si="435"/>
        <v>5276500</v>
      </c>
      <c r="AA1274" s="3544">
        <f t="shared" si="433"/>
        <v>33</v>
      </c>
      <c r="AB1274" s="3543">
        <f t="shared" si="433"/>
        <v>40460000</v>
      </c>
      <c r="AC1274" s="3545">
        <f t="shared" si="434"/>
        <v>45.833333333333329</v>
      </c>
      <c r="AD1274" s="3545">
        <f t="shared" si="434"/>
        <v>43.088391906283277</v>
      </c>
      <c r="AE1274" s="3546"/>
      <c r="AF1274" s="3529"/>
      <c r="AG1274" s="3547"/>
      <c r="AH1274" s="3548"/>
      <c r="AI1274" s="3529"/>
      <c r="AJ1274" s="3529"/>
      <c r="AK1274" s="3529"/>
      <c r="AL1274" s="3529"/>
      <c r="AM1274" s="3529"/>
      <c r="AN1274" s="3529"/>
      <c r="AO1274" s="3529"/>
      <c r="AP1274" s="3529"/>
      <c r="AQ1274" s="3529"/>
      <c r="AR1274" s="3529"/>
      <c r="AS1274" s="3529"/>
      <c r="AT1274" s="3529"/>
      <c r="AU1274" s="3529"/>
      <c r="AV1274" s="3529"/>
      <c r="AW1274" s="3529"/>
      <c r="AX1274" s="3529"/>
      <c r="AY1274" s="3529"/>
      <c r="AZ1274" s="3529"/>
      <c r="BA1274" s="3529"/>
      <c r="BB1274" s="3529"/>
      <c r="BC1274" s="3529"/>
      <c r="BD1274" s="3529"/>
      <c r="BE1274" s="3529"/>
      <c r="BF1274" s="3529"/>
      <c r="BG1274" s="3529"/>
      <c r="BH1274" s="3529"/>
      <c r="BI1274" s="3529"/>
      <c r="BJ1274" s="3529"/>
      <c r="BK1274" s="3529"/>
      <c r="BL1274" s="3529"/>
      <c r="BM1274" s="3529"/>
      <c r="BN1274" s="3529"/>
      <c r="BO1274" s="3529"/>
      <c r="BP1274" s="3529"/>
      <c r="BQ1274" s="3529"/>
      <c r="BR1274" s="3529"/>
      <c r="BS1274" s="3529"/>
      <c r="BT1274" s="3529"/>
      <c r="BU1274" s="3529"/>
      <c r="BV1274" s="3529"/>
      <c r="BW1274" s="3529"/>
      <c r="BX1274" s="3529"/>
      <c r="BY1274" s="3529"/>
    </row>
    <row r="1275" spans="1:77" s="3530" customFormat="1" ht="33" customHeight="1">
      <c r="A1275" s="3434"/>
      <c r="B1275" s="3338"/>
      <c r="C1275" s="3531"/>
      <c r="D1275" s="3531"/>
      <c r="E1275" s="3531"/>
      <c r="F1275" s="3531"/>
      <c r="G1275" s="3531"/>
      <c r="H1275" s="3531"/>
      <c r="I1275" s="3549" t="s">
        <v>880</v>
      </c>
      <c r="J1275" s="3532" t="s">
        <v>4027</v>
      </c>
      <c r="K1275" s="3533">
        <v>72</v>
      </c>
      <c r="L1275" s="3534">
        <v>209496264</v>
      </c>
      <c r="M1275" s="3535">
        <v>24</v>
      </c>
      <c r="N1275" s="3536">
        <v>69757807.999999985</v>
      </c>
      <c r="O1275" s="3533">
        <v>12</v>
      </c>
      <c r="P1275" s="3537">
        <v>35034001</v>
      </c>
      <c r="Q1275" s="3538">
        <v>3</v>
      </c>
      <c r="R1275" s="3539">
        <v>8873765</v>
      </c>
      <c r="S1275" s="3540">
        <v>3</v>
      </c>
      <c r="T1275" s="3539">
        <v>15551035</v>
      </c>
      <c r="U1275" s="3541">
        <v>3</v>
      </c>
      <c r="V1275" s="3542">
        <v>7431279</v>
      </c>
      <c r="W1275" s="3540"/>
      <c r="X1275" s="3540"/>
      <c r="Y1275" s="3537">
        <f t="shared" si="432"/>
        <v>9</v>
      </c>
      <c r="Z1275" s="3543">
        <f t="shared" si="435"/>
        <v>31856079</v>
      </c>
      <c r="AA1275" s="3544">
        <f t="shared" si="433"/>
        <v>33</v>
      </c>
      <c r="AB1275" s="3543">
        <f t="shared" si="433"/>
        <v>101613886.99999999</v>
      </c>
      <c r="AC1275" s="3545">
        <f t="shared" si="434"/>
        <v>45.833333333333329</v>
      </c>
      <c r="AD1275" s="3545">
        <f t="shared" si="434"/>
        <v>48.503913654517476</v>
      </c>
      <c r="AE1275" s="3546"/>
      <c r="AF1275" s="3529"/>
      <c r="AG1275" s="3547"/>
      <c r="AH1275" s="3548"/>
      <c r="AI1275" s="3529"/>
      <c r="AJ1275" s="3529"/>
      <c r="AK1275" s="3529"/>
      <c r="AL1275" s="3529"/>
      <c r="AM1275" s="3529"/>
      <c r="AN1275" s="3529"/>
      <c r="AO1275" s="3529"/>
      <c r="AP1275" s="3529"/>
      <c r="AQ1275" s="3529"/>
      <c r="AR1275" s="3529"/>
      <c r="AS1275" s="3529"/>
      <c r="AT1275" s="3529"/>
      <c r="AU1275" s="3529"/>
      <c r="AV1275" s="3529"/>
      <c r="AW1275" s="3529"/>
      <c r="AX1275" s="3529"/>
      <c r="AY1275" s="3529"/>
      <c r="AZ1275" s="3529"/>
      <c r="BA1275" s="3529"/>
      <c r="BB1275" s="3529"/>
      <c r="BC1275" s="3529"/>
      <c r="BD1275" s="3529"/>
      <c r="BE1275" s="3529"/>
      <c r="BF1275" s="3529"/>
      <c r="BG1275" s="3529"/>
      <c r="BH1275" s="3529"/>
      <c r="BI1275" s="3529"/>
      <c r="BJ1275" s="3529"/>
      <c r="BK1275" s="3529"/>
      <c r="BL1275" s="3529"/>
      <c r="BM1275" s="3529"/>
      <c r="BN1275" s="3529"/>
      <c r="BO1275" s="3529"/>
      <c r="BP1275" s="3529"/>
      <c r="BQ1275" s="3529"/>
      <c r="BR1275" s="3529"/>
      <c r="BS1275" s="3529"/>
      <c r="BT1275" s="3529"/>
      <c r="BU1275" s="3529"/>
      <c r="BV1275" s="3529"/>
      <c r="BW1275" s="3529"/>
      <c r="BX1275" s="3529"/>
      <c r="BY1275" s="3529"/>
    </row>
    <row r="1276" spans="1:77" s="3530" customFormat="1" ht="47.25" customHeight="1">
      <c r="A1276" s="3434"/>
      <c r="B1276" s="3338"/>
      <c r="C1276" s="3531"/>
      <c r="D1276" s="3531"/>
      <c r="E1276" s="3531"/>
      <c r="F1276" s="3531"/>
      <c r="G1276" s="3531"/>
      <c r="H1276" s="3531"/>
      <c r="I1276" s="3532" t="s">
        <v>882</v>
      </c>
      <c r="J1276" s="3532" t="s">
        <v>4040</v>
      </c>
      <c r="K1276" s="3533">
        <v>72</v>
      </c>
      <c r="L1276" s="3534">
        <v>136962000</v>
      </c>
      <c r="M1276" s="3550">
        <v>24</v>
      </c>
      <c r="N1276" s="3551">
        <v>46333900</v>
      </c>
      <c r="O1276" s="3552">
        <v>12</v>
      </c>
      <c r="P1276" s="3537">
        <v>26970400</v>
      </c>
      <c r="Q1276" s="3553">
        <v>3</v>
      </c>
      <c r="R1276" s="3554">
        <v>11503200</v>
      </c>
      <c r="S1276" s="3540">
        <v>3</v>
      </c>
      <c r="T1276" s="3555">
        <v>7921600</v>
      </c>
      <c r="U1276" s="3541">
        <v>3</v>
      </c>
      <c r="V1276" s="3542">
        <v>2360000</v>
      </c>
      <c r="W1276" s="3556"/>
      <c r="X1276" s="3556"/>
      <c r="Y1276" s="3557">
        <f t="shared" si="432"/>
        <v>9</v>
      </c>
      <c r="Z1276" s="3543">
        <f t="shared" si="435"/>
        <v>21784800</v>
      </c>
      <c r="AA1276" s="3557">
        <f t="shared" si="433"/>
        <v>33</v>
      </c>
      <c r="AB1276" s="3543">
        <f t="shared" si="433"/>
        <v>68118700</v>
      </c>
      <c r="AC1276" s="3545">
        <f t="shared" si="434"/>
        <v>45.833333333333329</v>
      </c>
      <c r="AD1276" s="3545">
        <f t="shared" si="434"/>
        <v>49.735474073100569</v>
      </c>
      <c r="AE1276" s="3546"/>
      <c r="AF1276" s="3529"/>
      <c r="AG1276" s="3547"/>
      <c r="AH1276" s="3548"/>
      <c r="AI1276" s="3529"/>
      <c r="AJ1276" s="3529"/>
      <c r="AK1276" s="3529"/>
      <c r="AL1276" s="3529"/>
      <c r="AM1276" s="3529"/>
      <c r="AN1276" s="3529"/>
      <c r="AO1276" s="3529"/>
      <c r="AP1276" s="3529"/>
      <c r="AQ1276" s="3529"/>
      <c r="AR1276" s="3529"/>
      <c r="AS1276" s="3529"/>
      <c r="AT1276" s="3529"/>
      <c r="AU1276" s="3529"/>
      <c r="AV1276" s="3529"/>
      <c r="AW1276" s="3529"/>
      <c r="AX1276" s="3529"/>
      <c r="AY1276" s="3529"/>
      <c r="AZ1276" s="3529"/>
      <c r="BA1276" s="3529"/>
      <c r="BB1276" s="3529"/>
      <c r="BC1276" s="3529"/>
      <c r="BD1276" s="3529"/>
      <c r="BE1276" s="3529"/>
      <c r="BF1276" s="3529"/>
      <c r="BG1276" s="3529"/>
      <c r="BH1276" s="3529"/>
      <c r="BI1276" s="3529"/>
      <c r="BJ1276" s="3529"/>
      <c r="BK1276" s="3529"/>
      <c r="BL1276" s="3529"/>
      <c r="BM1276" s="3529"/>
      <c r="BN1276" s="3529"/>
      <c r="BO1276" s="3529"/>
      <c r="BP1276" s="3529"/>
      <c r="BQ1276" s="3529"/>
      <c r="BR1276" s="3529"/>
      <c r="BS1276" s="3529"/>
      <c r="BT1276" s="3529"/>
      <c r="BU1276" s="3529"/>
      <c r="BV1276" s="3529"/>
      <c r="BW1276" s="3529"/>
      <c r="BX1276" s="3529"/>
      <c r="BY1276" s="3529"/>
    </row>
    <row r="1277" spans="1:77" s="3530" customFormat="1" ht="60" customHeight="1">
      <c r="A1277" s="3434"/>
      <c r="B1277" s="3338"/>
      <c r="C1277" s="3531"/>
      <c r="D1277" s="3531"/>
      <c r="E1277" s="3531"/>
      <c r="F1277" s="3531"/>
      <c r="G1277" s="3531"/>
      <c r="H1277" s="3531"/>
      <c r="I1277" s="3532" t="s">
        <v>884</v>
      </c>
      <c r="J1277" s="3532" t="s">
        <v>4041</v>
      </c>
      <c r="K1277" s="3533">
        <v>72</v>
      </c>
      <c r="L1277" s="3534">
        <v>55482000</v>
      </c>
      <c r="M1277" s="3550">
        <v>24</v>
      </c>
      <c r="N1277" s="3551">
        <v>65634000</v>
      </c>
      <c r="O1277" s="3552">
        <v>12</v>
      </c>
      <c r="P1277" s="3537">
        <v>5570800</v>
      </c>
      <c r="Q1277" s="3553">
        <v>3</v>
      </c>
      <c r="R1277" s="3554">
        <v>248400</v>
      </c>
      <c r="S1277" s="3540">
        <v>3</v>
      </c>
      <c r="T1277" s="3555">
        <v>2571600</v>
      </c>
      <c r="U1277" s="3541">
        <v>3</v>
      </c>
      <c r="V1277" s="3542">
        <v>2750800</v>
      </c>
      <c r="W1277" s="3556"/>
      <c r="X1277" s="3556"/>
      <c r="Y1277" s="3557">
        <f t="shared" si="432"/>
        <v>9</v>
      </c>
      <c r="Z1277" s="3543">
        <f t="shared" si="435"/>
        <v>5570800</v>
      </c>
      <c r="AA1277" s="3557">
        <f t="shared" si="433"/>
        <v>33</v>
      </c>
      <c r="AB1277" s="3543">
        <f t="shared" si="433"/>
        <v>71204800</v>
      </c>
      <c r="AC1277" s="3545">
        <f t="shared" si="434"/>
        <v>45.833333333333329</v>
      </c>
      <c r="AD1277" s="3545">
        <f t="shared" si="434"/>
        <v>128.338560253776</v>
      </c>
      <c r="AE1277" s="3546"/>
      <c r="AF1277" s="3529"/>
      <c r="AG1277" s="3547"/>
      <c r="AH1277" s="3548"/>
      <c r="AI1277" s="3529"/>
      <c r="AJ1277" s="3529"/>
      <c r="AK1277" s="3529"/>
      <c r="AL1277" s="3529"/>
      <c r="AM1277" s="3529"/>
      <c r="AN1277" s="3529"/>
      <c r="AO1277" s="3529"/>
      <c r="AP1277" s="3529"/>
      <c r="AQ1277" s="3529"/>
      <c r="AR1277" s="3529"/>
      <c r="AS1277" s="3529"/>
      <c r="AT1277" s="3529"/>
      <c r="AU1277" s="3529"/>
      <c r="AV1277" s="3529"/>
      <c r="AW1277" s="3529"/>
      <c r="AX1277" s="3529"/>
      <c r="AY1277" s="3529"/>
      <c r="AZ1277" s="3529"/>
      <c r="BA1277" s="3529"/>
      <c r="BB1277" s="3529"/>
      <c r="BC1277" s="3529"/>
      <c r="BD1277" s="3529"/>
      <c r="BE1277" s="3529"/>
      <c r="BF1277" s="3529"/>
      <c r="BG1277" s="3529"/>
      <c r="BH1277" s="3529"/>
      <c r="BI1277" s="3529"/>
      <c r="BJ1277" s="3529"/>
      <c r="BK1277" s="3529"/>
      <c r="BL1277" s="3529"/>
      <c r="BM1277" s="3529"/>
      <c r="BN1277" s="3529"/>
      <c r="BO1277" s="3529"/>
      <c r="BP1277" s="3529"/>
      <c r="BQ1277" s="3529"/>
      <c r="BR1277" s="3529"/>
      <c r="BS1277" s="3529"/>
      <c r="BT1277" s="3529"/>
      <c r="BU1277" s="3529"/>
      <c r="BV1277" s="3529"/>
      <c r="BW1277" s="3529"/>
      <c r="BX1277" s="3529"/>
      <c r="BY1277" s="3529"/>
    </row>
    <row r="1278" spans="1:77" s="3530" customFormat="1" ht="75" customHeight="1">
      <c r="A1278" s="3434"/>
      <c r="B1278" s="3338"/>
      <c r="C1278" s="3531"/>
      <c r="D1278" s="3531"/>
      <c r="E1278" s="3531"/>
      <c r="F1278" s="3531"/>
      <c r="G1278" s="3531"/>
      <c r="H1278" s="3531"/>
      <c r="I1278" s="3532" t="s">
        <v>886</v>
      </c>
      <c r="J1278" s="3532" t="s">
        <v>4042</v>
      </c>
      <c r="K1278" s="3533">
        <v>72</v>
      </c>
      <c r="L1278" s="3534">
        <v>36000000</v>
      </c>
      <c r="M1278" s="3550">
        <v>24</v>
      </c>
      <c r="N1278" s="3551">
        <v>12793000</v>
      </c>
      <c r="O1278" s="3552">
        <v>12</v>
      </c>
      <c r="P1278" s="3537">
        <v>5420000</v>
      </c>
      <c r="Q1278" s="3553">
        <v>3</v>
      </c>
      <c r="R1278" s="3554">
        <v>600000</v>
      </c>
      <c r="S1278" s="3540">
        <v>3</v>
      </c>
      <c r="T1278" s="3555">
        <v>1170000</v>
      </c>
      <c r="U1278" s="3541">
        <v>3</v>
      </c>
      <c r="V1278" s="3542">
        <v>960000</v>
      </c>
      <c r="W1278" s="3556"/>
      <c r="X1278" s="3556"/>
      <c r="Y1278" s="3557">
        <f t="shared" si="432"/>
        <v>9</v>
      </c>
      <c r="Z1278" s="3543">
        <f t="shared" si="435"/>
        <v>2730000</v>
      </c>
      <c r="AA1278" s="3557">
        <f t="shared" si="433"/>
        <v>33</v>
      </c>
      <c r="AB1278" s="3543">
        <f t="shared" si="433"/>
        <v>15523000</v>
      </c>
      <c r="AC1278" s="3545">
        <f t="shared" si="434"/>
        <v>45.833333333333329</v>
      </c>
      <c r="AD1278" s="3545">
        <f t="shared" si="434"/>
        <v>43.11944444444444</v>
      </c>
      <c r="AE1278" s="3546"/>
      <c r="AF1278" s="3529"/>
      <c r="AG1278" s="3547"/>
      <c r="AH1278" s="3548"/>
      <c r="AI1278" s="3529"/>
      <c r="AJ1278" s="3529"/>
      <c r="AK1278" s="3529"/>
      <c r="AL1278" s="3529"/>
      <c r="AM1278" s="3529"/>
      <c r="AN1278" s="3529"/>
      <c r="AO1278" s="3529"/>
      <c r="AP1278" s="3529"/>
      <c r="AQ1278" s="3529"/>
      <c r="AR1278" s="3529"/>
      <c r="AS1278" s="3529"/>
      <c r="AT1278" s="3529"/>
      <c r="AU1278" s="3529"/>
      <c r="AV1278" s="3529"/>
      <c r="AW1278" s="3529"/>
      <c r="AX1278" s="3529"/>
      <c r="AY1278" s="3529"/>
      <c r="AZ1278" s="3529"/>
      <c r="BA1278" s="3529"/>
      <c r="BB1278" s="3529"/>
      <c r="BC1278" s="3529"/>
      <c r="BD1278" s="3529"/>
      <c r="BE1278" s="3529"/>
      <c r="BF1278" s="3529"/>
      <c r="BG1278" s="3529"/>
      <c r="BH1278" s="3529"/>
      <c r="BI1278" s="3529"/>
      <c r="BJ1278" s="3529"/>
      <c r="BK1278" s="3529"/>
      <c r="BL1278" s="3529"/>
      <c r="BM1278" s="3529"/>
      <c r="BN1278" s="3529"/>
      <c r="BO1278" s="3529"/>
      <c r="BP1278" s="3529"/>
      <c r="BQ1278" s="3529"/>
      <c r="BR1278" s="3529"/>
      <c r="BS1278" s="3529"/>
      <c r="BT1278" s="3529"/>
      <c r="BU1278" s="3529"/>
      <c r="BV1278" s="3529"/>
      <c r="BW1278" s="3529"/>
      <c r="BX1278" s="3529"/>
      <c r="BY1278" s="3529"/>
    </row>
    <row r="1279" spans="1:77" s="3530" customFormat="1" ht="68.25" customHeight="1">
      <c r="A1279" s="3434"/>
      <c r="B1279" s="3338"/>
      <c r="C1279" s="3531"/>
      <c r="D1279" s="3531"/>
      <c r="E1279" s="3531"/>
      <c r="F1279" s="3531"/>
      <c r="G1279" s="3531"/>
      <c r="H1279" s="3531"/>
      <c r="I1279" s="3532" t="s">
        <v>223</v>
      </c>
      <c r="J1279" s="3532" t="s">
        <v>4043</v>
      </c>
      <c r="K1279" s="3533">
        <v>72</v>
      </c>
      <c r="L1279" s="3534">
        <v>164340000</v>
      </c>
      <c r="M1279" s="3550">
        <v>24</v>
      </c>
      <c r="N1279" s="3551">
        <v>51227000</v>
      </c>
      <c r="O1279" s="3552">
        <v>12</v>
      </c>
      <c r="P1279" s="3537">
        <v>50722500</v>
      </c>
      <c r="Q1279" s="3553">
        <v>3</v>
      </c>
      <c r="R1279" s="3554">
        <v>2772500</v>
      </c>
      <c r="S1279" s="3540">
        <v>3</v>
      </c>
      <c r="T1279" s="3555">
        <v>6761500</v>
      </c>
      <c r="U1279" s="3541">
        <v>3</v>
      </c>
      <c r="V1279" s="3542">
        <v>14988500</v>
      </c>
      <c r="W1279" s="3556"/>
      <c r="X1279" s="3556"/>
      <c r="Y1279" s="3557">
        <f t="shared" si="432"/>
        <v>9</v>
      </c>
      <c r="Z1279" s="3543">
        <f t="shared" si="435"/>
        <v>24522500</v>
      </c>
      <c r="AA1279" s="3557">
        <f t="shared" si="433"/>
        <v>33</v>
      </c>
      <c r="AB1279" s="3543">
        <f t="shared" si="433"/>
        <v>75749500</v>
      </c>
      <c r="AC1279" s="3545">
        <f t="shared" si="434"/>
        <v>45.833333333333329</v>
      </c>
      <c r="AD1279" s="3545">
        <f t="shared" si="434"/>
        <v>46.093160520871365</v>
      </c>
      <c r="AE1279" s="3546"/>
      <c r="AF1279" s="3529"/>
      <c r="AG1279" s="3547"/>
      <c r="AH1279" s="3548"/>
      <c r="AI1279" s="3529"/>
      <c r="AJ1279" s="3529"/>
      <c r="AK1279" s="3529"/>
      <c r="AL1279" s="3529"/>
      <c r="AM1279" s="3529"/>
      <c r="AN1279" s="3529"/>
      <c r="AO1279" s="3529"/>
      <c r="AP1279" s="3529"/>
      <c r="AQ1279" s="3529"/>
      <c r="AR1279" s="3529"/>
      <c r="AS1279" s="3529"/>
      <c r="AT1279" s="3529"/>
      <c r="AU1279" s="3529"/>
      <c r="AV1279" s="3529"/>
      <c r="AW1279" s="3529"/>
      <c r="AX1279" s="3529"/>
      <c r="AY1279" s="3529"/>
      <c r="AZ1279" s="3529"/>
      <c r="BA1279" s="3529"/>
      <c r="BB1279" s="3529"/>
      <c r="BC1279" s="3529"/>
      <c r="BD1279" s="3529"/>
      <c r="BE1279" s="3529"/>
      <c r="BF1279" s="3529"/>
      <c r="BG1279" s="3529"/>
      <c r="BH1279" s="3529"/>
      <c r="BI1279" s="3529"/>
      <c r="BJ1279" s="3529"/>
      <c r="BK1279" s="3529"/>
      <c r="BL1279" s="3529"/>
      <c r="BM1279" s="3529"/>
      <c r="BN1279" s="3529"/>
      <c r="BO1279" s="3529"/>
      <c r="BP1279" s="3529"/>
      <c r="BQ1279" s="3529"/>
      <c r="BR1279" s="3529"/>
      <c r="BS1279" s="3529"/>
      <c r="BT1279" s="3529"/>
      <c r="BU1279" s="3529"/>
      <c r="BV1279" s="3529"/>
      <c r="BW1279" s="3529"/>
      <c r="BX1279" s="3529"/>
      <c r="BY1279" s="3529"/>
    </row>
    <row r="1280" spans="1:77" s="3530" customFormat="1" ht="60.75" customHeight="1">
      <c r="A1280" s="3434"/>
      <c r="B1280" s="3338"/>
      <c r="C1280" s="3531"/>
      <c r="D1280" s="3531"/>
      <c r="E1280" s="3531"/>
      <c r="F1280" s="3531"/>
      <c r="G1280" s="3531"/>
      <c r="H1280" s="3531"/>
      <c r="I1280" s="3532" t="s">
        <v>889</v>
      </c>
      <c r="J1280" s="3532" t="s">
        <v>4044</v>
      </c>
      <c r="K1280" s="3533">
        <v>72</v>
      </c>
      <c r="L1280" s="3534">
        <v>859440000</v>
      </c>
      <c r="M1280" s="3550">
        <v>24</v>
      </c>
      <c r="N1280" s="3551">
        <v>297637624</v>
      </c>
      <c r="O1280" s="3552">
        <v>12</v>
      </c>
      <c r="P1280" s="3537">
        <v>104800000</v>
      </c>
      <c r="Q1280" s="3553">
        <v>3</v>
      </c>
      <c r="R1280" s="3554">
        <v>16450000</v>
      </c>
      <c r="S1280" s="3540">
        <v>3</v>
      </c>
      <c r="T1280" s="3555">
        <v>12230000</v>
      </c>
      <c r="U1280" s="3541">
        <v>3</v>
      </c>
      <c r="V1280" s="3542">
        <v>16114428</v>
      </c>
      <c r="W1280" s="3556"/>
      <c r="X1280" s="3556"/>
      <c r="Y1280" s="3557">
        <f t="shared" si="432"/>
        <v>9</v>
      </c>
      <c r="Z1280" s="3543">
        <f t="shared" si="435"/>
        <v>44794428</v>
      </c>
      <c r="AA1280" s="3557">
        <f t="shared" si="433"/>
        <v>33</v>
      </c>
      <c r="AB1280" s="3543">
        <f t="shared" si="433"/>
        <v>342432052</v>
      </c>
      <c r="AC1280" s="3545">
        <f t="shared" si="434"/>
        <v>45.833333333333329</v>
      </c>
      <c r="AD1280" s="3545">
        <f t="shared" si="434"/>
        <v>39.843625151261286</v>
      </c>
      <c r="AE1280" s="3546"/>
      <c r="AF1280" s="3529"/>
      <c r="AG1280" s="3547"/>
      <c r="AH1280" s="3548"/>
      <c r="AI1280" s="3529"/>
      <c r="AJ1280" s="3529"/>
      <c r="AK1280" s="3529"/>
      <c r="AL1280" s="3529"/>
      <c r="AM1280" s="3529"/>
      <c r="AN1280" s="3529"/>
      <c r="AO1280" s="3529"/>
      <c r="AP1280" s="3529"/>
      <c r="AQ1280" s="3529"/>
      <c r="AR1280" s="3529"/>
      <c r="AS1280" s="3529"/>
      <c r="AT1280" s="3529"/>
      <c r="AU1280" s="3529"/>
      <c r="AV1280" s="3529"/>
      <c r="AW1280" s="3529"/>
      <c r="AX1280" s="3529"/>
      <c r="AY1280" s="3529"/>
      <c r="AZ1280" s="3529"/>
      <c r="BA1280" s="3529"/>
      <c r="BB1280" s="3529"/>
      <c r="BC1280" s="3529"/>
      <c r="BD1280" s="3529"/>
      <c r="BE1280" s="3529"/>
      <c r="BF1280" s="3529"/>
      <c r="BG1280" s="3529"/>
      <c r="BH1280" s="3529"/>
      <c r="BI1280" s="3529"/>
      <c r="BJ1280" s="3529"/>
      <c r="BK1280" s="3529"/>
      <c r="BL1280" s="3529"/>
      <c r="BM1280" s="3529"/>
      <c r="BN1280" s="3529"/>
      <c r="BO1280" s="3529"/>
      <c r="BP1280" s="3529"/>
      <c r="BQ1280" s="3529"/>
      <c r="BR1280" s="3529"/>
      <c r="BS1280" s="3529"/>
      <c r="BT1280" s="3529"/>
      <c r="BU1280" s="3529"/>
      <c r="BV1280" s="3529"/>
      <c r="BW1280" s="3529"/>
      <c r="BX1280" s="3529"/>
      <c r="BY1280" s="3529"/>
    </row>
    <row r="1281" spans="1:77" s="3530" customFormat="1" ht="60.75" customHeight="1">
      <c r="A1281" s="3434"/>
      <c r="B1281" s="3338"/>
      <c r="C1281" s="3531"/>
      <c r="D1281" s="3531"/>
      <c r="E1281" s="3531"/>
      <c r="F1281" s="3531"/>
      <c r="G1281" s="3531"/>
      <c r="H1281" s="3531"/>
      <c r="I1281" s="3532" t="s">
        <v>891</v>
      </c>
      <c r="J1281" s="3532" t="s">
        <v>4045</v>
      </c>
      <c r="K1281" s="3533">
        <v>72</v>
      </c>
      <c r="L1281" s="3534">
        <v>534900000</v>
      </c>
      <c r="M1281" s="3550">
        <v>24</v>
      </c>
      <c r="N1281" s="3551">
        <v>195515000</v>
      </c>
      <c r="O1281" s="3552">
        <v>12</v>
      </c>
      <c r="P1281" s="3537">
        <v>59025000</v>
      </c>
      <c r="Q1281" s="3553">
        <v>3</v>
      </c>
      <c r="R1281" s="3554">
        <v>19275000</v>
      </c>
      <c r="S1281" s="3540">
        <v>3</v>
      </c>
      <c r="T1281" s="3555">
        <v>16350000</v>
      </c>
      <c r="U1281" s="3541">
        <v>3</v>
      </c>
      <c r="V1281" s="3542">
        <v>10400000</v>
      </c>
      <c r="W1281" s="3556"/>
      <c r="X1281" s="3556"/>
      <c r="Y1281" s="3557">
        <f t="shared" si="432"/>
        <v>9</v>
      </c>
      <c r="Z1281" s="3543">
        <f t="shared" si="435"/>
        <v>46025000</v>
      </c>
      <c r="AA1281" s="3557">
        <f t="shared" si="433"/>
        <v>33</v>
      </c>
      <c r="AB1281" s="3543">
        <f t="shared" si="433"/>
        <v>241540000</v>
      </c>
      <c r="AC1281" s="3545">
        <f t="shared" si="434"/>
        <v>45.833333333333329</v>
      </c>
      <c r="AD1281" s="3545">
        <f t="shared" si="434"/>
        <v>45.156103944662554</v>
      </c>
      <c r="AE1281" s="3546"/>
      <c r="AF1281" s="3529"/>
      <c r="AG1281" s="3547"/>
      <c r="AH1281" s="3548"/>
      <c r="AI1281" s="3529"/>
      <c r="AJ1281" s="3529"/>
      <c r="AK1281" s="3529"/>
      <c r="AL1281" s="3529"/>
      <c r="AM1281" s="3529"/>
      <c r="AN1281" s="3529"/>
      <c r="AO1281" s="3529"/>
      <c r="AP1281" s="3529"/>
      <c r="AQ1281" s="3529"/>
      <c r="AR1281" s="3529"/>
      <c r="AS1281" s="3529"/>
      <c r="AT1281" s="3529"/>
      <c r="AU1281" s="3529"/>
      <c r="AV1281" s="3529"/>
      <c r="AW1281" s="3529"/>
      <c r="AX1281" s="3529"/>
      <c r="AY1281" s="3529"/>
      <c r="AZ1281" s="3529"/>
      <c r="BA1281" s="3529"/>
      <c r="BB1281" s="3529"/>
      <c r="BC1281" s="3529"/>
      <c r="BD1281" s="3529"/>
      <c r="BE1281" s="3529"/>
      <c r="BF1281" s="3529"/>
      <c r="BG1281" s="3529"/>
      <c r="BH1281" s="3529"/>
      <c r="BI1281" s="3529"/>
      <c r="BJ1281" s="3529"/>
      <c r="BK1281" s="3529"/>
      <c r="BL1281" s="3529"/>
      <c r="BM1281" s="3529"/>
      <c r="BN1281" s="3529"/>
      <c r="BO1281" s="3529"/>
      <c r="BP1281" s="3529"/>
      <c r="BQ1281" s="3529"/>
      <c r="BR1281" s="3529"/>
      <c r="BS1281" s="3529"/>
      <c r="BT1281" s="3529"/>
      <c r="BU1281" s="3529"/>
      <c r="BV1281" s="3529"/>
      <c r="BW1281" s="3529"/>
      <c r="BX1281" s="3529"/>
      <c r="BY1281" s="3529"/>
    </row>
    <row r="1282" spans="1:77" s="3530" customFormat="1" ht="58.5" customHeight="1">
      <c r="A1282" s="3434"/>
      <c r="B1282" s="3338"/>
      <c r="C1282" s="3531"/>
      <c r="D1282" s="3531"/>
      <c r="E1282" s="3531"/>
      <c r="F1282" s="3531"/>
      <c r="G1282" s="3531"/>
      <c r="H1282" s="3531"/>
      <c r="I1282" s="3532" t="s">
        <v>893</v>
      </c>
      <c r="J1282" s="3532" t="s">
        <v>4046</v>
      </c>
      <c r="K1282" s="3533">
        <v>48</v>
      </c>
      <c r="L1282" s="3534">
        <v>106280000</v>
      </c>
      <c r="M1282" s="3550">
        <v>24</v>
      </c>
      <c r="N1282" s="3551">
        <v>0</v>
      </c>
      <c r="O1282" s="3552">
        <v>12</v>
      </c>
      <c r="P1282" s="3537">
        <v>26570000</v>
      </c>
      <c r="Q1282" s="3553">
        <v>3</v>
      </c>
      <c r="R1282" s="3554">
        <v>11236474</v>
      </c>
      <c r="S1282" s="3540">
        <v>3</v>
      </c>
      <c r="T1282" s="3555">
        <v>-4</v>
      </c>
      <c r="U1282" s="3541">
        <v>3</v>
      </c>
      <c r="V1282" s="3542">
        <v>594514</v>
      </c>
      <c r="W1282" s="3556"/>
      <c r="X1282" s="3556"/>
      <c r="Y1282" s="3557">
        <f t="shared" si="432"/>
        <v>9</v>
      </c>
      <c r="Z1282" s="3543">
        <f t="shared" si="435"/>
        <v>11830984</v>
      </c>
      <c r="AA1282" s="3557">
        <f t="shared" si="433"/>
        <v>33</v>
      </c>
      <c r="AB1282" s="3543">
        <f t="shared" si="433"/>
        <v>11830984</v>
      </c>
      <c r="AC1282" s="3545">
        <f t="shared" si="434"/>
        <v>68.75</v>
      </c>
      <c r="AD1282" s="3545">
        <f t="shared" si="434"/>
        <v>11.131900639819344</v>
      </c>
      <c r="AE1282" s="3546"/>
      <c r="AF1282" s="3529"/>
      <c r="AG1282" s="3547"/>
      <c r="AH1282" s="3548"/>
      <c r="AI1282" s="3529"/>
      <c r="AJ1282" s="3529"/>
      <c r="AK1282" s="3529"/>
      <c r="AL1282" s="3529"/>
      <c r="AM1282" s="3529"/>
      <c r="AN1282" s="3529"/>
      <c r="AO1282" s="3529"/>
      <c r="AP1282" s="3529"/>
      <c r="AQ1282" s="3529"/>
      <c r="AR1282" s="3529"/>
      <c r="AS1282" s="3529"/>
      <c r="AT1282" s="3529"/>
      <c r="AU1282" s="3529"/>
      <c r="AV1282" s="3529"/>
      <c r="AW1282" s="3529"/>
      <c r="AX1282" s="3529"/>
      <c r="AY1282" s="3529"/>
      <c r="AZ1282" s="3529"/>
      <c r="BA1282" s="3529"/>
      <c r="BB1282" s="3529"/>
      <c r="BC1282" s="3529"/>
      <c r="BD1282" s="3529"/>
      <c r="BE1282" s="3529"/>
      <c r="BF1282" s="3529"/>
      <c r="BG1282" s="3529"/>
      <c r="BH1282" s="3529"/>
      <c r="BI1282" s="3529"/>
      <c r="BJ1282" s="3529"/>
      <c r="BK1282" s="3529"/>
      <c r="BL1282" s="3529"/>
      <c r="BM1282" s="3529"/>
      <c r="BN1282" s="3529"/>
      <c r="BO1282" s="3529"/>
      <c r="BP1282" s="3529"/>
      <c r="BQ1282" s="3529"/>
      <c r="BR1282" s="3529"/>
      <c r="BS1282" s="3529"/>
      <c r="BT1282" s="3529"/>
      <c r="BU1282" s="3529"/>
      <c r="BV1282" s="3529"/>
      <c r="BW1282" s="3529"/>
      <c r="BX1282" s="3529"/>
      <c r="BY1282" s="3529"/>
    </row>
    <row r="1283" spans="1:77" s="3561" customFormat="1" ht="49.5" customHeight="1">
      <c r="A1283" s="4159">
        <v>2</v>
      </c>
      <c r="B1283" s="4092"/>
      <c r="C1283" s="4143"/>
      <c r="D1283" s="4143"/>
      <c r="E1283" s="4143"/>
      <c r="F1283" s="4143"/>
      <c r="G1283" s="4143"/>
      <c r="H1283" s="4143"/>
      <c r="I1283" s="4144" t="s">
        <v>895</v>
      </c>
      <c r="J1283" s="4144" t="s">
        <v>3413</v>
      </c>
      <c r="K1283" s="4145">
        <v>72</v>
      </c>
      <c r="L1283" s="4146">
        <f>SUM(L1284:L1287)</f>
        <v>2325952700</v>
      </c>
      <c r="M1283" s="4160">
        <v>24</v>
      </c>
      <c r="N1283" s="4161">
        <f>SUM(N1284:N1287)</f>
        <v>817575650</v>
      </c>
      <c r="O1283" s="4150">
        <v>12</v>
      </c>
      <c r="P1283" s="4150">
        <f>SUM(P1284:P1287)</f>
        <v>605630000</v>
      </c>
      <c r="Q1283" s="4162">
        <v>3</v>
      </c>
      <c r="R1283" s="4163">
        <v>76082.5</v>
      </c>
      <c r="S1283" s="4164">
        <v>3</v>
      </c>
      <c r="T1283" s="4164">
        <f>SUM(T1284:T1287)</f>
        <v>280436800</v>
      </c>
      <c r="U1283" s="4164">
        <v>3</v>
      </c>
      <c r="V1283" s="4154">
        <f>SUM(V1284:V1287)</f>
        <v>62757700</v>
      </c>
      <c r="W1283" s="4164"/>
      <c r="X1283" s="4164"/>
      <c r="Y1283" s="4150">
        <f t="shared" si="432"/>
        <v>9</v>
      </c>
      <c r="Z1283" s="4155">
        <f t="shared" si="435"/>
        <v>343270582.5</v>
      </c>
      <c r="AA1283" s="4150">
        <f t="shared" si="433"/>
        <v>33</v>
      </c>
      <c r="AB1283" s="4155">
        <f t="shared" si="433"/>
        <v>1160846232.5</v>
      </c>
      <c r="AC1283" s="4165">
        <f t="shared" si="434"/>
        <v>45.833333333333329</v>
      </c>
      <c r="AD1283" s="4165">
        <f t="shared" si="434"/>
        <v>49.908419569323144</v>
      </c>
      <c r="AE1283" s="4158" t="s">
        <v>826</v>
      </c>
      <c r="AF1283" s="3558"/>
      <c r="AG1283" s="3559"/>
      <c r="AH1283" s="3560"/>
      <c r="AI1283" s="3558"/>
      <c r="AJ1283" s="3558"/>
      <c r="AK1283" s="3558"/>
      <c r="AL1283" s="3558"/>
      <c r="AM1283" s="3558"/>
      <c r="AN1283" s="3558"/>
      <c r="AO1283" s="3558"/>
      <c r="AP1283" s="3558"/>
      <c r="AQ1283" s="3558"/>
      <c r="AR1283" s="3558"/>
      <c r="AS1283" s="3558"/>
      <c r="AT1283" s="3558"/>
      <c r="AU1283" s="3558"/>
      <c r="AV1283" s="3558"/>
      <c r="AW1283" s="3558"/>
      <c r="AX1283" s="3558"/>
      <c r="AY1283" s="3558"/>
      <c r="AZ1283" s="3558"/>
      <c r="BA1283" s="3558"/>
      <c r="BB1283" s="3558"/>
      <c r="BC1283" s="3558"/>
      <c r="BD1283" s="3558"/>
      <c r="BE1283" s="3558"/>
      <c r="BF1283" s="3558"/>
      <c r="BG1283" s="3558"/>
      <c r="BH1283" s="3558"/>
      <c r="BI1283" s="3558"/>
      <c r="BJ1283" s="3558"/>
      <c r="BK1283" s="3558"/>
      <c r="BL1283" s="3558"/>
      <c r="BM1283" s="3558"/>
      <c r="BN1283" s="3558"/>
      <c r="BO1283" s="3558"/>
      <c r="BP1283" s="3558"/>
      <c r="BQ1283" s="3558"/>
      <c r="BR1283" s="3558"/>
      <c r="BS1283" s="3558"/>
      <c r="BT1283" s="3558"/>
      <c r="BU1283" s="3558"/>
      <c r="BV1283" s="3558"/>
      <c r="BW1283" s="3558"/>
      <c r="BX1283" s="3558"/>
      <c r="BY1283" s="3558"/>
    </row>
    <row r="1284" spans="1:77" s="3530" customFormat="1" ht="39.75" customHeight="1">
      <c r="A1284" s="3434"/>
      <c r="B1284" s="3338"/>
      <c r="C1284" s="3531"/>
      <c r="D1284" s="3531"/>
      <c r="E1284" s="3531"/>
      <c r="F1284" s="3531"/>
      <c r="G1284" s="3531"/>
      <c r="H1284" s="3531"/>
      <c r="I1284" s="3532" t="s">
        <v>896</v>
      </c>
      <c r="J1284" s="3532" t="s">
        <v>897</v>
      </c>
      <c r="K1284" s="3533">
        <v>24</v>
      </c>
      <c r="L1284" s="3534">
        <v>334550000</v>
      </c>
      <c r="M1284" s="3550">
        <v>12</v>
      </c>
      <c r="N1284" s="3551">
        <v>113725000</v>
      </c>
      <c r="O1284" s="3537">
        <v>3</v>
      </c>
      <c r="P1284" s="3537">
        <v>127050000</v>
      </c>
      <c r="Q1284" s="3553">
        <v>0</v>
      </c>
      <c r="R1284" s="3562">
        <v>17590000</v>
      </c>
      <c r="S1284" s="3555">
        <v>3</v>
      </c>
      <c r="T1284" s="3555">
        <v>94134000</v>
      </c>
      <c r="U1284" s="3541">
        <v>0</v>
      </c>
      <c r="V1284" s="3542">
        <v>0</v>
      </c>
      <c r="W1284" s="3556"/>
      <c r="X1284" s="3556"/>
      <c r="Y1284" s="3537">
        <f t="shared" si="432"/>
        <v>3</v>
      </c>
      <c r="Z1284" s="3543">
        <f t="shared" si="435"/>
        <v>111724000</v>
      </c>
      <c r="AA1284" s="3537">
        <f t="shared" si="433"/>
        <v>15</v>
      </c>
      <c r="AB1284" s="3543">
        <f t="shared" si="433"/>
        <v>225449000</v>
      </c>
      <c r="AC1284" s="3545">
        <f t="shared" si="434"/>
        <v>62.5</v>
      </c>
      <c r="AD1284" s="3545">
        <f t="shared" si="434"/>
        <v>67.388731131370491</v>
      </c>
      <c r="AE1284" s="3546"/>
      <c r="AF1284" s="3529"/>
      <c r="AG1284" s="3547"/>
      <c r="AH1284" s="3548"/>
      <c r="AI1284" s="3529"/>
      <c r="AJ1284" s="3529"/>
      <c r="AK1284" s="3529"/>
      <c r="AL1284" s="3529"/>
      <c r="AM1284" s="3529"/>
      <c r="AN1284" s="3529"/>
      <c r="AO1284" s="3529"/>
      <c r="AP1284" s="3529"/>
      <c r="AQ1284" s="3529"/>
      <c r="AR1284" s="3529"/>
      <c r="AS1284" s="3529"/>
      <c r="AT1284" s="3529"/>
      <c r="AU1284" s="3529"/>
      <c r="AV1284" s="3529"/>
      <c r="AW1284" s="3529"/>
      <c r="AX1284" s="3529"/>
      <c r="AY1284" s="3529"/>
      <c r="AZ1284" s="3529"/>
      <c r="BA1284" s="3529"/>
      <c r="BB1284" s="3529"/>
      <c r="BC1284" s="3529"/>
      <c r="BD1284" s="3529"/>
      <c r="BE1284" s="3529"/>
      <c r="BF1284" s="3529"/>
      <c r="BG1284" s="3529"/>
      <c r="BH1284" s="3529"/>
      <c r="BI1284" s="3529"/>
      <c r="BJ1284" s="3529"/>
      <c r="BK1284" s="3529"/>
      <c r="BL1284" s="3529"/>
      <c r="BM1284" s="3529"/>
      <c r="BN1284" s="3529"/>
      <c r="BO1284" s="3529"/>
      <c r="BP1284" s="3529"/>
      <c r="BQ1284" s="3529"/>
      <c r="BR1284" s="3529"/>
      <c r="BS1284" s="3529"/>
      <c r="BT1284" s="3529"/>
      <c r="BU1284" s="3529"/>
      <c r="BV1284" s="3529"/>
      <c r="BW1284" s="3529"/>
      <c r="BX1284" s="3529"/>
      <c r="BY1284" s="3529"/>
    </row>
    <row r="1285" spans="1:77" s="3530" customFormat="1" ht="39.75" customHeight="1">
      <c r="A1285" s="3434"/>
      <c r="B1285" s="3338"/>
      <c r="C1285" s="3531"/>
      <c r="D1285" s="3531"/>
      <c r="E1285" s="3531"/>
      <c r="F1285" s="3531"/>
      <c r="G1285" s="3531"/>
      <c r="H1285" s="3531"/>
      <c r="I1285" s="3532" t="s">
        <v>898</v>
      </c>
      <c r="J1285" s="3532" t="s">
        <v>3770</v>
      </c>
      <c r="K1285" s="3533">
        <v>72</v>
      </c>
      <c r="L1285" s="3534">
        <v>502384000</v>
      </c>
      <c r="M1285" s="3550">
        <v>24</v>
      </c>
      <c r="N1285" s="3551">
        <v>200737000</v>
      </c>
      <c r="O1285" s="3537">
        <v>12</v>
      </c>
      <c r="P1285" s="3537">
        <v>134000000</v>
      </c>
      <c r="Q1285" s="3553">
        <v>3</v>
      </c>
      <c r="R1285" s="3562">
        <v>29000000</v>
      </c>
      <c r="S1285" s="3555">
        <v>3</v>
      </c>
      <c r="T1285" s="3555">
        <v>31000000</v>
      </c>
      <c r="U1285" s="3541">
        <v>3</v>
      </c>
      <c r="V1285" s="3542">
        <v>11552000</v>
      </c>
      <c r="W1285" s="3556"/>
      <c r="X1285" s="3556"/>
      <c r="Y1285" s="3537">
        <f t="shared" si="432"/>
        <v>9</v>
      </c>
      <c r="Z1285" s="3543">
        <f t="shared" si="435"/>
        <v>71552000</v>
      </c>
      <c r="AA1285" s="3537">
        <f t="shared" si="433"/>
        <v>33</v>
      </c>
      <c r="AB1285" s="3543">
        <f t="shared" si="433"/>
        <v>272289000</v>
      </c>
      <c r="AC1285" s="3545">
        <f t="shared" si="434"/>
        <v>45.833333333333329</v>
      </c>
      <c r="AD1285" s="3545">
        <f t="shared" si="434"/>
        <v>54.199377368706017</v>
      </c>
      <c r="AE1285" s="3546"/>
      <c r="AF1285" s="3529"/>
      <c r="AG1285" s="3547"/>
      <c r="AH1285" s="3548"/>
      <c r="AI1285" s="3529"/>
      <c r="AJ1285" s="3529"/>
      <c r="AK1285" s="3529"/>
      <c r="AL1285" s="3529"/>
      <c r="AM1285" s="3529"/>
      <c r="AN1285" s="3529"/>
      <c r="AO1285" s="3529"/>
      <c r="AP1285" s="3529"/>
      <c r="AQ1285" s="3529"/>
      <c r="AR1285" s="3529"/>
      <c r="AS1285" s="3529"/>
      <c r="AT1285" s="3529"/>
      <c r="AU1285" s="3529"/>
      <c r="AV1285" s="3529"/>
      <c r="AW1285" s="3529"/>
      <c r="AX1285" s="3529"/>
      <c r="AY1285" s="3529"/>
      <c r="AZ1285" s="3529"/>
      <c r="BA1285" s="3529"/>
      <c r="BB1285" s="3529"/>
      <c r="BC1285" s="3529"/>
      <c r="BD1285" s="3529"/>
      <c r="BE1285" s="3529"/>
      <c r="BF1285" s="3529"/>
      <c r="BG1285" s="3529"/>
      <c r="BH1285" s="3529"/>
      <c r="BI1285" s="3529"/>
      <c r="BJ1285" s="3529"/>
      <c r="BK1285" s="3529"/>
      <c r="BL1285" s="3529"/>
      <c r="BM1285" s="3529"/>
      <c r="BN1285" s="3529"/>
      <c r="BO1285" s="3529"/>
      <c r="BP1285" s="3529"/>
      <c r="BQ1285" s="3529"/>
      <c r="BR1285" s="3529"/>
      <c r="BS1285" s="3529"/>
      <c r="BT1285" s="3529"/>
      <c r="BU1285" s="3529"/>
      <c r="BV1285" s="3529"/>
      <c r="BW1285" s="3529"/>
      <c r="BX1285" s="3529"/>
      <c r="BY1285" s="3529"/>
    </row>
    <row r="1286" spans="1:77" s="3530" customFormat="1" ht="51.75" customHeight="1">
      <c r="A1286" s="3434"/>
      <c r="B1286" s="3338"/>
      <c r="C1286" s="3531"/>
      <c r="D1286" s="3531"/>
      <c r="E1286" s="3531"/>
      <c r="F1286" s="3531"/>
      <c r="G1286" s="3531"/>
      <c r="H1286" s="3531"/>
      <c r="I1286" s="3532" t="s">
        <v>900</v>
      </c>
      <c r="J1286" s="3532" t="s">
        <v>4047</v>
      </c>
      <c r="K1286" s="3533">
        <v>72</v>
      </c>
      <c r="L1286" s="3534">
        <v>929598700</v>
      </c>
      <c r="M1286" s="3550">
        <v>24</v>
      </c>
      <c r="N1286" s="3551">
        <v>309910700</v>
      </c>
      <c r="O1286" s="3537">
        <v>12</v>
      </c>
      <c r="P1286" s="3537">
        <v>210400000</v>
      </c>
      <c r="Q1286" s="3553">
        <v>3</v>
      </c>
      <c r="R1286" s="3562">
        <v>29492500</v>
      </c>
      <c r="S1286" s="3555">
        <v>3</v>
      </c>
      <c r="T1286" s="3555">
        <v>50312800</v>
      </c>
      <c r="U1286" s="3541">
        <v>3</v>
      </c>
      <c r="V1286" s="3542">
        <v>50685700</v>
      </c>
      <c r="W1286" s="3556"/>
      <c r="X1286" s="3556"/>
      <c r="Y1286" s="3537">
        <f t="shared" si="432"/>
        <v>9</v>
      </c>
      <c r="Z1286" s="3543">
        <f t="shared" si="435"/>
        <v>130491000</v>
      </c>
      <c r="AA1286" s="3537">
        <f t="shared" ref="AA1286:AB1301" si="436">M1286+Y1286</f>
        <v>33</v>
      </c>
      <c r="AB1286" s="3543">
        <f t="shared" si="436"/>
        <v>440401700</v>
      </c>
      <c r="AC1286" s="3545">
        <f t="shared" ref="AC1286:AD1290" si="437">AA1286/K1286*100</f>
        <v>45.833333333333329</v>
      </c>
      <c r="AD1286" s="3545">
        <f t="shared" si="437"/>
        <v>47.375464272916908</v>
      </c>
      <c r="AE1286" s="3546"/>
      <c r="AF1286" s="3529"/>
      <c r="AG1286" s="3547"/>
      <c r="AH1286" s="3548"/>
      <c r="AI1286" s="3529"/>
      <c r="AJ1286" s="3529"/>
      <c r="AK1286" s="3529"/>
      <c r="AL1286" s="3529"/>
      <c r="AM1286" s="3529"/>
      <c r="AN1286" s="3529"/>
      <c r="AO1286" s="3529"/>
      <c r="AP1286" s="3529"/>
      <c r="AQ1286" s="3529"/>
      <c r="AR1286" s="3529"/>
      <c r="AS1286" s="3529"/>
      <c r="AT1286" s="3529"/>
      <c r="AU1286" s="3529"/>
      <c r="AV1286" s="3529"/>
      <c r="AW1286" s="3529"/>
      <c r="AX1286" s="3529"/>
      <c r="AY1286" s="3529"/>
      <c r="AZ1286" s="3529"/>
      <c r="BA1286" s="3529"/>
      <c r="BB1286" s="3529"/>
      <c r="BC1286" s="3529"/>
      <c r="BD1286" s="3529"/>
      <c r="BE1286" s="3529"/>
      <c r="BF1286" s="3529"/>
      <c r="BG1286" s="3529"/>
      <c r="BH1286" s="3529"/>
      <c r="BI1286" s="3529"/>
      <c r="BJ1286" s="3529"/>
      <c r="BK1286" s="3529"/>
      <c r="BL1286" s="3529"/>
      <c r="BM1286" s="3529"/>
      <c r="BN1286" s="3529"/>
      <c r="BO1286" s="3529"/>
      <c r="BP1286" s="3529"/>
      <c r="BQ1286" s="3529"/>
      <c r="BR1286" s="3529"/>
      <c r="BS1286" s="3529"/>
      <c r="BT1286" s="3529"/>
      <c r="BU1286" s="3529"/>
      <c r="BV1286" s="3529"/>
      <c r="BW1286" s="3529"/>
      <c r="BX1286" s="3529"/>
      <c r="BY1286" s="3529"/>
    </row>
    <row r="1287" spans="1:77" s="3530" customFormat="1" ht="39.75" customHeight="1">
      <c r="A1287" s="3434"/>
      <c r="B1287" s="3338"/>
      <c r="C1287" s="3531"/>
      <c r="D1287" s="3531"/>
      <c r="E1287" s="3531"/>
      <c r="F1287" s="3531"/>
      <c r="G1287" s="3531"/>
      <c r="H1287" s="3531"/>
      <c r="I1287" s="3532" t="s">
        <v>902</v>
      </c>
      <c r="J1287" s="3532" t="s">
        <v>4048</v>
      </c>
      <c r="K1287" s="3533">
        <v>24</v>
      </c>
      <c r="L1287" s="3534">
        <v>559420000</v>
      </c>
      <c r="M1287" s="3550">
        <v>19</v>
      </c>
      <c r="N1287" s="3551">
        <v>193202950</v>
      </c>
      <c r="O1287" s="3537">
        <v>4</v>
      </c>
      <c r="P1287" s="3537">
        <v>134180000</v>
      </c>
      <c r="Q1287" s="3553">
        <v>0</v>
      </c>
      <c r="R1287" s="3562">
        <v>0</v>
      </c>
      <c r="S1287" s="3555">
        <v>3</v>
      </c>
      <c r="T1287" s="3555">
        <v>104990000</v>
      </c>
      <c r="U1287" s="3541">
        <v>1</v>
      </c>
      <c r="V1287" s="3542">
        <v>520000</v>
      </c>
      <c r="W1287" s="3556"/>
      <c r="X1287" s="3556"/>
      <c r="Y1287" s="3537">
        <f t="shared" si="432"/>
        <v>4</v>
      </c>
      <c r="Z1287" s="3543">
        <f t="shared" si="435"/>
        <v>105510000</v>
      </c>
      <c r="AA1287" s="3537">
        <f t="shared" si="436"/>
        <v>23</v>
      </c>
      <c r="AB1287" s="3543">
        <f t="shared" si="436"/>
        <v>298712950</v>
      </c>
      <c r="AC1287" s="3545">
        <f t="shared" si="437"/>
        <v>95.833333333333343</v>
      </c>
      <c r="AD1287" s="3545">
        <f t="shared" si="437"/>
        <v>53.396902148653972</v>
      </c>
      <c r="AE1287" s="3546"/>
      <c r="AF1287" s="3529"/>
      <c r="AG1287" s="3547"/>
      <c r="AH1287" s="3548"/>
      <c r="AI1287" s="3529"/>
      <c r="AJ1287" s="3529"/>
      <c r="AK1287" s="3529"/>
      <c r="AL1287" s="3529"/>
      <c r="AM1287" s="3529"/>
      <c r="AN1287" s="3529"/>
      <c r="AO1287" s="3529"/>
      <c r="AP1287" s="3529"/>
      <c r="AQ1287" s="3529"/>
      <c r="AR1287" s="3529"/>
      <c r="AS1287" s="3529"/>
      <c r="AT1287" s="3529"/>
      <c r="AU1287" s="3529"/>
      <c r="AV1287" s="3529"/>
      <c r="AW1287" s="3529"/>
      <c r="AX1287" s="3529"/>
      <c r="AY1287" s="3529"/>
      <c r="AZ1287" s="3529"/>
      <c r="BA1287" s="3529"/>
      <c r="BB1287" s="3529"/>
      <c r="BC1287" s="3529"/>
      <c r="BD1287" s="3529"/>
      <c r="BE1287" s="3529"/>
      <c r="BF1287" s="3529"/>
      <c r="BG1287" s="3529"/>
      <c r="BH1287" s="3529"/>
      <c r="BI1287" s="3529"/>
      <c r="BJ1287" s="3529"/>
      <c r="BK1287" s="3529"/>
      <c r="BL1287" s="3529"/>
      <c r="BM1287" s="3529"/>
      <c r="BN1287" s="3529"/>
      <c r="BO1287" s="3529"/>
      <c r="BP1287" s="3529"/>
      <c r="BQ1287" s="3529"/>
      <c r="BR1287" s="3529"/>
      <c r="BS1287" s="3529"/>
      <c r="BT1287" s="3529"/>
      <c r="BU1287" s="3529"/>
      <c r="BV1287" s="3529"/>
      <c r="BW1287" s="3529"/>
      <c r="BX1287" s="3529"/>
      <c r="BY1287" s="3529"/>
    </row>
    <row r="1288" spans="1:77" s="3561" customFormat="1" ht="70.5" customHeight="1">
      <c r="A1288" s="4142">
        <v>3</v>
      </c>
      <c r="B1288" s="4092"/>
      <c r="C1288" s="4143"/>
      <c r="D1288" s="4143"/>
      <c r="E1288" s="4143"/>
      <c r="F1288" s="4143"/>
      <c r="G1288" s="4143"/>
      <c r="H1288" s="4143"/>
      <c r="I1288" s="4144" t="s">
        <v>227</v>
      </c>
      <c r="J1288" s="4144" t="s">
        <v>3414</v>
      </c>
      <c r="K1288" s="4145">
        <v>72</v>
      </c>
      <c r="L1288" s="4146">
        <f>L1289</f>
        <v>156000000</v>
      </c>
      <c r="M1288" s="4160">
        <v>24</v>
      </c>
      <c r="N1288" s="4161">
        <f>N1289</f>
        <v>53074277</v>
      </c>
      <c r="O1288" s="4150">
        <v>12</v>
      </c>
      <c r="P1288" s="4150">
        <f>SUM(P1289)</f>
        <v>26838458</v>
      </c>
      <c r="Q1288" s="4162">
        <v>3</v>
      </c>
      <c r="R1288" s="4163">
        <f>R1289</f>
        <v>4842098</v>
      </c>
      <c r="S1288" s="4154">
        <v>4</v>
      </c>
      <c r="T1288" s="4154">
        <f>T1289</f>
        <v>6625602</v>
      </c>
      <c r="U1288" s="4154">
        <f>U1289</f>
        <v>1</v>
      </c>
      <c r="V1288" s="4154">
        <f>V1289</f>
        <v>1714696</v>
      </c>
      <c r="W1288" s="4154"/>
      <c r="X1288" s="4154"/>
      <c r="Y1288" s="4150">
        <f t="shared" si="432"/>
        <v>8</v>
      </c>
      <c r="Z1288" s="4155">
        <f t="shared" si="435"/>
        <v>13182396</v>
      </c>
      <c r="AA1288" s="4150">
        <f t="shared" si="436"/>
        <v>32</v>
      </c>
      <c r="AB1288" s="4155">
        <f t="shared" si="436"/>
        <v>66256673</v>
      </c>
      <c r="AC1288" s="4165">
        <f t="shared" si="437"/>
        <v>44.444444444444443</v>
      </c>
      <c r="AD1288" s="4165">
        <f t="shared" si="437"/>
        <v>42.472226282051281</v>
      </c>
      <c r="AE1288" s="4158" t="s">
        <v>826</v>
      </c>
      <c r="AF1288" s="3558"/>
      <c r="AG1288" s="3559"/>
      <c r="AH1288" s="3560"/>
      <c r="AI1288" s="3558"/>
      <c r="AJ1288" s="3558"/>
      <c r="AK1288" s="3558"/>
      <c r="AL1288" s="3558"/>
      <c r="AM1288" s="3558"/>
      <c r="AN1288" s="3558"/>
      <c r="AO1288" s="3558"/>
      <c r="AP1288" s="3558"/>
      <c r="AQ1288" s="3558"/>
      <c r="AR1288" s="3558"/>
      <c r="AS1288" s="3558"/>
      <c r="AT1288" s="3558"/>
      <c r="AU1288" s="3558"/>
      <c r="AV1288" s="3558"/>
      <c r="AW1288" s="3558"/>
      <c r="AX1288" s="3558"/>
      <c r="AY1288" s="3558"/>
      <c r="AZ1288" s="3558"/>
      <c r="BA1288" s="3558"/>
      <c r="BB1288" s="3558"/>
      <c r="BC1288" s="3558"/>
      <c r="BD1288" s="3558"/>
      <c r="BE1288" s="3558"/>
      <c r="BF1288" s="3558"/>
      <c r="BG1288" s="3558"/>
      <c r="BH1288" s="3558"/>
      <c r="BI1288" s="3558"/>
      <c r="BJ1288" s="3558"/>
      <c r="BK1288" s="3558"/>
      <c r="BL1288" s="3558"/>
      <c r="BM1288" s="3558"/>
      <c r="BN1288" s="3558"/>
      <c r="BO1288" s="3558"/>
      <c r="BP1288" s="3558"/>
      <c r="BQ1288" s="3558"/>
      <c r="BR1288" s="3558"/>
      <c r="BS1288" s="3558"/>
      <c r="BT1288" s="3558"/>
      <c r="BU1288" s="3558"/>
      <c r="BV1288" s="3558"/>
      <c r="BW1288" s="3558"/>
      <c r="BX1288" s="3558"/>
      <c r="BY1288" s="3558"/>
    </row>
    <row r="1289" spans="1:77" s="3530" customFormat="1" ht="46.5" customHeight="1">
      <c r="A1289" s="3434"/>
      <c r="B1289" s="3338"/>
      <c r="C1289" s="3531"/>
      <c r="D1289" s="3531"/>
      <c r="E1289" s="3531"/>
      <c r="F1289" s="3531"/>
      <c r="G1289" s="3531"/>
      <c r="H1289" s="3531"/>
      <c r="I1289" s="3532" t="s">
        <v>904</v>
      </c>
      <c r="J1289" s="3532" t="s">
        <v>4049</v>
      </c>
      <c r="K1289" s="3533">
        <v>24</v>
      </c>
      <c r="L1289" s="3534">
        <v>156000000</v>
      </c>
      <c r="M1289" s="3550">
        <v>8</v>
      </c>
      <c r="N1289" s="3551">
        <v>53074277</v>
      </c>
      <c r="O1289" s="3537">
        <v>4</v>
      </c>
      <c r="P1289" s="3537">
        <v>26838458</v>
      </c>
      <c r="Q1289" s="3553">
        <v>1</v>
      </c>
      <c r="R1289" s="3562">
        <v>4842098</v>
      </c>
      <c r="S1289" s="3555">
        <v>1</v>
      </c>
      <c r="T1289" s="3555">
        <v>6625602</v>
      </c>
      <c r="U1289" s="3563">
        <v>1</v>
      </c>
      <c r="V1289" s="3564">
        <v>1714696</v>
      </c>
      <c r="W1289" s="3555"/>
      <c r="X1289" s="3555"/>
      <c r="Y1289" s="3537">
        <f t="shared" si="432"/>
        <v>3</v>
      </c>
      <c r="Z1289" s="3543">
        <f t="shared" si="435"/>
        <v>13182396</v>
      </c>
      <c r="AA1289" s="3537">
        <f t="shared" si="436"/>
        <v>11</v>
      </c>
      <c r="AB1289" s="3543">
        <f t="shared" si="436"/>
        <v>66256673</v>
      </c>
      <c r="AC1289" s="3545">
        <f t="shared" si="437"/>
        <v>45.833333333333329</v>
      </c>
      <c r="AD1289" s="3545">
        <f t="shared" si="437"/>
        <v>42.472226282051281</v>
      </c>
      <c r="AE1289" s="3546"/>
      <c r="AF1289" s="3529"/>
      <c r="AG1289" s="3547"/>
      <c r="AH1289" s="3548"/>
      <c r="AI1289" s="3529"/>
      <c r="AJ1289" s="3529"/>
      <c r="AK1289" s="3529"/>
      <c r="AL1289" s="3529"/>
      <c r="AM1289" s="3529"/>
      <c r="AN1289" s="3529"/>
      <c r="AO1289" s="3529"/>
      <c r="AP1289" s="3529"/>
      <c r="AQ1289" s="3529"/>
      <c r="AR1289" s="3529"/>
      <c r="AS1289" s="3529"/>
      <c r="AT1289" s="3529"/>
      <c r="AU1289" s="3529"/>
      <c r="AV1289" s="3529"/>
      <c r="AW1289" s="3529"/>
      <c r="AX1289" s="3529"/>
      <c r="AY1289" s="3529"/>
      <c r="AZ1289" s="3529"/>
      <c r="BA1289" s="3529"/>
      <c r="BB1289" s="3529"/>
      <c r="BC1289" s="3529"/>
      <c r="BD1289" s="3529"/>
      <c r="BE1289" s="3529"/>
      <c r="BF1289" s="3529"/>
      <c r="BG1289" s="3529"/>
      <c r="BH1289" s="3529"/>
      <c r="BI1289" s="3529"/>
      <c r="BJ1289" s="3529"/>
      <c r="BK1289" s="3529"/>
      <c r="BL1289" s="3529"/>
      <c r="BM1289" s="3529"/>
      <c r="BN1289" s="3529"/>
      <c r="BO1289" s="3529"/>
      <c r="BP1289" s="3529"/>
      <c r="BQ1289" s="3529"/>
      <c r="BR1289" s="3529"/>
      <c r="BS1289" s="3529"/>
      <c r="BT1289" s="3529"/>
      <c r="BU1289" s="3529"/>
      <c r="BV1289" s="3529"/>
      <c r="BW1289" s="3529"/>
      <c r="BX1289" s="3529"/>
      <c r="BY1289" s="3529"/>
    </row>
    <row r="1290" spans="1:77" s="4190" customFormat="1" ht="33" customHeight="1">
      <c r="A1290" s="4166">
        <v>4</v>
      </c>
      <c r="B1290" s="4167" t="s">
        <v>802</v>
      </c>
      <c r="C1290" s="4168">
        <v>2</v>
      </c>
      <c r="D1290" s="4168" t="s">
        <v>107</v>
      </c>
      <c r="E1290" s="4168" t="s">
        <v>196</v>
      </c>
      <c r="F1290" s="4168" t="s">
        <v>65</v>
      </c>
      <c r="G1290" s="4168">
        <v>22</v>
      </c>
      <c r="H1290" s="4168"/>
      <c r="I1290" s="4167" t="s">
        <v>803</v>
      </c>
      <c r="J1290" s="4095" t="s">
        <v>4050</v>
      </c>
      <c r="K1290" s="4202"/>
      <c r="L1290" s="4203">
        <f>SUM(L1309:L1316)</f>
        <v>13460005320</v>
      </c>
      <c r="M1290" s="4204"/>
      <c r="N1290" s="4205">
        <f>SUM(N1309:N1316)</f>
        <v>3792768535</v>
      </c>
      <c r="O1290" s="4206"/>
      <c r="P1290" s="4207">
        <f>SUM(P1309:P1316)</f>
        <v>2080186324.25</v>
      </c>
      <c r="Q1290" s="4208">
        <v>0</v>
      </c>
      <c r="R1290" s="4209">
        <f>SUM(R1309:R1316)</f>
        <v>114013146</v>
      </c>
      <c r="S1290" s="4142"/>
      <c r="T1290" s="4210">
        <f>SUM(T1309:T1316)</f>
        <v>692961596</v>
      </c>
      <c r="U1290" s="4142"/>
      <c r="V1290" s="4211">
        <f>SUM(V1309:V1316)</f>
        <v>740314748</v>
      </c>
      <c r="W1290" s="4142"/>
      <c r="X1290" s="4142"/>
      <c r="Y1290" s="4203">
        <f t="shared" si="432"/>
        <v>0</v>
      </c>
      <c r="Z1290" s="4212">
        <f t="shared" si="435"/>
        <v>1547289490</v>
      </c>
      <c r="AA1290" s="4206">
        <f t="shared" si="436"/>
        <v>0</v>
      </c>
      <c r="AB1290" s="4212">
        <f t="shared" si="436"/>
        <v>5340058025</v>
      </c>
      <c r="AC1290" s="4213"/>
      <c r="AD1290" s="4214">
        <f t="shared" si="437"/>
        <v>39.673520909128435</v>
      </c>
      <c r="AE1290" s="4094" t="s">
        <v>826</v>
      </c>
      <c r="AF1290" s="3306"/>
      <c r="AG1290" s="3305"/>
      <c r="AH1290" s="4189"/>
      <c r="AI1290" s="3306"/>
      <c r="AJ1290" s="3306"/>
      <c r="AK1290" s="3306"/>
      <c r="AL1290" s="3306"/>
      <c r="AM1290" s="3306"/>
      <c r="AN1290" s="3306"/>
      <c r="AO1290" s="3306"/>
      <c r="AP1290" s="3306"/>
      <c r="AQ1290" s="3306"/>
      <c r="AR1290" s="3306"/>
      <c r="AS1290" s="3306"/>
      <c r="AT1290" s="3306"/>
      <c r="AU1290" s="3306"/>
      <c r="AV1290" s="3306"/>
      <c r="AW1290" s="3306"/>
      <c r="AX1290" s="3306"/>
      <c r="AY1290" s="3306"/>
      <c r="AZ1290" s="3306"/>
      <c r="BA1290" s="3306"/>
      <c r="BB1290" s="3306"/>
      <c r="BC1290" s="3306"/>
      <c r="BD1290" s="3306"/>
      <c r="BE1290" s="3306"/>
      <c r="BF1290" s="3306"/>
      <c r="BG1290" s="3306"/>
      <c r="BH1290" s="3306"/>
      <c r="BI1290" s="3306"/>
      <c r="BJ1290" s="3306"/>
      <c r="BK1290" s="3306"/>
      <c r="BL1290" s="3306"/>
      <c r="BM1290" s="3306"/>
      <c r="BN1290" s="3306"/>
      <c r="BO1290" s="3306"/>
      <c r="BP1290" s="3306"/>
      <c r="BQ1290" s="3306"/>
      <c r="BR1290" s="3306"/>
      <c r="BS1290" s="3306"/>
      <c r="BT1290" s="3306"/>
      <c r="BU1290" s="3306"/>
      <c r="BV1290" s="3306"/>
      <c r="BW1290" s="3306"/>
      <c r="BX1290" s="3306"/>
      <c r="BY1290" s="3306"/>
    </row>
    <row r="1291" spans="1:77" s="4190" customFormat="1" ht="27" customHeight="1">
      <c r="A1291" s="4196"/>
      <c r="B1291" s="4197"/>
      <c r="C1291" s="4198"/>
      <c r="D1291" s="4198"/>
      <c r="E1291" s="4198"/>
      <c r="F1291" s="4198"/>
      <c r="G1291" s="4198"/>
      <c r="H1291" s="4198"/>
      <c r="I1291" s="4197"/>
      <c r="J1291" s="4215" t="s">
        <v>806</v>
      </c>
      <c r="K1291" s="4124">
        <v>84471.905973590474</v>
      </c>
      <c r="L1291" s="4216"/>
      <c r="M1291" s="4208">
        <v>81786</v>
      </c>
      <c r="N1291" s="4217"/>
      <c r="O1291" s="4124">
        <v>82280.52853597491</v>
      </c>
      <c r="P1291" s="4203"/>
      <c r="Q1291" s="4204">
        <v>0</v>
      </c>
      <c r="R1291" s="4218"/>
      <c r="S1291" s="4142">
        <v>0</v>
      </c>
      <c r="T1291" s="4142"/>
      <c r="U1291" s="4142">
        <v>0</v>
      </c>
      <c r="V1291" s="4142"/>
      <c r="W1291" s="4142"/>
      <c r="X1291" s="4142"/>
      <c r="Y1291" s="4206">
        <f t="shared" si="432"/>
        <v>0</v>
      </c>
      <c r="Z1291" s="4212">
        <f t="shared" si="435"/>
        <v>0</v>
      </c>
      <c r="AA1291" s="4219">
        <f t="shared" si="436"/>
        <v>81786</v>
      </c>
      <c r="AB1291" s="4212">
        <f t="shared" si="436"/>
        <v>0</v>
      </c>
      <c r="AC1291" s="4213">
        <f t="shared" ref="AC1291:AD1316" si="438">AA1291/K1291*100</f>
        <v>96.82035590101377</v>
      </c>
      <c r="AD1291" s="4214"/>
      <c r="AE1291" s="4094"/>
      <c r="AF1291" s="3306"/>
      <c r="AG1291" s="3305"/>
      <c r="AH1291" s="4189"/>
      <c r="AI1291" s="3306"/>
      <c r="AJ1291" s="3306"/>
      <c r="AK1291" s="3306"/>
      <c r="AL1291" s="3306"/>
      <c r="AM1291" s="3306"/>
      <c r="AN1291" s="3306"/>
      <c r="AO1291" s="3306"/>
      <c r="AP1291" s="3306"/>
      <c r="AQ1291" s="3306"/>
      <c r="AR1291" s="3306"/>
      <c r="AS1291" s="3306"/>
      <c r="AT1291" s="3306"/>
      <c r="AU1291" s="3306"/>
      <c r="AV1291" s="3306"/>
      <c r="AW1291" s="3306"/>
      <c r="AX1291" s="3306"/>
      <c r="AY1291" s="3306"/>
      <c r="AZ1291" s="3306"/>
      <c r="BA1291" s="3306"/>
      <c r="BB1291" s="3306"/>
      <c r="BC1291" s="3306"/>
      <c r="BD1291" s="3306"/>
      <c r="BE1291" s="3306"/>
      <c r="BF1291" s="3306"/>
      <c r="BG1291" s="3306"/>
      <c r="BH1291" s="3306"/>
      <c r="BI1291" s="3306"/>
      <c r="BJ1291" s="3306"/>
      <c r="BK1291" s="3306"/>
      <c r="BL1291" s="3306"/>
      <c r="BM1291" s="3306"/>
      <c r="BN1291" s="3306"/>
      <c r="BO1291" s="3306"/>
      <c r="BP1291" s="3306"/>
      <c r="BQ1291" s="3306"/>
      <c r="BR1291" s="3306"/>
      <c r="BS1291" s="3306"/>
      <c r="BT1291" s="3306"/>
      <c r="BU1291" s="3306"/>
      <c r="BV1291" s="3306"/>
      <c r="BW1291" s="3306"/>
      <c r="BX1291" s="3306"/>
      <c r="BY1291" s="3306"/>
    </row>
    <row r="1292" spans="1:77" s="4190" customFormat="1" ht="27" customHeight="1">
      <c r="A1292" s="4196"/>
      <c r="B1292" s="4197"/>
      <c r="C1292" s="4198"/>
      <c r="D1292" s="4198"/>
      <c r="E1292" s="4198"/>
      <c r="F1292" s="4198"/>
      <c r="G1292" s="4198"/>
      <c r="H1292" s="4198"/>
      <c r="I1292" s="4197"/>
      <c r="J1292" s="4215" t="s">
        <v>807</v>
      </c>
      <c r="K1292" s="4124">
        <v>8665.7098756537853</v>
      </c>
      <c r="L1292" s="4216"/>
      <c r="M1292" s="4208">
        <v>8506</v>
      </c>
      <c r="N1292" s="4217"/>
      <c r="O1292" s="4124">
        <v>8466.0549479395941</v>
      </c>
      <c r="P1292" s="4203"/>
      <c r="Q1292" s="4204">
        <v>0</v>
      </c>
      <c r="R1292" s="4218"/>
      <c r="S1292" s="4142">
        <v>0</v>
      </c>
      <c r="T1292" s="4142"/>
      <c r="U1292" s="4142">
        <v>0</v>
      </c>
      <c r="V1292" s="4142"/>
      <c r="W1292" s="4142"/>
      <c r="X1292" s="4142"/>
      <c r="Y1292" s="4206">
        <f t="shared" si="432"/>
        <v>0</v>
      </c>
      <c r="Z1292" s="4212">
        <f t="shared" si="435"/>
        <v>0</v>
      </c>
      <c r="AA1292" s="4219">
        <f t="shared" si="436"/>
        <v>8506</v>
      </c>
      <c r="AB1292" s="4212">
        <f t="shared" si="436"/>
        <v>0</v>
      </c>
      <c r="AC1292" s="4213">
        <f t="shared" si="438"/>
        <v>98.156990276093964</v>
      </c>
      <c r="AD1292" s="4214"/>
      <c r="AE1292" s="4094"/>
      <c r="AF1292" s="3306"/>
      <c r="AG1292" s="3305"/>
      <c r="AH1292" s="4189"/>
      <c r="AI1292" s="3306"/>
      <c r="AJ1292" s="3306"/>
      <c r="AK1292" s="3306"/>
      <c r="AL1292" s="3306"/>
      <c r="AM1292" s="3306"/>
      <c r="AN1292" s="3306"/>
      <c r="AO1292" s="3306"/>
      <c r="AP1292" s="3306"/>
      <c r="AQ1292" s="3306"/>
      <c r="AR1292" s="3306"/>
      <c r="AS1292" s="3306"/>
      <c r="AT1292" s="3306"/>
      <c r="AU1292" s="3306"/>
      <c r="AV1292" s="3306"/>
      <c r="AW1292" s="3306"/>
      <c r="AX1292" s="3306"/>
      <c r="AY1292" s="3306"/>
      <c r="AZ1292" s="3306"/>
      <c r="BA1292" s="3306"/>
      <c r="BB1292" s="3306"/>
      <c r="BC1292" s="3306"/>
      <c r="BD1292" s="3306"/>
      <c r="BE1292" s="3306"/>
      <c r="BF1292" s="3306"/>
      <c r="BG1292" s="3306"/>
      <c r="BH1292" s="3306"/>
      <c r="BI1292" s="3306"/>
      <c r="BJ1292" s="3306"/>
      <c r="BK1292" s="3306"/>
      <c r="BL1292" s="3306"/>
      <c r="BM1292" s="3306"/>
      <c r="BN1292" s="3306"/>
      <c r="BO1292" s="3306"/>
      <c r="BP1292" s="3306"/>
      <c r="BQ1292" s="3306"/>
      <c r="BR1292" s="3306"/>
      <c r="BS1292" s="3306"/>
      <c r="BT1292" s="3306"/>
      <c r="BU1292" s="3306"/>
      <c r="BV1292" s="3306"/>
      <c r="BW1292" s="3306"/>
      <c r="BX1292" s="3306"/>
      <c r="BY1292" s="3306"/>
    </row>
    <row r="1293" spans="1:77" s="4190" customFormat="1" ht="27" customHeight="1">
      <c r="A1293" s="4196"/>
      <c r="B1293" s="4197"/>
      <c r="C1293" s="4198"/>
      <c r="D1293" s="4198"/>
      <c r="E1293" s="4198"/>
      <c r="F1293" s="4198"/>
      <c r="G1293" s="4198"/>
      <c r="H1293" s="4198"/>
      <c r="I1293" s="4197"/>
      <c r="J1293" s="4215" t="s">
        <v>808</v>
      </c>
      <c r="K1293" s="4124">
        <v>41919.639869005288</v>
      </c>
      <c r="L1293" s="4216"/>
      <c r="M1293" s="4208">
        <v>40856</v>
      </c>
      <c r="N1293" s="4217"/>
      <c r="O1293" s="4124">
        <v>41794.132048669002</v>
      </c>
      <c r="P1293" s="4203"/>
      <c r="Q1293" s="4204">
        <v>0</v>
      </c>
      <c r="R1293" s="4218"/>
      <c r="S1293" s="4142">
        <v>0</v>
      </c>
      <c r="T1293" s="4142"/>
      <c r="U1293" s="4142">
        <v>0</v>
      </c>
      <c r="V1293" s="4142"/>
      <c r="W1293" s="4142"/>
      <c r="X1293" s="4142"/>
      <c r="Y1293" s="4206">
        <f t="shared" si="432"/>
        <v>0</v>
      </c>
      <c r="Z1293" s="4212">
        <f t="shared" si="435"/>
        <v>0</v>
      </c>
      <c r="AA1293" s="4219">
        <f t="shared" si="436"/>
        <v>40856</v>
      </c>
      <c r="AB1293" s="4212">
        <f t="shared" si="436"/>
        <v>0</v>
      </c>
      <c r="AC1293" s="4213">
        <f t="shared" si="438"/>
        <v>97.462669354199946</v>
      </c>
      <c r="AD1293" s="4214"/>
      <c r="AE1293" s="4094"/>
      <c r="AF1293" s="3306"/>
      <c r="AG1293" s="3305"/>
      <c r="AH1293" s="4189"/>
      <c r="AI1293" s="3306"/>
      <c r="AJ1293" s="3306"/>
      <c r="AK1293" s="3306"/>
      <c r="AL1293" s="3306"/>
      <c r="AM1293" s="3306"/>
      <c r="AN1293" s="3306"/>
      <c r="AO1293" s="3306"/>
      <c r="AP1293" s="3306"/>
      <c r="AQ1293" s="3306"/>
      <c r="AR1293" s="3306"/>
      <c r="AS1293" s="3306"/>
      <c r="AT1293" s="3306"/>
      <c r="AU1293" s="3306"/>
      <c r="AV1293" s="3306"/>
      <c r="AW1293" s="3306"/>
      <c r="AX1293" s="3306"/>
      <c r="AY1293" s="3306"/>
      <c r="AZ1293" s="3306"/>
      <c r="BA1293" s="3306"/>
      <c r="BB1293" s="3306"/>
      <c r="BC1293" s="3306"/>
      <c r="BD1293" s="3306"/>
      <c r="BE1293" s="3306"/>
      <c r="BF1293" s="3306"/>
      <c r="BG1293" s="3306"/>
      <c r="BH1293" s="3306"/>
      <c r="BI1293" s="3306"/>
      <c r="BJ1293" s="3306"/>
      <c r="BK1293" s="3306"/>
      <c r="BL1293" s="3306"/>
      <c r="BM1293" s="3306"/>
      <c r="BN1293" s="3306"/>
      <c r="BO1293" s="3306"/>
      <c r="BP1293" s="3306"/>
      <c r="BQ1293" s="3306"/>
      <c r="BR1293" s="3306"/>
      <c r="BS1293" s="3306"/>
      <c r="BT1293" s="3306"/>
      <c r="BU1293" s="3306"/>
      <c r="BV1293" s="3306"/>
      <c r="BW1293" s="3306"/>
      <c r="BX1293" s="3306"/>
      <c r="BY1293" s="3306"/>
    </row>
    <row r="1294" spans="1:77" s="4190" customFormat="1" ht="27" customHeight="1">
      <c r="A1294" s="4196"/>
      <c r="B1294" s="4197"/>
      <c r="C1294" s="4198"/>
      <c r="D1294" s="4198"/>
      <c r="E1294" s="4198"/>
      <c r="F1294" s="4198"/>
      <c r="G1294" s="4198"/>
      <c r="H1294" s="4198"/>
      <c r="I1294" s="4197"/>
      <c r="J1294" s="4215" t="s">
        <v>809</v>
      </c>
      <c r="K1294" s="4124">
        <v>813634.56146209792</v>
      </c>
      <c r="L1294" s="4216"/>
      <c r="M1294" s="4208">
        <v>787857</v>
      </c>
      <c r="N1294" s="4217"/>
      <c r="O1294" s="4124">
        <v>796547.35583316814</v>
      </c>
      <c r="P1294" s="4203"/>
      <c r="Q1294" s="4204">
        <v>0</v>
      </c>
      <c r="R1294" s="4218"/>
      <c r="S1294" s="4142">
        <v>0</v>
      </c>
      <c r="T1294" s="4142"/>
      <c r="U1294" s="4142">
        <v>0</v>
      </c>
      <c r="V1294" s="4142"/>
      <c r="W1294" s="4142"/>
      <c r="X1294" s="4142"/>
      <c r="Y1294" s="4206">
        <f t="shared" si="432"/>
        <v>0</v>
      </c>
      <c r="Z1294" s="4212">
        <f t="shared" si="435"/>
        <v>0</v>
      </c>
      <c r="AA1294" s="4219">
        <f t="shared" si="436"/>
        <v>787857</v>
      </c>
      <c r="AB1294" s="4212">
        <f t="shared" si="436"/>
        <v>0</v>
      </c>
      <c r="AC1294" s="4213">
        <f t="shared" si="438"/>
        <v>96.83180107101451</v>
      </c>
      <c r="AD1294" s="4214"/>
      <c r="AE1294" s="4094"/>
      <c r="AF1294" s="3306"/>
      <c r="AG1294" s="3305"/>
      <c r="AH1294" s="4189"/>
      <c r="AI1294" s="3306"/>
      <c r="AJ1294" s="3306"/>
      <c r="AK1294" s="3306"/>
      <c r="AL1294" s="3306"/>
      <c r="AM1294" s="3306"/>
      <c r="AN1294" s="3306"/>
      <c r="AO1294" s="3306"/>
      <c r="AP1294" s="3306"/>
      <c r="AQ1294" s="3306"/>
      <c r="AR1294" s="3306"/>
      <c r="AS1294" s="3306"/>
      <c r="AT1294" s="3306"/>
      <c r="AU1294" s="3306"/>
      <c r="AV1294" s="3306"/>
      <c r="AW1294" s="3306"/>
      <c r="AX1294" s="3306"/>
      <c r="AY1294" s="3306"/>
      <c r="AZ1294" s="3306"/>
      <c r="BA1294" s="3306"/>
      <c r="BB1294" s="3306"/>
      <c r="BC1294" s="3306"/>
      <c r="BD1294" s="3306"/>
      <c r="BE1294" s="3306"/>
      <c r="BF1294" s="3306"/>
      <c r="BG1294" s="3306"/>
      <c r="BH1294" s="3306"/>
      <c r="BI1294" s="3306"/>
      <c r="BJ1294" s="3306"/>
      <c r="BK1294" s="3306"/>
      <c r="BL1294" s="3306"/>
      <c r="BM1294" s="3306"/>
      <c r="BN1294" s="3306"/>
      <c r="BO1294" s="3306"/>
      <c r="BP1294" s="3306"/>
      <c r="BQ1294" s="3306"/>
      <c r="BR1294" s="3306"/>
      <c r="BS1294" s="3306"/>
      <c r="BT1294" s="3306"/>
      <c r="BU1294" s="3306"/>
      <c r="BV1294" s="3306"/>
      <c r="BW1294" s="3306"/>
      <c r="BX1294" s="3306"/>
      <c r="BY1294" s="3306"/>
    </row>
    <row r="1295" spans="1:77" s="4190" customFormat="1" ht="27" customHeight="1">
      <c r="A1295" s="4196"/>
      <c r="B1295" s="4197"/>
      <c r="C1295" s="4198"/>
      <c r="D1295" s="4198"/>
      <c r="E1295" s="4198"/>
      <c r="F1295" s="4198"/>
      <c r="G1295" s="4198"/>
      <c r="H1295" s="4198"/>
      <c r="I1295" s="4197"/>
      <c r="J1295" s="4215" t="s">
        <v>810</v>
      </c>
      <c r="K1295" s="4124">
        <v>114310.15814531251</v>
      </c>
      <c r="L1295" s="4216"/>
      <c r="M1295" s="4208">
        <v>97500</v>
      </c>
      <c r="N1295" s="4217"/>
      <c r="O1295" s="4124">
        <v>98745.412500000006</v>
      </c>
      <c r="P1295" s="4203"/>
      <c r="Q1295" s="4204">
        <v>0</v>
      </c>
      <c r="R1295" s="4218"/>
      <c r="S1295" s="4142">
        <v>0</v>
      </c>
      <c r="T1295" s="4142"/>
      <c r="U1295" s="4142">
        <v>0</v>
      </c>
      <c r="V1295" s="4142"/>
      <c r="W1295" s="4142"/>
      <c r="X1295" s="4142"/>
      <c r="Y1295" s="4206">
        <f t="shared" si="432"/>
        <v>0</v>
      </c>
      <c r="Z1295" s="4212">
        <f t="shared" si="435"/>
        <v>0</v>
      </c>
      <c r="AA1295" s="4219">
        <f t="shared" si="436"/>
        <v>97500</v>
      </c>
      <c r="AB1295" s="4212">
        <f t="shared" si="436"/>
        <v>0</v>
      </c>
      <c r="AC1295" s="4213">
        <f t="shared" si="438"/>
        <v>85.294256942639151</v>
      </c>
      <c r="AD1295" s="4214"/>
      <c r="AE1295" s="4094"/>
      <c r="AF1295" s="3306"/>
      <c r="AG1295" s="3305"/>
      <c r="AH1295" s="4189"/>
      <c r="AI1295" s="3306"/>
      <c r="AJ1295" s="3306"/>
      <c r="AK1295" s="3306"/>
      <c r="AL1295" s="3306"/>
      <c r="AM1295" s="3306"/>
      <c r="AN1295" s="3306"/>
      <c r="AO1295" s="3306"/>
      <c r="AP1295" s="3306"/>
      <c r="AQ1295" s="3306"/>
      <c r="AR1295" s="3306"/>
      <c r="AS1295" s="3306"/>
      <c r="AT1295" s="3306"/>
      <c r="AU1295" s="3306"/>
      <c r="AV1295" s="3306"/>
      <c r="AW1295" s="3306"/>
      <c r="AX1295" s="3306"/>
      <c r="AY1295" s="3306"/>
      <c r="AZ1295" s="3306"/>
      <c r="BA1295" s="3306"/>
      <c r="BB1295" s="3306"/>
      <c r="BC1295" s="3306"/>
      <c r="BD1295" s="3306"/>
      <c r="BE1295" s="3306"/>
      <c r="BF1295" s="3306"/>
      <c r="BG1295" s="3306"/>
      <c r="BH1295" s="3306"/>
      <c r="BI1295" s="3306"/>
      <c r="BJ1295" s="3306"/>
      <c r="BK1295" s="3306"/>
      <c r="BL1295" s="3306"/>
      <c r="BM1295" s="3306"/>
      <c r="BN1295" s="3306"/>
      <c r="BO1295" s="3306"/>
      <c r="BP1295" s="3306"/>
      <c r="BQ1295" s="3306"/>
      <c r="BR1295" s="3306"/>
      <c r="BS1295" s="3306"/>
      <c r="BT1295" s="3306"/>
      <c r="BU1295" s="3306"/>
      <c r="BV1295" s="3306"/>
      <c r="BW1295" s="3306"/>
      <c r="BX1295" s="3306"/>
      <c r="BY1295" s="3306"/>
    </row>
    <row r="1296" spans="1:77" s="4190" customFormat="1" ht="27" customHeight="1">
      <c r="A1296" s="4196"/>
      <c r="B1296" s="4197"/>
      <c r="C1296" s="4198"/>
      <c r="D1296" s="4198"/>
      <c r="E1296" s="4198"/>
      <c r="F1296" s="4198"/>
      <c r="G1296" s="4198"/>
      <c r="H1296" s="4198"/>
      <c r="I1296" s="4197"/>
      <c r="J1296" s="4215" t="s">
        <v>811</v>
      </c>
      <c r="K1296" s="4124">
        <v>2107620.2392578125</v>
      </c>
      <c r="L1296" s="4216"/>
      <c r="M1296" s="4208">
        <v>1734200</v>
      </c>
      <c r="N1296" s="4217"/>
      <c r="O1296" s="4124">
        <v>1079101.5625</v>
      </c>
      <c r="P1296" s="4203"/>
      <c r="Q1296" s="4204">
        <v>0</v>
      </c>
      <c r="R1296" s="4218"/>
      <c r="S1296" s="4142">
        <v>0</v>
      </c>
      <c r="T1296" s="4142"/>
      <c r="U1296" s="4142">
        <v>0</v>
      </c>
      <c r="V1296" s="4142"/>
      <c r="W1296" s="4142"/>
      <c r="X1296" s="4142"/>
      <c r="Y1296" s="4206">
        <f t="shared" si="432"/>
        <v>0</v>
      </c>
      <c r="Z1296" s="4212">
        <f t="shared" si="435"/>
        <v>0</v>
      </c>
      <c r="AA1296" s="4219">
        <f t="shared" si="436"/>
        <v>1734200</v>
      </c>
      <c r="AB1296" s="4212">
        <f t="shared" si="436"/>
        <v>0</v>
      </c>
      <c r="AC1296" s="4213">
        <f t="shared" si="438"/>
        <v>82.282375529411766</v>
      </c>
      <c r="AD1296" s="4214"/>
      <c r="AE1296" s="4094"/>
      <c r="AF1296" s="3306"/>
      <c r="AG1296" s="3305"/>
      <c r="AH1296" s="4189"/>
      <c r="AI1296" s="3306"/>
      <c r="AJ1296" s="3306"/>
      <c r="AK1296" s="3306"/>
      <c r="AL1296" s="3306"/>
      <c r="AM1296" s="3306"/>
      <c r="AN1296" s="3306"/>
      <c r="AO1296" s="3306"/>
      <c r="AP1296" s="3306"/>
      <c r="AQ1296" s="3306"/>
      <c r="AR1296" s="3306"/>
      <c r="AS1296" s="3306"/>
      <c r="AT1296" s="3306"/>
      <c r="AU1296" s="3306"/>
      <c r="AV1296" s="3306"/>
      <c r="AW1296" s="3306"/>
      <c r="AX1296" s="3306"/>
      <c r="AY1296" s="3306"/>
      <c r="AZ1296" s="3306"/>
      <c r="BA1296" s="3306"/>
      <c r="BB1296" s="3306"/>
      <c r="BC1296" s="3306"/>
      <c r="BD1296" s="3306"/>
      <c r="BE1296" s="3306"/>
      <c r="BF1296" s="3306"/>
      <c r="BG1296" s="3306"/>
      <c r="BH1296" s="3306"/>
      <c r="BI1296" s="3306"/>
      <c r="BJ1296" s="3306"/>
      <c r="BK1296" s="3306"/>
      <c r="BL1296" s="3306"/>
      <c r="BM1296" s="3306"/>
      <c r="BN1296" s="3306"/>
      <c r="BO1296" s="3306"/>
      <c r="BP1296" s="3306"/>
      <c r="BQ1296" s="3306"/>
      <c r="BR1296" s="3306"/>
      <c r="BS1296" s="3306"/>
      <c r="BT1296" s="3306"/>
      <c r="BU1296" s="3306"/>
      <c r="BV1296" s="3306"/>
      <c r="BW1296" s="3306"/>
      <c r="BX1296" s="3306"/>
      <c r="BY1296" s="3306"/>
    </row>
    <row r="1297" spans="1:77" s="4190" customFormat="1" ht="27" customHeight="1">
      <c r="A1297" s="4196"/>
      <c r="B1297" s="4197"/>
      <c r="C1297" s="4198"/>
      <c r="D1297" s="4198"/>
      <c r="E1297" s="4198"/>
      <c r="F1297" s="4198"/>
      <c r="G1297" s="4198"/>
      <c r="H1297" s="4198"/>
      <c r="I1297" s="4197"/>
      <c r="J1297" s="4215" t="s">
        <v>812</v>
      </c>
      <c r="K1297" s="4124">
        <v>157021.12219705051</v>
      </c>
      <c r="L1297" s="4216"/>
      <c r="M1297" s="4208">
        <v>157266</v>
      </c>
      <c r="N1297" s="4217"/>
      <c r="O1297" s="4124">
        <v>152403.154221</v>
      </c>
      <c r="P1297" s="4203"/>
      <c r="Q1297" s="4204">
        <v>0</v>
      </c>
      <c r="R1297" s="4218"/>
      <c r="S1297" s="4142">
        <v>0</v>
      </c>
      <c r="T1297" s="4142"/>
      <c r="U1297" s="4142">
        <v>0</v>
      </c>
      <c r="V1297" s="4142"/>
      <c r="W1297" s="4142"/>
      <c r="X1297" s="4142"/>
      <c r="Y1297" s="4206">
        <f t="shared" si="432"/>
        <v>0</v>
      </c>
      <c r="Z1297" s="4212">
        <f t="shared" si="435"/>
        <v>0</v>
      </c>
      <c r="AA1297" s="4219">
        <f t="shared" si="436"/>
        <v>157266</v>
      </c>
      <c r="AB1297" s="4212">
        <f t="shared" si="436"/>
        <v>0</v>
      </c>
      <c r="AC1297" s="4213">
        <f t="shared" si="438"/>
        <v>100.15595214167567</v>
      </c>
      <c r="AD1297" s="4214"/>
      <c r="AE1297" s="4094"/>
      <c r="AF1297" s="3306"/>
      <c r="AG1297" s="3305"/>
      <c r="AH1297" s="4189"/>
      <c r="AI1297" s="3306"/>
      <c r="AJ1297" s="3306"/>
      <c r="AK1297" s="3306"/>
      <c r="AL1297" s="3306"/>
      <c r="AM1297" s="3306"/>
      <c r="AN1297" s="3306"/>
      <c r="AO1297" s="3306"/>
      <c r="AP1297" s="3306"/>
      <c r="AQ1297" s="3306"/>
      <c r="AR1297" s="3306"/>
      <c r="AS1297" s="3306"/>
      <c r="AT1297" s="3306"/>
      <c r="AU1297" s="3306"/>
      <c r="AV1297" s="3306"/>
      <c r="AW1297" s="3306"/>
      <c r="AX1297" s="3306"/>
      <c r="AY1297" s="3306"/>
      <c r="AZ1297" s="3306"/>
      <c r="BA1297" s="3306"/>
      <c r="BB1297" s="3306"/>
      <c r="BC1297" s="3306"/>
      <c r="BD1297" s="3306"/>
      <c r="BE1297" s="3306"/>
      <c r="BF1297" s="3306"/>
      <c r="BG1297" s="3306"/>
      <c r="BH1297" s="3306"/>
      <c r="BI1297" s="3306"/>
      <c r="BJ1297" s="3306"/>
      <c r="BK1297" s="3306"/>
      <c r="BL1297" s="3306"/>
      <c r="BM1297" s="3306"/>
      <c r="BN1297" s="3306"/>
      <c r="BO1297" s="3306"/>
      <c r="BP1297" s="3306"/>
      <c r="BQ1297" s="3306"/>
      <c r="BR1297" s="3306"/>
      <c r="BS1297" s="3306"/>
      <c r="BT1297" s="3306"/>
      <c r="BU1297" s="3306"/>
      <c r="BV1297" s="3306"/>
      <c r="BW1297" s="3306"/>
      <c r="BX1297" s="3306"/>
      <c r="BY1297" s="3306"/>
    </row>
    <row r="1298" spans="1:77" s="4190" customFormat="1" ht="27" customHeight="1">
      <c r="A1298" s="4196"/>
      <c r="B1298" s="4197"/>
      <c r="C1298" s="4198"/>
      <c r="D1298" s="4198"/>
      <c r="E1298" s="4198"/>
      <c r="F1298" s="4198"/>
      <c r="G1298" s="4198"/>
      <c r="H1298" s="4198"/>
      <c r="I1298" s="4197"/>
      <c r="J1298" s="4215" t="s">
        <v>813</v>
      </c>
      <c r="K1298" s="4220"/>
      <c r="L1298" s="4216"/>
      <c r="M1298" s="4204"/>
      <c r="N1298" s="4217"/>
      <c r="O1298" s="4124"/>
      <c r="P1298" s="4203"/>
      <c r="Q1298" s="4204"/>
      <c r="R1298" s="4218"/>
      <c r="S1298" s="4142"/>
      <c r="T1298" s="4142"/>
      <c r="U1298" s="4142"/>
      <c r="V1298" s="4142"/>
      <c r="W1298" s="4142"/>
      <c r="X1298" s="4142"/>
      <c r="Y1298" s="4206">
        <f t="shared" si="432"/>
        <v>0</v>
      </c>
      <c r="Z1298" s="4212">
        <f t="shared" si="435"/>
        <v>0</v>
      </c>
      <c r="AA1298" s="4219"/>
      <c r="AB1298" s="4212"/>
      <c r="AC1298" s="4213"/>
      <c r="AD1298" s="4214"/>
      <c r="AE1298" s="4094"/>
      <c r="AF1298" s="3306"/>
      <c r="AG1298" s="3305"/>
      <c r="AH1298" s="4189"/>
      <c r="AI1298" s="3306"/>
      <c r="AJ1298" s="3306"/>
      <c r="AK1298" s="3306"/>
      <c r="AL1298" s="3306"/>
      <c r="AM1298" s="3306"/>
      <c r="AN1298" s="3306"/>
      <c r="AO1298" s="3306"/>
      <c r="AP1298" s="3306"/>
      <c r="AQ1298" s="3306"/>
      <c r="AR1298" s="3306"/>
      <c r="AS1298" s="3306"/>
      <c r="AT1298" s="3306"/>
      <c r="AU1298" s="3306"/>
      <c r="AV1298" s="3306"/>
      <c r="AW1298" s="3306"/>
      <c r="AX1298" s="3306"/>
      <c r="AY1298" s="3306"/>
      <c r="AZ1298" s="3306"/>
      <c r="BA1298" s="3306"/>
      <c r="BB1298" s="3306"/>
      <c r="BC1298" s="3306"/>
      <c r="BD1298" s="3306"/>
      <c r="BE1298" s="3306"/>
      <c r="BF1298" s="3306"/>
      <c r="BG1298" s="3306"/>
      <c r="BH1298" s="3306"/>
      <c r="BI1298" s="3306"/>
      <c r="BJ1298" s="3306"/>
      <c r="BK1298" s="3306"/>
      <c r="BL1298" s="3306"/>
      <c r="BM1298" s="3306"/>
      <c r="BN1298" s="3306"/>
      <c r="BO1298" s="3306"/>
      <c r="BP1298" s="3306"/>
      <c r="BQ1298" s="3306"/>
      <c r="BR1298" s="3306"/>
      <c r="BS1298" s="3306"/>
      <c r="BT1298" s="3306"/>
      <c r="BU1298" s="3306"/>
      <c r="BV1298" s="3306"/>
      <c r="BW1298" s="3306"/>
      <c r="BX1298" s="3306"/>
      <c r="BY1298" s="3306"/>
    </row>
    <row r="1299" spans="1:77" s="4190" customFormat="1" ht="27" customHeight="1">
      <c r="A1299" s="4196"/>
      <c r="B1299" s="4197"/>
      <c r="C1299" s="4198"/>
      <c r="D1299" s="4198"/>
      <c r="E1299" s="4198"/>
      <c r="F1299" s="4198"/>
      <c r="G1299" s="4198"/>
      <c r="H1299" s="4198"/>
      <c r="I1299" s="4197"/>
      <c r="J1299" s="4215" t="s">
        <v>814</v>
      </c>
      <c r="K1299" s="4124">
        <v>1397267.2210386631</v>
      </c>
      <c r="L1299" s="4216"/>
      <c r="M1299" s="4208">
        <v>1354022</v>
      </c>
      <c r="N1299" s="4217"/>
      <c r="O1299" s="4124">
        <v>1367562.0584000191</v>
      </c>
      <c r="P1299" s="4203"/>
      <c r="Q1299" s="4204">
        <v>0</v>
      </c>
      <c r="R1299" s="4218"/>
      <c r="S1299" s="4142">
        <v>0</v>
      </c>
      <c r="T1299" s="4142"/>
      <c r="U1299" s="4142">
        <v>0</v>
      </c>
      <c r="V1299" s="4142"/>
      <c r="W1299" s="4142"/>
      <c r="X1299" s="4142"/>
      <c r="Y1299" s="4206">
        <f t="shared" si="432"/>
        <v>0</v>
      </c>
      <c r="Z1299" s="4212">
        <f t="shared" si="435"/>
        <v>0</v>
      </c>
      <c r="AA1299" s="4219">
        <f t="shared" si="436"/>
        <v>1354022</v>
      </c>
      <c r="AB1299" s="4212">
        <f t="shared" si="436"/>
        <v>0</v>
      </c>
      <c r="AC1299" s="4213">
        <f t="shared" si="438"/>
        <v>96.905014274469508</v>
      </c>
      <c r="AD1299" s="4214"/>
      <c r="AE1299" s="4094"/>
      <c r="AF1299" s="3306"/>
      <c r="AG1299" s="3305"/>
      <c r="AH1299" s="4189"/>
      <c r="AI1299" s="3306"/>
      <c r="AJ1299" s="3306"/>
      <c r="AK1299" s="3306"/>
      <c r="AL1299" s="3306"/>
      <c r="AM1299" s="3306"/>
      <c r="AN1299" s="3306"/>
      <c r="AO1299" s="3306"/>
      <c r="AP1299" s="3306"/>
      <c r="AQ1299" s="3306"/>
      <c r="AR1299" s="3306"/>
      <c r="AS1299" s="3306"/>
      <c r="AT1299" s="3306"/>
      <c r="AU1299" s="3306"/>
      <c r="AV1299" s="3306"/>
      <c r="AW1299" s="3306"/>
      <c r="AX1299" s="3306"/>
      <c r="AY1299" s="3306"/>
      <c r="AZ1299" s="3306"/>
      <c r="BA1299" s="3306"/>
      <c r="BB1299" s="3306"/>
      <c r="BC1299" s="3306"/>
      <c r="BD1299" s="3306"/>
      <c r="BE1299" s="3306"/>
      <c r="BF1299" s="3306"/>
      <c r="BG1299" s="3306"/>
      <c r="BH1299" s="3306"/>
      <c r="BI1299" s="3306"/>
      <c r="BJ1299" s="3306"/>
      <c r="BK1299" s="3306"/>
      <c r="BL1299" s="3306"/>
      <c r="BM1299" s="3306"/>
      <c r="BN1299" s="3306"/>
      <c r="BO1299" s="3306"/>
      <c r="BP1299" s="3306"/>
      <c r="BQ1299" s="3306"/>
      <c r="BR1299" s="3306"/>
      <c r="BS1299" s="3306"/>
      <c r="BT1299" s="3306"/>
      <c r="BU1299" s="3306"/>
      <c r="BV1299" s="3306"/>
      <c r="BW1299" s="3306"/>
      <c r="BX1299" s="3306"/>
      <c r="BY1299" s="3306"/>
    </row>
    <row r="1300" spans="1:77" s="4190" customFormat="1" ht="27" customHeight="1">
      <c r="A1300" s="4196"/>
      <c r="B1300" s="4197"/>
      <c r="C1300" s="4198"/>
      <c r="D1300" s="4198"/>
      <c r="E1300" s="4198"/>
      <c r="F1300" s="4198"/>
      <c r="G1300" s="4198"/>
      <c r="H1300" s="4198"/>
      <c r="I1300" s="4197"/>
      <c r="J1300" s="4215" t="s">
        <v>815</v>
      </c>
      <c r="K1300" s="4124">
        <v>55113.991256118708</v>
      </c>
      <c r="L1300" s="4216"/>
      <c r="M1300" s="4208">
        <v>40520</v>
      </c>
      <c r="N1300" s="4217"/>
      <c r="O1300" s="4124">
        <v>40925.199999999997</v>
      </c>
      <c r="P1300" s="4203"/>
      <c r="Q1300" s="4204">
        <v>0</v>
      </c>
      <c r="R1300" s="4218"/>
      <c r="S1300" s="4142">
        <v>0</v>
      </c>
      <c r="T1300" s="4142"/>
      <c r="U1300" s="4142">
        <v>0</v>
      </c>
      <c r="V1300" s="4142"/>
      <c r="W1300" s="4142"/>
      <c r="X1300" s="4142"/>
      <c r="Y1300" s="4206">
        <f t="shared" si="432"/>
        <v>0</v>
      </c>
      <c r="Z1300" s="4212">
        <f t="shared" si="435"/>
        <v>0</v>
      </c>
      <c r="AA1300" s="4219">
        <f t="shared" si="436"/>
        <v>40520</v>
      </c>
      <c r="AB1300" s="4212">
        <f t="shared" si="436"/>
        <v>0</v>
      </c>
      <c r="AC1300" s="4213">
        <f t="shared" si="438"/>
        <v>73.520351323678639</v>
      </c>
      <c r="AD1300" s="4214"/>
      <c r="AE1300" s="4094"/>
      <c r="AF1300" s="3306"/>
      <c r="AG1300" s="3305"/>
      <c r="AH1300" s="4189"/>
      <c r="AI1300" s="3306"/>
      <c r="AJ1300" s="3306"/>
      <c r="AK1300" s="3306"/>
      <c r="AL1300" s="3306"/>
      <c r="AM1300" s="3306"/>
      <c r="AN1300" s="3306"/>
      <c r="AO1300" s="3306"/>
      <c r="AP1300" s="3306"/>
      <c r="AQ1300" s="3306"/>
      <c r="AR1300" s="3306"/>
      <c r="AS1300" s="3306"/>
      <c r="AT1300" s="3306"/>
      <c r="AU1300" s="3306"/>
      <c r="AV1300" s="3306"/>
      <c r="AW1300" s="3306"/>
      <c r="AX1300" s="3306"/>
      <c r="AY1300" s="3306"/>
      <c r="AZ1300" s="3306"/>
      <c r="BA1300" s="3306"/>
      <c r="BB1300" s="3306"/>
      <c r="BC1300" s="3306"/>
      <c r="BD1300" s="3306"/>
      <c r="BE1300" s="3306"/>
      <c r="BF1300" s="3306"/>
      <c r="BG1300" s="3306"/>
      <c r="BH1300" s="3306"/>
      <c r="BI1300" s="3306"/>
      <c r="BJ1300" s="3306"/>
      <c r="BK1300" s="3306"/>
      <c r="BL1300" s="3306"/>
      <c r="BM1300" s="3306"/>
      <c r="BN1300" s="3306"/>
      <c r="BO1300" s="3306"/>
      <c r="BP1300" s="3306"/>
      <c r="BQ1300" s="3306"/>
      <c r="BR1300" s="3306"/>
      <c r="BS1300" s="3306"/>
      <c r="BT1300" s="3306"/>
      <c r="BU1300" s="3306"/>
      <c r="BV1300" s="3306"/>
      <c r="BW1300" s="3306"/>
      <c r="BX1300" s="3306"/>
      <c r="BY1300" s="3306"/>
    </row>
    <row r="1301" spans="1:77" s="4190" customFormat="1" ht="27" customHeight="1">
      <c r="A1301" s="4196"/>
      <c r="B1301" s="4197"/>
      <c r="C1301" s="4198"/>
      <c r="D1301" s="4198"/>
      <c r="E1301" s="4198"/>
      <c r="F1301" s="4198"/>
      <c r="G1301" s="4198"/>
      <c r="H1301" s="4198"/>
      <c r="I1301" s="4197"/>
      <c r="J1301" s="4215" t="s">
        <v>816</v>
      </c>
      <c r="K1301" s="4124">
        <v>50704.49636868095</v>
      </c>
      <c r="L1301" s="4216"/>
      <c r="M1301" s="4208">
        <v>44958</v>
      </c>
      <c r="N1301" s="4217"/>
      <c r="O1301" s="4124">
        <v>41708.836600000002</v>
      </c>
      <c r="P1301" s="4203"/>
      <c r="Q1301" s="4204">
        <v>0</v>
      </c>
      <c r="R1301" s="4218"/>
      <c r="S1301" s="4142">
        <v>0</v>
      </c>
      <c r="T1301" s="4142"/>
      <c r="U1301" s="4142">
        <v>0</v>
      </c>
      <c r="V1301" s="4142"/>
      <c r="W1301" s="4142"/>
      <c r="X1301" s="4142"/>
      <c r="Y1301" s="4206">
        <f t="shared" si="432"/>
        <v>0</v>
      </c>
      <c r="Z1301" s="4212">
        <f t="shared" si="435"/>
        <v>0</v>
      </c>
      <c r="AA1301" s="4219">
        <f t="shared" si="436"/>
        <v>44958</v>
      </c>
      <c r="AB1301" s="4212">
        <f t="shared" si="436"/>
        <v>0</v>
      </c>
      <c r="AC1301" s="4213">
        <f t="shared" si="438"/>
        <v>88.6666927388506</v>
      </c>
      <c r="AD1301" s="4214"/>
      <c r="AE1301" s="4094"/>
      <c r="AF1301" s="3306"/>
      <c r="AG1301" s="3305"/>
      <c r="AH1301" s="4189"/>
      <c r="AI1301" s="3306"/>
      <c r="AJ1301" s="3306"/>
      <c r="AK1301" s="3306"/>
      <c r="AL1301" s="3306"/>
      <c r="AM1301" s="3306"/>
      <c r="AN1301" s="3306"/>
      <c r="AO1301" s="3306"/>
      <c r="AP1301" s="3306"/>
      <c r="AQ1301" s="3306"/>
      <c r="AR1301" s="3306"/>
      <c r="AS1301" s="3306"/>
      <c r="AT1301" s="3306"/>
      <c r="AU1301" s="3306"/>
      <c r="AV1301" s="3306"/>
      <c r="AW1301" s="3306"/>
      <c r="AX1301" s="3306"/>
      <c r="AY1301" s="3306"/>
      <c r="AZ1301" s="3306"/>
      <c r="BA1301" s="3306"/>
      <c r="BB1301" s="3306"/>
      <c r="BC1301" s="3306"/>
      <c r="BD1301" s="3306"/>
      <c r="BE1301" s="3306"/>
      <c r="BF1301" s="3306"/>
      <c r="BG1301" s="3306"/>
      <c r="BH1301" s="3306"/>
      <c r="BI1301" s="3306"/>
      <c r="BJ1301" s="3306"/>
      <c r="BK1301" s="3306"/>
      <c r="BL1301" s="3306"/>
      <c r="BM1301" s="3306"/>
      <c r="BN1301" s="3306"/>
      <c r="BO1301" s="3306"/>
      <c r="BP1301" s="3306"/>
      <c r="BQ1301" s="3306"/>
      <c r="BR1301" s="3306"/>
      <c r="BS1301" s="3306"/>
      <c r="BT1301" s="3306"/>
      <c r="BU1301" s="3306"/>
      <c r="BV1301" s="3306"/>
      <c r="BW1301" s="3306"/>
      <c r="BX1301" s="3306"/>
      <c r="BY1301" s="3306"/>
    </row>
    <row r="1302" spans="1:77" s="4190" customFormat="1" ht="25.5">
      <c r="A1302" s="4196"/>
      <c r="B1302" s="4197"/>
      <c r="C1302" s="4198"/>
      <c r="D1302" s="4198"/>
      <c r="E1302" s="4198"/>
      <c r="F1302" s="4198"/>
      <c r="G1302" s="4198"/>
      <c r="H1302" s="4198"/>
      <c r="I1302" s="4197"/>
      <c r="J1302" s="4215" t="s">
        <v>817</v>
      </c>
      <c r="K1302" s="4124">
        <v>872623.06716810004</v>
      </c>
      <c r="L1302" s="4216"/>
      <c r="M1302" s="4208">
        <v>965301</v>
      </c>
      <c r="N1302" s="4217"/>
      <c r="O1302" s="4124">
        <v>974954.01</v>
      </c>
      <c r="P1302" s="4203"/>
      <c r="Q1302" s="4204">
        <v>0</v>
      </c>
      <c r="R1302" s="4218"/>
      <c r="S1302" s="4142">
        <v>0</v>
      </c>
      <c r="T1302" s="4142"/>
      <c r="U1302" s="4142">
        <v>0</v>
      </c>
      <c r="V1302" s="4142"/>
      <c r="W1302" s="4142"/>
      <c r="X1302" s="4142"/>
      <c r="Y1302" s="4206">
        <f t="shared" si="432"/>
        <v>0</v>
      </c>
      <c r="Z1302" s="4212">
        <f t="shared" si="435"/>
        <v>0</v>
      </c>
      <c r="AA1302" s="4219">
        <f t="shared" ref="AA1302:AB1323" si="439">M1302+Y1302</f>
        <v>965301</v>
      </c>
      <c r="AB1302" s="4212">
        <f t="shared" si="439"/>
        <v>0</v>
      </c>
      <c r="AC1302" s="4213">
        <f t="shared" si="438"/>
        <v>110.62061459510406</v>
      </c>
      <c r="AD1302" s="4214"/>
      <c r="AE1302" s="4094"/>
      <c r="AF1302" s="3306"/>
      <c r="AG1302" s="3305"/>
      <c r="AH1302" s="4189"/>
      <c r="AI1302" s="3306"/>
      <c r="AJ1302" s="3306"/>
      <c r="AK1302" s="3306"/>
      <c r="AL1302" s="3306"/>
      <c r="AM1302" s="3306"/>
      <c r="AN1302" s="3306"/>
      <c r="AO1302" s="3306"/>
      <c r="AP1302" s="3306"/>
      <c r="AQ1302" s="3306"/>
      <c r="AR1302" s="3306"/>
      <c r="AS1302" s="3306"/>
      <c r="AT1302" s="3306"/>
      <c r="AU1302" s="3306"/>
      <c r="AV1302" s="3306"/>
      <c r="AW1302" s="3306"/>
      <c r="AX1302" s="3306"/>
      <c r="AY1302" s="3306"/>
      <c r="AZ1302" s="3306"/>
      <c r="BA1302" s="3306"/>
      <c r="BB1302" s="3306"/>
      <c r="BC1302" s="3306"/>
      <c r="BD1302" s="3306"/>
      <c r="BE1302" s="3306"/>
      <c r="BF1302" s="3306"/>
      <c r="BG1302" s="3306"/>
      <c r="BH1302" s="3306"/>
      <c r="BI1302" s="3306"/>
      <c r="BJ1302" s="3306"/>
      <c r="BK1302" s="3306"/>
      <c r="BL1302" s="3306"/>
      <c r="BM1302" s="3306"/>
      <c r="BN1302" s="3306"/>
      <c r="BO1302" s="3306"/>
      <c r="BP1302" s="3306"/>
      <c r="BQ1302" s="3306"/>
      <c r="BR1302" s="3306"/>
      <c r="BS1302" s="3306"/>
      <c r="BT1302" s="3306"/>
      <c r="BU1302" s="3306"/>
      <c r="BV1302" s="3306"/>
      <c r="BW1302" s="3306"/>
      <c r="BX1302" s="3306"/>
      <c r="BY1302" s="3306"/>
    </row>
    <row r="1303" spans="1:77" s="4190" customFormat="1" ht="31.5" customHeight="1">
      <c r="A1303" s="4196"/>
      <c r="B1303" s="4197"/>
      <c r="C1303" s="4198"/>
      <c r="D1303" s="4198"/>
      <c r="E1303" s="4198"/>
      <c r="F1303" s="4198"/>
      <c r="G1303" s="4198"/>
      <c r="H1303" s="4198"/>
      <c r="I1303" s="4197"/>
      <c r="J1303" s="4215" t="s">
        <v>818</v>
      </c>
      <c r="K1303" s="4124">
        <v>47152.940234941409</v>
      </c>
      <c r="L1303" s="4216"/>
      <c r="M1303" s="4208">
        <v>71162</v>
      </c>
      <c r="N1303" s="4217"/>
      <c r="O1303" s="4124">
        <v>71174.441699999996</v>
      </c>
      <c r="P1303" s="4203"/>
      <c r="Q1303" s="4204">
        <v>0</v>
      </c>
      <c r="R1303" s="4218"/>
      <c r="S1303" s="4142">
        <v>0</v>
      </c>
      <c r="T1303" s="4142"/>
      <c r="U1303" s="4142">
        <v>0</v>
      </c>
      <c r="V1303" s="4142"/>
      <c r="W1303" s="4142"/>
      <c r="X1303" s="4142"/>
      <c r="Y1303" s="4206">
        <f t="shared" si="432"/>
        <v>0</v>
      </c>
      <c r="Z1303" s="4212">
        <f t="shared" si="435"/>
        <v>0</v>
      </c>
      <c r="AA1303" s="4219">
        <f t="shared" si="439"/>
        <v>71162</v>
      </c>
      <c r="AB1303" s="4212">
        <f t="shared" si="439"/>
        <v>0</v>
      </c>
      <c r="AC1303" s="4213">
        <f t="shared" si="438"/>
        <v>150.91741818311328</v>
      </c>
      <c r="AD1303" s="4214"/>
      <c r="AE1303" s="4094"/>
      <c r="AF1303" s="3306"/>
      <c r="AG1303" s="3305"/>
      <c r="AH1303" s="4189"/>
      <c r="AI1303" s="3306"/>
      <c r="AJ1303" s="3306"/>
      <c r="AK1303" s="3306"/>
      <c r="AL1303" s="3306"/>
      <c r="AM1303" s="3306"/>
      <c r="AN1303" s="3306"/>
      <c r="AO1303" s="3306"/>
      <c r="AP1303" s="3306"/>
      <c r="AQ1303" s="3306"/>
      <c r="AR1303" s="3306"/>
      <c r="AS1303" s="3306"/>
      <c r="AT1303" s="3306"/>
      <c r="AU1303" s="3306"/>
      <c r="AV1303" s="3306"/>
      <c r="AW1303" s="3306"/>
      <c r="AX1303" s="3306"/>
      <c r="AY1303" s="3306"/>
      <c r="AZ1303" s="3306"/>
      <c r="BA1303" s="3306"/>
      <c r="BB1303" s="3306"/>
      <c r="BC1303" s="3306"/>
      <c r="BD1303" s="3306"/>
      <c r="BE1303" s="3306"/>
      <c r="BF1303" s="3306"/>
      <c r="BG1303" s="3306"/>
      <c r="BH1303" s="3306"/>
      <c r="BI1303" s="3306"/>
      <c r="BJ1303" s="3306"/>
      <c r="BK1303" s="3306"/>
      <c r="BL1303" s="3306"/>
      <c r="BM1303" s="3306"/>
      <c r="BN1303" s="3306"/>
      <c r="BO1303" s="3306"/>
      <c r="BP1303" s="3306"/>
      <c r="BQ1303" s="3306"/>
      <c r="BR1303" s="3306"/>
      <c r="BS1303" s="3306"/>
      <c r="BT1303" s="3306"/>
      <c r="BU1303" s="3306"/>
      <c r="BV1303" s="3306"/>
      <c r="BW1303" s="3306"/>
      <c r="BX1303" s="3306"/>
      <c r="BY1303" s="3306"/>
    </row>
    <row r="1304" spans="1:77" s="4190" customFormat="1" ht="29.25" customHeight="1">
      <c r="A1304" s="4196"/>
      <c r="B1304" s="4197"/>
      <c r="C1304" s="4198"/>
      <c r="D1304" s="4198"/>
      <c r="E1304" s="4198"/>
      <c r="F1304" s="4198"/>
      <c r="G1304" s="4198"/>
      <c r="H1304" s="4198"/>
      <c r="I1304" s="4197"/>
      <c r="J1304" s="4215" t="s">
        <v>819</v>
      </c>
      <c r="K1304" s="4124">
        <v>1686623.0964660645</v>
      </c>
      <c r="L1304" s="4216"/>
      <c r="M1304" s="4208">
        <v>1886261</v>
      </c>
      <c r="N1304" s="4217"/>
      <c r="O1304" s="4124">
        <v>1894581.297271</v>
      </c>
      <c r="P1304" s="4203"/>
      <c r="Q1304" s="4204">
        <v>0</v>
      </c>
      <c r="R1304" s="4218"/>
      <c r="S1304" s="4142">
        <v>0</v>
      </c>
      <c r="T1304" s="4142"/>
      <c r="U1304" s="4142">
        <v>0</v>
      </c>
      <c r="V1304" s="4142"/>
      <c r="W1304" s="4142"/>
      <c r="X1304" s="4142"/>
      <c r="Y1304" s="4206">
        <f t="shared" si="432"/>
        <v>0</v>
      </c>
      <c r="Z1304" s="4212">
        <f t="shared" si="435"/>
        <v>0</v>
      </c>
      <c r="AA1304" s="4219">
        <f t="shared" si="439"/>
        <v>1886261</v>
      </c>
      <c r="AB1304" s="4212">
        <f t="shared" si="439"/>
        <v>0</v>
      </c>
      <c r="AC1304" s="4213">
        <f t="shared" si="438"/>
        <v>111.83654510318466</v>
      </c>
      <c r="AD1304" s="4214"/>
      <c r="AE1304" s="4094"/>
      <c r="AF1304" s="3306"/>
      <c r="AG1304" s="3305"/>
      <c r="AH1304" s="4189"/>
      <c r="AI1304" s="3306"/>
      <c r="AJ1304" s="3306"/>
      <c r="AK1304" s="3306"/>
      <c r="AL1304" s="3306"/>
      <c r="AM1304" s="3306"/>
      <c r="AN1304" s="3306"/>
      <c r="AO1304" s="3306"/>
      <c r="AP1304" s="3306"/>
      <c r="AQ1304" s="3306"/>
      <c r="AR1304" s="3306"/>
      <c r="AS1304" s="3306"/>
      <c r="AT1304" s="3306"/>
      <c r="AU1304" s="3306"/>
      <c r="AV1304" s="3306"/>
      <c r="AW1304" s="3306"/>
      <c r="AX1304" s="3306"/>
      <c r="AY1304" s="3306"/>
      <c r="AZ1304" s="3306"/>
      <c r="BA1304" s="3306"/>
      <c r="BB1304" s="3306"/>
      <c r="BC1304" s="3306"/>
      <c r="BD1304" s="3306"/>
      <c r="BE1304" s="3306"/>
      <c r="BF1304" s="3306"/>
      <c r="BG1304" s="3306"/>
      <c r="BH1304" s="3306"/>
      <c r="BI1304" s="3306"/>
      <c r="BJ1304" s="3306"/>
      <c r="BK1304" s="3306"/>
      <c r="BL1304" s="3306"/>
      <c r="BM1304" s="3306"/>
      <c r="BN1304" s="3306"/>
      <c r="BO1304" s="3306"/>
      <c r="BP1304" s="3306"/>
      <c r="BQ1304" s="3306"/>
      <c r="BR1304" s="3306"/>
      <c r="BS1304" s="3306"/>
      <c r="BT1304" s="3306"/>
      <c r="BU1304" s="3306"/>
      <c r="BV1304" s="3306"/>
      <c r="BW1304" s="3306"/>
      <c r="BX1304" s="3306"/>
      <c r="BY1304" s="3306"/>
    </row>
    <row r="1305" spans="1:77" s="4190" customFormat="1" ht="29.25" customHeight="1">
      <c r="A1305" s="4196"/>
      <c r="B1305" s="4197"/>
      <c r="C1305" s="4198"/>
      <c r="D1305" s="4198"/>
      <c r="E1305" s="4198"/>
      <c r="F1305" s="4198"/>
      <c r="G1305" s="4198"/>
      <c r="H1305" s="4198"/>
      <c r="I1305" s="4197"/>
      <c r="J1305" s="4215" t="s">
        <v>820</v>
      </c>
      <c r="K1305" s="4124">
        <v>64771.212906283334</v>
      </c>
      <c r="L1305" s="4216"/>
      <c r="M1305" s="4208">
        <v>92447</v>
      </c>
      <c r="N1305" s="4217"/>
      <c r="O1305" s="4221">
        <v>94227.657099999997</v>
      </c>
      <c r="P1305" s="4203"/>
      <c r="Q1305" s="4204">
        <v>0</v>
      </c>
      <c r="R1305" s="4218"/>
      <c r="S1305" s="4142">
        <v>0</v>
      </c>
      <c r="T1305" s="4142"/>
      <c r="U1305" s="4142">
        <v>0</v>
      </c>
      <c r="V1305" s="4142"/>
      <c r="W1305" s="4142"/>
      <c r="X1305" s="4142"/>
      <c r="Y1305" s="4206">
        <f t="shared" si="432"/>
        <v>0</v>
      </c>
      <c r="Z1305" s="4212">
        <f t="shared" si="435"/>
        <v>0</v>
      </c>
      <c r="AA1305" s="4219">
        <f t="shared" si="439"/>
        <v>92447</v>
      </c>
      <c r="AB1305" s="4212">
        <f t="shared" si="439"/>
        <v>0</v>
      </c>
      <c r="AC1305" s="4213">
        <f t="shared" si="438"/>
        <v>142.72852993159233</v>
      </c>
      <c r="AD1305" s="4214"/>
      <c r="AE1305" s="4094"/>
      <c r="AF1305" s="3306"/>
      <c r="AG1305" s="3305"/>
      <c r="AH1305" s="4189"/>
      <c r="AI1305" s="3306"/>
      <c r="AJ1305" s="3306"/>
      <c r="AK1305" s="3306"/>
      <c r="AL1305" s="3306"/>
      <c r="AM1305" s="3306"/>
      <c r="AN1305" s="3306"/>
      <c r="AO1305" s="3306"/>
      <c r="AP1305" s="3306"/>
      <c r="AQ1305" s="3306"/>
      <c r="AR1305" s="3306"/>
      <c r="AS1305" s="3306"/>
      <c r="AT1305" s="3306"/>
      <c r="AU1305" s="3306"/>
      <c r="AV1305" s="3306"/>
      <c r="AW1305" s="3306"/>
      <c r="AX1305" s="3306"/>
      <c r="AY1305" s="3306"/>
      <c r="AZ1305" s="3306"/>
      <c r="BA1305" s="3306"/>
      <c r="BB1305" s="3306"/>
      <c r="BC1305" s="3306"/>
      <c r="BD1305" s="3306"/>
      <c r="BE1305" s="3306"/>
      <c r="BF1305" s="3306"/>
      <c r="BG1305" s="3306"/>
      <c r="BH1305" s="3306"/>
      <c r="BI1305" s="3306"/>
      <c r="BJ1305" s="3306"/>
      <c r="BK1305" s="3306"/>
      <c r="BL1305" s="3306"/>
      <c r="BM1305" s="3306"/>
      <c r="BN1305" s="3306"/>
      <c r="BO1305" s="3306"/>
      <c r="BP1305" s="3306"/>
      <c r="BQ1305" s="3306"/>
      <c r="BR1305" s="3306"/>
      <c r="BS1305" s="3306"/>
      <c r="BT1305" s="3306"/>
      <c r="BU1305" s="3306"/>
      <c r="BV1305" s="3306"/>
      <c r="BW1305" s="3306"/>
      <c r="BX1305" s="3306"/>
      <c r="BY1305" s="3306"/>
    </row>
    <row r="1306" spans="1:77" s="4190" customFormat="1" ht="29.25" customHeight="1">
      <c r="A1306" s="4196"/>
      <c r="B1306" s="4197"/>
      <c r="C1306" s="4198"/>
      <c r="D1306" s="4198"/>
      <c r="E1306" s="4198"/>
      <c r="F1306" s="4198"/>
      <c r="G1306" s="4198"/>
      <c r="H1306" s="4198"/>
      <c r="I1306" s="4197"/>
      <c r="J1306" s="4215" t="s">
        <v>821</v>
      </c>
      <c r="K1306" s="4124">
        <v>727012.60580418748</v>
      </c>
      <c r="L1306" s="4216"/>
      <c r="M1306" s="4208">
        <v>751725</v>
      </c>
      <c r="N1306" s="4217"/>
      <c r="O1306" s="4222">
        <v>628020.82349999994</v>
      </c>
      <c r="P1306" s="4203"/>
      <c r="Q1306" s="4204">
        <v>0</v>
      </c>
      <c r="R1306" s="4218"/>
      <c r="S1306" s="4142">
        <v>0</v>
      </c>
      <c r="T1306" s="4142"/>
      <c r="U1306" s="4142">
        <v>0</v>
      </c>
      <c r="V1306" s="4142"/>
      <c r="W1306" s="4142"/>
      <c r="X1306" s="4142"/>
      <c r="Y1306" s="4206">
        <f t="shared" si="432"/>
        <v>0</v>
      </c>
      <c r="Z1306" s="4212">
        <f t="shared" si="435"/>
        <v>0</v>
      </c>
      <c r="AA1306" s="4219">
        <f t="shared" si="439"/>
        <v>751725</v>
      </c>
      <c r="AB1306" s="4212">
        <f t="shared" si="439"/>
        <v>0</v>
      </c>
      <c r="AC1306" s="4213">
        <f t="shared" si="438"/>
        <v>103.39916997291634</v>
      </c>
      <c r="AD1306" s="4214"/>
      <c r="AE1306" s="4094"/>
      <c r="AF1306" s="3306"/>
      <c r="AG1306" s="3305"/>
      <c r="AH1306" s="4189"/>
      <c r="AI1306" s="3306"/>
      <c r="AJ1306" s="3306"/>
      <c r="AK1306" s="3306"/>
      <c r="AL1306" s="3306"/>
      <c r="AM1306" s="3306"/>
      <c r="AN1306" s="3306"/>
      <c r="AO1306" s="3306"/>
      <c r="AP1306" s="3306"/>
      <c r="AQ1306" s="3306"/>
      <c r="AR1306" s="3306"/>
      <c r="AS1306" s="3306"/>
      <c r="AT1306" s="3306"/>
      <c r="AU1306" s="3306"/>
      <c r="AV1306" s="3306"/>
      <c r="AW1306" s="3306"/>
      <c r="AX1306" s="3306"/>
      <c r="AY1306" s="3306"/>
      <c r="AZ1306" s="3306"/>
      <c r="BA1306" s="3306"/>
      <c r="BB1306" s="3306"/>
      <c r="BC1306" s="3306"/>
      <c r="BD1306" s="3306"/>
      <c r="BE1306" s="3306"/>
      <c r="BF1306" s="3306"/>
      <c r="BG1306" s="3306"/>
      <c r="BH1306" s="3306"/>
      <c r="BI1306" s="3306"/>
      <c r="BJ1306" s="3306"/>
      <c r="BK1306" s="3306"/>
      <c r="BL1306" s="3306"/>
      <c r="BM1306" s="3306"/>
      <c r="BN1306" s="3306"/>
      <c r="BO1306" s="3306"/>
      <c r="BP1306" s="3306"/>
      <c r="BQ1306" s="3306"/>
      <c r="BR1306" s="3306"/>
      <c r="BS1306" s="3306"/>
      <c r="BT1306" s="3306"/>
      <c r="BU1306" s="3306"/>
      <c r="BV1306" s="3306"/>
      <c r="BW1306" s="3306"/>
      <c r="BX1306" s="3306"/>
      <c r="BY1306" s="3306"/>
    </row>
    <row r="1307" spans="1:77" s="4190" customFormat="1" ht="29.25" customHeight="1">
      <c r="A1307" s="4196"/>
      <c r="B1307" s="4197"/>
      <c r="C1307" s="4198"/>
      <c r="D1307" s="4198"/>
      <c r="E1307" s="4198"/>
      <c r="F1307" s="4198"/>
      <c r="G1307" s="4198"/>
      <c r="H1307" s="4198"/>
      <c r="I1307" s="4197"/>
      <c r="J1307" s="4215" t="s">
        <v>822</v>
      </c>
      <c r="K1307" s="4124">
        <v>341726.51581408113</v>
      </c>
      <c r="L1307" s="4216"/>
      <c r="M1307" s="4208">
        <v>503243</v>
      </c>
      <c r="N1307" s="4217"/>
      <c r="O1307" s="4222">
        <v>334549.88944993058</v>
      </c>
      <c r="P1307" s="4203"/>
      <c r="Q1307" s="4204">
        <v>0</v>
      </c>
      <c r="R1307" s="4218"/>
      <c r="S1307" s="4142">
        <v>0</v>
      </c>
      <c r="T1307" s="4142"/>
      <c r="U1307" s="4142">
        <v>0</v>
      </c>
      <c r="V1307" s="4142"/>
      <c r="W1307" s="4142"/>
      <c r="X1307" s="4142"/>
      <c r="Y1307" s="4206">
        <f t="shared" si="432"/>
        <v>0</v>
      </c>
      <c r="Z1307" s="4212">
        <f t="shared" si="435"/>
        <v>0</v>
      </c>
      <c r="AA1307" s="4219">
        <f t="shared" si="439"/>
        <v>503243</v>
      </c>
      <c r="AB1307" s="4212">
        <f t="shared" si="439"/>
        <v>0</v>
      </c>
      <c r="AC1307" s="4213">
        <f t="shared" si="438"/>
        <v>147.26483802439057</v>
      </c>
      <c r="AD1307" s="4214"/>
      <c r="AE1307" s="4094"/>
      <c r="AF1307" s="3306"/>
      <c r="AG1307" s="3305"/>
      <c r="AH1307" s="4189"/>
      <c r="AI1307" s="3306"/>
      <c r="AJ1307" s="3306"/>
      <c r="AK1307" s="3306"/>
      <c r="AL1307" s="3306"/>
      <c r="AM1307" s="3306"/>
      <c r="AN1307" s="3306"/>
      <c r="AO1307" s="3306"/>
      <c r="AP1307" s="3306"/>
      <c r="AQ1307" s="3306"/>
      <c r="AR1307" s="3306"/>
      <c r="AS1307" s="3306"/>
      <c r="AT1307" s="3306"/>
      <c r="AU1307" s="3306"/>
      <c r="AV1307" s="3306"/>
      <c r="AW1307" s="3306"/>
      <c r="AX1307" s="3306"/>
      <c r="AY1307" s="3306"/>
      <c r="AZ1307" s="3306"/>
      <c r="BA1307" s="3306"/>
      <c r="BB1307" s="3306"/>
      <c r="BC1307" s="3306"/>
      <c r="BD1307" s="3306"/>
      <c r="BE1307" s="3306"/>
      <c r="BF1307" s="3306"/>
      <c r="BG1307" s="3306"/>
      <c r="BH1307" s="3306"/>
      <c r="BI1307" s="3306"/>
      <c r="BJ1307" s="3306"/>
      <c r="BK1307" s="3306"/>
      <c r="BL1307" s="3306"/>
      <c r="BM1307" s="3306"/>
      <c r="BN1307" s="3306"/>
      <c r="BO1307" s="3306"/>
      <c r="BP1307" s="3306"/>
      <c r="BQ1307" s="3306"/>
      <c r="BR1307" s="3306"/>
      <c r="BS1307" s="3306"/>
      <c r="BT1307" s="3306"/>
      <c r="BU1307" s="3306"/>
      <c r="BV1307" s="3306"/>
      <c r="BW1307" s="3306"/>
      <c r="BX1307" s="3306"/>
      <c r="BY1307" s="3306"/>
    </row>
    <row r="1308" spans="1:77" s="4190" customFormat="1" ht="29.25" customHeight="1">
      <c r="A1308" s="4199"/>
      <c r="B1308" s="4200"/>
      <c r="C1308" s="4201"/>
      <c r="D1308" s="4201"/>
      <c r="E1308" s="4201"/>
      <c r="F1308" s="4201"/>
      <c r="G1308" s="4201"/>
      <c r="H1308" s="4201"/>
      <c r="I1308" s="4200"/>
      <c r="J1308" s="4215" t="s">
        <v>823</v>
      </c>
      <c r="K1308" s="4124">
        <v>716016.31721855025</v>
      </c>
      <c r="L1308" s="4216"/>
      <c r="M1308" s="4208">
        <v>863392</v>
      </c>
      <c r="N1308" s="4217"/>
      <c r="O1308" s="4222">
        <v>694958.38324776001</v>
      </c>
      <c r="P1308" s="4203"/>
      <c r="Q1308" s="4204">
        <v>0</v>
      </c>
      <c r="R1308" s="4218"/>
      <c r="S1308" s="4142">
        <v>0</v>
      </c>
      <c r="T1308" s="4142"/>
      <c r="U1308" s="4142">
        <v>0</v>
      </c>
      <c r="V1308" s="4142"/>
      <c r="W1308" s="4142"/>
      <c r="X1308" s="4142"/>
      <c r="Y1308" s="4206">
        <f t="shared" si="432"/>
        <v>0</v>
      </c>
      <c r="Z1308" s="4212">
        <f t="shared" si="435"/>
        <v>0</v>
      </c>
      <c r="AA1308" s="4219">
        <f t="shared" si="439"/>
        <v>863392</v>
      </c>
      <c r="AB1308" s="4212">
        <f t="shared" si="439"/>
        <v>0</v>
      </c>
      <c r="AC1308" s="4213">
        <f t="shared" si="438"/>
        <v>120.58272685096729</v>
      </c>
      <c r="AD1308" s="4214"/>
      <c r="AE1308" s="4094"/>
      <c r="AF1308" s="3306"/>
      <c r="AG1308" s="3305"/>
      <c r="AH1308" s="4189"/>
      <c r="AI1308" s="3306"/>
      <c r="AJ1308" s="3306"/>
      <c r="AK1308" s="3306"/>
      <c r="AL1308" s="3306"/>
      <c r="AM1308" s="3306"/>
      <c r="AN1308" s="3306"/>
      <c r="AO1308" s="3306"/>
      <c r="AP1308" s="3306"/>
      <c r="AQ1308" s="3306"/>
      <c r="AR1308" s="3306"/>
      <c r="AS1308" s="3306"/>
      <c r="AT1308" s="3306"/>
      <c r="AU1308" s="3306"/>
      <c r="AV1308" s="3306"/>
      <c r="AW1308" s="3306"/>
      <c r="AX1308" s="3306"/>
      <c r="AY1308" s="3306"/>
      <c r="AZ1308" s="3306"/>
      <c r="BA1308" s="3306"/>
      <c r="BB1308" s="3306"/>
      <c r="BC1308" s="3306"/>
      <c r="BD1308" s="3306"/>
      <c r="BE1308" s="3306"/>
      <c r="BF1308" s="3306"/>
      <c r="BG1308" s="3306"/>
      <c r="BH1308" s="3306"/>
      <c r="BI1308" s="3306"/>
      <c r="BJ1308" s="3306"/>
      <c r="BK1308" s="3306"/>
      <c r="BL1308" s="3306"/>
      <c r="BM1308" s="3306"/>
      <c r="BN1308" s="3306"/>
      <c r="BO1308" s="3306"/>
      <c r="BP1308" s="3306"/>
      <c r="BQ1308" s="3306"/>
      <c r="BR1308" s="3306"/>
      <c r="BS1308" s="3306"/>
      <c r="BT1308" s="3306"/>
      <c r="BU1308" s="3306"/>
      <c r="BV1308" s="3306"/>
      <c r="BW1308" s="3306"/>
      <c r="BX1308" s="3306"/>
      <c r="BY1308" s="3306"/>
    </row>
    <row r="1309" spans="1:77" s="4190" customFormat="1" ht="84.75" customHeight="1">
      <c r="A1309" s="3393"/>
      <c r="B1309" s="3383"/>
      <c r="C1309" s="3386"/>
      <c r="D1309" s="3386"/>
      <c r="E1309" s="3386"/>
      <c r="F1309" s="3386"/>
      <c r="G1309" s="3386"/>
      <c r="H1309" s="3386"/>
      <c r="I1309" s="3307" t="s">
        <v>824</v>
      </c>
      <c r="J1309" s="3310" t="s">
        <v>4051</v>
      </c>
      <c r="K1309" s="4230">
        <v>60</v>
      </c>
      <c r="L1309" s="4231">
        <v>1985984000</v>
      </c>
      <c r="M1309" s="4232">
        <v>24</v>
      </c>
      <c r="N1309" s="4232">
        <v>575394900</v>
      </c>
      <c r="O1309" s="4232">
        <v>12</v>
      </c>
      <c r="P1309" s="4233">
        <v>207376323</v>
      </c>
      <c r="Q1309" s="4234">
        <v>3</v>
      </c>
      <c r="R1309" s="4235">
        <v>19455634</v>
      </c>
      <c r="S1309" s="4191">
        <v>3</v>
      </c>
      <c r="T1309" s="4194">
        <v>57142265</v>
      </c>
      <c r="U1309" s="4191">
        <v>3</v>
      </c>
      <c r="V1309" s="3428">
        <v>56724622</v>
      </c>
      <c r="W1309" s="4233"/>
      <c r="X1309" s="4233"/>
      <c r="Y1309" s="4233">
        <f t="shared" si="432"/>
        <v>9</v>
      </c>
      <c r="Z1309" s="3392">
        <f t="shared" si="435"/>
        <v>133322521</v>
      </c>
      <c r="AA1309" s="4193">
        <f t="shared" si="439"/>
        <v>33</v>
      </c>
      <c r="AB1309" s="3392">
        <f t="shared" si="439"/>
        <v>708717421</v>
      </c>
      <c r="AC1309" s="4194">
        <f t="shared" si="438"/>
        <v>55.000000000000007</v>
      </c>
      <c r="AD1309" s="4194">
        <f t="shared" si="438"/>
        <v>35.685958245383645</v>
      </c>
      <c r="AE1309" s="3335"/>
      <c r="AF1309" s="3306"/>
      <c r="AG1309" s="3305"/>
      <c r="AH1309" s="4189"/>
      <c r="AI1309" s="3306"/>
      <c r="AJ1309" s="3306"/>
      <c r="AK1309" s="3306"/>
      <c r="AL1309" s="3306"/>
      <c r="AM1309" s="3306"/>
      <c r="AN1309" s="3306"/>
      <c r="AO1309" s="3306"/>
      <c r="AP1309" s="3306"/>
      <c r="AQ1309" s="3306"/>
      <c r="AR1309" s="3306"/>
      <c r="AS1309" s="3306"/>
      <c r="AT1309" s="3306"/>
      <c r="AU1309" s="3306"/>
      <c r="AV1309" s="3306"/>
      <c r="AW1309" s="3306"/>
      <c r="AX1309" s="3306"/>
      <c r="AY1309" s="3306"/>
      <c r="AZ1309" s="3306"/>
      <c r="BA1309" s="3306"/>
      <c r="BB1309" s="3306"/>
      <c r="BC1309" s="3306"/>
      <c r="BD1309" s="3306"/>
      <c r="BE1309" s="3306"/>
      <c r="BF1309" s="3306"/>
      <c r="BG1309" s="3306"/>
      <c r="BH1309" s="3306"/>
      <c r="BI1309" s="3306"/>
      <c r="BJ1309" s="3306"/>
      <c r="BK1309" s="3306"/>
      <c r="BL1309" s="3306"/>
      <c r="BM1309" s="3306"/>
      <c r="BN1309" s="3306"/>
      <c r="BO1309" s="3306"/>
      <c r="BP1309" s="3306"/>
      <c r="BQ1309" s="3306"/>
      <c r="BR1309" s="3306"/>
      <c r="BS1309" s="3306"/>
      <c r="BT1309" s="3306"/>
      <c r="BU1309" s="3306"/>
      <c r="BV1309" s="3306"/>
      <c r="BW1309" s="3306"/>
      <c r="BX1309" s="3306"/>
      <c r="BY1309" s="3306"/>
    </row>
    <row r="1310" spans="1:77" s="4190" customFormat="1" ht="54.75" customHeight="1">
      <c r="A1310" s="3393"/>
      <c r="B1310" s="3383"/>
      <c r="C1310" s="3386"/>
      <c r="D1310" s="3386"/>
      <c r="E1310" s="3386"/>
      <c r="F1310" s="3386"/>
      <c r="G1310" s="3386"/>
      <c r="H1310" s="3386"/>
      <c r="I1310" s="3307" t="s">
        <v>827</v>
      </c>
      <c r="J1310" s="3307" t="s">
        <v>828</v>
      </c>
      <c r="K1310" s="3312">
        <v>68000</v>
      </c>
      <c r="L1310" s="4232">
        <v>1424584627</v>
      </c>
      <c r="M1310" s="4232">
        <v>22000</v>
      </c>
      <c r="N1310" s="4232">
        <v>513802112</v>
      </c>
      <c r="O1310" s="4232">
        <v>11000</v>
      </c>
      <c r="P1310" s="4233">
        <v>227091844</v>
      </c>
      <c r="Q1310" s="4234">
        <v>0</v>
      </c>
      <c r="R1310" s="4235">
        <v>4542000</v>
      </c>
      <c r="S1310" s="4191">
        <v>11000</v>
      </c>
      <c r="T1310" s="4194">
        <v>203474000</v>
      </c>
      <c r="U1310" s="4191">
        <v>0</v>
      </c>
      <c r="V1310" s="3428">
        <v>8331500</v>
      </c>
      <c r="W1310" s="4233"/>
      <c r="X1310" s="4233"/>
      <c r="Y1310" s="4233">
        <f t="shared" si="432"/>
        <v>11000</v>
      </c>
      <c r="Z1310" s="3392">
        <f t="shared" si="435"/>
        <v>216347500</v>
      </c>
      <c r="AA1310" s="4193">
        <f t="shared" si="439"/>
        <v>33000</v>
      </c>
      <c r="AB1310" s="3392">
        <f t="shared" si="439"/>
        <v>730149612</v>
      </c>
      <c r="AC1310" s="4194">
        <f t="shared" si="438"/>
        <v>48.529411764705884</v>
      </c>
      <c r="AD1310" s="4194">
        <f t="shared" si="438"/>
        <v>51.253509139545137</v>
      </c>
      <c r="AE1310" s="3335"/>
      <c r="AF1310" s="3306"/>
      <c r="AG1310" s="3305"/>
      <c r="AH1310" s="4189"/>
      <c r="AI1310" s="3306"/>
      <c r="AJ1310" s="3306"/>
      <c r="AK1310" s="3306"/>
      <c r="AL1310" s="3306"/>
      <c r="AM1310" s="3306"/>
      <c r="AN1310" s="3306"/>
      <c r="AO1310" s="3306"/>
      <c r="AP1310" s="3306"/>
      <c r="AQ1310" s="3306"/>
      <c r="AR1310" s="3306"/>
      <c r="AS1310" s="3306"/>
      <c r="AT1310" s="3306"/>
      <c r="AU1310" s="3306"/>
      <c r="AV1310" s="3306"/>
      <c r="AW1310" s="3306"/>
      <c r="AX1310" s="3306"/>
      <c r="AY1310" s="3306"/>
      <c r="AZ1310" s="3306"/>
      <c r="BA1310" s="3306"/>
      <c r="BB1310" s="3306"/>
      <c r="BC1310" s="3306"/>
      <c r="BD1310" s="3306"/>
      <c r="BE1310" s="3306"/>
      <c r="BF1310" s="3306"/>
      <c r="BG1310" s="3306"/>
      <c r="BH1310" s="3306"/>
      <c r="BI1310" s="3306"/>
      <c r="BJ1310" s="3306"/>
      <c r="BK1310" s="3306"/>
      <c r="BL1310" s="3306"/>
      <c r="BM1310" s="3306"/>
      <c r="BN1310" s="3306"/>
      <c r="BO1310" s="3306"/>
      <c r="BP1310" s="3306"/>
      <c r="BQ1310" s="3306"/>
      <c r="BR1310" s="3306"/>
      <c r="BS1310" s="3306"/>
      <c r="BT1310" s="3306"/>
      <c r="BU1310" s="3306"/>
      <c r="BV1310" s="3306"/>
      <c r="BW1310" s="3306"/>
      <c r="BX1310" s="3306"/>
      <c r="BY1310" s="3306"/>
    </row>
    <row r="1311" spans="1:77" s="4190" customFormat="1" ht="63.75" customHeight="1">
      <c r="A1311" s="3393"/>
      <c r="B1311" s="3383"/>
      <c r="C1311" s="3386"/>
      <c r="D1311" s="3386"/>
      <c r="E1311" s="3386"/>
      <c r="F1311" s="3386"/>
      <c r="G1311" s="3386"/>
      <c r="H1311" s="3386"/>
      <c r="I1311" s="3307" t="s">
        <v>829</v>
      </c>
      <c r="J1311" s="3307" t="s">
        <v>830</v>
      </c>
      <c r="K1311" s="3312">
        <v>35000</v>
      </c>
      <c r="L1311" s="4232">
        <v>2208956866</v>
      </c>
      <c r="M1311" s="4232">
        <v>16361</v>
      </c>
      <c r="N1311" s="4232">
        <v>671583750.99999988</v>
      </c>
      <c r="O1311" s="4232">
        <v>4000</v>
      </c>
      <c r="P1311" s="4233">
        <v>375310808</v>
      </c>
      <c r="Q1311" s="4234">
        <v>2900</v>
      </c>
      <c r="R1311" s="4235">
        <v>26576936</v>
      </c>
      <c r="S1311" s="4191">
        <v>1361</v>
      </c>
      <c r="T1311" s="4194">
        <v>40533800</v>
      </c>
      <c r="U1311" s="4191"/>
      <c r="V1311" s="3428">
        <v>140214672</v>
      </c>
      <c r="W1311" s="4233"/>
      <c r="X1311" s="4233"/>
      <c r="Y1311" s="4233">
        <f t="shared" si="432"/>
        <v>4261</v>
      </c>
      <c r="Z1311" s="3392">
        <f t="shared" si="435"/>
        <v>207325408</v>
      </c>
      <c r="AA1311" s="4193">
        <f t="shared" si="439"/>
        <v>20622</v>
      </c>
      <c r="AB1311" s="3392">
        <f t="shared" si="439"/>
        <v>878909158.99999988</v>
      </c>
      <c r="AC1311" s="4194">
        <f t="shared" si="438"/>
        <v>58.919999999999995</v>
      </c>
      <c r="AD1311" s="4194">
        <f t="shared" si="438"/>
        <v>39.788425592552962</v>
      </c>
      <c r="AE1311" s="3335"/>
      <c r="AF1311" s="3306"/>
      <c r="AG1311" s="3305"/>
      <c r="AH1311" s="4189"/>
      <c r="AI1311" s="3306"/>
      <c r="AJ1311" s="3306"/>
      <c r="AK1311" s="3306"/>
      <c r="AL1311" s="3306"/>
      <c r="AM1311" s="3306"/>
      <c r="AN1311" s="3306"/>
      <c r="AO1311" s="3306"/>
      <c r="AP1311" s="3306"/>
      <c r="AQ1311" s="3306"/>
      <c r="AR1311" s="3306"/>
      <c r="AS1311" s="3306"/>
      <c r="AT1311" s="3306"/>
      <c r="AU1311" s="3306"/>
      <c r="AV1311" s="3306"/>
      <c r="AW1311" s="3306"/>
      <c r="AX1311" s="3306"/>
      <c r="AY1311" s="3306"/>
      <c r="AZ1311" s="3306"/>
      <c r="BA1311" s="3306"/>
      <c r="BB1311" s="3306"/>
      <c r="BC1311" s="3306"/>
      <c r="BD1311" s="3306"/>
      <c r="BE1311" s="3306"/>
      <c r="BF1311" s="3306"/>
      <c r="BG1311" s="3306"/>
      <c r="BH1311" s="3306"/>
      <c r="BI1311" s="3306"/>
      <c r="BJ1311" s="3306"/>
      <c r="BK1311" s="3306"/>
      <c r="BL1311" s="3306"/>
      <c r="BM1311" s="3306"/>
      <c r="BN1311" s="3306"/>
      <c r="BO1311" s="3306"/>
      <c r="BP1311" s="3306"/>
      <c r="BQ1311" s="3306"/>
      <c r="BR1311" s="3306"/>
      <c r="BS1311" s="3306"/>
      <c r="BT1311" s="3306"/>
      <c r="BU1311" s="3306"/>
      <c r="BV1311" s="3306"/>
      <c r="BW1311" s="3306"/>
      <c r="BX1311" s="3306"/>
      <c r="BY1311" s="3306"/>
    </row>
    <row r="1312" spans="1:77" s="4190" customFormat="1" ht="51.75" customHeight="1">
      <c r="A1312" s="3393"/>
      <c r="B1312" s="3383"/>
      <c r="C1312" s="3386"/>
      <c r="D1312" s="3386"/>
      <c r="E1312" s="3386"/>
      <c r="F1312" s="3386"/>
      <c r="G1312" s="3386"/>
      <c r="H1312" s="3386"/>
      <c r="I1312" s="3307" t="s">
        <v>831</v>
      </c>
      <c r="J1312" s="3307" t="s">
        <v>832</v>
      </c>
      <c r="K1312" s="3311">
        <v>740</v>
      </c>
      <c r="L1312" s="4232">
        <v>1319818845</v>
      </c>
      <c r="M1312" s="4232">
        <v>160</v>
      </c>
      <c r="N1312" s="4232">
        <v>430581378</v>
      </c>
      <c r="O1312" s="4232">
        <v>80</v>
      </c>
      <c r="P1312" s="4233">
        <v>173912936</v>
      </c>
      <c r="Q1312" s="4234">
        <v>0</v>
      </c>
      <c r="R1312" s="4235">
        <v>19816700</v>
      </c>
      <c r="S1312" s="4191">
        <v>150</v>
      </c>
      <c r="T1312" s="4194">
        <v>40559168</v>
      </c>
      <c r="U1312" s="4191">
        <v>0</v>
      </c>
      <c r="V1312" s="3428">
        <v>11709000</v>
      </c>
      <c r="W1312" s="4233"/>
      <c r="X1312" s="4233"/>
      <c r="Y1312" s="4233">
        <f t="shared" si="432"/>
        <v>150</v>
      </c>
      <c r="Z1312" s="3392">
        <f t="shared" si="435"/>
        <v>72084868</v>
      </c>
      <c r="AA1312" s="4193">
        <f t="shared" si="439"/>
        <v>310</v>
      </c>
      <c r="AB1312" s="3392">
        <f t="shared" si="439"/>
        <v>502666246</v>
      </c>
      <c r="AC1312" s="4194">
        <f t="shared" si="438"/>
        <v>41.891891891891895</v>
      </c>
      <c r="AD1312" s="4194">
        <f t="shared" si="438"/>
        <v>38.086003083248897</v>
      </c>
      <c r="AE1312" s="3335"/>
      <c r="AF1312" s="3306"/>
      <c r="AG1312" s="3305"/>
      <c r="AH1312" s="4189"/>
      <c r="AI1312" s="3306"/>
      <c r="AJ1312" s="3306"/>
      <c r="AK1312" s="3306"/>
      <c r="AL1312" s="3306"/>
      <c r="AM1312" s="3306"/>
      <c r="AN1312" s="3306"/>
      <c r="AO1312" s="3306"/>
      <c r="AP1312" s="3306"/>
      <c r="AQ1312" s="3306"/>
      <c r="AR1312" s="3306"/>
      <c r="AS1312" s="3306"/>
      <c r="AT1312" s="3306"/>
      <c r="AU1312" s="3306"/>
      <c r="AV1312" s="3306"/>
      <c r="AW1312" s="3306"/>
      <c r="AX1312" s="3306"/>
      <c r="AY1312" s="3306"/>
      <c r="AZ1312" s="3306"/>
      <c r="BA1312" s="3306"/>
      <c r="BB1312" s="3306"/>
      <c r="BC1312" s="3306"/>
      <c r="BD1312" s="3306"/>
      <c r="BE1312" s="3306"/>
      <c r="BF1312" s="3306"/>
      <c r="BG1312" s="3306"/>
      <c r="BH1312" s="3306"/>
      <c r="BI1312" s="3306"/>
      <c r="BJ1312" s="3306"/>
      <c r="BK1312" s="3306"/>
      <c r="BL1312" s="3306"/>
      <c r="BM1312" s="3306"/>
      <c r="BN1312" s="3306"/>
      <c r="BO1312" s="3306"/>
      <c r="BP1312" s="3306"/>
      <c r="BQ1312" s="3306"/>
      <c r="BR1312" s="3306"/>
      <c r="BS1312" s="3306"/>
      <c r="BT1312" s="3306"/>
      <c r="BU1312" s="3306"/>
      <c r="BV1312" s="3306"/>
      <c r="BW1312" s="3306"/>
      <c r="BX1312" s="3306"/>
      <c r="BY1312" s="3306"/>
    </row>
    <row r="1313" spans="1:77" s="3304" customFormat="1" ht="69" customHeight="1">
      <c r="A1313" s="3393"/>
      <c r="B1313" s="3383"/>
      <c r="C1313" s="3386"/>
      <c r="D1313" s="3386"/>
      <c r="E1313" s="3386"/>
      <c r="F1313" s="3386"/>
      <c r="G1313" s="3386"/>
      <c r="H1313" s="3386"/>
      <c r="I1313" s="3307" t="s">
        <v>833</v>
      </c>
      <c r="J1313" s="3307" t="s">
        <v>834</v>
      </c>
      <c r="K1313" s="3312">
        <v>31000</v>
      </c>
      <c r="L1313" s="4232">
        <v>687301760</v>
      </c>
      <c r="M1313" s="4232">
        <v>8000</v>
      </c>
      <c r="N1313" s="4232">
        <v>226268340</v>
      </c>
      <c r="O1313" s="4232">
        <v>1500</v>
      </c>
      <c r="P1313" s="4233">
        <v>113528833</v>
      </c>
      <c r="Q1313" s="4234">
        <v>0</v>
      </c>
      <c r="R1313" s="4235">
        <v>5070751</v>
      </c>
      <c r="S1313" s="4191">
        <v>0</v>
      </c>
      <c r="T1313" s="4194">
        <v>30816642</v>
      </c>
      <c r="U1313" s="4191">
        <v>2500</v>
      </c>
      <c r="V1313" s="3428">
        <v>4936840</v>
      </c>
      <c r="W1313" s="4233"/>
      <c r="X1313" s="4233"/>
      <c r="Y1313" s="4233">
        <f t="shared" si="432"/>
        <v>2500</v>
      </c>
      <c r="Z1313" s="3392">
        <f t="shared" si="435"/>
        <v>40824233</v>
      </c>
      <c r="AA1313" s="4193">
        <f t="shared" si="439"/>
        <v>10500</v>
      </c>
      <c r="AB1313" s="3392">
        <f t="shared" si="439"/>
        <v>267092573</v>
      </c>
      <c r="AC1313" s="4194">
        <f t="shared" si="438"/>
        <v>33.87096774193548</v>
      </c>
      <c r="AD1313" s="4194">
        <f t="shared" si="438"/>
        <v>38.861034343924857</v>
      </c>
      <c r="AE1313" s="3335"/>
      <c r="AF1313" s="3306"/>
      <c r="AG1313" s="3305"/>
      <c r="AH1313" s="4189"/>
      <c r="AI1313" s="3306"/>
      <c r="AJ1313" s="3306"/>
      <c r="AK1313" s="3306"/>
      <c r="AL1313" s="3306"/>
      <c r="AM1313" s="3306"/>
      <c r="AN1313" s="3306"/>
      <c r="AO1313" s="3306"/>
      <c r="AP1313" s="3306"/>
      <c r="AQ1313" s="3306"/>
      <c r="AR1313" s="3306"/>
      <c r="AS1313" s="3306"/>
      <c r="AT1313" s="3306"/>
      <c r="AU1313" s="3306"/>
      <c r="AV1313" s="3306"/>
      <c r="AW1313" s="3306"/>
      <c r="AX1313" s="3306"/>
      <c r="AY1313" s="3306"/>
      <c r="AZ1313" s="3306"/>
      <c r="BA1313" s="3306"/>
      <c r="BB1313" s="3306"/>
      <c r="BC1313" s="3306"/>
      <c r="BD1313" s="3306"/>
      <c r="BE1313" s="3306"/>
      <c r="BF1313" s="3306"/>
      <c r="BG1313" s="3306"/>
      <c r="BH1313" s="3306"/>
      <c r="BI1313" s="3306"/>
      <c r="BJ1313" s="3306"/>
      <c r="BK1313" s="3306"/>
      <c r="BL1313" s="3306"/>
      <c r="BM1313" s="3306"/>
      <c r="BN1313" s="3306"/>
      <c r="BO1313" s="3306"/>
      <c r="BP1313" s="3306"/>
      <c r="BQ1313" s="3306"/>
      <c r="BR1313" s="3306"/>
      <c r="BS1313" s="3306"/>
      <c r="BT1313" s="3306"/>
      <c r="BU1313" s="3306"/>
      <c r="BV1313" s="3306"/>
      <c r="BW1313" s="3306"/>
      <c r="BX1313" s="3306"/>
      <c r="BY1313" s="3306"/>
    </row>
    <row r="1314" spans="1:77" s="4190" customFormat="1" ht="81.75" customHeight="1">
      <c r="A1314" s="3393"/>
      <c r="B1314" s="3383"/>
      <c r="C1314" s="3386"/>
      <c r="D1314" s="3386"/>
      <c r="E1314" s="3386"/>
      <c r="F1314" s="3386"/>
      <c r="G1314" s="3386"/>
      <c r="H1314" s="3386"/>
      <c r="I1314" s="3307" t="s">
        <v>835</v>
      </c>
      <c r="J1314" s="3307" t="s">
        <v>836</v>
      </c>
      <c r="K1314" s="3312">
        <v>6000</v>
      </c>
      <c r="L1314" s="4232">
        <v>433359222</v>
      </c>
      <c r="M1314" s="4232">
        <v>1500</v>
      </c>
      <c r="N1314" s="4232">
        <v>86886620</v>
      </c>
      <c r="O1314" s="4232">
        <v>1500</v>
      </c>
      <c r="P1314" s="4233">
        <v>63212339</v>
      </c>
      <c r="Q1314" s="4234">
        <v>0</v>
      </c>
      <c r="R1314" s="4235">
        <v>4625225</v>
      </c>
      <c r="S1314" s="4191">
        <v>0</v>
      </c>
      <c r="T1314" s="4194">
        <v>15600000</v>
      </c>
      <c r="U1314" s="4191">
        <v>1500</v>
      </c>
      <c r="V1314" s="3428">
        <v>6309114</v>
      </c>
      <c r="W1314" s="4233"/>
      <c r="X1314" s="4233"/>
      <c r="Y1314" s="4233">
        <f t="shared" si="432"/>
        <v>1500</v>
      </c>
      <c r="Z1314" s="3392">
        <f t="shared" si="435"/>
        <v>26534339</v>
      </c>
      <c r="AA1314" s="4193">
        <f t="shared" si="439"/>
        <v>3000</v>
      </c>
      <c r="AB1314" s="3392">
        <f t="shared" si="439"/>
        <v>113420959</v>
      </c>
      <c r="AC1314" s="4194">
        <f t="shared" si="438"/>
        <v>50</v>
      </c>
      <c r="AD1314" s="4194">
        <f t="shared" si="438"/>
        <v>26.17250383562854</v>
      </c>
      <c r="AE1314" s="3335"/>
      <c r="AF1314" s="3306"/>
      <c r="AG1314" s="3305"/>
      <c r="AH1314" s="4189"/>
      <c r="AI1314" s="3306"/>
      <c r="AJ1314" s="3306"/>
      <c r="AK1314" s="3306"/>
      <c r="AL1314" s="3306"/>
      <c r="AM1314" s="3306"/>
      <c r="AN1314" s="3306"/>
      <c r="AO1314" s="3306"/>
      <c r="AP1314" s="3306"/>
      <c r="AQ1314" s="3306"/>
      <c r="AR1314" s="3306"/>
      <c r="AS1314" s="3306"/>
      <c r="AT1314" s="3306"/>
      <c r="AU1314" s="3306"/>
      <c r="AV1314" s="3306"/>
      <c r="AW1314" s="3306"/>
      <c r="AX1314" s="3306"/>
      <c r="AY1314" s="3306"/>
      <c r="AZ1314" s="3306"/>
      <c r="BA1314" s="3306"/>
      <c r="BB1314" s="3306"/>
      <c r="BC1314" s="3306"/>
      <c r="BD1314" s="3306"/>
      <c r="BE1314" s="3306"/>
      <c r="BF1314" s="3306"/>
      <c r="BG1314" s="3306"/>
      <c r="BH1314" s="3306"/>
      <c r="BI1314" s="3306"/>
      <c r="BJ1314" s="3306"/>
      <c r="BK1314" s="3306"/>
      <c r="BL1314" s="3306"/>
      <c r="BM1314" s="3306"/>
      <c r="BN1314" s="3306"/>
      <c r="BO1314" s="3306"/>
      <c r="BP1314" s="3306"/>
      <c r="BQ1314" s="3306"/>
      <c r="BR1314" s="3306"/>
      <c r="BS1314" s="3306"/>
      <c r="BT1314" s="3306"/>
      <c r="BU1314" s="3306"/>
      <c r="BV1314" s="3306"/>
      <c r="BW1314" s="3306"/>
      <c r="BX1314" s="3306"/>
      <c r="BY1314" s="3306"/>
    </row>
    <row r="1315" spans="1:77" s="4190" customFormat="1" ht="74.25" customHeight="1">
      <c r="A1315" s="3393"/>
      <c r="B1315" s="3383"/>
      <c r="C1315" s="3386"/>
      <c r="D1315" s="3386"/>
      <c r="E1315" s="3386"/>
      <c r="F1315" s="3386"/>
      <c r="G1315" s="3386"/>
      <c r="H1315" s="3386"/>
      <c r="I1315" s="3383" t="s">
        <v>837</v>
      </c>
      <c r="J1315" s="3383" t="s">
        <v>838</v>
      </c>
      <c r="K1315" s="3313">
        <v>12</v>
      </c>
      <c r="L1315" s="4235">
        <v>3000000000</v>
      </c>
      <c r="M1315" s="4233">
        <v>4</v>
      </c>
      <c r="N1315" s="4235">
        <v>563116434</v>
      </c>
      <c r="O1315" s="4233">
        <v>4</v>
      </c>
      <c r="P1315" s="4233">
        <v>500000000</v>
      </c>
      <c r="Q1315" s="4234">
        <v>0</v>
      </c>
      <c r="R1315" s="4235">
        <v>30000000</v>
      </c>
      <c r="S1315" s="4191">
        <v>3</v>
      </c>
      <c r="T1315" s="4194">
        <v>49500000</v>
      </c>
      <c r="U1315" s="4191">
        <v>1</v>
      </c>
      <c r="V1315" s="3428">
        <v>409694000</v>
      </c>
      <c r="W1315" s="4233"/>
      <c r="X1315" s="4233"/>
      <c r="Y1315" s="4233">
        <f t="shared" si="432"/>
        <v>4</v>
      </c>
      <c r="Z1315" s="3392">
        <f t="shared" si="435"/>
        <v>489194000</v>
      </c>
      <c r="AA1315" s="4193">
        <f t="shared" si="439"/>
        <v>8</v>
      </c>
      <c r="AB1315" s="3392">
        <f t="shared" si="439"/>
        <v>1052310434</v>
      </c>
      <c r="AC1315" s="4194">
        <f t="shared" si="438"/>
        <v>66.666666666666657</v>
      </c>
      <c r="AD1315" s="4194">
        <f t="shared" si="438"/>
        <v>35.077014466666668</v>
      </c>
      <c r="AE1315" s="3335"/>
      <c r="AF1315" s="3306"/>
      <c r="AG1315" s="3305"/>
      <c r="AH1315" s="4189"/>
      <c r="AI1315" s="3306"/>
      <c r="AJ1315" s="3306"/>
      <c r="AK1315" s="3306"/>
      <c r="AL1315" s="3306"/>
      <c r="AM1315" s="3306"/>
      <c r="AN1315" s="3306"/>
      <c r="AO1315" s="3306"/>
      <c r="AP1315" s="3306"/>
      <c r="AQ1315" s="3306"/>
      <c r="AR1315" s="3306"/>
      <c r="AS1315" s="3306"/>
      <c r="AT1315" s="3306"/>
      <c r="AU1315" s="3306"/>
      <c r="AV1315" s="3306"/>
      <c r="AW1315" s="3306"/>
      <c r="AX1315" s="3306"/>
      <c r="AY1315" s="3306"/>
      <c r="AZ1315" s="3306"/>
      <c r="BA1315" s="3306"/>
      <c r="BB1315" s="3306"/>
      <c r="BC1315" s="3306"/>
      <c r="BD1315" s="3306"/>
      <c r="BE1315" s="3306"/>
      <c r="BF1315" s="3306"/>
      <c r="BG1315" s="3306"/>
      <c r="BH1315" s="3306"/>
      <c r="BI1315" s="3306"/>
      <c r="BJ1315" s="3306"/>
      <c r="BK1315" s="3306"/>
      <c r="BL1315" s="3306"/>
      <c r="BM1315" s="3306"/>
      <c r="BN1315" s="3306"/>
      <c r="BO1315" s="3306"/>
      <c r="BP1315" s="3306"/>
      <c r="BQ1315" s="3306"/>
      <c r="BR1315" s="3306"/>
      <c r="BS1315" s="3306"/>
      <c r="BT1315" s="3306"/>
      <c r="BU1315" s="3306"/>
      <c r="BV1315" s="3306"/>
      <c r="BW1315" s="3306"/>
      <c r="BX1315" s="3306"/>
      <c r="BY1315" s="3306"/>
    </row>
    <row r="1316" spans="1:77" s="4190" customFormat="1" ht="57.75" customHeight="1">
      <c r="A1316" s="3393"/>
      <c r="B1316" s="3383"/>
      <c r="C1316" s="3386"/>
      <c r="D1316" s="3386"/>
      <c r="E1316" s="3386"/>
      <c r="F1316" s="3386"/>
      <c r="G1316" s="3386"/>
      <c r="H1316" s="3386"/>
      <c r="I1316" s="3307" t="s">
        <v>839</v>
      </c>
      <c r="J1316" s="3307" t="s">
        <v>840</v>
      </c>
      <c r="K1316" s="3311">
        <v>2400</v>
      </c>
      <c r="L1316" s="4232">
        <v>2400000000</v>
      </c>
      <c r="M1316" s="4232">
        <v>65</v>
      </c>
      <c r="N1316" s="4232">
        <v>725135000</v>
      </c>
      <c r="O1316" s="4232">
        <v>971</v>
      </c>
      <c r="P1316" s="4233">
        <v>419753241.25</v>
      </c>
      <c r="Q1316" s="4234">
        <v>0</v>
      </c>
      <c r="R1316" s="4235">
        <v>3925900</v>
      </c>
      <c r="S1316" s="4191">
        <f>(244290000/383500000)*65</f>
        <v>41.405084745762707</v>
      </c>
      <c r="T1316" s="4194">
        <v>255335721</v>
      </c>
      <c r="U1316" s="4191">
        <v>930</v>
      </c>
      <c r="V1316" s="3428">
        <v>102395000</v>
      </c>
      <c r="W1316" s="4233"/>
      <c r="X1316" s="4233"/>
      <c r="Y1316" s="4233">
        <f t="shared" si="432"/>
        <v>971.40508474576268</v>
      </c>
      <c r="Z1316" s="3392">
        <f t="shared" si="435"/>
        <v>361656621</v>
      </c>
      <c r="AA1316" s="4193">
        <f t="shared" si="439"/>
        <v>1036.4050847457627</v>
      </c>
      <c r="AB1316" s="3392">
        <f t="shared" si="439"/>
        <v>1086791621</v>
      </c>
      <c r="AC1316" s="4194">
        <f t="shared" si="438"/>
        <v>43.183545197740116</v>
      </c>
      <c r="AD1316" s="4194">
        <f t="shared" si="438"/>
        <v>45.282984208333332</v>
      </c>
      <c r="AE1316" s="3335"/>
      <c r="AF1316" s="3306"/>
      <c r="AG1316" s="3305"/>
      <c r="AH1316" s="4189"/>
      <c r="AI1316" s="3306"/>
      <c r="AJ1316" s="3306"/>
      <c r="AK1316" s="3306"/>
      <c r="AL1316" s="3306"/>
      <c r="AM1316" s="3306"/>
      <c r="AN1316" s="3306"/>
      <c r="AO1316" s="3306"/>
      <c r="AP1316" s="3306"/>
      <c r="AQ1316" s="3306"/>
      <c r="AR1316" s="3306"/>
      <c r="AS1316" s="3306"/>
      <c r="AT1316" s="3306"/>
      <c r="AU1316" s="3306"/>
      <c r="AV1316" s="3306"/>
      <c r="AW1316" s="3306"/>
      <c r="AX1316" s="3306"/>
      <c r="AY1316" s="3306"/>
      <c r="AZ1316" s="3306"/>
      <c r="BA1316" s="3306"/>
      <c r="BB1316" s="3306"/>
      <c r="BC1316" s="3306"/>
      <c r="BD1316" s="3306"/>
      <c r="BE1316" s="3306"/>
      <c r="BF1316" s="3306"/>
      <c r="BG1316" s="3306"/>
      <c r="BH1316" s="3306"/>
      <c r="BI1316" s="3306"/>
      <c r="BJ1316" s="3306"/>
      <c r="BK1316" s="3306"/>
      <c r="BL1316" s="3306"/>
      <c r="BM1316" s="3306"/>
      <c r="BN1316" s="3306"/>
      <c r="BO1316" s="3306"/>
      <c r="BP1316" s="3306"/>
      <c r="BQ1316" s="3306"/>
      <c r="BR1316" s="3306"/>
      <c r="BS1316" s="3306"/>
      <c r="BT1316" s="3306"/>
      <c r="BU1316" s="3306"/>
      <c r="BV1316" s="3306"/>
      <c r="BW1316" s="3306"/>
      <c r="BX1316" s="3306"/>
      <c r="BY1316" s="3306"/>
    </row>
    <row r="1317" spans="1:77" s="3561" customFormat="1" ht="62.25" customHeight="1">
      <c r="A1317" s="4142">
        <v>5</v>
      </c>
      <c r="B1317" s="4092"/>
      <c r="C1317" s="4143"/>
      <c r="D1317" s="4143"/>
      <c r="E1317" s="4143"/>
      <c r="F1317" s="4143"/>
      <c r="G1317" s="4143"/>
      <c r="H1317" s="4143"/>
      <c r="I1317" s="4174" t="s">
        <v>841</v>
      </c>
      <c r="J1317" s="4174" t="s">
        <v>3415</v>
      </c>
      <c r="K1317" s="4175">
        <v>20</v>
      </c>
      <c r="L1317" s="4176">
        <f>L1318</f>
        <v>562226021</v>
      </c>
      <c r="M1317" s="4176">
        <v>4</v>
      </c>
      <c r="N1317" s="4176">
        <f>N1318</f>
        <v>167722221</v>
      </c>
      <c r="O1317" s="4176">
        <v>4</v>
      </c>
      <c r="P1317" s="4150">
        <f>SUM(P1318)</f>
        <v>68821234</v>
      </c>
      <c r="Q1317" s="4162">
        <v>0</v>
      </c>
      <c r="R1317" s="4163">
        <f>R1318</f>
        <v>3844061</v>
      </c>
      <c r="S1317" s="4153"/>
      <c r="T1317" s="4152">
        <f>T1318</f>
        <v>14701229</v>
      </c>
      <c r="U1317" s="4151">
        <f>U1318</f>
        <v>3</v>
      </c>
      <c r="V1317" s="4146">
        <f>V1318</f>
        <v>13537967</v>
      </c>
      <c r="W1317" s="4153"/>
      <c r="X1317" s="4153"/>
      <c r="Y1317" s="4150">
        <f t="shared" si="432"/>
        <v>3</v>
      </c>
      <c r="Z1317" s="4155">
        <f>Z1318</f>
        <v>32083257</v>
      </c>
      <c r="AA1317" s="4156">
        <f t="shared" si="439"/>
        <v>7</v>
      </c>
      <c r="AB1317" s="4155">
        <f>AB1318</f>
        <v>199805478</v>
      </c>
      <c r="AC1317" s="4157">
        <f t="shared" ref="AC1317:AD1332" si="440">AA1317/K1317*100</f>
        <v>35</v>
      </c>
      <c r="AD1317" s="4157">
        <f t="shared" si="440"/>
        <v>35.5382836327314</v>
      </c>
      <c r="AE1317" s="4158" t="s">
        <v>826</v>
      </c>
      <c r="AF1317" s="3558"/>
      <c r="AG1317" s="3559"/>
      <c r="AH1317" s="3560"/>
      <c r="AI1317" s="3558"/>
      <c r="AJ1317" s="3558"/>
      <c r="AK1317" s="3558"/>
      <c r="AL1317" s="3558"/>
      <c r="AM1317" s="3558"/>
      <c r="AN1317" s="3558"/>
      <c r="AO1317" s="3558"/>
      <c r="AP1317" s="3558"/>
      <c r="AQ1317" s="3558"/>
      <c r="AR1317" s="3558"/>
      <c r="AS1317" s="3558"/>
      <c r="AT1317" s="3558"/>
      <c r="AU1317" s="3558"/>
      <c r="AV1317" s="3558"/>
      <c r="AW1317" s="3558"/>
      <c r="AX1317" s="3558"/>
      <c r="AY1317" s="3558"/>
      <c r="AZ1317" s="3558"/>
      <c r="BA1317" s="3558"/>
      <c r="BB1317" s="3558"/>
      <c r="BC1317" s="3558"/>
      <c r="BD1317" s="3558"/>
      <c r="BE1317" s="3558"/>
      <c r="BF1317" s="3558"/>
      <c r="BG1317" s="3558"/>
      <c r="BH1317" s="3558"/>
      <c r="BI1317" s="3558"/>
      <c r="BJ1317" s="3558"/>
      <c r="BK1317" s="3558"/>
      <c r="BL1317" s="3558"/>
      <c r="BM1317" s="3558"/>
      <c r="BN1317" s="3558"/>
      <c r="BO1317" s="3558"/>
      <c r="BP1317" s="3558"/>
      <c r="BQ1317" s="3558"/>
      <c r="BR1317" s="3558"/>
      <c r="BS1317" s="3558"/>
      <c r="BT1317" s="3558"/>
      <c r="BU1317" s="3558"/>
      <c r="BV1317" s="3558"/>
      <c r="BW1317" s="3558"/>
      <c r="BX1317" s="3558"/>
      <c r="BY1317" s="3558"/>
    </row>
    <row r="1318" spans="1:77" s="3530" customFormat="1" ht="50.25" customHeight="1">
      <c r="A1318" s="3565"/>
      <c r="B1318" s="3566"/>
      <c r="C1318" s="3567"/>
      <c r="D1318" s="3567"/>
      <c r="E1318" s="3567"/>
      <c r="F1318" s="3567"/>
      <c r="G1318" s="3567"/>
      <c r="H1318" s="3567"/>
      <c r="I1318" s="3568" t="s">
        <v>842</v>
      </c>
      <c r="J1318" s="3578" t="s">
        <v>4052</v>
      </c>
      <c r="K1318" s="3576">
        <v>72</v>
      </c>
      <c r="L1318" s="3579">
        <v>562226021</v>
      </c>
      <c r="M1318" s="3579">
        <v>24</v>
      </c>
      <c r="N1318" s="3579">
        <f>(91450.021+76272.2)*1000</f>
        <v>167722221</v>
      </c>
      <c r="O1318" s="3579">
        <v>3</v>
      </c>
      <c r="P1318" s="3580">
        <v>68821234</v>
      </c>
      <c r="Q1318" s="3581">
        <v>3</v>
      </c>
      <c r="R1318" s="3582">
        <v>3844061</v>
      </c>
      <c r="S1318" s="3583">
        <v>3</v>
      </c>
      <c r="T1318" s="3584">
        <v>14701229</v>
      </c>
      <c r="U1318" s="3572">
        <v>3</v>
      </c>
      <c r="V1318" s="3574">
        <v>13537967</v>
      </c>
      <c r="W1318" s="3585"/>
      <c r="X1318" s="3585"/>
      <c r="Y1318" s="3586">
        <f t="shared" si="432"/>
        <v>9</v>
      </c>
      <c r="Z1318" s="3587">
        <f t="shared" si="435"/>
        <v>32083257</v>
      </c>
      <c r="AA1318" s="3575">
        <f t="shared" si="439"/>
        <v>33</v>
      </c>
      <c r="AB1318" s="3587">
        <f t="shared" si="439"/>
        <v>199805478</v>
      </c>
      <c r="AC1318" s="3573">
        <f t="shared" si="440"/>
        <v>45.833333333333329</v>
      </c>
      <c r="AD1318" s="3573">
        <f t="shared" si="440"/>
        <v>35.5382836327314</v>
      </c>
      <c r="AE1318" s="3588"/>
      <c r="AF1318" s="3529"/>
      <c r="AG1318" s="3547"/>
      <c r="AH1318" s="3548"/>
      <c r="AI1318" s="3529"/>
      <c r="AJ1318" s="3529"/>
      <c r="AK1318" s="3529"/>
      <c r="AL1318" s="3529"/>
      <c r="AM1318" s="3529"/>
      <c r="AN1318" s="3529"/>
      <c r="AO1318" s="3529"/>
      <c r="AP1318" s="3529"/>
      <c r="AQ1318" s="3529"/>
      <c r="AR1318" s="3529"/>
      <c r="AS1318" s="3529"/>
      <c r="AT1318" s="3529"/>
      <c r="AU1318" s="3529"/>
      <c r="AV1318" s="3529"/>
      <c r="AW1318" s="3529"/>
      <c r="AX1318" s="3529"/>
      <c r="AY1318" s="3529"/>
      <c r="AZ1318" s="3529"/>
      <c r="BA1318" s="3529"/>
      <c r="BB1318" s="3529"/>
      <c r="BC1318" s="3529"/>
      <c r="BD1318" s="3529"/>
      <c r="BE1318" s="3529"/>
      <c r="BF1318" s="3529"/>
      <c r="BG1318" s="3529"/>
      <c r="BH1318" s="3529"/>
      <c r="BI1318" s="3529"/>
      <c r="BJ1318" s="3529"/>
      <c r="BK1318" s="3529"/>
      <c r="BL1318" s="3529"/>
      <c r="BM1318" s="3529"/>
      <c r="BN1318" s="3529"/>
      <c r="BO1318" s="3529"/>
      <c r="BP1318" s="3529"/>
      <c r="BQ1318" s="3529"/>
      <c r="BR1318" s="3529"/>
      <c r="BS1318" s="3529"/>
      <c r="BT1318" s="3529"/>
      <c r="BU1318" s="3529"/>
      <c r="BV1318" s="3529"/>
      <c r="BW1318" s="3529"/>
      <c r="BX1318" s="3529"/>
      <c r="BY1318" s="3529"/>
    </row>
    <row r="1319" spans="1:77" s="3561" customFormat="1" ht="48" customHeight="1">
      <c r="A1319" s="4177">
        <v>6</v>
      </c>
      <c r="B1319" s="4178" t="s">
        <v>802</v>
      </c>
      <c r="C1319" s="4179">
        <v>2</v>
      </c>
      <c r="D1319" s="4179" t="s">
        <v>107</v>
      </c>
      <c r="E1319" s="4179" t="s">
        <v>196</v>
      </c>
      <c r="F1319" s="4179" t="s">
        <v>65</v>
      </c>
      <c r="G1319" s="4179">
        <v>21</v>
      </c>
      <c r="H1319" s="4179"/>
      <c r="I1319" s="4174" t="s">
        <v>844</v>
      </c>
      <c r="J1319" s="4169" t="s">
        <v>845</v>
      </c>
      <c r="K1319" s="4170">
        <v>70000</v>
      </c>
      <c r="L1319" s="4170">
        <f>SUM(L1320:L1326)</f>
        <v>2177994280</v>
      </c>
      <c r="M1319" s="4180">
        <v>22000</v>
      </c>
      <c r="N1319" s="4170">
        <f>SUM(N1320:N1323)</f>
        <v>0</v>
      </c>
      <c r="O1319" s="4170">
        <v>11000</v>
      </c>
      <c r="P1319" s="4170">
        <f>SUM(P1320:P1326)</f>
        <v>295663902</v>
      </c>
      <c r="Q1319" s="4151">
        <v>0</v>
      </c>
      <c r="R1319" s="4181">
        <f>SUM(R1320:R1326)</f>
        <v>18233460</v>
      </c>
      <c r="S1319" s="4153">
        <v>3</v>
      </c>
      <c r="T1319" s="4152">
        <f>SUM(T1320:T1326)</f>
        <v>33153190</v>
      </c>
      <c r="U1319" s="4151"/>
      <c r="V1319" s="4146">
        <f>SUM(V1320:V1326)</f>
        <v>44759766</v>
      </c>
      <c r="W1319" s="4172"/>
      <c r="X1319" s="4172"/>
      <c r="Y1319" s="4150">
        <f t="shared" si="432"/>
        <v>3</v>
      </c>
      <c r="Z1319" s="4155">
        <f>SUM(Z1320:Z1326)</f>
        <v>96146416</v>
      </c>
      <c r="AA1319" s="4156">
        <f t="shared" si="439"/>
        <v>22003</v>
      </c>
      <c r="AB1319" s="4155">
        <f>SUM(AB1320:AB1326)</f>
        <v>717825886</v>
      </c>
      <c r="AC1319" s="4157">
        <f t="shared" si="440"/>
        <v>31.432857142857141</v>
      </c>
      <c r="AD1319" s="4157">
        <f t="shared" si="440"/>
        <v>32.958116216907598</v>
      </c>
      <c r="AE1319" s="4173" t="s">
        <v>826</v>
      </c>
      <c r="AF1319" s="3558"/>
      <c r="AG1319" s="3559"/>
      <c r="AH1319" s="3560"/>
      <c r="AI1319" s="3558"/>
      <c r="AJ1319" s="3558"/>
      <c r="AK1319" s="3558"/>
      <c r="AL1319" s="3558"/>
      <c r="AM1319" s="3558"/>
      <c r="AN1319" s="3558"/>
      <c r="AO1319" s="3558"/>
      <c r="AP1319" s="3558"/>
      <c r="AQ1319" s="3558"/>
      <c r="AR1319" s="3558"/>
      <c r="AS1319" s="3558"/>
      <c r="AT1319" s="3558"/>
      <c r="AU1319" s="3558"/>
      <c r="AV1319" s="3558"/>
      <c r="AW1319" s="3558"/>
      <c r="AX1319" s="3558"/>
      <c r="AY1319" s="3558"/>
      <c r="AZ1319" s="3558"/>
      <c r="BA1319" s="3558"/>
      <c r="BB1319" s="3558"/>
      <c r="BC1319" s="3558"/>
      <c r="BD1319" s="3558"/>
      <c r="BE1319" s="3558"/>
      <c r="BF1319" s="3558"/>
      <c r="BG1319" s="3558"/>
      <c r="BH1319" s="3558"/>
      <c r="BI1319" s="3558"/>
      <c r="BJ1319" s="3558"/>
      <c r="BK1319" s="3558"/>
      <c r="BL1319" s="3558"/>
      <c r="BM1319" s="3558"/>
      <c r="BN1319" s="3558"/>
      <c r="BO1319" s="3558"/>
      <c r="BP1319" s="3558"/>
      <c r="BQ1319" s="3558"/>
      <c r="BR1319" s="3558"/>
      <c r="BS1319" s="3558"/>
      <c r="BT1319" s="3558"/>
      <c r="BU1319" s="3558"/>
      <c r="BV1319" s="3558"/>
      <c r="BW1319" s="3558"/>
      <c r="BX1319" s="3558"/>
      <c r="BY1319" s="3558"/>
    </row>
    <row r="1320" spans="1:77" s="3530" customFormat="1" ht="51.75" customHeight="1">
      <c r="A1320" s="4177"/>
      <c r="B1320" s="4178"/>
      <c r="C1320" s="4179"/>
      <c r="D1320" s="4179"/>
      <c r="E1320" s="4179"/>
      <c r="F1320" s="4179"/>
      <c r="G1320" s="4179"/>
      <c r="H1320" s="4179"/>
      <c r="I1320" s="4174" t="s">
        <v>3889</v>
      </c>
      <c r="J1320" s="4169" t="s">
        <v>846</v>
      </c>
      <c r="K1320" s="4170">
        <v>720</v>
      </c>
      <c r="L1320" s="4170"/>
      <c r="M1320" s="4180">
        <v>240</v>
      </c>
      <c r="N1320" s="4183"/>
      <c r="O1320" s="4170">
        <v>120</v>
      </c>
      <c r="P1320" s="4170"/>
      <c r="Q1320" s="4151">
        <v>0</v>
      </c>
      <c r="R1320" s="4184"/>
      <c r="S1320" s="4153">
        <v>3</v>
      </c>
      <c r="T1320" s="4152"/>
      <c r="U1320" s="4151">
        <v>60</v>
      </c>
      <c r="V1320" s="4157"/>
      <c r="W1320" s="4172"/>
      <c r="X1320" s="4172"/>
      <c r="Y1320" s="4150">
        <f t="shared" si="432"/>
        <v>63</v>
      </c>
      <c r="Z1320" s="4155">
        <f t="shared" si="435"/>
        <v>0</v>
      </c>
      <c r="AA1320" s="4156">
        <f t="shared" si="439"/>
        <v>303</v>
      </c>
      <c r="AB1320" s="4155">
        <f t="shared" si="439"/>
        <v>0</v>
      </c>
      <c r="AC1320" s="4157">
        <f t="shared" si="440"/>
        <v>42.083333333333336</v>
      </c>
      <c r="AD1320" s="4157"/>
      <c r="AE1320" s="4173"/>
      <c r="AF1320" s="3529"/>
      <c r="AG1320" s="3547"/>
      <c r="AH1320" s="3548"/>
      <c r="AI1320" s="3529"/>
      <c r="AJ1320" s="3529"/>
      <c r="AK1320" s="3529"/>
      <c r="AL1320" s="3529"/>
      <c r="AM1320" s="3529"/>
      <c r="AN1320" s="3529"/>
      <c r="AO1320" s="3529"/>
      <c r="AP1320" s="3529"/>
      <c r="AQ1320" s="3529"/>
      <c r="AR1320" s="3529"/>
      <c r="AS1320" s="3529"/>
      <c r="AT1320" s="3529"/>
      <c r="AU1320" s="3529"/>
      <c r="AV1320" s="3529"/>
      <c r="AW1320" s="3529"/>
      <c r="AX1320" s="3529"/>
      <c r="AY1320" s="3529"/>
      <c r="AZ1320" s="3529"/>
      <c r="BA1320" s="3529"/>
      <c r="BB1320" s="3529"/>
      <c r="BC1320" s="3529"/>
      <c r="BD1320" s="3529"/>
      <c r="BE1320" s="3529"/>
      <c r="BF1320" s="3529"/>
      <c r="BG1320" s="3529"/>
      <c r="BH1320" s="3529"/>
      <c r="BI1320" s="3529"/>
      <c r="BJ1320" s="3529"/>
      <c r="BK1320" s="3529"/>
      <c r="BL1320" s="3529"/>
      <c r="BM1320" s="3529"/>
      <c r="BN1320" s="3529"/>
      <c r="BO1320" s="3529"/>
      <c r="BP1320" s="3529"/>
      <c r="BQ1320" s="3529"/>
      <c r="BR1320" s="3529"/>
      <c r="BS1320" s="3529"/>
      <c r="BT1320" s="3529"/>
      <c r="BU1320" s="3529"/>
      <c r="BV1320" s="3529"/>
      <c r="BW1320" s="3529"/>
      <c r="BX1320" s="3529"/>
      <c r="BY1320" s="3529"/>
    </row>
    <row r="1321" spans="1:77" s="3530" customFormat="1" ht="25.5" customHeight="1">
      <c r="A1321" s="4177"/>
      <c r="B1321" s="4178"/>
      <c r="C1321" s="4179"/>
      <c r="D1321" s="4179"/>
      <c r="E1321" s="4179"/>
      <c r="F1321" s="4179"/>
      <c r="G1321" s="4179"/>
      <c r="H1321" s="4179"/>
      <c r="I1321" s="4172"/>
      <c r="J1321" s="4169" t="s">
        <v>847</v>
      </c>
      <c r="K1321" s="4170">
        <f>(5500*4)+13000</f>
        <v>35000</v>
      </c>
      <c r="L1321" s="4170"/>
      <c r="M1321" s="4170">
        <v>22000</v>
      </c>
      <c r="N1321" s="4183"/>
      <c r="O1321" s="4170">
        <v>5250</v>
      </c>
      <c r="P1321" s="4170"/>
      <c r="Q1321" s="4151">
        <v>0</v>
      </c>
      <c r="R1321" s="4184"/>
      <c r="S1321" s="4153"/>
      <c r="T1321" s="4153"/>
      <c r="U1321" s="4151">
        <v>2500</v>
      </c>
      <c r="V1321" s="4157"/>
      <c r="W1321" s="4172"/>
      <c r="X1321" s="4172"/>
      <c r="Y1321" s="4150">
        <f t="shared" si="432"/>
        <v>2500</v>
      </c>
      <c r="Z1321" s="4155">
        <f t="shared" si="435"/>
        <v>0</v>
      </c>
      <c r="AA1321" s="4156">
        <f t="shared" si="439"/>
        <v>24500</v>
      </c>
      <c r="AB1321" s="4155">
        <f t="shared" si="439"/>
        <v>0</v>
      </c>
      <c r="AC1321" s="4157">
        <f t="shared" si="440"/>
        <v>70</v>
      </c>
      <c r="AD1321" s="4157"/>
      <c r="AE1321" s="4173"/>
      <c r="AF1321" s="3529"/>
      <c r="AG1321" s="3547"/>
      <c r="AH1321" s="3548"/>
      <c r="AI1321" s="3529"/>
      <c r="AJ1321" s="3529"/>
      <c r="AK1321" s="3529"/>
      <c r="AL1321" s="3529"/>
      <c r="AM1321" s="3529"/>
      <c r="AN1321" s="3529"/>
      <c r="AO1321" s="3529"/>
      <c r="AP1321" s="3529"/>
      <c r="AQ1321" s="3529"/>
      <c r="AR1321" s="3529"/>
      <c r="AS1321" s="3529"/>
      <c r="AT1321" s="3529"/>
      <c r="AU1321" s="3529"/>
      <c r="AV1321" s="3529"/>
      <c r="AW1321" s="3529"/>
      <c r="AX1321" s="3529"/>
      <c r="AY1321" s="3529"/>
      <c r="AZ1321" s="3529"/>
      <c r="BA1321" s="3529"/>
      <c r="BB1321" s="3529"/>
      <c r="BC1321" s="3529"/>
      <c r="BD1321" s="3529"/>
      <c r="BE1321" s="3529"/>
      <c r="BF1321" s="3529"/>
      <c r="BG1321" s="3529"/>
      <c r="BH1321" s="3529"/>
      <c r="BI1321" s="3529"/>
      <c r="BJ1321" s="3529"/>
      <c r="BK1321" s="3529"/>
      <c r="BL1321" s="3529"/>
      <c r="BM1321" s="3529"/>
      <c r="BN1321" s="3529"/>
      <c r="BO1321" s="3529"/>
      <c r="BP1321" s="3529"/>
      <c r="BQ1321" s="3529"/>
      <c r="BR1321" s="3529"/>
      <c r="BS1321" s="3529"/>
      <c r="BT1321" s="3529"/>
      <c r="BU1321" s="3529"/>
      <c r="BV1321" s="3529"/>
      <c r="BW1321" s="3529"/>
      <c r="BX1321" s="3529"/>
      <c r="BY1321" s="3529"/>
    </row>
    <row r="1322" spans="1:77" s="3530" customFormat="1" ht="33" customHeight="1">
      <c r="A1322" s="4177"/>
      <c r="B1322" s="4178"/>
      <c r="C1322" s="4179"/>
      <c r="D1322" s="4179"/>
      <c r="E1322" s="4179"/>
      <c r="F1322" s="4179"/>
      <c r="G1322" s="4179"/>
      <c r="H1322" s="4179"/>
      <c r="I1322" s="4182"/>
      <c r="J1322" s="4169" t="s">
        <v>848</v>
      </c>
      <c r="K1322" s="4170">
        <f>(5500*4)+13000</f>
        <v>35000</v>
      </c>
      <c r="L1322" s="4170"/>
      <c r="M1322" s="4170">
        <v>22000</v>
      </c>
      <c r="N1322" s="4183"/>
      <c r="O1322" s="4170">
        <v>5250</v>
      </c>
      <c r="P1322" s="4170"/>
      <c r="Q1322" s="4151">
        <v>0</v>
      </c>
      <c r="R1322" s="4184"/>
      <c r="S1322" s="4153"/>
      <c r="T1322" s="4153"/>
      <c r="U1322" s="4151">
        <v>3000</v>
      </c>
      <c r="V1322" s="4157"/>
      <c r="W1322" s="4172"/>
      <c r="X1322" s="4172"/>
      <c r="Y1322" s="4150">
        <f t="shared" si="432"/>
        <v>3000</v>
      </c>
      <c r="Z1322" s="4155">
        <f t="shared" si="435"/>
        <v>0</v>
      </c>
      <c r="AA1322" s="4156">
        <f t="shared" si="439"/>
        <v>25000</v>
      </c>
      <c r="AB1322" s="4155">
        <f t="shared" si="439"/>
        <v>0</v>
      </c>
      <c r="AC1322" s="4157">
        <f t="shared" si="440"/>
        <v>71.428571428571431</v>
      </c>
      <c r="AD1322" s="4157"/>
      <c r="AE1322" s="4173"/>
      <c r="AF1322" s="3529"/>
      <c r="AG1322" s="3547"/>
      <c r="AH1322" s="3548"/>
      <c r="AI1322" s="3529"/>
      <c r="AJ1322" s="3529"/>
      <c r="AK1322" s="3529"/>
      <c r="AL1322" s="3529"/>
      <c r="AM1322" s="3529"/>
      <c r="AN1322" s="3529"/>
      <c r="AO1322" s="3529"/>
      <c r="AP1322" s="3529"/>
      <c r="AQ1322" s="3529"/>
      <c r="AR1322" s="3529"/>
      <c r="AS1322" s="3529"/>
      <c r="AT1322" s="3529"/>
      <c r="AU1322" s="3529"/>
      <c r="AV1322" s="3529"/>
      <c r="AW1322" s="3529"/>
      <c r="AX1322" s="3529"/>
      <c r="AY1322" s="3529"/>
      <c r="AZ1322" s="3529"/>
      <c r="BA1322" s="3529"/>
      <c r="BB1322" s="3529"/>
      <c r="BC1322" s="3529"/>
      <c r="BD1322" s="3529"/>
      <c r="BE1322" s="3529"/>
      <c r="BF1322" s="3529"/>
      <c r="BG1322" s="3529"/>
      <c r="BH1322" s="3529"/>
      <c r="BI1322" s="3529"/>
      <c r="BJ1322" s="3529"/>
      <c r="BK1322" s="3529"/>
      <c r="BL1322" s="3529"/>
      <c r="BM1322" s="3529"/>
      <c r="BN1322" s="3529"/>
      <c r="BO1322" s="3529"/>
      <c r="BP1322" s="3529"/>
      <c r="BQ1322" s="3529"/>
      <c r="BR1322" s="3529"/>
      <c r="BS1322" s="3529"/>
      <c r="BT1322" s="3529"/>
      <c r="BU1322" s="3529"/>
      <c r="BV1322" s="3529"/>
      <c r="BW1322" s="3529"/>
      <c r="BX1322" s="3529"/>
      <c r="BY1322" s="3529"/>
    </row>
    <row r="1323" spans="1:77" s="3530" customFormat="1" ht="46.5" customHeight="1">
      <c r="A1323" s="4177"/>
      <c r="B1323" s="4178"/>
      <c r="C1323" s="4179"/>
      <c r="D1323" s="4179"/>
      <c r="E1323" s="4179"/>
      <c r="F1323" s="4179"/>
      <c r="G1323" s="4179"/>
      <c r="H1323" s="4179"/>
      <c r="I1323" s="4182"/>
      <c r="J1323" s="4169" t="s">
        <v>849</v>
      </c>
      <c r="K1323" s="4170">
        <v>250</v>
      </c>
      <c r="L1323" s="4170"/>
      <c r="M1323" s="4183">
        <v>100</v>
      </c>
      <c r="N1323" s="4185"/>
      <c r="O1323" s="4170">
        <v>100</v>
      </c>
      <c r="P1323" s="4170"/>
      <c r="Q1323" s="4151">
        <v>0</v>
      </c>
      <c r="R1323" s="4184"/>
      <c r="S1323" s="4153"/>
      <c r="T1323" s="4153"/>
      <c r="U1323" s="4151">
        <v>0</v>
      </c>
      <c r="V1323" s="4157">
        <v>0</v>
      </c>
      <c r="W1323" s="4172"/>
      <c r="X1323" s="4172"/>
      <c r="Y1323" s="4150">
        <f t="shared" si="432"/>
        <v>0</v>
      </c>
      <c r="Z1323" s="4155">
        <f t="shared" si="435"/>
        <v>0</v>
      </c>
      <c r="AA1323" s="4156">
        <f t="shared" si="439"/>
        <v>100</v>
      </c>
      <c r="AB1323" s="4155">
        <f t="shared" si="439"/>
        <v>0</v>
      </c>
      <c r="AC1323" s="4157">
        <f t="shared" si="440"/>
        <v>40</v>
      </c>
      <c r="AD1323" s="4157"/>
      <c r="AE1323" s="4173"/>
      <c r="AF1323" s="3529"/>
      <c r="AG1323" s="3547"/>
      <c r="AH1323" s="3548"/>
      <c r="AI1323" s="3529"/>
      <c r="AJ1323" s="3529"/>
      <c r="AK1323" s="3529"/>
      <c r="AL1323" s="3529"/>
      <c r="AM1323" s="3529"/>
      <c r="AN1323" s="3529"/>
      <c r="AO1323" s="3529"/>
      <c r="AP1323" s="3529"/>
      <c r="AQ1323" s="3529"/>
      <c r="AR1323" s="3529"/>
      <c r="AS1323" s="3529"/>
      <c r="AT1323" s="3529"/>
      <c r="AU1323" s="3529"/>
      <c r="AV1323" s="3529"/>
      <c r="AW1323" s="3529"/>
      <c r="AX1323" s="3529"/>
      <c r="AY1323" s="3529"/>
      <c r="AZ1323" s="3529"/>
      <c r="BA1323" s="3529"/>
      <c r="BB1323" s="3529"/>
      <c r="BC1323" s="3529"/>
      <c r="BD1323" s="3529"/>
      <c r="BE1323" s="3529"/>
      <c r="BF1323" s="3529"/>
      <c r="BG1323" s="3529"/>
      <c r="BH1323" s="3529"/>
      <c r="BI1323" s="3529"/>
      <c r="BJ1323" s="3529"/>
      <c r="BK1323" s="3529"/>
      <c r="BL1323" s="3529"/>
      <c r="BM1323" s="3529"/>
      <c r="BN1323" s="3529"/>
      <c r="BO1323" s="3529"/>
      <c r="BP1323" s="3529"/>
      <c r="BQ1323" s="3529"/>
      <c r="BR1323" s="3529"/>
      <c r="BS1323" s="3529"/>
      <c r="BT1323" s="3529"/>
      <c r="BU1323" s="3529"/>
      <c r="BV1323" s="3529"/>
      <c r="BW1323" s="3529"/>
      <c r="BX1323" s="3529"/>
      <c r="BY1323" s="3529"/>
    </row>
    <row r="1324" spans="1:77" s="3530" customFormat="1" ht="46.5" customHeight="1">
      <c r="A1324" s="3565"/>
      <c r="B1324" s="3566"/>
      <c r="C1324" s="3567"/>
      <c r="D1324" s="3567"/>
      <c r="E1324" s="3567"/>
      <c r="F1324" s="3567"/>
      <c r="G1324" s="3567"/>
      <c r="H1324" s="3567"/>
      <c r="I1324" s="3577" t="s">
        <v>3890</v>
      </c>
      <c r="J1324" s="3569" t="s">
        <v>3893</v>
      </c>
      <c r="K1324" s="3570">
        <v>30300</v>
      </c>
      <c r="L1324" s="3570">
        <v>1362291000</v>
      </c>
      <c r="M1324" s="3589">
        <v>5302</v>
      </c>
      <c r="N1324" s="3571">
        <v>474514000</v>
      </c>
      <c r="O1324" s="3570">
        <v>4000</v>
      </c>
      <c r="P1324" s="3570">
        <v>165695675</v>
      </c>
      <c r="Q1324" s="3572">
        <v>0</v>
      </c>
      <c r="R1324" s="3590">
        <v>4331510</v>
      </c>
      <c r="S1324" s="3583">
        <v>0</v>
      </c>
      <c r="T1324" s="3584">
        <v>4990000</v>
      </c>
      <c r="U1324" s="3572">
        <v>3000</v>
      </c>
      <c r="V1324" s="3574">
        <v>18260771</v>
      </c>
      <c r="W1324" s="3583">
        <v>0</v>
      </c>
      <c r="X1324" s="3583"/>
      <c r="Y1324" s="3586">
        <f t="shared" si="432"/>
        <v>3000</v>
      </c>
      <c r="Z1324" s="3587">
        <f t="shared" si="432"/>
        <v>27582281</v>
      </c>
      <c r="AA1324" s="3575">
        <f t="shared" ref="AA1324:AB1332" si="441">M1324+Y1324</f>
        <v>8302</v>
      </c>
      <c r="AB1324" s="3587">
        <f t="shared" si="441"/>
        <v>502096281</v>
      </c>
      <c r="AC1324" s="3573">
        <f t="shared" si="440"/>
        <v>27.399339933993399</v>
      </c>
      <c r="AD1324" s="3573">
        <f t="shared" si="440"/>
        <v>36.856756816274938</v>
      </c>
      <c r="AE1324" s="3591"/>
      <c r="AF1324" s="3529"/>
      <c r="AG1324" s="3547"/>
      <c r="AH1324" s="3548"/>
      <c r="AI1324" s="3529"/>
      <c r="AJ1324" s="3529"/>
      <c r="AK1324" s="3529"/>
      <c r="AL1324" s="3529"/>
      <c r="AM1324" s="3529"/>
      <c r="AN1324" s="3529"/>
      <c r="AO1324" s="3529"/>
      <c r="AP1324" s="3529"/>
      <c r="AQ1324" s="3529"/>
      <c r="AR1324" s="3529"/>
      <c r="AS1324" s="3529"/>
      <c r="AT1324" s="3529"/>
      <c r="AU1324" s="3529"/>
      <c r="AV1324" s="3529"/>
      <c r="AW1324" s="3529"/>
      <c r="AX1324" s="3529"/>
      <c r="AY1324" s="3529"/>
      <c r="AZ1324" s="3529"/>
      <c r="BA1324" s="3529"/>
      <c r="BB1324" s="3529"/>
      <c r="BC1324" s="3529"/>
      <c r="BD1324" s="3529"/>
      <c r="BE1324" s="3529"/>
      <c r="BF1324" s="3529"/>
      <c r="BG1324" s="3529"/>
      <c r="BH1324" s="3529"/>
      <c r="BI1324" s="3529"/>
      <c r="BJ1324" s="3529"/>
      <c r="BK1324" s="3529"/>
      <c r="BL1324" s="3529"/>
      <c r="BM1324" s="3529"/>
      <c r="BN1324" s="3529"/>
      <c r="BO1324" s="3529"/>
      <c r="BP1324" s="3529"/>
      <c r="BQ1324" s="3529"/>
      <c r="BR1324" s="3529"/>
      <c r="BS1324" s="3529"/>
      <c r="BT1324" s="3529"/>
      <c r="BU1324" s="3529"/>
      <c r="BV1324" s="3529"/>
      <c r="BW1324" s="3529"/>
      <c r="BX1324" s="3529"/>
      <c r="BY1324" s="3529"/>
    </row>
    <row r="1325" spans="1:77" s="3530" customFormat="1" ht="46.5" customHeight="1">
      <c r="A1325" s="3565"/>
      <c r="B1325" s="3566"/>
      <c r="C1325" s="3567"/>
      <c r="D1325" s="3567"/>
      <c r="E1325" s="3567"/>
      <c r="F1325" s="3567"/>
      <c r="G1325" s="3567"/>
      <c r="H1325" s="3567"/>
      <c r="I1325" s="3577" t="s">
        <v>3891</v>
      </c>
      <c r="J1325" s="3569" t="s">
        <v>3894</v>
      </c>
      <c r="K1325" s="3592">
        <v>33.33</v>
      </c>
      <c r="L1325" s="3570">
        <v>740626820</v>
      </c>
      <c r="M1325" s="3593">
        <v>13.33</v>
      </c>
      <c r="N1325" s="3571">
        <v>120423280</v>
      </c>
      <c r="O1325" s="3570">
        <v>20</v>
      </c>
      <c r="P1325" s="3570">
        <v>94611610</v>
      </c>
      <c r="Q1325" s="3594">
        <v>0</v>
      </c>
      <c r="R1325" s="3590">
        <v>13901950</v>
      </c>
      <c r="S1325" s="3583">
        <v>0</v>
      </c>
      <c r="T1325" s="3584">
        <v>28163190</v>
      </c>
      <c r="U1325" s="3572">
        <v>15</v>
      </c>
      <c r="V1325" s="3574">
        <v>26498995</v>
      </c>
      <c r="W1325" s="3583">
        <v>0</v>
      </c>
      <c r="X1325" s="3583"/>
      <c r="Y1325" s="3586">
        <f t="shared" si="432"/>
        <v>15</v>
      </c>
      <c r="Z1325" s="3587">
        <f t="shared" si="432"/>
        <v>68564135</v>
      </c>
      <c r="AA1325" s="3575">
        <f t="shared" si="441"/>
        <v>28.33</v>
      </c>
      <c r="AB1325" s="3587">
        <f t="shared" si="441"/>
        <v>188987415</v>
      </c>
      <c r="AC1325" s="3573">
        <f t="shared" si="440"/>
        <v>84.998499849984995</v>
      </c>
      <c r="AD1325" s="3573">
        <f t="shared" si="440"/>
        <v>25.517225395645269</v>
      </c>
      <c r="AE1325" s="3591"/>
      <c r="AF1325" s="3529"/>
      <c r="AG1325" s="3547"/>
      <c r="AH1325" s="3548"/>
      <c r="AI1325" s="3529"/>
      <c r="AJ1325" s="3529"/>
      <c r="AK1325" s="3529"/>
      <c r="AL1325" s="3529"/>
      <c r="AM1325" s="3529"/>
      <c r="AN1325" s="3529"/>
      <c r="AO1325" s="3529"/>
      <c r="AP1325" s="3529"/>
      <c r="AQ1325" s="3529"/>
      <c r="AR1325" s="3529"/>
      <c r="AS1325" s="3529"/>
      <c r="AT1325" s="3529"/>
      <c r="AU1325" s="3529"/>
      <c r="AV1325" s="3529"/>
      <c r="AW1325" s="3529"/>
      <c r="AX1325" s="3529"/>
      <c r="AY1325" s="3529"/>
      <c r="AZ1325" s="3529"/>
      <c r="BA1325" s="3529"/>
      <c r="BB1325" s="3529"/>
      <c r="BC1325" s="3529"/>
      <c r="BD1325" s="3529"/>
      <c r="BE1325" s="3529"/>
      <c r="BF1325" s="3529"/>
      <c r="BG1325" s="3529"/>
      <c r="BH1325" s="3529"/>
      <c r="BI1325" s="3529"/>
      <c r="BJ1325" s="3529"/>
      <c r="BK1325" s="3529"/>
      <c r="BL1325" s="3529"/>
      <c r="BM1325" s="3529"/>
      <c r="BN1325" s="3529"/>
      <c r="BO1325" s="3529"/>
      <c r="BP1325" s="3529"/>
      <c r="BQ1325" s="3529"/>
      <c r="BR1325" s="3529"/>
      <c r="BS1325" s="3529"/>
      <c r="BT1325" s="3529"/>
      <c r="BU1325" s="3529"/>
      <c r="BV1325" s="3529"/>
      <c r="BW1325" s="3529"/>
      <c r="BX1325" s="3529"/>
      <c r="BY1325" s="3529"/>
    </row>
    <row r="1326" spans="1:77" s="3530" customFormat="1" ht="46.5" customHeight="1">
      <c r="A1326" s="3565"/>
      <c r="B1326" s="3566"/>
      <c r="C1326" s="3567"/>
      <c r="D1326" s="3567"/>
      <c r="E1326" s="3567"/>
      <c r="F1326" s="3567"/>
      <c r="G1326" s="3567"/>
      <c r="H1326" s="3567"/>
      <c r="I1326" s="3577" t="s">
        <v>3892</v>
      </c>
      <c r="J1326" s="3569" t="s">
        <v>4053</v>
      </c>
      <c r="K1326" s="3570">
        <v>1</v>
      </c>
      <c r="L1326" s="3570">
        <v>75076460</v>
      </c>
      <c r="M1326" s="3589">
        <v>1</v>
      </c>
      <c r="N1326" s="3571">
        <v>26742190</v>
      </c>
      <c r="O1326" s="3570">
        <v>1</v>
      </c>
      <c r="P1326" s="3570">
        <v>35356617</v>
      </c>
      <c r="Q1326" s="3572">
        <v>0</v>
      </c>
      <c r="R1326" s="3595" t="s">
        <v>2034</v>
      </c>
      <c r="S1326" s="3583">
        <v>0</v>
      </c>
      <c r="T1326" s="3583">
        <v>0</v>
      </c>
      <c r="U1326" s="3572">
        <v>0</v>
      </c>
      <c r="V1326" s="3573">
        <v>0</v>
      </c>
      <c r="W1326" s="3583"/>
      <c r="X1326" s="3583"/>
      <c r="Y1326" s="3586">
        <f t="shared" si="432"/>
        <v>0</v>
      </c>
      <c r="Z1326" s="3587">
        <f t="shared" si="432"/>
        <v>0</v>
      </c>
      <c r="AA1326" s="3575">
        <f t="shared" si="441"/>
        <v>1</v>
      </c>
      <c r="AB1326" s="3587">
        <f t="shared" si="441"/>
        <v>26742190</v>
      </c>
      <c r="AC1326" s="3573">
        <f t="shared" si="440"/>
        <v>100</v>
      </c>
      <c r="AD1326" s="3573">
        <f t="shared" si="440"/>
        <v>35.619939991842983</v>
      </c>
      <c r="AE1326" s="3591"/>
      <c r="AF1326" s="3529"/>
      <c r="AG1326" s="3547"/>
      <c r="AH1326" s="3548"/>
      <c r="AI1326" s="3529"/>
      <c r="AJ1326" s="3529"/>
      <c r="AK1326" s="3529"/>
      <c r="AL1326" s="3529"/>
      <c r="AM1326" s="3529"/>
      <c r="AN1326" s="3529"/>
      <c r="AO1326" s="3529"/>
      <c r="AP1326" s="3529"/>
      <c r="AQ1326" s="3529"/>
      <c r="AR1326" s="3529"/>
      <c r="AS1326" s="3529"/>
      <c r="AT1326" s="3529"/>
      <c r="AU1326" s="3529"/>
      <c r="AV1326" s="3529"/>
      <c r="AW1326" s="3529"/>
      <c r="AX1326" s="3529"/>
      <c r="AY1326" s="3529"/>
      <c r="AZ1326" s="3529"/>
      <c r="BA1326" s="3529"/>
      <c r="BB1326" s="3529"/>
      <c r="BC1326" s="3529"/>
      <c r="BD1326" s="3529"/>
      <c r="BE1326" s="3529"/>
      <c r="BF1326" s="3529"/>
      <c r="BG1326" s="3529"/>
      <c r="BH1326" s="3529"/>
      <c r="BI1326" s="3529"/>
      <c r="BJ1326" s="3529"/>
      <c r="BK1326" s="3529"/>
      <c r="BL1326" s="3529"/>
      <c r="BM1326" s="3529"/>
      <c r="BN1326" s="3529"/>
      <c r="BO1326" s="3529"/>
      <c r="BP1326" s="3529"/>
      <c r="BQ1326" s="3529"/>
      <c r="BR1326" s="3529"/>
      <c r="BS1326" s="3529"/>
      <c r="BT1326" s="3529"/>
      <c r="BU1326" s="3529"/>
      <c r="BV1326" s="3529"/>
      <c r="BW1326" s="3529"/>
      <c r="BX1326" s="3529"/>
      <c r="BY1326" s="3529"/>
    </row>
    <row r="1327" spans="1:77" s="4226" customFormat="1" ht="49.5">
      <c r="A1327" s="4153">
        <v>7</v>
      </c>
      <c r="B1327" s="4174" t="s">
        <v>802</v>
      </c>
      <c r="C1327" s="4227">
        <v>2</v>
      </c>
      <c r="D1327" s="4227" t="s">
        <v>107</v>
      </c>
      <c r="E1327" s="4227" t="s">
        <v>196</v>
      </c>
      <c r="F1327" s="4227" t="s">
        <v>65</v>
      </c>
      <c r="G1327" s="4227">
        <v>23</v>
      </c>
      <c r="H1327" s="4227"/>
      <c r="I1327" s="4174" t="s">
        <v>850</v>
      </c>
      <c r="J1327" s="4144" t="s">
        <v>851</v>
      </c>
      <c r="K1327" s="4170">
        <v>20</v>
      </c>
      <c r="L1327" s="4170">
        <f>L1328</f>
        <v>2269262100</v>
      </c>
      <c r="M1327" s="4180">
        <v>7</v>
      </c>
      <c r="N1327" s="4185">
        <f>N1328</f>
        <v>756420700</v>
      </c>
      <c r="O1327" s="4170">
        <v>3</v>
      </c>
      <c r="P1327" s="4170">
        <f>P1328</f>
        <v>913327596</v>
      </c>
      <c r="Q1327" s="4228">
        <v>0</v>
      </c>
      <c r="R1327" s="4229">
        <f>R1328</f>
        <v>13919632</v>
      </c>
      <c r="S1327" s="4153">
        <v>1</v>
      </c>
      <c r="T1327" s="4152">
        <f>T1328</f>
        <v>139604160</v>
      </c>
      <c r="U1327" s="4151">
        <f>U1328</f>
        <v>3</v>
      </c>
      <c r="V1327" s="4146">
        <f>V1328</f>
        <v>329271182</v>
      </c>
      <c r="W1327" s="4153"/>
      <c r="X1327" s="4153"/>
      <c r="Y1327" s="4150">
        <f t="shared" si="432"/>
        <v>4</v>
      </c>
      <c r="Z1327" s="4155">
        <f>Z1328</f>
        <v>482794974</v>
      </c>
      <c r="AA1327" s="4156">
        <f t="shared" si="441"/>
        <v>11</v>
      </c>
      <c r="AB1327" s="4155">
        <f>AB1328</f>
        <v>1239215674</v>
      </c>
      <c r="AC1327" s="4157">
        <f t="shared" si="440"/>
        <v>55.000000000000007</v>
      </c>
      <c r="AD1327" s="4157">
        <f t="shared" si="440"/>
        <v>54.608750306983048</v>
      </c>
      <c r="AE1327" s="4158" t="s">
        <v>826</v>
      </c>
      <c r="AF1327" s="4223"/>
      <c r="AG1327" s="4224"/>
      <c r="AH1327" s="4225"/>
      <c r="AI1327" s="4223"/>
      <c r="AJ1327" s="4223"/>
      <c r="AK1327" s="4223"/>
      <c r="AL1327" s="4223"/>
      <c r="AM1327" s="4223"/>
      <c r="AN1327" s="4223"/>
      <c r="AO1327" s="4223"/>
      <c r="AP1327" s="4223"/>
      <c r="AQ1327" s="4223"/>
      <c r="AR1327" s="4223"/>
      <c r="AS1327" s="4223"/>
      <c r="AT1327" s="4223"/>
      <c r="AU1327" s="4223"/>
      <c r="AV1327" s="4223"/>
      <c r="AW1327" s="4223"/>
      <c r="AX1327" s="4223"/>
      <c r="AY1327" s="4223"/>
      <c r="AZ1327" s="4223"/>
      <c r="BA1327" s="4223"/>
      <c r="BB1327" s="4223"/>
      <c r="BC1327" s="4223"/>
      <c r="BD1327" s="4223"/>
      <c r="BE1327" s="4223"/>
      <c r="BF1327" s="4223"/>
      <c r="BG1327" s="4223"/>
      <c r="BH1327" s="4223"/>
      <c r="BI1327" s="4223"/>
      <c r="BJ1327" s="4223"/>
      <c r="BK1327" s="4223"/>
      <c r="BL1327" s="4223"/>
      <c r="BM1327" s="4223"/>
      <c r="BN1327" s="4223"/>
      <c r="BO1327" s="4223"/>
      <c r="BP1327" s="4223"/>
      <c r="BQ1327" s="4223"/>
      <c r="BR1327" s="4223"/>
      <c r="BS1327" s="4223"/>
      <c r="BT1327" s="4223"/>
      <c r="BU1327" s="4223"/>
      <c r="BV1327" s="4223"/>
      <c r="BW1327" s="4223"/>
      <c r="BX1327" s="4223"/>
      <c r="BY1327" s="4223"/>
    </row>
    <row r="1328" spans="1:77" s="4190" customFormat="1" ht="52.5" customHeight="1">
      <c r="A1328" s="3393"/>
      <c r="B1328" s="3383"/>
      <c r="C1328" s="3386"/>
      <c r="D1328" s="3386"/>
      <c r="E1328" s="3386"/>
      <c r="F1328" s="3386"/>
      <c r="G1328" s="3386"/>
      <c r="H1328" s="3386"/>
      <c r="I1328" s="3307" t="s">
        <v>852</v>
      </c>
      <c r="J1328" s="3383" t="s">
        <v>4054</v>
      </c>
      <c r="K1328" s="3313">
        <v>20</v>
      </c>
      <c r="L1328" s="3325">
        <v>2269262100</v>
      </c>
      <c r="M1328" s="3313">
        <v>7</v>
      </c>
      <c r="N1328" s="3428">
        <f>L1328/3</f>
        <v>756420700</v>
      </c>
      <c r="O1328" s="3313">
        <v>3</v>
      </c>
      <c r="P1328" s="3389">
        <v>913327596</v>
      </c>
      <c r="Q1328" s="4195">
        <v>0</v>
      </c>
      <c r="R1328" s="3395">
        <v>13919632</v>
      </c>
      <c r="S1328" s="3393">
        <v>1</v>
      </c>
      <c r="T1328" s="3394">
        <v>139604160</v>
      </c>
      <c r="U1328" s="4191">
        <v>3</v>
      </c>
      <c r="V1328" s="3428">
        <v>329271182</v>
      </c>
      <c r="W1328" s="3393"/>
      <c r="X1328" s="3393"/>
      <c r="Y1328" s="3389">
        <f t="shared" si="432"/>
        <v>4</v>
      </c>
      <c r="Z1328" s="4192">
        <f t="shared" si="435"/>
        <v>482794974</v>
      </c>
      <c r="AA1328" s="4193">
        <f t="shared" si="441"/>
        <v>11</v>
      </c>
      <c r="AB1328" s="4192">
        <f t="shared" si="441"/>
        <v>1239215674</v>
      </c>
      <c r="AC1328" s="4194">
        <f t="shared" si="440"/>
        <v>55.000000000000007</v>
      </c>
      <c r="AD1328" s="4194">
        <f t="shared" si="440"/>
        <v>54.608750306983048</v>
      </c>
      <c r="AE1328" s="3397"/>
      <c r="AF1328" s="3306"/>
      <c r="AG1328" s="3305"/>
      <c r="AH1328" s="4189"/>
      <c r="AI1328" s="3306"/>
      <c r="AJ1328" s="3306"/>
      <c r="AK1328" s="3306"/>
      <c r="AL1328" s="3306"/>
      <c r="AM1328" s="3306"/>
      <c r="AN1328" s="3306"/>
      <c r="AO1328" s="3306"/>
      <c r="AP1328" s="3306"/>
      <c r="AQ1328" s="3306"/>
      <c r="AR1328" s="3306"/>
      <c r="AS1328" s="3306"/>
      <c r="AT1328" s="3306"/>
      <c r="AU1328" s="3306"/>
      <c r="AV1328" s="3306"/>
      <c r="AW1328" s="3306"/>
      <c r="AX1328" s="3306"/>
      <c r="AY1328" s="3306"/>
      <c r="AZ1328" s="3306"/>
      <c r="BA1328" s="3306"/>
      <c r="BB1328" s="3306"/>
      <c r="BC1328" s="3306"/>
      <c r="BD1328" s="3306"/>
      <c r="BE1328" s="3306"/>
      <c r="BF1328" s="3306"/>
      <c r="BG1328" s="3306"/>
      <c r="BH1328" s="3306"/>
      <c r="BI1328" s="3306"/>
      <c r="BJ1328" s="3306"/>
      <c r="BK1328" s="3306"/>
      <c r="BL1328" s="3306"/>
      <c r="BM1328" s="3306"/>
      <c r="BN1328" s="3306"/>
      <c r="BO1328" s="3306"/>
      <c r="BP1328" s="3306"/>
      <c r="BQ1328" s="3306"/>
      <c r="BR1328" s="3306"/>
      <c r="BS1328" s="3306"/>
      <c r="BT1328" s="3306"/>
      <c r="BU1328" s="3306"/>
      <c r="BV1328" s="3306"/>
      <c r="BW1328" s="3306"/>
      <c r="BX1328" s="3306"/>
      <c r="BY1328" s="3306"/>
    </row>
    <row r="1329" spans="1:77" s="4188" customFormat="1" ht="45.75" customHeight="1">
      <c r="A1329" s="4142">
        <v>8</v>
      </c>
      <c r="B1329" s="4092"/>
      <c r="C1329" s="4143">
        <v>2</v>
      </c>
      <c r="D1329" s="4143" t="s">
        <v>107</v>
      </c>
      <c r="E1329" s="4143" t="s">
        <v>196</v>
      </c>
      <c r="F1329" s="4143" t="s">
        <v>65</v>
      </c>
      <c r="G1329" s="4143">
        <v>24</v>
      </c>
      <c r="H1329" s="4143"/>
      <c r="I1329" s="4174" t="s">
        <v>854</v>
      </c>
      <c r="J1329" s="4174" t="s">
        <v>855</v>
      </c>
      <c r="K1329" s="4149">
        <v>4</v>
      </c>
      <c r="L1329" s="4171">
        <f>SUM(L1330)</f>
        <v>964440852</v>
      </c>
      <c r="M1329" s="4149">
        <v>2</v>
      </c>
      <c r="N1329" s="4146">
        <f>SUM(N1330)</f>
        <v>334407666.66666669</v>
      </c>
      <c r="O1329" s="4149">
        <v>1</v>
      </c>
      <c r="P1329" s="4150">
        <f>SUM(P1330)</f>
        <v>160740142</v>
      </c>
      <c r="Q1329" s="4162">
        <v>0</v>
      </c>
      <c r="R1329" s="4163">
        <f>SUM(R1330)</f>
        <v>2052500</v>
      </c>
      <c r="S1329" s="4153">
        <v>1</v>
      </c>
      <c r="T1329" s="4152">
        <f>SUM(T1330)</f>
        <v>0</v>
      </c>
      <c r="U1329" s="4151">
        <f>U1330</f>
        <v>0</v>
      </c>
      <c r="V1329" s="4146">
        <f>SUM(V1330)</f>
        <v>126787726</v>
      </c>
      <c r="W1329" s="4153"/>
      <c r="X1329" s="4153"/>
      <c r="Y1329" s="4150">
        <f t="shared" si="432"/>
        <v>1</v>
      </c>
      <c r="Z1329" s="4155">
        <f>SUM(Z1330)</f>
        <v>128840226</v>
      </c>
      <c r="AA1329" s="4156">
        <f t="shared" si="441"/>
        <v>3</v>
      </c>
      <c r="AB1329" s="4155">
        <f>SUM(AB1330)</f>
        <v>463247892.66666669</v>
      </c>
      <c r="AC1329" s="4157">
        <f t="shared" si="440"/>
        <v>75</v>
      </c>
      <c r="AD1329" s="4157">
        <f t="shared" si="440"/>
        <v>48.032794515704182</v>
      </c>
      <c r="AE1329" s="4158" t="s">
        <v>826</v>
      </c>
      <c r="AF1329" s="3322"/>
      <c r="AG1329" s="4186"/>
      <c r="AH1329" s="4187"/>
      <c r="AI1329" s="3322"/>
      <c r="AJ1329" s="3322"/>
      <c r="AK1329" s="3322"/>
      <c r="AL1329" s="3322"/>
      <c r="AM1329" s="3322"/>
      <c r="AN1329" s="3322"/>
      <c r="AO1329" s="3322"/>
      <c r="AP1329" s="3322"/>
      <c r="AQ1329" s="3322"/>
      <c r="AR1329" s="3322"/>
      <c r="AS1329" s="3322"/>
      <c r="AT1329" s="3322"/>
      <c r="AU1329" s="3322"/>
      <c r="AV1329" s="3322"/>
      <c r="AW1329" s="3322"/>
      <c r="AX1329" s="3322"/>
      <c r="AY1329" s="3322"/>
      <c r="AZ1329" s="3322"/>
      <c r="BA1329" s="3322"/>
      <c r="BB1329" s="3322"/>
      <c r="BC1329" s="3322"/>
      <c r="BD1329" s="3322"/>
      <c r="BE1329" s="3322"/>
      <c r="BF1329" s="3322"/>
      <c r="BG1329" s="3322"/>
      <c r="BH1329" s="3322"/>
      <c r="BI1329" s="3322"/>
      <c r="BJ1329" s="3322"/>
      <c r="BK1329" s="3322"/>
      <c r="BL1329" s="3322"/>
      <c r="BM1329" s="3322"/>
      <c r="BN1329" s="3322"/>
      <c r="BO1329" s="3322"/>
      <c r="BP1329" s="3322"/>
      <c r="BQ1329" s="3322"/>
      <c r="BR1329" s="3322"/>
      <c r="BS1329" s="3322"/>
      <c r="BT1329" s="3322"/>
      <c r="BU1329" s="3322"/>
      <c r="BV1329" s="3322"/>
      <c r="BW1329" s="3322"/>
      <c r="BX1329" s="3322"/>
      <c r="BY1329" s="3322"/>
    </row>
    <row r="1330" spans="1:77" s="4190" customFormat="1" ht="43.5" customHeight="1">
      <c r="A1330" s="3393"/>
      <c r="B1330" s="3383"/>
      <c r="C1330" s="3386"/>
      <c r="D1330" s="3386"/>
      <c r="E1330" s="3386"/>
      <c r="F1330" s="3386"/>
      <c r="G1330" s="3386"/>
      <c r="H1330" s="3386"/>
      <c r="I1330" s="3383" t="s">
        <v>856</v>
      </c>
      <c r="J1330" s="3383" t="s">
        <v>857</v>
      </c>
      <c r="K1330" s="3313">
        <v>4</v>
      </c>
      <c r="L1330" s="3325">
        <f>6*P1330</f>
        <v>964440852</v>
      </c>
      <c r="M1330" s="3313">
        <v>2</v>
      </c>
      <c r="N1330" s="3428">
        <v>334407666.66666669</v>
      </c>
      <c r="O1330" s="3313">
        <v>1</v>
      </c>
      <c r="P1330" s="3389">
        <v>160740142</v>
      </c>
      <c r="Q1330" s="4191">
        <v>0</v>
      </c>
      <c r="R1330" s="3395">
        <v>2052500</v>
      </c>
      <c r="S1330" s="3393">
        <v>1</v>
      </c>
      <c r="T1330" s="3394">
        <v>0</v>
      </c>
      <c r="U1330" s="4191">
        <v>0</v>
      </c>
      <c r="V1330" s="3428">
        <v>126787726</v>
      </c>
      <c r="W1330" s="3393"/>
      <c r="X1330" s="3393"/>
      <c r="Y1330" s="3389">
        <f t="shared" si="432"/>
        <v>1</v>
      </c>
      <c r="Z1330" s="4192">
        <f t="shared" si="435"/>
        <v>128840226</v>
      </c>
      <c r="AA1330" s="4193">
        <f t="shared" si="441"/>
        <v>3</v>
      </c>
      <c r="AB1330" s="4192">
        <f t="shared" si="441"/>
        <v>463247892.66666669</v>
      </c>
      <c r="AC1330" s="4194">
        <f t="shared" si="440"/>
        <v>75</v>
      </c>
      <c r="AD1330" s="4194">
        <f t="shared" si="440"/>
        <v>48.032794515704182</v>
      </c>
      <c r="AE1330" s="3397"/>
      <c r="AF1330" s="3306"/>
      <c r="AG1330" s="3305"/>
      <c r="AH1330" s="4189"/>
      <c r="AI1330" s="3306"/>
      <c r="AJ1330" s="3306"/>
      <c r="AK1330" s="3306"/>
      <c r="AL1330" s="3306"/>
      <c r="AM1330" s="3306"/>
      <c r="AN1330" s="3306"/>
      <c r="AO1330" s="3306"/>
      <c r="AP1330" s="3306"/>
      <c r="AQ1330" s="3306"/>
      <c r="AR1330" s="3306"/>
      <c r="AS1330" s="3306"/>
      <c r="AT1330" s="3306"/>
      <c r="AU1330" s="3306"/>
      <c r="AV1330" s="3306"/>
      <c r="AW1330" s="3306"/>
      <c r="AX1330" s="3306"/>
      <c r="AY1330" s="3306"/>
      <c r="AZ1330" s="3306"/>
      <c r="BA1330" s="3306"/>
      <c r="BB1330" s="3306"/>
      <c r="BC1330" s="3306"/>
      <c r="BD1330" s="3306"/>
      <c r="BE1330" s="3306"/>
      <c r="BF1330" s="3306"/>
      <c r="BG1330" s="3306"/>
      <c r="BH1330" s="3306"/>
      <c r="BI1330" s="3306"/>
      <c r="BJ1330" s="3306"/>
      <c r="BK1330" s="3306"/>
      <c r="BL1330" s="3306"/>
      <c r="BM1330" s="3306"/>
      <c r="BN1330" s="3306"/>
      <c r="BO1330" s="3306"/>
      <c r="BP1330" s="3306"/>
      <c r="BQ1330" s="3306"/>
      <c r="BR1330" s="3306"/>
      <c r="BS1330" s="3306"/>
      <c r="BT1330" s="3306"/>
      <c r="BU1330" s="3306"/>
      <c r="BV1330" s="3306"/>
      <c r="BW1330" s="3306"/>
      <c r="BX1330" s="3306"/>
      <c r="BY1330" s="3306"/>
    </row>
    <row r="1331" spans="1:77" s="4188" customFormat="1" ht="66">
      <c r="A1331" s="4142">
        <v>9</v>
      </c>
      <c r="B1331" s="4092"/>
      <c r="C1331" s="4143">
        <v>2</v>
      </c>
      <c r="D1331" s="4143" t="s">
        <v>107</v>
      </c>
      <c r="E1331" s="4143" t="s">
        <v>196</v>
      </c>
      <c r="F1331" s="4143" t="s">
        <v>65</v>
      </c>
      <c r="G1331" s="4143">
        <v>32</v>
      </c>
      <c r="H1331" s="4143"/>
      <c r="I1331" s="4144" t="s">
        <v>858</v>
      </c>
      <c r="J1331" s="4174" t="s">
        <v>859</v>
      </c>
      <c r="K1331" s="4149">
        <v>24</v>
      </c>
      <c r="L1331" s="4171">
        <f>L1332</f>
        <v>3980000000</v>
      </c>
      <c r="M1331" s="4149">
        <v>13</v>
      </c>
      <c r="N1331" s="4146">
        <f>N1332</f>
        <v>334333089.99999994</v>
      </c>
      <c r="O1331" s="4149">
        <v>5</v>
      </c>
      <c r="P1331" s="4150">
        <f>SUM(P1332)</f>
        <v>63895958</v>
      </c>
      <c r="Q1331" s="4151">
        <f>Q1332</f>
        <v>0</v>
      </c>
      <c r="R1331" s="4163">
        <f>R1332</f>
        <v>35132472</v>
      </c>
      <c r="S1331" s="4153">
        <v>2</v>
      </c>
      <c r="T1331" s="4152">
        <f>T1332</f>
        <v>11961535</v>
      </c>
      <c r="U1331" s="4151">
        <f>U1332</f>
        <v>2</v>
      </c>
      <c r="V1331" s="4146">
        <f>V1332</f>
        <v>2325065</v>
      </c>
      <c r="W1331" s="4153"/>
      <c r="X1331" s="4153"/>
      <c r="Y1331" s="4150">
        <f t="shared" si="432"/>
        <v>4</v>
      </c>
      <c r="Z1331" s="4155">
        <f>Z1332</f>
        <v>49419072</v>
      </c>
      <c r="AA1331" s="4156">
        <f t="shared" si="441"/>
        <v>17</v>
      </c>
      <c r="AB1331" s="4155">
        <f>AB1332</f>
        <v>383752161.99999994</v>
      </c>
      <c r="AC1331" s="4157">
        <f t="shared" si="440"/>
        <v>70.833333333333343</v>
      </c>
      <c r="AD1331" s="4157">
        <f t="shared" si="440"/>
        <v>9.6420141206030134</v>
      </c>
      <c r="AE1331" s="4158" t="s">
        <v>826</v>
      </c>
      <c r="AF1331" s="3322"/>
      <c r="AG1331" s="4186"/>
      <c r="AH1331" s="4187"/>
      <c r="AI1331" s="3322"/>
      <c r="AJ1331" s="3322"/>
      <c r="AK1331" s="3322"/>
      <c r="AL1331" s="3322"/>
      <c r="AM1331" s="3322"/>
      <c r="AN1331" s="3322"/>
      <c r="AO1331" s="3322"/>
      <c r="AP1331" s="3322"/>
      <c r="AQ1331" s="3322"/>
      <c r="AR1331" s="3322"/>
      <c r="AS1331" s="3322"/>
      <c r="AT1331" s="3322"/>
      <c r="AU1331" s="3322"/>
      <c r="AV1331" s="3322"/>
      <c r="AW1331" s="3322"/>
      <c r="AX1331" s="3322"/>
      <c r="AY1331" s="3322"/>
      <c r="AZ1331" s="3322"/>
      <c r="BA1331" s="3322"/>
      <c r="BB1331" s="3322"/>
      <c r="BC1331" s="3322"/>
      <c r="BD1331" s="3322"/>
      <c r="BE1331" s="3322"/>
      <c r="BF1331" s="3322"/>
      <c r="BG1331" s="3322"/>
      <c r="BH1331" s="3322"/>
      <c r="BI1331" s="3322"/>
      <c r="BJ1331" s="3322"/>
      <c r="BK1331" s="3322"/>
      <c r="BL1331" s="3322"/>
      <c r="BM1331" s="3322"/>
      <c r="BN1331" s="3322"/>
      <c r="BO1331" s="3322"/>
      <c r="BP1331" s="3322"/>
      <c r="BQ1331" s="3322"/>
      <c r="BR1331" s="3322"/>
      <c r="BS1331" s="3322"/>
      <c r="BT1331" s="3322"/>
      <c r="BU1331" s="3322"/>
      <c r="BV1331" s="3322"/>
      <c r="BW1331" s="3322"/>
      <c r="BX1331" s="3322"/>
      <c r="BY1331" s="3322"/>
    </row>
    <row r="1332" spans="1:77" s="4190" customFormat="1" ht="38.25">
      <c r="A1332" s="3393"/>
      <c r="B1332" s="3383"/>
      <c r="C1332" s="3386"/>
      <c r="D1332" s="3386"/>
      <c r="E1332" s="3386"/>
      <c r="F1332" s="3386"/>
      <c r="G1332" s="3386"/>
      <c r="H1332" s="3386"/>
      <c r="I1332" s="3383" t="s">
        <v>860</v>
      </c>
      <c r="J1332" s="3383" t="s">
        <v>861</v>
      </c>
      <c r="K1332" s="3313">
        <v>12</v>
      </c>
      <c r="L1332" s="3325">
        <v>3980000000</v>
      </c>
      <c r="M1332" s="3313">
        <v>9</v>
      </c>
      <c r="N1332" s="3428">
        <v>334333089.99999994</v>
      </c>
      <c r="O1332" s="3313">
        <v>1</v>
      </c>
      <c r="P1332" s="3389">
        <v>63895958</v>
      </c>
      <c r="Q1332" s="4191">
        <v>0</v>
      </c>
      <c r="R1332" s="3395">
        <v>35132472</v>
      </c>
      <c r="S1332" s="3393">
        <v>2</v>
      </c>
      <c r="T1332" s="3394">
        <v>11961535</v>
      </c>
      <c r="U1332" s="4191">
        <v>2</v>
      </c>
      <c r="V1332" s="3428">
        <v>2325065</v>
      </c>
      <c r="W1332" s="3393"/>
      <c r="X1332" s="3393"/>
      <c r="Y1332" s="3389">
        <f t="shared" si="432"/>
        <v>4</v>
      </c>
      <c r="Z1332" s="4192">
        <f t="shared" si="435"/>
        <v>49419072</v>
      </c>
      <c r="AA1332" s="4193">
        <f t="shared" si="441"/>
        <v>13</v>
      </c>
      <c r="AB1332" s="4192">
        <f t="shared" si="441"/>
        <v>383752161.99999994</v>
      </c>
      <c r="AC1332" s="4194">
        <f t="shared" si="440"/>
        <v>108.33333333333333</v>
      </c>
      <c r="AD1332" s="4194">
        <f t="shared" si="440"/>
        <v>9.6420141206030134</v>
      </c>
      <c r="AE1332" s="3397"/>
      <c r="AF1332" s="3306"/>
      <c r="AG1332" s="3305"/>
      <c r="AH1332" s="4189"/>
      <c r="AI1332" s="3306"/>
      <c r="AJ1332" s="3306"/>
      <c r="AK1332" s="3306"/>
      <c r="AL1332" s="3306"/>
      <c r="AM1332" s="3306"/>
      <c r="AN1332" s="3306"/>
      <c r="AO1332" s="3306"/>
      <c r="AP1332" s="3306"/>
      <c r="AQ1332" s="3306"/>
      <c r="AR1332" s="3306"/>
      <c r="AS1332" s="3306"/>
      <c r="AT1332" s="3306"/>
      <c r="AU1332" s="3306"/>
      <c r="AV1332" s="3306"/>
      <c r="AW1332" s="3306"/>
      <c r="AX1332" s="3306"/>
      <c r="AY1332" s="3306"/>
      <c r="AZ1332" s="3306"/>
      <c r="BA1332" s="3306"/>
      <c r="BB1332" s="3306"/>
      <c r="BC1332" s="3306"/>
      <c r="BD1332" s="3306"/>
      <c r="BE1332" s="3306"/>
      <c r="BF1332" s="3306"/>
      <c r="BG1332" s="3306"/>
      <c r="BH1332" s="3306"/>
      <c r="BI1332" s="3306"/>
      <c r="BJ1332" s="3306"/>
      <c r="BK1332" s="3306"/>
      <c r="BL1332" s="3306"/>
      <c r="BM1332" s="3306"/>
      <c r="BN1332" s="3306"/>
      <c r="BO1332" s="3306"/>
      <c r="BP1332" s="3306"/>
      <c r="BQ1332" s="3306"/>
      <c r="BR1332" s="3306"/>
      <c r="BS1332" s="3306"/>
      <c r="BT1332" s="3306"/>
      <c r="BU1332" s="3306"/>
      <c r="BV1332" s="3306"/>
      <c r="BW1332" s="3306"/>
      <c r="BX1332" s="3306"/>
      <c r="BY1332" s="3306"/>
    </row>
    <row r="1333" spans="1:77" s="114" customFormat="1" ht="18.75" customHeight="1">
      <c r="A1333" s="4244" t="s">
        <v>89</v>
      </c>
      <c r="B1333" s="4244"/>
      <c r="C1333" s="4245"/>
      <c r="D1333" s="4245"/>
      <c r="E1333" s="4245"/>
      <c r="F1333" s="4245"/>
      <c r="G1333" s="4245"/>
      <c r="H1333" s="4245"/>
      <c r="I1333" s="4245"/>
      <c r="J1333" s="4245"/>
      <c r="K1333" s="4245"/>
      <c r="L1333" s="4245"/>
      <c r="M1333" s="4245"/>
      <c r="N1333" s="4245"/>
      <c r="O1333" s="4245"/>
      <c r="P1333" s="4245"/>
      <c r="Q1333" s="4245"/>
      <c r="R1333" s="4245"/>
      <c r="S1333" s="4245"/>
      <c r="T1333" s="4245"/>
      <c r="U1333" s="4245"/>
      <c r="V1333" s="4245"/>
      <c r="W1333" s="4245"/>
      <c r="X1333" s="4245"/>
      <c r="Y1333" s="4245"/>
      <c r="Z1333" s="4245"/>
      <c r="AA1333" s="4245"/>
      <c r="AB1333" s="4245"/>
      <c r="AC1333" s="2030">
        <f>(AC1270+AC1283+AC1288+AC1291+AC1292+AC1293+AC1294+AC1295+AC1296+AC1297+AC1299+AC1300+AC1301+AC1302+AC1303+AC1304+AC1305+AC1306+AC1307+AC1308+AC1317+AC1319+AC1327+AC1329+AC1331)/25</f>
        <v>88.272944152064724</v>
      </c>
      <c r="AD1333" s="2030">
        <f>(AD1270+AD1283+AD1288+AD1290+AD1317+AD1327+AD1329+AD1331+AD1319)/9</f>
        <v>40.082264728280244</v>
      </c>
      <c r="AE1333" s="390"/>
    </row>
    <row r="1334" spans="1:77" s="475" customFormat="1" ht="15.75" customHeight="1">
      <c r="A1334" s="4244" t="s">
        <v>90</v>
      </c>
      <c r="B1334" s="4244"/>
      <c r="C1334" s="4245"/>
      <c r="D1334" s="4245"/>
      <c r="E1334" s="4245"/>
      <c r="F1334" s="4245"/>
      <c r="G1334" s="4245"/>
      <c r="H1334" s="4245"/>
      <c r="I1334" s="4245"/>
      <c r="J1334" s="4245"/>
      <c r="K1334" s="4245"/>
      <c r="L1334" s="4245"/>
      <c r="M1334" s="4245"/>
      <c r="N1334" s="4245"/>
      <c r="O1334" s="4245"/>
      <c r="P1334" s="4245"/>
      <c r="Q1334" s="4245"/>
      <c r="R1334" s="4245"/>
      <c r="S1334" s="4245"/>
      <c r="T1334" s="4245"/>
      <c r="U1334" s="4245"/>
      <c r="V1334" s="4245"/>
      <c r="W1334" s="4245"/>
      <c r="X1334" s="4245"/>
      <c r="Y1334" s="4245"/>
      <c r="Z1334" s="4245"/>
      <c r="AA1334" s="4245"/>
      <c r="AB1334" s="4245"/>
      <c r="AC1334" s="3152" t="str">
        <f>IF(AC1333&gt;=91,"ST",IF(AC1333&gt;=76,"T",IF(AC1333&gt;=66,"S",IF(AC1333&gt;=51,"R","SR"))))</f>
        <v>T</v>
      </c>
      <c r="AD1334" s="3152" t="str">
        <f>IF(AD1333&gt;=91,"ST",IF(AD1333&gt;=76,"T",IF(AD1333&gt;=66,"S",IF(AD1333&gt;=51,"R","SR"))))</f>
        <v>SR</v>
      </c>
      <c r="AE1334" s="390"/>
    </row>
    <row r="1335" spans="1:77" s="2624" customFormat="1" ht="27.75" customHeight="1">
      <c r="A1335" s="2546" t="s">
        <v>123</v>
      </c>
      <c r="B1335" s="2918"/>
      <c r="C1335" s="2546"/>
      <c r="D1335" s="2546"/>
      <c r="E1335" s="2546"/>
      <c r="F1335" s="2546"/>
      <c r="G1335" s="2546"/>
      <c r="H1335" s="2546"/>
      <c r="I1335" s="2515" t="s">
        <v>215</v>
      </c>
      <c r="J1335" s="2918"/>
      <c r="K1335" s="3210"/>
      <c r="L1335" s="3194">
        <f>L1336+L1343</f>
        <v>68203701000</v>
      </c>
      <c r="M1335" s="3210"/>
      <c r="N1335" s="3195">
        <f>N1336+N1343</f>
        <v>12955870390</v>
      </c>
      <c r="O1335" s="3210"/>
      <c r="P1335" s="3195">
        <f>SUM(P1336+P1343)</f>
        <v>18107918831</v>
      </c>
      <c r="Q1335" s="3210"/>
      <c r="R1335" s="2916">
        <f>R1336+R1343</f>
        <v>223208550</v>
      </c>
      <c r="S1335" s="2918"/>
      <c r="T1335" s="2916">
        <f>T1336+T1343</f>
        <v>208835197</v>
      </c>
      <c r="U1335" s="2918"/>
      <c r="V1335" s="2916">
        <f>V1336+V1343</f>
        <v>8574438178</v>
      </c>
      <c r="W1335" s="2918"/>
      <c r="X1335" s="2918"/>
      <c r="Y1335" s="3210">
        <f t="shared" ref="Y1335:Y1355" si="442">Q1335+S1335+U1335+W1335</f>
        <v>0</v>
      </c>
      <c r="Z1335" s="2916">
        <f>R1335+T1335+V1335</f>
        <v>9006481925</v>
      </c>
      <c r="AA1335" s="3210"/>
      <c r="AB1335" s="2916">
        <f>AB1336+AB1343</f>
        <v>21962352315</v>
      </c>
      <c r="AC1335" s="3210"/>
      <c r="AD1335" s="3210"/>
      <c r="AE1335" s="3211"/>
      <c r="AF1335" s="2810"/>
      <c r="AG1335" s="2810"/>
      <c r="AH1335" s="2810"/>
      <c r="AI1335" s="2810"/>
      <c r="AJ1335" s="2810"/>
      <c r="AK1335" s="2810"/>
      <c r="AL1335" s="2810"/>
      <c r="AM1335" s="2810"/>
      <c r="AN1335" s="2810"/>
      <c r="AO1335" s="2810"/>
      <c r="AP1335" s="2810"/>
      <c r="AQ1335" s="2810"/>
      <c r="AR1335" s="2810"/>
      <c r="AS1335" s="2810"/>
      <c r="AT1335" s="2810"/>
      <c r="AU1335" s="2810"/>
      <c r="AV1335" s="2810"/>
      <c r="AW1335" s="2810"/>
      <c r="AX1335" s="2810"/>
      <c r="AY1335" s="2810"/>
      <c r="AZ1335" s="2810"/>
      <c r="BA1335" s="2810"/>
      <c r="BB1335" s="2810"/>
      <c r="BC1335" s="2810"/>
      <c r="BD1335" s="2810"/>
      <c r="BE1335" s="2810"/>
      <c r="BF1335" s="2810"/>
      <c r="BG1335" s="2810"/>
      <c r="BH1335" s="2810"/>
      <c r="BI1335" s="2810"/>
      <c r="BJ1335" s="2810"/>
      <c r="BK1335" s="2810"/>
      <c r="BL1335" s="2810"/>
      <c r="BM1335" s="2810"/>
      <c r="BN1335" s="2810"/>
      <c r="BO1335" s="2810"/>
      <c r="BP1335" s="2810"/>
      <c r="BQ1335" s="2810"/>
      <c r="BR1335" s="2810"/>
      <c r="BS1335" s="2810"/>
      <c r="BT1335" s="2810"/>
      <c r="BU1335" s="2810"/>
      <c r="BV1335" s="2810"/>
      <c r="BW1335" s="2810"/>
      <c r="BX1335" s="2810"/>
    </row>
    <row r="1336" spans="1:77" ht="66.75" customHeight="1">
      <c r="A1336" s="2570">
        <v>1</v>
      </c>
      <c r="B1336" s="2335"/>
      <c r="C1336" s="2567" t="s">
        <v>197</v>
      </c>
      <c r="D1336" s="2567">
        <v>1</v>
      </c>
      <c r="E1336" s="2567" t="s">
        <v>65</v>
      </c>
      <c r="F1336" s="2567">
        <v>11</v>
      </c>
      <c r="G1336" s="2567">
        <v>15</v>
      </c>
      <c r="H1336" s="2567"/>
      <c r="I1336" s="2335" t="s">
        <v>2061</v>
      </c>
      <c r="J1336" s="2335" t="s">
        <v>2062</v>
      </c>
      <c r="K1336" s="2502">
        <v>9</v>
      </c>
      <c r="L1336" s="2442">
        <f>SUM(L1338:L1342)</f>
        <v>4912360000</v>
      </c>
      <c r="M1336" s="3162">
        <v>1</v>
      </c>
      <c r="N1336" s="2609">
        <f>SUM(N1338:N1340)</f>
        <v>265519390</v>
      </c>
      <c r="O1336" s="3162">
        <v>1</v>
      </c>
      <c r="P1336" s="2442">
        <f>SUM(P1338:P1342)</f>
        <v>372216839</v>
      </c>
      <c r="Q1336" s="3162"/>
      <c r="R1336" s="2340">
        <f>SUM(R1338:R1342)</f>
        <v>31675000</v>
      </c>
      <c r="S1336" s="2335"/>
      <c r="T1336" s="2340">
        <f>SUM(T1338:T1342)</f>
        <v>100322000</v>
      </c>
      <c r="U1336" s="2335"/>
      <c r="V1336" s="2342">
        <f>SUM(V1337:V1342)</f>
        <v>38854850</v>
      </c>
      <c r="W1336" s="2335"/>
      <c r="X1336" s="2335"/>
      <c r="Y1336" s="2543">
        <f t="shared" si="442"/>
        <v>0</v>
      </c>
      <c r="Z1336" s="2342">
        <f t="shared" ref="Z1336:Z1355" si="443">R1336+T1336+V1336+X1336</f>
        <v>170851850</v>
      </c>
      <c r="AA1336" s="3162">
        <f t="shared" ref="AA1336:AA1342" si="444">M1336+Y1336</f>
        <v>1</v>
      </c>
      <c r="AB1336" s="2571">
        <f t="shared" ref="AB1336:AB1342" si="445">N1336+Z1336</f>
        <v>436371240</v>
      </c>
      <c r="AC1336" s="2544">
        <f t="shared" ref="AC1336:AC1342" si="446">AA1336/K1336*100</f>
        <v>11.111111111111111</v>
      </c>
      <c r="AD1336" s="2674">
        <f t="shared" ref="AD1336:AD1342" si="447">AB1336/L1336*100</f>
        <v>8.8831282723578884</v>
      </c>
      <c r="AE1336" s="3138" t="s">
        <v>2058</v>
      </c>
    </row>
    <row r="1337" spans="1:77" ht="58.5" customHeight="1">
      <c r="A1337" s="2570"/>
      <c r="B1337" s="2335"/>
      <c r="C1337" s="2567"/>
      <c r="D1337" s="2567"/>
      <c r="E1337" s="2567"/>
      <c r="F1337" s="2567"/>
      <c r="G1337" s="2567"/>
      <c r="H1337" s="2567"/>
      <c r="I1337" s="2335"/>
      <c r="J1337" s="2335" t="s">
        <v>2063</v>
      </c>
      <c r="K1337" s="2684" t="s">
        <v>2064</v>
      </c>
      <c r="L1337" s="2442"/>
      <c r="M1337" s="2684" t="s">
        <v>2064</v>
      </c>
      <c r="N1337" s="2609"/>
      <c r="O1337" s="2684" t="s">
        <v>2064</v>
      </c>
      <c r="P1337" s="2442"/>
      <c r="Q1337" s="2684" t="s">
        <v>2064</v>
      </c>
      <c r="R1337" s="2340"/>
      <c r="S1337" s="2684" t="s">
        <v>2064</v>
      </c>
      <c r="T1337" s="2347"/>
      <c r="U1337" s="2684" t="s">
        <v>2064</v>
      </c>
      <c r="V1337" s="2342"/>
      <c r="W1337" s="2335"/>
      <c r="X1337" s="2335"/>
      <c r="Y1337" s="2684" t="s">
        <v>2064</v>
      </c>
      <c r="Z1337" s="2342">
        <f t="shared" si="443"/>
        <v>0</v>
      </c>
      <c r="AA1337" s="2684" t="s">
        <v>2064</v>
      </c>
      <c r="AB1337" s="2571">
        <f t="shared" si="445"/>
        <v>0</v>
      </c>
      <c r="AC1337" s="2544"/>
      <c r="AD1337" s="2674"/>
      <c r="AE1337" s="3138"/>
    </row>
    <row r="1338" spans="1:77" ht="51" customHeight="1">
      <c r="A1338" s="1389"/>
      <c r="B1338" s="2516"/>
      <c r="C1338" s="1381" t="s">
        <v>197</v>
      </c>
      <c r="D1338" s="1381">
        <v>1</v>
      </c>
      <c r="E1338" s="1381" t="s">
        <v>65</v>
      </c>
      <c r="F1338" s="1381">
        <v>11</v>
      </c>
      <c r="G1338" s="1381">
        <v>15</v>
      </c>
      <c r="H1338" s="1381" t="s">
        <v>196</v>
      </c>
      <c r="I1338" s="2516" t="s">
        <v>2067</v>
      </c>
      <c r="J1338" s="2516" t="s">
        <v>2068</v>
      </c>
      <c r="K1338" s="252">
        <v>42</v>
      </c>
      <c r="L1338" s="2528">
        <v>540000000</v>
      </c>
      <c r="M1338" s="1396">
        <v>12</v>
      </c>
      <c r="N1338" s="2528">
        <v>56637070</v>
      </c>
      <c r="O1338" s="1396">
        <v>15</v>
      </c>
      <c r="P1338" s="2286">
        <v>70860000</v>
      </c>
      <c r="Q1338" s="1396"/>
      <c r="R1338" s="1387">
        <v>17202500</v>
      </c>
      <c r="S1338" s="2516">
        <v>3</v>
      </c>
      <c r="T1338" s="1388">
        <v>14873000</v>
      </c>
      <c r="U1338" s="2516">
        <v>8</v>
      </c>
      <c r="V1338" s="2307">
        <v>7944000</v>
      </c>
      <c r="W1338" s="2516"/>
      <c r="X1338" s="2516"/>
      <c r="Y1338" s="3166">
        <f t="shared" si="442"/>
        <v>11</v>
      </c>
      <c r="Z1338" s="2307">
        <f t="shared" si="443"/>
        <v>40019500</v>
      </c>
      <c r="AA1338" s="1396">
        <f t="shared" si="444"/>
        <v>23</v>
      </c>
      <c r="AB1338" s="2615">
        <f t="shared" si="445"/>
        <v>96656570</v>
      </c>
      <c r="AC1338" s="2685">
        <f t="shared" si="446"/>
        <v>54.761904761904766</v>
      </c>
      <c r="AD1338" s="2686">
        <f t="shared" si="447"/>
        <v>17.899364814814813</v>
      </c>
      <c r="AE1338" s="2207"/>
      <c r="AG1338" s="2814"/>
    </row>
    <row r="1339" spans="1:77" ht="55.5" customHeight="1">
      <c r="A1339" s="1389"/>
      <c r="B1339" s="2516"/>
      <c r="C1339" s="1381" t="s">
        <v>197</v>
      </c>
      <c r="D1339" s="1381">
        <v>1</v>
      </c>
      <c r="E1339" s="1381" t="s">
        <v>65</v>
      </c>
      <c r="F1339" s="1381">
        <v>11</v>
      </c>
      <c r="G1339" s="1381">
        <v>15</v>
      </c>
      <c r="H1339" s="1381" t="s">
        <v>95</v>
      </c>
      <c r="I1339" s="2516" t="s">
        <v>2070</v>
      </c>
      <c r="J1339" s="2516" t="s">
        <v>2071</v>
      </c>
      <c r="K1339" s="252">
        <v>72</v>
      </c>
      <c r="L1339" s="2528">
        <v>2378725000</v>
      </c>
      <c r="M1339" s="1396">
        <v>24</v>
      </c>
      <c r="N1339" s="2528">
        <v>61521800</v>
      </c>
      <c r="O1339" s="1396">
        <v>12</v>
      </c>
      <c r="P1339" s="2286">
        <v>107497463</v>
      </c>
      <c r="Q1339" s="1396">
        <v>3</v>
      </c>
      <c r="R1339" s="1387">
        <v>6000000</v>
      </c>
      <c r="S1339" s="2516">
        <v>3</v>
      </c>
      <c r="T1339" s="1387">
        <v>12620000</v>
      </c>
      <c r="U1339" s="2516">
        <v>3</v>
      </c>
      <c r="V1339" s="2307">
        <v>29196700</v>
      </c>
      <c r="W1339" s="2516"/>
      <c r="X1339" s="2516"/>
      <c r="Y1339" s="3166">
        <f t="shared" si="442"/>
        <v>9</v>
      </c>
      <c r="Z1339" s="2307">
        <f t="shared" si="443"/>
        <v>47816700</v>
      </c>
      <c r="AA1339" s="1396">
        <f t="shared" si="444"/>
        <v>33</v>
      </c>
      <c r="AB1339" s="2615">
        <f t="shared" si="445"/>
        <v>109338500</v>
      </c>
      <c r="AC1339" s="2685">
        <f t="shared" si="446"/>
        <v>45.833333333333329</v>
      </c>
      <c r="AD1339" s="2686">
        <f t="shared" si="447"/>
        <v>4.5965170416925032</v>
      </c>
      <c r="AE1339" s="2207"/>
      <c r="AG1339" s="2814"/>
    </row>
    <row r="1340" spans="1:77" ht="58.5" customHeight="1">
      <c r="A1340" s="1389"/>
      <c r="B1340" s="2516"/>
      <c r="C1340" s="1381" t="s">
        <v>197</v>
      </c>
      <c r="D1340" s="1381">
        <v>1</v>
      </c>
      <c r="E1340" s="1381" t="s">
        <v>65</v>
      </c>
      <c r="F1340" s="1381">
        <v>11</v>
      </c>
      <c r="G1340" s="1381">
        <v>15</v>
      </c>
      <c r="H1340" s="1381">
        <v>22</v>
      </c>
      <c r="I1340" s="2516" t="s">
        <v>2082</v>
      </c>
      <c r="J1340" s="2516" t="s">
        <v>2083</v>
      </c>
      <c r="K1340" s="252">
        <v>30</v>
      </c>
      <c r="L1340" s="2528">
        <v>1713635000</v>
      </c>
      <c r="M1340" s="1396">
        <v>7</v>
      </c>
      <c r="N1340" s="2528">
        <v>147360520</v>
      </c>
      <c r="O1340" s="1396">
        <v>4</v>
      </c>
      <c r="P1340" s="2286">
        <v>124892916</v>
      </c>
      <c r="Q1340" s="1396"/>
      <c r="R1340" s="1387">
        <v>4472500</v>
      </c>
      <c r="S1340" s="2516">
        <v>1</v>
      </c>
      <c r="T1340" s="1387">
        <v>64829000</v>
      </c>
      <c r="U1340" s="2516"/>
      <c r="V1340" s="2307">
        <v>1714150</v>
      </c>
      <c r="W1340" s="2516"/>
      <c r="X1340" s="2516"/>
      <c r="Y1340" s="3166">
        <f t="shared" si="442"/>
        <v>1</v>
      </c>
      <c r="Z1340" s="2307">
        <f t="shared" si="443"/>
        <v>71015650</v>
      </c>
      <c r="AA1340" s="1396">
        <f t="shared" si="444"/>
        <v>8</v>
      </c>
      <c r="AB1340" s="2615">
        <f t="shared" si="445"/>
        <v>218376170</v>
      </c>
      <c r="AC1340" s="2685">
        <f t="shared" si="446"/>
        <v>26.666666666666668</v>
      </c>
      <c r="AD1340" s="2686">
        <f t="shared" si="447"/>
        <v>12.743447116801418</v>
      </c>
      <c r="AE1340" s="2207"/>
      <c r="AG1340" s="2814"/>
    </row>
    <row r="1341" spans="1:77" ht="43.5" customHeight="1">
      <c r="A1341" s="1389"/>
      <c r="B1341" s="2516"/>
      <c r="C1341" s="1381"/>
      <c r="D1341" s="1381"/>
      <c r="E1341" s="1381"/>
      <c r="F1341" s="1381"/>
      <c r="G1341" s="1381"/>
      <c r="H1341" s="1381"/>
      <c r="I1341" s="2516"/>
      <c r="J1341" s="2516" t="s">
        <v>4055</v>
      </c>
      <c r="K1341" s="252">
        <v>5</v>
      </c>
      <c r="L1341" s="2528">
        <v>0</v>
      </c>
      <c r="M1341" s="1396">
        <v>1</v>
      </c>
      <c r="N1341" s="2528">
        <v>0</v>
      </c>
      <c r="O1341" s="1396"/>
      <c r="P1341" s="2286">
        <v>0</v>
      </c>
      <c r="Q1341" s="1396"/>
      <c r="R1341" s="1387">
        <v>0</v>
      </c>
      <c r="S1341" s="2516"/>
      <c r="T1341" s="2516"/>
      <c r="U1341" s="2516"/>
      <c r="V1341" s="2307"/>
      <c r="W1341" s="2516"/>
      <c r="X1341" s="2516"/>
      <c r="Y1341" s="3166">
        <f t="shared" si="442"/>
        <v>0</v>
      </c>
      <c r="Z1341" s="2307">
        <f t="shared" si="443"/>
        <v>0</v>
      </c>
      <c r="AA1341" s="1396">
        <f t="shared" si="444"/>
        <v>1</v>
      </c>
      <c r="AB1341" s="2615">
        <f t="shared" si="445"/>
        <v>0</v>
      </c>
      <c r="AC1341" s="2685">
        <f t="shared" si="446"/>
        <v>20</v>
      </c>
      <c r="AD1341" s="2686"/>
      <c r="AE1341" s="2207"/>
      <c r="AG1341" s="2814"/>
    </row>
    <row r="1342" spans="1:77" ht="28.5" customHeight="1">
      <c r="A1342" s="1389"/>
      <c r="B1342" s="2516"/>
      <c r="C1342" s="1381" t="s">
        <v>197</v>
      </c>
      <c r="D1342" s="1381">
        <v>1</v>
      </c>
      <c r="E1342" s="1381" t="s">
        <v>65</v>
      </c>
      <c r="F1342" s="1381">
        <v>11</v>
      </c>
      <c r="G1342" s="1381">
        <v>15</v>
      </c>
      <c r="H1342" s="1381">
        <v>24</v>
      </c>
      <c r="I1342" s="2516" t="s">
        <v>2085</v>
      </c>
      <c r="J1342" s="2516" t="s">
        <v>2086</v>
      </c>
      <c r="K1342" s="252">
        <v>5</v>
      </c>
      <c r="L1342" s="2528">
        <v>280000000</v>
      </c>
      <c r="M1342" s="1396"/>
      <c r="N1342" s="2528">
        <v>0</v>
      </c>
      <c r="O1342" s="1396">
        <v>1</v>
      </c>
      <c r="P1342" s="2286">
        <v>68966460</v>
      </c>
      <c r="Q1342" s="1396"/>
      <c r="R1342" s="1387">
        <v>4000000</v>
      </c>
      <c r="S1342" s="2516"/>
      <c r="T1342" s="1387">
        <v>8000000</v>
      </c>
      <c r="U1342" s="2516"/>
      <c r="V1342" s="2307"/>
      <c r="W1342" s="2516"/>
      <c r="X1342" s="2516"/>
      <c r="Y1342" s="3166">
        <f t="shared" si="442"/>
        <v>0</v>
      </c>
      <c r="Z1342" s="2307">
        <f t="shared" si="443"/>
        <v>12000000</v>
      </c>
      <c r="AA1342" s="1396">
        <f t="shared" si="444"/>
        <v>0</v>
      </c>
      <c r="AB1342" s="2615">
        <f t="shared" si="445"/>
        <v>12000000</v>
      </c>
      <c r="AC1342" s="2685">
        <f t="shared" si="446"/>
        <v>0</v>
      </c>
      <c r="AD1342" s="2686">
        <f t="shared" si="447"/>
        <v>4.2857142857142856</v>
      </c>
      <c r="AE1342" s="2207"/>
      <c r="AG1342" s="2814"/>
    </row>
    <row r="1343" spans="1:77" ht="51">
      <c r="A1343" s="2570">
        <v>2</v>
      </c>
      <c r="B1343" s="2335" t="s">
        <v>2087</v>
      </c>
      <c r="C1343" s="2567" t="s">
        <v>197</v>
      </c>
      <c r="D1343" s="2567">
        <v>1</v>
      </c>
      <c r="E1343" s="2567" t="s">
        <v>65</v>
      </c>
      <c r="F1343" s="2567">
        <v>11</v>
      </c>
      <c r="G1343" s="2567">
        <v>18</v>
      </c>
      <c r="H1343" s="2567"/>
      <c r="I1343" s="2335" t="s">
        <v>2088</v>
      </c>
      <c r="J1343" s="2335" t="s">
        <v>2089</v>
      </c>
      <c r="K1343" s="2502">
        <v>9</v>
      </c>
      <c r="L1343" s="2442">
        <f>SUM(L1344:L1355)</f>
        <v>63291341000</v>
      </c>
      <c r="M1343" s="3162">
        <v>3</v>
      </c>
      <c r="N1343" s="2609">
        <f>SUM(N1344:N1355)</f>
        <v>12690351000</v>
      </c>
      <c r="O1343" s="3162">
        <v>3</v>
      </c>
      <c r="P1343" s="2442">
        <f>SUM(P1344:P1355)</f>
        <v>17735701992</v>
      </c>
      <c r="Q1343" s="3162">
        <v>0</v>
      </c>
      <c r="R1343" s="2340">
        <f>SUM(R1344:R1355)</f>
        <v>191533550</v>
      </c>
      <c r="S1343" s="2335"/>
      <c r="T1343" s="2340">
        <f>SUM(T1344:T1355)</f>
        <v>108513197</v>
      </c>
      <c r="U1343" s="2335"/>
      <c r="V1343" s="2342">
        <f>SUM(V1344:V1355)</f>
        <v>8535583328</v>
      </c>
      <c r="W1343" s="2335"/>
      <c r="X1343" s="2335"/>
      <c r="Y1343" s="2543">
        <f t="shared" si="442"/>
        <v>0</v>
      </c>
      <c r="Z1343" s="2342">
        <f>R1343+T1343+V1343</f>
        <v>8835630075</v>
      </c>
      <c r="AA1343" s="3162">
        <f t="shared" ref="AA1343:AA1355" si="448">M1343+Y1343</f>
        <v>3</v>
      </c>
      <c r="AB1343" s="2571">
        <f t="shared" ref="AB1343:AB1355" si="449">N1343+Z1343</f>
        <v>21525981075</v>
      </c>
      <c r="AC1343" s="2544">
        <f t="shared" ref="AC1343:AC1355" si="450">AA1343/K1343*100</f>
        <v>33.333333333333329</v>
      </c>
      <c r="AD1343" s="2674">
        <f t="shared" ref="AD1343:AD1355" si="451">AB1343/L1343*100</f>
        <v>34.010941678420117</v>
      </c>
      <c r="AE1343" s="3138" t="s">
        <v>2058</v>
      </c>
      <c r="AG1343" s="2814"/>
    </row>
    <row r="1344" spans="1:77" s="63" customFormat="1" ht="50.25" customHeight="1">
      <c r="A1344" s="1389"/>
      <c r="B1344" s="2516"/>
      <c r="C1344" s="1381" t="s">
        <v>197</v>
      </c>
      <c r="D1344" s="1381">
        <v>1</v>
      </c>
      <c r="E1344" s="1381" t="s">
        <v>65</v>
      </c>
      <c r="F1344" s="1381">
        <v>11</v>
      </c>
      <c r="G1344" s="1381">
        <v>18</v>
      </c>
      <c r="H1344" s="1381" t="s">
        <v>197</v>
      </c>
      <c r="I1344" s="2516" t="s">
        <v>2090</v>
      </c>
      <c r="J1344" s="2516" t="s">
        <v>2091</v>
      </c>
      <c r="K1344" s="252">
        <v>12</v>
      </c>
      <c r="L1344" s="2528">
        <v>938850000</v>
      </c>
      <c r="M1344" s="1396">
        <v>4</v>
      </c>
      <c r="N1344" s="2528">
        <v>273801120</v>
      </c>
      <c r="O1344" s="1396">
        <v>2</v>
      </c>
      <c r="P1344" s="2286">
        <v>223106200</v>
      </c>
      <c r="Q1344" s="1396"/>
      <c r="R1344" s="1387">
        <v>75878800</v>
      </c>
      <c r="S1344" s="2516">
        <v>1</v>
      </c>
      <c r="T1344" s="1388">
        <v>27304000</v>
      </c>
      <c r="U1344" s="2516">
        <v>1</v>
      </c>
      <c r="V1344" s="2307">
        <v>103423000</v>
      </c>
      <c r="W1344" s="2516"/>
      <c r="X1344" s="2516"/>
      <c r="Y1344" s="3166">
        <f t="shared" si="442"/>
        <v>2</v>
      </c>
      <c r="Z1344" s="2307">
        <f t="shared" si="443"/>
        <v>206605800</v>
      </c>
      <c r="AA1344" s="1396">
        <f t="shared" si="448"/>
        <v>6</v>
      </c>
      <c r="AB1344" s="2615">
        <f t="shared" si="449"/>
        <v>480406920</v>
      </c>
      <c r="AC1344" s="2685">
        <f t="shared" si="450"/>
        <v>50</v>
      </c>
      <c r="AD1344" s="2686">
        <f t="shared" si="451"/>
        <v>51.169720402620221</v>
      </c>
      <c r="AE1344" s="2207"/>
      <c r="AG1344" s="2814"/>
    </row>
    <row r="1345" spans="1:33" ht="48.75" customHeight="1">
      <c r="A1345" s="1389"/>
      <c r="B1345" s="2516"/>
      <c r="C1345" s="1381" t="s">
        <v>197</v>
      </c>
      <c r="D1345" s="1381">
        <v>1</v>
      </c>
      <c r="E1345" s="1381" t="s">
        <v>65</v>
      </c>
      <c r="F1345" s="1381">
        <v>11</v>
      </c>
      <c r="G1345" s="1381">
        <v>18</v>
      </c>
      <c r="H1345" s="1381">
        <v>11</v>
      </c>
      <c r="I1345" s="2516" t="s">
        <v>2093</v>
      </c>
      <c r="J1345" s="2516" t="s">
        <v>2094</v>
      </c>
      <c r="K1345" s="252">
        <v>72</v>
      </c>
      <c r="L1345" s="2528">
        <v>1378644000</v>
      </c>
      <c r="M1345" s="1396">
        <v>24</v>
      </c>
      <c r="N1345" s="2528">
        <v>404461680</v>
      </c>
      <c r="O1345" s="1396">
        <v>12</v>
      </c>
      <c r="P1345" s="2286">
        <v>88950000</v>
      </c>
      <c r="Q1345" s="1396"/>
      <c r="R1345" s="1387">
        <v>12238500</v>
      </c>
      <c r="S1345" s="2516">
        <v>3</v>
      </c>
      <c r="T1345" s="1387">
        <v>16532000</v>
      </c>
      <c r="U1345" s="2516">
        <v>6</v>
      </c>
      <c r="V1345" s="2307">
        <v>10085900</v>
      </c>
      <c r="W1345" s="2516"/>
      <c r="X1345" s="2516"/>
      <c r="Y1345" s="3166">
        <f t="shared" si="442"/>
        <v>9</v>
      </c>
      <c r="Z1345" s="2307">
        <f t="shared" si="443"/>
        <v>38856400</v>
      </c>
      <c r="AA1345" s="1396">
        <f t="shared" si="448"/>
        <v>33</v>
      </c>
      <c r="AB1345" s="2615">
        <f t="shared" si="449"/>
        <v>443318080</v>
      </c>
      <c r="AC1345" s="2685">
        <f t="shared" si="450"/>
        <v>45.833333333333329</v>
      </c>
      <c r="AD1345" s="2686">
        <f t="shared" si="451"/>
        <v>32.156095409692419</v>
      </c>
      <c r="AE1345" s="2207"/>
      <c r="AG1345" s="2814"/>
    </row>
    <row r="1346" spans="1:33" ht="43.5" customHeight="1">
      <c r="A1346" s="1389"/>
      <c r="B1346" s="2516"/>
      <c r="C1346" s="1381" t="s">
        <v>197</v>
      </c>
      <c r="D1346" s="1381">
        <v>1</v>
      </c>
      <c r="E1346" s="1381" t="s">
        <v>65</v>
      </c>
      <c r="F1346" s="1381">
        <v>11</v>
      </c>
      <c r="G1346" s="1381">
        <v>18</v>
      </c>
      <c r="H1346" s="1381">
        <v>12</v>
      </c>
      <c r="I1346" s="2516" t="s">
        <v>2095</v>
      </c>
      <c r="J1346" s="2516" t="s">
        <v>4056</v>
      </c>
      <c r="K1346" s="252">
        <v>72</v>
      </c>
      <c r="L1346" s="2528">
        <v>2105724000</v>
      </c>
      <c r="M1346" s="1396">
        <v>24</v>
      </c>
      <c r="N1346" s="2528">
        <v>597707970</v>
      </c>
      <c r="O1346" s="1396">
        <v>12</v>
      </c>
      <c r="P1346" s="2286">
        <v>355992400</v>
      </c>
      <c r="Q1346" s="1396"/>
      <c r="R1346" s="1387">
        <v>35041000</v>
      </c>
      <c r="S1346" s="2516"/>
      <c r="T1346" s="1387">
        <v>55800000</v>
      </c>
      <c r="U1346" s="2516">
        <v>9</v>
      </c>
      <c r="V1346" s="2307">
        <v>72243000</v>
      </c>
      <c r="W1346" s="2516"/>
      <c r="X1346" s="2516"/>
      <c r="Y1346" s="3166">
        <f t="shared" si="442"/>
        <v>9</v>
      </c>
      <c r="Z1346" s="2307">
        <f t="shared" si="443"/>
        <v>163084000</v>
      </c>
      <c r="AA1346" s="1396">
        <f t="shared" si="448"/>
        <v>33</v>
      </c>
      <c r="AB1346" s="2615">
        <f t="shared" si="449"/>
        <v>760791970</v>
      </c>
      <c r="AC1346" s="2685">
        <f t="shared" si="450"/>
        <v>45.833333333333329</v>
      </c>
      <c r="AD1346" s="2686">
        <f t="shared" si="451"/>
        <v>36.129709781528824</v>
      </c>
      <c r="AE1346" s="2207"/>
      <c r="AG1346" s="2814"/>
    </row>
    <row r="1347" spans="1:33" s="63" customFormat="1" ht="45.75" customHeight="1">
      <c r="A1347" s="1389"/>
      <c r="B1347" s="2516"/>
      <c r="C1347" s="1381" t="s">
        <v>197</v>
      </c>
      <c r="D1347" s="1381">
        <v>1</v>
      </c>
      <c r="E1347" s="1381" t="s">
        <v>65</v>
      </c>
      <c r="F1347" s="1381">
        <v>11</v>
      </c>
      <c r="G1347" s="1381">
        <v>18</v>
      </c>
      <c r="H1347" s="1381">
        <v>34</v>
      </c>
      <c r="I1347" s="2516" t="s">
        <v>2098</v>
      </c>
      <c r="J1347" s="2516" t="s">
        <v>4057</v>
      </c>
      <c r="K1347" s="252">
        <v>20</v>
      </c>
      <c r="L1347" s="2528">
        <v>8677932000</v>
      </c>
      <c r="M1347" s="1396">
        <v>7</v>
      </c>
      <c r="N1347" s="2528">
        <v>1233405100</v>
      </c>
      <c r="O1347" s="1396">
        <v>1</v>
      </c>
      <c r="P1347" s="2286">
        <v>150000000</v>
      </c>
      <c r="Q1347" s="1396"/>
      <c r="R1347" s="1387">
        <v>0</v>
      </c>
      <c r="S1347" s="2516"/>
      <c r="T1347" s="1387">
        <v>1975000</v>
      </c>
      <c r="U1347" s="2516"/>
      <c r="V1347" s="2307">
        <v>2500000</v>
      </c>
      <c r="W1347" s="2516"/>
      <c r="X1347" s="2516"/>
      <c r="Y1347" s="3166">
        <f t="shared" si="442"/>
        <v>0</v>
      </c>
      <c r="Z1347" s="2307">
        <f t="shared" si="443"/>
        <v>4475000</v>
      </c>
      <c r="AA1347" s="1396">
        <f t="shared" si="448"/>
        <v>7</v>
      </c>
      <c r="AB1347" s="2615">
        <f t="shared" si="449"/>
        <v>1237880100</v>
      </c>
      <c r="AC1347" s="2685">
        <f t="shared" si="450"/>
        <v>35</v>
      </c>
      <c r="AD1347" s="2686">
        <f t="shared" si="451"/>
        <v>14.264690020617815</v>
      </c>
      <c r="AE1347" s="2207"/>
      <c r="AG1347" s="2814"/>
    </row>
    <row r="1348" spans="1:33" s="63" customFormat="1" ht="48" customHeight="1">
      <c r="A1348" s="1389"/>
      <c r="B1348" s="2516"/>
      <c r="C1348" s="1381" t="s">
        <v>197</v>
      </c>
      <c r="D1348" s="1381">
        <v>1</v>
      </c>
      <c r="E1348" s="1381" t="s">
        <v>65</v>
      </c>
      <c r="F1348" s="1381">
        <v>11</v>
      </c>
      <c r="G1348" s="1381">
        <v>18</v>
      </c>
      <c r="H1348" s="1381">
        <v>43</v>
      </c>
      <c r="I1348" s="2516" t="s">
        <v>2100</v>
      </c>
      <c r="J1348" s="2516" t="s">
        <v>2101</v>
      </c>
      <c r="K1348" s="252">
        <v>15</v>
      </c>
      <c r="L1348" s="2528">
        <v>9104405000</v>
      </c>
      <c r="M1348" s="1396">
        <v>3</v>
      </c>
      <c r="N1348" s="2528">
        <v>639325000</v>
      </c>
      <c r="O1348" s="1396">
        <v>4</v>
      </c>
      <c r="P1348" s="2286">
        <v>806000000</v>
      </c>
      <c r="Q1348" s="1396"/>
      <c r="R1348" s="1387">
        <v>3243000</v>
      </c>
      <c r="S1348" s="2516">
        <v>3</v>
      </c>
      <c r="T1348" s="2593">
        <v>558211</v>
      </c>
      <c r="U1348" s="2516"/>
      <c r="V1348" s="2307">
        <v>575807289</v>
      </c>
      <c r="W1348" s="2516"/>
      <c r="X1348" s="2516"/>
      <c r="Y1348" s="3166">
        <f t="shared" si="442"/>
        <v>3</v>
      </c>
      <c r="Z1348" s="2307">
        <f t="shared" si="443"/>
        <v>579608500</v>
      </c>
      <c r="AA1348" s="1396">
        <f t="shared" si="448"/>
        <v>6</v>
      </c>
      <c r="AB1348" s="2615">
        <f t="shared" si="449"/>
        <v>1218933500</v>
      </c>
      <c r="AC1348" s="2685">
        <f t="shared" si="450"/>
        <v>40</v>
      </c>
      <c r="AD1348" s="2686">
        <f t="shared" si="451"/>
        <v>13.388392761525877</v>
      </c>
      <c r="AE1348" s="2207"/>
      <c r="AG1348" s="2814"/>
    </row>
    <row r="1349" spans="1:33" s="63" customFormat="1" ht="72.75" customHeight="1">
      <c r="A1349" s="1389"/>
      <c r="B1349" s="2516"/>
      <c r="C1349" s="1381" t="s">
        <v>197</v>
      </c>
      <c r="D1349" s="1381">
        <v>1</v>
      </c>
      <c r="E1349" s="1381" t="s">
        <v>65</v>
      </c>
      <c r="F1349" s="1381">
        <v>11</v>
      </c>
      <c r="G1349" s="1381">
        <v>18</v>
      </c>
      <c r="H1349" s="1381">
        <v>50</v>
      </c>
      <c r="I1349" s="2516" t="s">
        <v>2102</v>
      </c>
      <c r="J1349" s="2516" t="s">
        <v>2101</v>
      </c>
      <c r="K1349" s="252">
        <v>1</v>
      </c>
      <c r="L1349" s="2528">
        <v>213855000</v>
      </c>
      <c r="M1349" s="1396">
        <v>1</v>
      </c>
      <c r="N1349" s="2528">
        <v>213855120</v>
      </c>
      <c r="O1349" s="1396"/>
      <c r="P1349" s="2286">
        <v>0</v>
      </c>
      <c r="Q1349" s="1396"/>
      <c r="R1349" s="1387">
        <v>0</v>
      </c>
      <c r="S1349" s="2516"/>
      <c r="T1349" s="1387"/>
      <c r="U1349" s="2516"/>
      <c r="V1349" s="2307"/>
      <c r="W1349" s="2516"/>
      <c r="X1349" s="2516"/>
      <c r="Y1349" s="3166">
        <f t="shared" si="442"/>
        <v>0</v>
      </c>
      <c r="Z1349" s="2307">
        <f t="shared" si="443"/>
        <v>0</v>
      </c>
      <c r="AA1349" s="1396">
        <f t="shared" si="448"/>
        <v>1</v>
      </c>
      <c r="AB1349" s="2615">
        <f t="shared" si="449"/>
        <v>213855120</v>
      </c>
      <c r="AC1349" s="2685">
        <f t="shared" si="450"/>
        <v>100</v>
      </c>
      <c r="AD1349" s="2686">
        <f t="shared" si="451"/>
        <v>100.00005611278671</v>
      </c>
      <c r="AE1349" s="2207"/>
      <c r="AG1349" s="2814"/>
    </row>
    <row r="1350" spans="1:33" s="63" customFormat="1" ht="72.75" customHeight="1">
      <c r="A1350" s="1389"/>
      <c r="B1350" s="2516"/>
      <c r="C1350" s="1381" t="s">
        <v>197</v>
      </c>
      <c r="D1350" s="1381">
        <v>1</v>
      </c>
      <c r="E1350" s="1381" t="s">
        <v>65</v>
      </c>
      <c r="F1350" s="1381">
        <v>11</v>
      </c>
      <c r="G1350" s="1381">
        <v>18</v>
      </c>
      <c r="H1350" s="1381">
        <v>51</v>
      </c>
      <c r="I1350" s="2516" t="s">
        <v>2103</v>
      </c>
      <c r="J1350" s="2516" t="s">
        <v>2101</v>
      </c>
      <c r="K1350" s="252">
        <v>1</v>
      </c>
      <c r="L1350" s="2528">
        <v>199436000</v>
      </c>
      <c r="M1350" s="1396">
        <v>1</v>
      </c>
      <c r="N1350" s="2528">
        <v>199435570</v>
      </c>
      <c r="O1350" s="1396"/>
      <c r="P1350" s="2286">
        <v>0</v>
      </c>
      <c r="Q1350" s="1396"/>
      <c r="R1350" s="1387">
        <v>0</v>
      </c>
      <c r="S1350" s="2516"/>
      <c r="T1350" s="2516"/>
      <c r="U1350" s="2516"/>
      <c r="V1350" s="2307"/>
      <c r="W1350" s="2516"/>
      <c r="X1350" s="2516"/>
      <c r="Y1350" s="3166">
        <f t="shared" si="442"/>
        <v>0</v>
      </c>
      <c r="Z1350" s="2307">
        <f t="shared" si="443"/>
        <v>0</v>
      </c>
      <c r="AA1350" s="1396">
        <f t="shared" si="448"/>
        <v>1</v>
      </c>
      <c r="AB1350" s="2615">
        <f t="shared" si="449"/>
        <v>199435570</v>
      </c>
      <c r="AC1350" s="2685">
        <f t="shared" si="450"/>
        <v>100</v>
      </c>
      <c r="AD1350" s="2686">
        <f t="shared" si="451"/>
        <v>99.999784391985401</v>
      </c>
      <c r="AE1350" s="2207"/>
      <c r="AG1350" s="2814"/>
    </row>
    <row r="1351" spans="1:33" ht="51" customHeight="1">
      <c r="A1351" s="1389"/>
      <c r="B1351" s="2516"/>
      <c r="C1351" s="1381" t="s">
        <v>197</v>
      </c>
      <c r="D1351" s="1381">
        <v>1</v>
      </c>
      <c r="E1351" s="1381" t="s">
        <v>65</v>
      </c>
      <c r="F1351" s="1381">
        <v>11</v>
      </c>
      <c r="G1351" s="1381">
        <v>18</v>
      </c>
      <c r="H1351" s="1381">
        <v>56</v>
      </c>
      <c r="I1351" s="2516" t="s">
        <v>2104</v>
      </c>
      <c r="J1351" s="2516" t="s">
        <v>2105</v>
      </c>
      <c r="K1351" s="252">
        <v>24</v>
      </c>
      <c r="L1351" s="2528">
        <v>24524919000</v>
      </c>
      <c r="M1351" s="1396">
        <v>6</v>
      </c>
      <c r="N1351" s="2528">
        <v>8980783440</v>
      </c>
      <c r="O1351" s="1396">
        <v>7</v>
      </c>
      <c r="P1351" s="2286">
        <v>11758961000</v>
      </c>
      <c r="Q1351" s="1396"/>
      <c r="R1351" s="1387">
        <v>11659250</v>
      </c>
      <c r="S1351" s="2516"/>
      <c r="T1351" s="1388">
        <v>1844986</v>
      </c>
      <c r="U1351" s="2516"/>
      <c r="V1351" s="2307">
        <v>6233128064</v>
      </c>
      <c r="W1351" s="2516"/>
      <c r="X1351" s="2516"/>
      <c r="Y1351" s="3166">
        <f t="shared" si="442"/>
        <v>0</v>
      </c>
      <c r="Z1351" s="2307">
        <f t="shared" si="443"/>
        <v>6246632300</v>
      </c>
      <c r="AA1351" s="1396">
        <f t="shared" si="448"/>
        <v>6</v>
      </c>
      <c r="AB1351" s="2615">
        <f t="shared" si="449"/>
        <v>15227415740</v>
      </c>
      <c r="AC1351" s="2685">
        <f t="shared" si="450"/>
        <v>25</v>
      </c>
      <c r="AD1351" s="2686">
        <f t="shared" si="451"/>
        <v>62.089565881950513</v>
      </c>
      <c r="AE1351" s="2207"/>
      <c r="AG1351" s="2814"/>
    </row>
    <row r="1352" spans="1:33" ht="69" customHeight="1">
      <c r="A1352" s="1389"/>
      <c r="B1352" s="2516"/>
      <c r="C1352" s="1381" t="s">
        <v>197</v>
      </c>
      <c r="D1352" s="1381">
        <v>1</v>
      </c>
      <c r="E1352" s="1381" t="s">
        <v>65</v>
      </c>
      <c r="F1352" s="1381">
        <v>11</v>
      </c>
      <c r="G1352" s="1381">
        <v>18</v>
      </c>
      <c r="H1352" s="1381">
        <v>58</v>
      </c>
      <c r="I1352" s="2516" t="s">
        <v>2106</v>
      </c>
      <c r="J1352" s="2516" t="s">
        <v>2107</v>
      </c>
      <c r="K1352" s="252">
        <v>1</v>
      </c>
      <c r="L1352" s="2528">
        <v>147576000</v>
      </c>
      <c r="M1352" s="1396">
        <v>1</v>
      </c>
      <c r="N1352" s="2528">
        <v>147576000</v>
      </c>
      <c r="O1352" s="1396"/>
      <c r="P1352" s="2286">
        <v>0</v>
      </c>
      <c r="Q1352" s="1396">
        <v>0</v>
      </c>
      <c r="R1352" s="1387">
        <v>0</v>
      </c>
      <c r="S1352" s="2516"/>
      <c r="T1352" s="2516"/>
      <c r="U1352" s="2516"/>
      <c r="V1352" s="2307"/>
      <c r="W1352" s="2516"/>
      <c r="X1352" s="2516"/>
      <c r="Y1352" s="3166">
        <f t="shared" si="442"/>
        <v>0</v>
      </c>
      <c r="Z1352" s="2307">
        <f t="shared" si="443"/>
        <v>0</v>
      </c>
      <c r="AA1352" s="1396">
        <f t="shared" si="448"/>
        <v>1</v>
      </c>
      <c r="AB1352" s="2615">
        <f t="shared" si="449"/>
        <v>147576000</v>
      </c>
      <c r="AC1352" s="2685">
        <f t="shared" si="450"/>
        <v>100</v>
      </c>
      <c r="AD1352" s="2686">
        <f t="shared" si="451"/>
        <v>100</v>
      </c>
      <c r="AE1352" s="2207"/>
      <c r="AG1352" s="2814"/>
    </row>
    <row r="1353" spans="1:33" ht="69.75" customHeight="1">
      <c r="A1353" s="1389"/>
      <c r="B1353" s="2516"/>
      <c r="C1353" s="1381" t="s">
        <v>197</v>
      </c>
      <c r="D1353" s="1381">
        <v>1</v>
      </c>
      <c r="E1353" s="1381" t="s">
        <v>65</v>
      </c>
      <c r="F1353" s="1381">
        <v>11</v>
      </c>
      <c r="G1353" s="1381">
        <v>18</v>
      </c>
      <c r="H1353" s="1381">
        <v>60</v>
      </c>
      <c r="I1353" s="2516" t="s">
        <v>2108</v>
      </c>
      <c r="J1353" s="2516" t="s">
        <v>2109</v>
      </c>
      <c r="K1353" s="252">
        <v>48</v>
      </c>
      <c r="L1353" s="2528">
        <v>800000000</v>
      </c>
      <c r="M1353" s="1396"/>
      <c r="N1353" s="2528">
        <v>0</v>
      </c>
      <c r="O1353" s="1396">
        <v>12</v>
      </c>
      <c r="P1353" s="2286">
        <v>411093392</v>
      </c>
      <c r="Q1353" s="1396"/>
      <c r="R1353" s="1387">
        <v>53473000</v>
      </c>
      <c r="S1353" s="2516">
        <v>3</v>
      </c>
      <c r="T1353" s="1387">
        <v>700000</v>
      </c>
      <c r="U1353" s="2516"/>
      <c r="V1353" s="2307"/>
      <c r="W1353" s="2516"/>
      <c r="X1353" s="2516"/>
      <c r="Y1353" s="3166">
        <f t="shared" si="442"/>
        <v>3</v>
      </c>
      <c r="Z1353" s="2307">
        <f t="shared" si="443"/>
        <v>54173000</v>
      </c>
      <c r="AA1353" s="1396">
        <f t="shared" si="448"/>
        <v>3</v>
      </c>
      <c r="AB1353" s="2615">
        <f t="shared" si="449"/>
        <v>54173000</v>
      </c>
      <c r="AC1353" s="2685">
        <f t="shared" si="450"/>
        <v>6.25</v>
      </c>
      <c r="AD1353" s="2686">
        <f t="shared" si="451"/>
        <v>6.7716250000000002</v>
      </c>
      <c r="AE1353" s="2207"/>
      <c r="AG1353" s="2814"/>
    </row>
    <row r="1354" spans="1:33" s="63" customFormat="1" ht="37.5" customHeight="1">
      <c r="A1354" s="1389"/>
      <c r="B1354" s="2516"/>
      <c r="C1354" s="1381" t="s">
        <v>197</v>
      </c>
      <c r="D1354" s="1381">
        <v>1</v>
      </c>
      <c r="E1354" s="1381" t="s">
        <v>65</v>
      </c>
      <c r="F1354" s="1381">
        <v>11</v>
      </c>
      <c r="G1354" s="1381">
        <v>18</v>
      </c>
      <c r="H1354" s="1381">
        <v>63</v>
      </c>
      <c r="I1354" s="2516" t="s">
        <v>2110</v>
      </c>
      <c r="J1354" s="2516" t="s">
        <v>2111</v>
      </c>
      <c r="K1354" s="252">
        <v>4</v>
      </c>
      <c r="L1354" s="2528">
        <v>200000000</v>
      </c>
      <c r="M1354" s="1396"/>
      <c r="N1354" s="2528">
        <v>0</v>
      </c>
      <c r="O1354" s="1396">
        <v>1</v>
      </c>
      <c r="P1354" s="2286">
        <v>44555000</v>
      </c>
      <c r="Q1354" s="1396"/>
      <c r="R1354" s="1387">
        <v>0</v>
      </c>
      <c r="S1354" s="2516"/>
      <c r="T1354" s="1387">
        <v>3799000</v>
      </c>
      <c r="U1354" s="2516"/>
      <c r="V1354" s="2307">
        <v>12003000</v>
      </c>
      <c r="W1354" s="2516"/>
      <c r="X1354" s="2516"/>
      <c r="Y1354" s="3166">
        <f t="shared" si="442"/>
        <v>0</v>
      </c>
      <c r="Z1354" s="2307">
        <f t="shared" si="443"/>
        <v>15802000</v>
      </c>
      <c r="AA1354" s="1396">
        <f t="shared" si="448"/>
        <v>0</v>
      </c>
      <c r="AB1354" s="2615">
        <f t="shared" si="449"/>
        <v>15802000</v>
      </c>
      <c r="AC1354" s="2685">
        <f t="shared" si="450"/>
        <v>0</v>
      </c>
      <c r="AD1354" s="2686">
        <f t="shared" si="451"/>
        <v>7.9009999999999998</v>
      </c>
      <c r="AE1354" s="2207"/>
      <c r="AG1354" s="2814"/>
    </row>
    <row r="1355" spans="1:33" s="63" customFormat="1" ht="37.5" customHeight="1">
      <c r="A1355" s="1389"/>
      <c r="B1355" s="2516"/>
      <c r="C1355" s="1381" t="s">
        <v>197</v>
      </c>
      <c r="D1355" s="1381">
        <v>1</v>
      </c>
      <c r="E1355" s="1381" t="s">
        <v>65</v>
      </c>
      <c r="F1355" s="1381">
        <v>11</v>
      </c>
      <c r="G1355" s="1381">
        <v>18</v>
      </c>
      <c r="H1355" s="1381">
        <v>65</v>
      </c>
      <c r="I1355" s="233" t="s">
        <v>2112</v>
      </c>
      <c r="J1355" s="2516" t="s">
        <v>2113</v>
      </c>
      <c r="K1355" s="252">
        <v>15</v>
      </c>
      <c r="L1355" s="2528">
        <v>15000000000</v>
      </c>
      <c r="M1355" s="1396"/>
      <c r="N1355" s="2528">
        <v>0</v>
      </c>
      <c r="O1355" s="1396">
        <v>3</v>
      </c>
      <c r="P1355" s="2286">
        <v>3897044000</v>
      </c>
      <c r="Q1355" s="1396"/>
      <c r="R1355" s="1387">
        <v>0</v>
      </c>
      <c r="S1355" s="2516"/>
      <c r="T1355" s="2516"/>
      <c r="U1355" s="2516"/>
      <c r="V1355" s="2307">
        <v>1526393075</v>
      </c>
      <c r="W1355" s="2516"/>
      <c r="X1355" s="2516"/>
      <c r="Y1355" s="3166">
        <f t="shared" si="442"/>
        <v>0</v>
      </c>
      <c r="Z1355" s="2307">
        <f t="shared" si="443"/>
        <v>1526393075</v>
      </c>
      <c r="AA1355" s="1396">
        <f t="shared" si="448"/>
        <v>0</v>
      </c>
      <c r="AB1355" s="2615">
        <f t="shared" si="449"/>
        <v>1526393075</v>
      </c>
      <c r="AC1355" s="2685">
        <f t="shared" si="450"/>
        <v>0</v>
      </c>
      <c r="AD1355" s="2686">
        <f t="shared" si="451"/>
        <v>10.175953833333333</v>
      </c>
      <c r="AE1355" s="2207"/>
      <c r="AG1355" s="2814"/>
    </row>
    <row r="1356" spans="1:33" s="114" customFormat="1" ht="18.75" customHeight="1">
      <c r="A1356" s="4244" t="s">
        <v>89</v>
      </c>
      <c r="B1356" s="4244"/>
      <c r="C1356" s="4245"/>
      <c r="D1356" s="4245"/>
      <c r="E1356" s="4245"/>
      <c r="F1356" s="4245"/>
      <c r="G1356" s="4245"/>
      <c r="H1356" s="4245"/>
      <c r="I1356" s="4245"/>
      <c r="J1356" s="4245"/>
      <c r="K1356" s="4245"/>
      <c r="L1356" s="4245"/>
      <c r="M1356" s="4245"/>
      <c r="N1356" s="4245"/>
      <c r="O1356" s="4245"/>
      <c r="P1356" s="4245"/>
      <c r="Q1356" s="4245"/>
      <c r="R1356" s="4245"/>
      <c r="S1356" s="4245"/>
      <c r="T1356" s="4245"/>
      <c r="U1356" s="4245"/>
      <c r="V1356" s="4245"/>
      <c r="W1356" s="4245"/>
      <c r="X1356" s="4245"/>
      <c r="Y1356" s="4245"/>
      <c r="Z1356" s="4245"/>
      <c r="AA1356" s="4245"/>
      <c r="AB1356" s="4245"/>
      <c r="AC1356" s="2030">
        <f>(AC1336+AC1343)/2</f>
        <v>22.222222222222221</v>
      </c>
      <c r="AD1356" s="2030">
        <f>(AD1336+AD1343)/2</f>
        <v>21.447034975389002</v>
      </c>
      <c r="AE1356" s="390"/>
    </row>
    <row r="1357" spans="1:33" s="475" customFormat="1" ht="15.75" customHeight="1">
      <c r="A1357" s="4244" t="s">
        <v>90</v>
      </c>
      <c r="B1357" s="4244"/>
      <c r="C1357" s="4245"/>
      <c r="D1357" s="4245"/>
      <c r="E1357" s="4245"/>
      <c r="F1357" s="4245"/>
      <c r="G1357" s="4245"/>
      <c r="H1357" s="4245"/>
      <c r="I1357" s="4245"/>
      <c r="J1357" s="4245"/>
      <c r="K1357" s="4245"/>
      <c r="L1357" s="4245"/>
      <c r="M1357" s="4245"/>
      <c r="N1357" s="4245"/>
      <c r="O1357" s="4245"/>
      <c r="P1357" s="4245"/>
      <c r="Q1357" s="4245"/>
      <c r="R1357" s="4245"/>
      <c r="S1357" s="4245"/>
      <c r="T1357" s="4245"/>
      <c r="U1357" s="4245"/>
      <c r="V1357" s="4245"/>
      <c r="W1357" s="4245"/>
      <c r="X1357" s="4245"/>
      <c r="Y1357" s="4245"/>
      <c r="Z1357" s="4245"/>
      <c r="AA1357" s="4245"/>
      <c r="AB1357" s="4245"/>
      <c r="AC1357" s="3152" t="str">
        <f>IF(AC1356&gt;=91,"ST",IF(AC1356&gt;=76,"T",IF(AC1356&gt;=66,"S",IF(AC1356&gt;=51,"R","SR"))))</f>
        <v>SR</v>
      </c>
      <c r="AD1357" s="3152" t="str">
        <f>IF(AD1356&gt;=91,"ST",IF(AD1356&gt;=76,"T",IF(AD1356&gt;=66,"S",IF(AD1356&gt;=51,"R","SR"))))</f>
        <v>SR</v>
      </c>
      <c r="AE1357" s="390"/>
    </row>
    <row r="1358" spans="1:33" s="1129" customFormat="1" ht="26.25" customHeight="1">
      <c r="A1358" s="2546" t="s">
        <v>3252</v>
      </c>
      <c r="B1358" s="2918"/>
      <c r="C1358" s="2546"/>
      <c r="D1358" s="2546"/>
      <c r="E1358" s="2546"/>
      <c r="F1358" s="2546"/>
      <c r="G1358" s="2546"/>
      <c r="H1358" s="2546"/>
      <c r="I1358" s="2515" t="s">
        <v>216</v>
      </c>
      <c r="J1358" s="2918"/>
      <c r="K1358" s="3210"/>
      <c r="L1358" s="3194">
        <f>L1359+L1366+L1370</f>
        <v>8560475000</v>
      </c>
      <c r="M1358" s="3210"/>
      <c r="N1358" s="3195">
        <f>N1359+N1366+N1370</f>
        <v>1162534600</v>
      </c>
      <c r="O1358" s="3210"/>
      <c r="P1358" s="3195">
        <f>P1359+P1366+P1370</f>
        <v>2562497332</v>
      </c>
      <c r="Q1358" s="3210"/>
      <c r="R1358" s="2916">
        <f>R1359+R1366+R1370</f>
        <v>35033510</v>
      </c>
      <c r="S1358" s="2918"/>
      <c r="T1358" s="2916">
        <f>T1359+T1366+T1370</f>
        <v>480080000</v>
      </c>
      <c r="U1358" s="2918"/>
      <c r="V1358" s="2916">
        <f>V1359+V1366+V1370</f>
        <v>355405198</v>
      </c>
      <c r="W1358" s="2918"/>
      <c r="X1358" s="2918"/>
      <c r="Y1358" s="3210"/>
      <c r="Z1358" s="2916">
        <f>R1358+T1358+V1358</f>
        <v>870518708</v>
      </c>
      <c r="AA1358" s="3210"/>
      <c r="AB1358" s="2916">
        <f>AB1359+AB1366+AB1370</f>
        <v>1783473010</v>
      </c>
      <c r="AC1358" s="3210"/>
      <c r="AD1358" s="3210"/>
      <c r="AE1358" s="3211"/>
    </row>
    <row r="1359" spans="1:33" s="1134" customFormat="1" ht="43.5" customHeight="1">
      <c r="A1359" s="2570">
        <v>1</v>
      </c>
      <c r="B1359" s="2335" t="s">
        <v>2116</v>
      </c>
      <c r="C1359" s="2567" t="s">
        <v>198</v>
      </c>
      <c r="D1359" s="2567">
        <v>1</v>
      </c>
      <c r="E1359" s="2567" t="s">
        <v>65</v>
      </c>
      <c r="F1359" s="2567">
        <v>11</v>
      </c>
      <c r="G1359" s="2567">
        <v>16</v>
      </c>
      <c r="H1359" s="2567"/>
      <c r="I1359" s="2335" t="s">
        <v>2117</v>
      </c>
      <c r="J1359" s="2335" t="s">
        <v>2118</v>
      </c>
      <c r="K1359" s="2502">
        <v>170</v>
      </c>
      <c r="L1359" s="2442">
        <f>SUM(L1360:L1365)</f>
        <v>3938996000</v>
      </c>
      <c r="M1359" s="3162">
        <v>10</v>
      </c>
      <c r="N1359" s="2609">
        <f>SUM(N1360:N1365)</f>
        <v>1076661100</v>
      </c>
      <c r="O1359" s="3162">
        <v>25</v>
      </c>
      <c r="P1359" s="2442">
        <f>SUM(P1361:P1365)</f>
        <v>1300229291</v>
      </c>
      <c r="Q1359" s="3162">
        <v>0</v>
      </c>
      <c r="R1359" s="2340">
        <f>SUM(R1361:R1365)</f>
        <v>26260670</v>
      </c>
      <c r="S1359" s="2335"/>
      <c r="T1359" s="2340">
        <f>SUM(T1361:T1365)</f>
        <v>158920000</v>
      </c>
      <c r="U1359" s="2335"/>
      <c r="V1359" s="2342">
        <f>SUM(V1361:V1365)</f>
        <v>334766298</v>
      </c>
      <c r="W1359" s="2335"/>
      <c r="X1359" s="2335"/>
      <c r="Y1359" s="2543">
        <f t="shared" ref="Y1359:Y1371" si="452">Q1359+S1359+U1359+W1359</f>
        <v>0</v>
      </c>
      <c r="Z1359" s="2342">
        <f>SUM(Z1361:Z1365)</f>
        <v>270366670</v>
      </c>
      <c r="AA1359" s="3162">
        <f t="shared" ref="AA1359:AA1365" si="453">M1359+Y1359</f>
        <v>10</v>
      </c>
      <c r="AB1359" s="2571">
        <f t="shared" ref="AB1359:AB1365" si="454">N1359+Z1359</f>
        <v>1347027770</v>
      </c>
      <c r="AC1359" s="2610">
        <f t="shared" ref="AC1359:AC1365" si="455">AA1359/K1359*100</f>
        <v>5.8823529411764701</v>
      </c>
      <c r="AD1359" s="2611">
        <f t="shared" ref="AD1359:AD1365" si="456">AB1359/L1359*100</f>
        <v>34.19723630082386</v>
      </c>
      <c r="AE1359" s="3184" t="s">
        <v>2058</v>
      </c>
      <c r="AG1359" s="3212"/>
    </row>
    <row r="1360" spans="1:33" s="1134" customFormat="1" ht="63.75" customHeight="1">
      <c r="A1360" s="1389"/>
      <c r="B1360" s="2516"/>
      <c r="C1360" s="1381" t="s">
        <v>198</v>
      </c>
      <c r="D1360" s="1381">
        <v>1</v>
      </c>
      <c r="E1360" s="1381" t="s">
        <v>65</v>
      </c>
      <c r="F1360" s="1381">
        <v>11</v>
      </c>
      <c r="G1360" s="1381">
        <v>16</v>
      </c>
      <c r="H1360" s="1381" t="s">
        <v>201</v>
      </c>
      <c r="I1360" s="2516" t="s">
        <v>2120</v>
      </c>
      <c r="J1360" s="2516" t="s">
        <v>4058</v>
      </c>
      <c r="K1360" s="252">
        <v>60</v>
      </c>
      <c r="L1360" s="2528">
        <v>120000000</v>
      </c>
      <c r="M1360" s="1396">
        <v>30</v>
      </c>
      <c r="N1360" s="2528">
        <v>66425899.999999993</v>
      </c>
      <c r="O1360" s="1396"/>
      <c r="P1360" s="2286"/>
      <c r="Q1360" s="1396"/>
      <c r="R1360" s="1387">
        <v>0</v>
      </c>
      <c r="S1360" s="2516"/>
      <c r="T1360" s="1388"/>
      <c r="U1360" s="2516"/>
      <c r="V1360" s="2307"/>
      <c r="W1360" s="2516"/>
      <c r="X1360" s="2516"/>
      <c r="Y1360" s="3166">
        <f t="shared" si="452"/>
        <v>0</v>
      </c>
      <c r="Z1360" s="2307">
        <f t="shared" ref="Z1360:Z1371" si="457">R1360+T1360+V1360+X1360</f>
        <v>0</v>
      </c>
      <c r="AA1360" s="1396">
        <f t="shared" si="453"/>
        <v>30</v>
      </c>
      <c r="AB1360" s="2500">
        <f t="shared" si="454"/>
        <v>66425899.999999993</v>
      </c>
      <c r="AC1360" s="2424">
        <f t="shared" si="455"/>
        <v>50</v>
      </c>
      <c r="AD1360" s="2433">
        <f t="shared" si="456"/>
        <v>55.354916666666668</v>
      </c>
      <c r="AE1360" s="3187"/>
      <c r="AG1360" s="3212"/>
    </row>
    <row r="1361" spans="1:39" s="1134" customFormat="1" ht="27.75" customHeight="1">
      <c r="A1361" s="1389"/>
      <c r="B1361" s="2516"/>
      <c r="C1361" s="1381" t="s">
        <v>198</v>
      </c>
      <c r="D1361" s="1381">
        <v>1</v>
      </c>
      <c r="E1361" s="1381" t="s">
        <v>65</v>
      </c>
      <c r="F1361" s="1381">
        <v>11</v>
      </c>
      <c r="G1361" s="1381">
        <v>16</v>
      </c>
      <c r="H1361" s="1381">
        <v>10</v>
      </c>
      <c r="I1361" s="2516" t="s">
        <v>2123</v>
      </c>
      <c r="J1361" s="2516" t="s">
        <v>2124</v>
      </c>
      <c r="K1361" s="252">
        <v>6</v>
      </c>
      <c r="L1361" s="2528">
        <v>366210000</v>
      </c>
      <c r="M1361" s="1396">
        <v>2</v>
      </c>
      <c r="N1361" s="2528">
        <v>96984920.000000015</v>
      </c>
      <c r="O1361" s="1396">
        <v>1</v>
      </c>
      <c r="P1361" s="2286">
        <v>74602916</v>
      </c>
      <c r="Q1361" s="1396"/>
      <c r="R1361" s="1387">
        <v>7195000</v>
      </c>
      <c r="S1361" s="2516"/>
      <c r="T1361" s="1387">
        <v>13299000</v>
      </c>
      <c r="U1361" s="2516"/>
      <c r="V1361" s="1387">
        <f>27006600-20494000</f>
        <v>6512600</v>
      </c>
      <c r="W1361" s="2516"/>
      <c r="X1361" s="2516"/>
      <c r="Y1361" s="3166">
        <f t="shared" si="452"/>
        <v>0</v>
      </c>
      <c r="Z1361" s="2307">
        <f>SUM(R1361+T1361)</f>
        <v>20494000</v>
      </c>
      <c r="AA1361" s="1396">
        <f t="shared" si="453"/>
        <v>2</v>
      </c>
      <c r="AB1361" s="2500">
        <f t="shared" si="454"/>
        <v>117478920.00000001</v>
      </c>
      <c r="AC1361" s="2424">
        <f t="shared" si="455"/>
        <v>33.333333333333329</v>
      </c>
      <c r="AD1361" s="2433">
        <f t="shared" si="456"/>
        <v>32.079659211927584</v>
      </c>
      <c r="AE1361" s="3187"/>
      <c r="AG1361" s="3212"/>
    </row>
    <row r="1362" spans="1:39" s="1134" customFormat="1" ht="39.75" customHeight="1">
      <c r="A1362" s="1389"/>
      <c r="B1362" s="2516"/>
      <c r="C1362" s="1381" t="s">
        <v>198</v>
      </c>
      <c r="D1362" s="1381">
        <v>1</v>
      </c>
      <c r="E1362" s="1381" t="s">
        <v>65</v>
      </c>
      <c r="F1362" s="1381">
        <v>11</v>
      </c>
      <c r="G1362" s="1381">
        <v>16</v>
      </c>
      <c r="H1362" s="1381">
        <v>15</v>
      </c>
      <c r="I1362" s="2516" t="s">
        <v>2126</v>
      </c>
      <c r="J1362" s="2516" t="s">
        <v>2127</v>
      </c>
      <c r="K1362" s="252">
        <v>36</v>
      </c>
      <c r="L1362" s="2528">
        <v>2143803000</v>
      </c>
      <c r="M1362" s="1396">
        <v>12</v>
      </c>
      <c r="N1362" s="2528">
        <v>816000730</v>
      </c>
      <c r="O1362" s="1396">
        <v>6</v>
      </c>
      <c r="P1362" s="2286">
        <v>963378363</v>
      </c>
      <c r="Q1362" s="1396"/>
      <c r="R1362" s="1387">
        <v>10489670</v>
      </c>
      <c r="S1362" s="2516">
        <v>3</v>
      </c>
      <c r="T1362" s="2593">
        <v>123506000</v>
      </c>
      <c r="U1362" s="2516">
        <v>2</v>
      </c>
      <c r="V1362" s="1387">
        <f>377063368-133995670</f>
        <v>243067698</v>
      </c>
      <c r="W1362" s="2516"/>
      <c r="X1362" s="2516"/>
      <c r="Y1362" s="3166">
        <f t="shared" si="452"/>
        <v>5</v>
      </c>
      <c r="Z1362" s="2307">
        <f>R1362+T1362</f>
        <v>133995670</v>
      </c>
      <c r="AA1362" s="1396">
        <f t="shared" si="453"/>
        <v>17</v>
      </c>
      <c r="AB1362" s="2500">
        <f t="shared" si="454"/>
        <v>949996400</v>
      </c>
      <c r="AC1362" s="2424">
        <f t="shared" si="455"/>
        <v>47.222222222222221</v>
      </c>
      <c r="AD1362" s="2433">
        <f t="shared" si="456"/>
        <v>44.313605307950404</v>
      </c>
      <c r="AE1362" s="3187"/>
      <c r="AG1362" s="3212"/>
    </row>
    <row r="1363" spans="1:39" s="1134" customFormat="1" ht="39.75" customHeight="1">
      <c r="A1363" s="1389"/>
      <c r="B1363" s="2516"/>
      <c r="C1363" s="1381" t="s">
        <v>198</v>
      </c>
      <c r="D1363" s="1381">
        <v>1</v>
      </c>
      <c r="E1363" s="1381" t="s">
        <v>65</v>
      </c>
      <c r="F1363" s="1381">
        <v>11</v>
      </c>
      <c r="G1363" s="1381">
        <v>16</v>
      </c>
      <c r="H1363" s="1381">
        <v>20</v>
      </c>
      <c r="I1363" s="2516" t="s">
        <v>2129</v>
      </c>
      <c r="J1363" s="2516" t="s">
        <v>2130</v>
      </c>
      <c r="K1363" s="252">
        <v>3</v>
      </c>
      <c r="L1363" s="2528">
        <v>133983000</v>
      </c>
      <c r="M1363" s="1396">
        <v>1</v>
      </c>
      <c r="N1363" s="2528">
        <v>97249550</v>
      </c>
      <c r="O1363" s="1396">
        <v>1</v>
      </c>
      <c r="P1363" s="2286">
        <v>54846499</v>
      </c>
      <c r="Q1363" s="1396"/>
      <c r="R1363" s="1387">
        <v>1352000</v>
      </c>
      <c r="S1363" s="2516"/>
      <c r="T1363" s="1388">
        <v>12418000</v>
      </c>
      <c r="U1363" s="2516"/>
      <c r="V1363" s="1387">
        <f>21620000-13770000</f>
        <v>7850000</v>
      </c>
      <c r="W1363" s="2516"/>
      <c r="X1363" s="2516"/>
      <c r="Y1363" s="3166">
        <f t="shared" si="452"/>
        <v>0</v>
      </c>
      <c r="Z1363" s="2307">
        <f t="shared" si="457"/>
        <v>21620000</v>
      </c>
      <c r="AA1363" s="1396">
        <f t="shared" si="453"/>
        <v>1</v>
      </c>
      <c r="AB1363" s="2500">
        <f t="shared" si="454"/>
        <v>118869550</v>
      </c>
      <c r="AC1363" s="2424">
        <f t="shared" si="455"/>
        <v>33.333333333333329</v>
      </c>
      <c r="AD1363" s="2433">
        <f t="shared" si="456"/>
        <v>88.719874909503446</v>
      </c>
      <c r="AE1363" s="3187"/>
      <c r="AG1363" s="3212"/>
    </row>
    <row r="1364" spans="1:39" s="1134" customFormat="1" ht="39.75" customHeight="1">
      <c r="A1364" s="1389" t="s">
        <v>228</v>
      </c>
      <c r="B1364" s="2516"/>
      <c r="C1364" s="1381" t="s">
        <v>198</v>
      </c>
      <c r="D1364" s="1381">
        <v>1</v>
      </c>
      <c r="E1364" s="1381" t="s">
        <v>65</v>
      </c>
      <c r="F1364" s="1381">
        <v>11</v>
      </c>
      <c r="G1364" s="1381">
        <v>16</v>
      </c>
      <c r="H1364" s="1381">
        <v>22</v>
      </c>
      <c r="I1364" s="233" t="s">
        <v>2132</v>
      </c>
      <c r="J1364" s="2516" t="s">
        <v>4059</v>
      </c>
      <c r="K1364" s="252">
        <v>125</v>
      </c>
      <c r="L1364" s="2528">
        <v>575000000</v>
      </c>
      <c r="M1364" s="1396"/>
      <c r="N1364" s="2528">
        <v>0</v>
      </c>
      <c r="O1364" s="1396">
        <v>25</v>
      </c>
      <c r="P1364" s="2286">
        <v>98247410</v>
      </c>
      <c r="Q1364" s="1396"/>
      <c r="R1364" s="1387">
        <v>0</v>
      </c>
      <c r="S1364" s="2516"/>
      <c r="T1364" s="2864">
        <v>15000</v>
      </c>
      <c r="U1364" s="2516">
        <v>15</v>
      </c>
      <c r="V1364" s="1387">
        <f>32838000-1500000</f>
        <v>31338000</v>
      </c>
      <c r="W1364" s="2516"/>
      <c r="X1364" s="2516"/>
      <c r="Y1364" s="3166">
        <f t="shared" si="452"/>
        <v>15</v>
      </c>
      <c r="Z1364" s="3111">
        <f t="shared" si="457"/>
        <v>31353000</v>
      </c>
      <c r="AA1364" s="1396">
        <f t="shared" si="453"/>
        <v>15</v>
      </c>
      <c r="AB1364" s="2500">
        <f t="shared" si="454"/>
        <v>31353000</v>
      </c>
      <c r="AC1364" s="2424">
        <f t="shared" si="455"/>
        <v>12</v>
      </c>
      <c r="AD1364" s="2433">
        <f t="shared" si="456"/>
        <v>5.4526956521739134</v>
      </c>
      <c r="AE1364" s="3187"/>
      <c r="AG1364" s="3212"/>
    </row>
    <row r="1365" spans="1:39" s="1134" customFormat="1" ht="39.75" customHeight="1">
      <c r="A1365" s="1389" t="s">
        <v>228</v>
      </c>
      <c r="B1365" s="2516"/>
      <c r="C1365" s="1381" t="s">
        <v>198</v>
      </c>
      <c r="D1365" s="1381">
        <v>1</v>
      </c>
      <c r="E1365" s="1381" t="s">
        <v>65</v>
      </c>
      <c r="F1365" s="1381">
        <v>11</v>
      </c>
      <c r="G1365" s="1381">
        <v>16</v>
      </c>
      <c r="H1365" s="1381">
        <v>24</v>
      </c>
      <c r="I1365" s="2516" t="s">
        <v>2134</v>
      </c>
      <c r="J1365" s="2516" t="s">
        <v>2135</v>
      </c>
      <c r="K1365" s="252">
        <v>250</v>
      </c>
      <c r="L1365" s="2528">
        <v>600000000</v>
      </c>
      <c r="M1365" s="1396"/>
      <c r="N1365" s="2528">
        <v>0</v>
      </c>
      <c r="O1365" s="1396">
        <v>40</v>
      </c>
      <c r="P1365" s="2286">
        <v>109154103</v>
      </c>
      <c r="Q1365" s="1396"/>
      <c r="R1365" s="1387">
        <v>7224000</v>
      </c>
      <c r="S1365" s="2516"/>
      <c r="T1365" s="1387">
        <v>9682000</v>
      </c>
      <c r="U1365" s="2516">
        <v>20</v>
      </c>
      <c r="V1365" s="1387">
        <f>62904000-16906000</f>
        <v>45998000</v>
      </c>
      <c r="W1365" s="2516"/>
      <c r="X1365" s="2516"/>
      <c r="Y1365" s="3166">
        <f t="shared" si="452"/>
        <v>20</v>
      </c>
      <c r="Z1365" s="2307">
        <f t="shared" si="457"/>
        <v>62904000</v>
      </c>
      <c r="AA1365" s="1396">
        <f t="shared" si="453"/>
        <v>20</v>
      </c>
      <c r="AB1365" s="2500">
        <f t="shared" si="454"/>
        <v>62904000</v>
      </c>
      <c r="AC1365" s="2424">
        <f t="shared" si="455"/>
        <v>8</v>
      </c>
      <c r="AD1365" s="2433">
        <f t="shared" si="456"/>
        <v>10.484</v>
      </c>
      <c r="AE1365" s="3187"/>
      <c r="AG1365" s="3212"/>
    </row>
    <row r="1366" spans="1:39" s="639" customFormat="1" ht="42.75" customHeight="1">
      <c r="A1366" s="2570">
        <v>2</v>
      </c>
      <c r="B1366" s="2335" t="s">
        <v>2141</v>
      </c>
      <c r="C1366" s="2352" t="s">
        <v>198</v>
      </c>
      <c r="D1366" s="2352">
        <v>1</v>
      </c>
      <c r="E1366" s="2352" t="s">
        <v>65</v>
      </c>
      <c r="F1366" s="2352">
        <v>11</v>
      </c>
      <c r="G1366" s="2352">
        <v>19</v>
      </c>
      <c r="H1366" s="2352"/>
      <c r="I1366" s="2335" t="s">
        <v>2142</v>
      </c>
      <c r="J1366" s="2335" t="s">
        <v>2143</v>
      </c>
      <c r="K1366" s="2502">
        <v>6</v>
      </c>
      <c r="L1366" s="2442">
        <f>SUM(L1367:L1369)</f>
        <v>4563754000</v>
      </c>
      <c r="M1366" s="3162">
        <v>1</v>
      </c>
      <c r="N1366" s="2609">
        <f>SUM(N1367:N1369)</f>
        <v>85873500</v>
      </c>
      <c r="O1366" s="3162">
        <v>3</v>
      </c>
      <c r="P1366" s="2442">
        <f>SUM(P1367:P1369)</f>
        <v>1204543008</v>
      </c>
      <c r="Q1366" s="3162"/>
      <c r="R1366" s="2340">
        <f>SUM(R1367:R1369)</f>
        <v>8772840</v>
      </c>
      <c r="S1366" s="2335"/>
      <c r="T1366" s="2340">
        <f>SUM(T1367:T1369)</f>
        <v>295856000</v>
      </c>
      <c r="U1366" s="2335"/>
      <c r="V1366" s="2342">
        <f>SUM(V1367:V1369)</f>
        <v>17379100</v>
      </c>
      <c r="W1366" s="2335"/>
      <c r="X1366" s="2335"/>
      <c r="Y1366" s="2380">
        <f t="shared" si="452"/>
        <v>0</v>
      </c>
      <c r="Z1366" s="2342">
        <f t="shared" si="457"/>
        <v>322007940</v>
      </c>
      <c r="AA1366" s="2358">
        <f t="shared" ref="AA1366:AA1371" si="458">M1366+Y1366</f>
        <v>1</v>
      </c>
      <c r="AB1366" s="2571">
        <f t="shared" ref="AB1366:AB1371" si="459">N1366+Z1366</f>
        <v>407881440</v>
      </c>
      <c r="AC1366" s="2610">
        <f t="shared" ref="AC1366:AC1371" si="460">AA1366/K1366*100</f>
        <v>16.666666666666664</v>
      </c>
      <c r="AD1366" s="2611">
        <f t="shared" ref="AD1366:AD1371" si="461">AB1366/L1366*100</f>
        <v>8.9374107368626792</v>
      </c>
      <c r="AE1366" s="3184" t="s">
        <v>2058</v>
      </c>
      <c r="AG1366" s="3212"/>
      <c r="AH1366" s="1134"/>
      <c r="AI1366" s="1134"/>
      <c r="AJ1366" s="1134"/>
      <c r="AK1366" s="1134"/>
      <c r="AL1366" s="1134"/>
      <c r="AM1366" s="1134"/>
    </row>
    <row r="1367" spans="1:39" s="639" customFormat="1" ht="42.75" customHeight="1">
      <c r="A1367" s="1389" t="s">
        <v>228</v>
      </c>
      <c r="B1367" s="2516" t="s">
        <v>2125</v>
      </c>
      <c r="C1367" s="1381" t="s">
        <v>198</v>
      </c>
      <c r="D1367" s="1381">
        <v>1</v>
      </c>
      <c r="E1367" s="1381" t="s">
        <v>65</v>
      </c>
      <c r="F1367" s="1381">
        <v>11</v>
      </c>
      <c r="G1367" s="1381">
        <v>19</v>
      </c>
      <c r="H1367" s="1381">
        <v>5</v>
      </c>
      <c r="I1367" s="233" t="s">
        <v>2144</v>
      </c>
      <c r="J1367" s="233" t="s">
        <v>2145</v>
      </c>
      <c r="K1367" s="252">
        <v>240</v>
      </c>
      <c r="L1367" s="2528">
        <v>1146383000</v>
      </c>
      <c r="M1367" s="1396">
        <v>25</v>
      </c>
      <c r="N1367" s="2528">
        <v>85873500</v>
      </c>
      <c r="O1367" s="1396">
        <v>40</v>
      </c>
      <c r="P1367" s="2286">
        <v>104513085</v>
      </c>
      <c r="Q1367" s="1396"/>
      <c r="R1367" s="1387">
        <v>2952000</v>
      </c>
      <c r="S1367" s="2516"/>
      <c r="T1367" s="1393">
        <v>14663000</v>
      </c>
      <c r="U1367" s="2516"/>
      <c r="V1367" s="1387">
        <f>29464100-17615000</f>
        <v>11849100</v>
      </c>
      <c r="W1367" s="2516"/>
      <c r="X1367" s="2516"/>
      <c r="Y1367" s="3166">
        <f t="shared" si="452"/>
        <v>0</v>
      </c>
      <c r="Z1367" s="2307">
        <f t="shared" si="457"/>
        <v>29464100</v>
      </c>
      <c r="AA1367" s="1396">
        <f t="shared" si="458"/>
        <v>25</v>
      </c>
      <c r="AB1367" s="2500">
        <f t="shared" si="459"/>
        <v>115337600</v>
      </c>
      <c r="AC1367" s="2424">
        <f t="shared" si="460"/>
        <v>10.416666666666668</v>
      </c>
      <c r="AD1367" s="2433">
        <f t="shared" si="461"/>
        <v>10.061000555660717</v>
      </c>
      <c r="AE1367" s="3187"/>
      <c r="AG1367" s="3212"/>
      <c r="AH1367" s="1134"/>
      <c r="AI1367" s="1134"/>
      <c r="AJ1367" s="1134"/>
      <c r="AK1367" s="1134"/>
      <c r="AL1367" s="1134"/>
      <c r="AM1367" s="1134"/>
    </row>
    <row r="1368" spans="1:39" s="639" customFormat="1" ht="37.5" customHeight="1">
      <c r="A1368" s="1389" t="s">
        <v>228</v>
      </c>
      <c r="B1368" s="2516" t="s">
        <v>2128</v>
      </c>
      <c r="C1368" s="1381" t="s">
        <v>198</v>
      </c>
      <c r="D1368" s="1381">
        <v>1</v>
      </c>
      <c r="E1368" s="1381" t="s">
        <v>65</v>
      </c>
      <c r="F1368" s="1381">
        <v>11</v>
      </c>
      <c r="G1368" s="1381">
        <v>19</v>
      </c>
      <c r="H1368" s="1381" t="s">
        <v>198</v>
      </c>
      <c r="I1368" s="233" t="s">
        <v>2146</v>
      </c>
      <c r="J1368" s="233" t="s">
        <v>2147</v>
      </c>
      <c r="K1368" s="252">
        <v>3</v>
      </c>
      <c r="L1368" s="2528">
        <v>3106701000</v>
      </c>
      <c r="M1368" s="1396"/>
      <c r="N1368" s="2528">
        <v>0</v>
      </c>
      <c r="O1368" s="1396">
        <v>1</v>
      </c>
      <c r="P1368" s="2286">
        <v>1000000000</v>
      </c>
      <c r="Q1368" s="1396"/>
      <c r="R1368" s="1387">
        <v>0</v>
      </c>
      <c r="S1368" s="2516"/>
      <c r="T1368" s="1387">
        <v>273835000</v>
      </c>
      <c r="U1368" s="2516"/>
      <c r="V1368" s="1387">
        <f>279365000-273835000</f>
        <v>5530000</v>
      </c>
      <c r="W1368" s="2516"/>
      <c r="X1368" s="2516"/>
      <c r="Y1368" s="3166">
        <f t="shared" si="452"/>
        <v>0</v>
      </c>
      <c r="Z1368" s="2307">
        <f t="shared" si="457"/>
        <v>279365000</v>
      </c>
      <c r="AA1368" s="1396">
        <f t="shared" si="458"/>
        <v>0</v>
      </c>
      <c r="AB1368" s="2500">
        <f t="shared" si="459"/>
        <v>279365000</v>
      </c>
      <c r="AC1368" s="2424">
        <f t="shared" si="460"/>
        <v>0</v>
      </c>
      <c r="AD1368" s="2433">
        <f t="shared" si="461"/>
        <v>8.9923362434943055</v>
      </c>
      <c r="AE1368" s="3187"/>
      <c r="AG1368" s="3212"/>
      <c r="AH1368" s="1134"/>
      <c r="AI1368" s="1134"/>
      <c r="AJ1368" s="1134"/>
      <c r="AK1368" s="1134"/>
      <c r="AL1368" s="1134"/>
      <c r="AM1368" s="1134"/>
    </row>
    <row r="1369" spans="1:39" s="639" customFormat="1" ht="42.75" customHeight="1">
      <c r="A1369" s="1389" t="s">
        <v>228</v>
      </c>
      <c r="B1369" s="2516" t="s">
        <v>2128</v>
      </c>
      <c r="C1369" s="1381" t="s">
        <v>198</v>
      </c>
      <c r="D1369" s="1381">
        <v>1</v>
      </c>
      <c r="E1369" s="1381" t="s">
        <v>65</v>
      </c>
      <c r="F1369" s="1381">
        <v>11</v>
      </c>
      <c r="G1369" s="1381">
        <v>19</v>
      </c>
      <c r="H1369" s="1381" t="s">
        <v>93</v>
      </c>
      <c r="I1369" s="233" t="s">
        <v>2148</v>
      </c>
      <c r="J1369" s="233" t="s">
        <v>2149</v>
      </c>
      <c r="K1369" s="252">
        <v>24</v>
      </c>
      <c r="L1369" s="2528">
        <v>310670000</v>
      </c>
      <c r="M1369" s="1396"/>
      <c r="N1369" s="2528">
        <v>0</v>
      </c>
      <c r="O1369" s="1396">
        <v>12</v>
      </c>
      <c r="P1369" s="2286">
        <v>100029923</v>
      </c>
      <c r="Q1369" s="1396">
        <v>3</v>
      </c>
      <c r="R1369" s="1387">
        <v>5820840</v>
      </c>
      <c r="S1369" s="2516"/>
      <c r="T1369" s="1387">
        <v>7358000</v>
      </c>
      <c r="U1369" s="2516">
        <v>6</v>
      </c>
      <c r="V1369" s="1387">
        <v>0</v>
      </c>
      <c r="W1369" s="2516"/>
      <c r="X1369" s="2516"/>
      <c r="Y1369" s="3166">
        <f t="shared" si="452"/>
        <v>9</v>
      </c>
      <c r="Z1369" s="2307">
        <f t="shared" si="457"/>
        <v>13178840</v>
      </c>
      <c r="AA1369" s="1396">
        <f t="shared" si="458"/>
        <v>9</v>
      </c>
      <c r="AB1369" s="2500">
        <f t="shared" si="459"/>
        <v>13178840</v>
      </c>
      <c r="AC1369" s="2424">
        <f t="shared" si="460"/>
        <v>37.5</v>
      </c>
      <c r="AD1369" s="2433">
        <f t="shared" si="461"/>
        <v>4.2420703640518882</v>
      </c>
      <c r="AE1369" s="3187"/>
      <c r="AG1369" s="3212"/>
      <c r="AH1369" s="1134"/>
      <c r="AI1369" s="1134"/>
      <c r="AJ1369" s="1134"/>
      <c r="AK1369" s="1134"/>
      <c r="AL1369" s="1134"/>
      <c r="AM1369" s="1134"/>
    </row>
    <row r="1370" spans="1:39" s="639" customFormat="1" ht="42.75" customHeight="1">
      <c r="A1370" s="2570">
        <v>10</v>
      </c>
      <c r="B1370" s="2335" t="s">
        <v>2116</v>
      </c>
      <c r="C1370" s="2567" t="s">
        <v>198</v>
      </c>
      <c r="D1370" s="2567">
        <v>1</v>
      </c>
      <c r="E1370" s="2567" t="s">
        <v>65</v>
      </c>
      <c r="F1370" s="2567">
        <v>11</v>
      </c>
      <c r="G1370" s="2567">
        <v>20</v>
      </c>
      <c r="H1370" s="2567"/>
      <c r="I1370" s="2335" t="s">
        <v>2150</v>
      </c>
      <c r="J1370" s="2335" t="s">
        <v>2151</v>
      </c>
      <c r="K1370" s="2502">
        <v>50</v>
      </c>
      <c r="L1370" s="2442">
        <f>SUM(L1371)</f>
        <v>57725000</v>
      </c>
      <c r="M1370" s="3162"/>
      <c r="N1370" s="2609">
        <f>SUM(N1371)</f>
        <v>0</v>
      </c>
      <c r="O1370" s="3162">
        <v>50</v>
      </c>
      <c r="P1370" s="2442">
        <f>SUM(P1371)</f>
        <v>57725033</v>
      </c>
      <c r="Q1370" s="3162">
        <v>0</v>
      </c>
      <c r="R1370" s="2340">
        <f>SUM(R1371)</f>
        <v>0</v>
      </c>
      <c r="S1370" s="2335"/>
      <c r="T1370" s="2340">
        <f>SUM(T1371)</f>
        <v>25304000</v>
      </c>
      <c r="U1370" s="2335"/>
      <c r="V1370" s="2342">
        <f>SUM(V1371)</f>
        <v>3259800</v>
      </c>
      <c r="W1370" s="2335"/>
      <c r="X1370" s="2335"/>
      <c r="Y1370" s="2543">
        <f t="shared" si="452"/>
        <v>0</v>
      </c>
      <c r="Z1370" s="2342">
        <f t="shared" si="457"/>
        <v>28563800</v>
      </c>
      <c r="AA1370" s="3162">
        <f t="shared" si="458"/>
        <v>0</v>
      </c>
      <c r="AB1370" s="2571">
        <f t="shared" si="459"/>
        <v>28563800</v>
      </c>
      <c r="AC1370" s="2610">
        <f t="shared" si="460"/>
        <v>0</v>
      </c>
      <c r="AD1370" s="2611">
        <f t="shared" si="461"/>
        <v>49.482546556951064</v>
      </c>
      <c r="AE1370" s="3184" t="s">
        <v>2058</v>
      </c>
      <c r="AG1370" s="3212"/>
      <c r="AH1370" s="1134"/>
      <c r="AI1370" s="1134"/>
      <c r="AJ1370" s="1134"/>
      <c r="AK1370" s="1134"/>
      <c r="AL1370" s="1134"/>
      <c r="AM1370" s="1134"/>
    </row>
    <row r="1371" spans="1:39" s="639" customFormat="1" ht="37.5" customHeight="1">
      <c r="A1371" s="1389" t="s">
        <v>228</v>
      </c>
      <c r="B1371" s="2516" t="s">
        <v>2131</v>
      </c>
      <c r="C1371" s="1381" t="s">
        <v>198</v>
      </c>
      <c r="D1371" s="1381">
        <v>1</v>
      </c>
      <c r="E1371" s="1381" t="s">
        <v>65</v>
      </c>
      <c r="F1371" s="1381">
        <v>11</v>
      </c>
      <c r="G1371" s="1381">
        <v>20</v>
      </c>
      <c r="H1371" s="1381" t="s">
        <v>65</v>
      </c>
      <c r="I1371" s="233" t="s">
        <v>2152</v>
      </c>
      <c r="J1371" s="2516" t="s">
        <v>2151</v>
      </c>
      <c r="K1371" s="252">
        <v>50</v>
      </c>
      <c r="L1371" s="2282">
        <v>57725000</v>
      </c>
      <c r="M1371" s="1396"/>
      <c r="N1371" s="2528"/>
      <c r="O1371" s="1396">
        <v>50</v>
      </c>
      <c r="P1371" s="2286">
        <v>57725033</v>
      </c>
      <c r="Q1371" s="1396"/>
      <c r="R1371" s="1387">
        <v>0</v>
      </c>
      <c r="S1371" s="2516"/>
      <c r="T1371" s="1387">
        <v>25304000</v>
      </c>
      <c r="U1371" s="2516">
        <v>25</v>
      </c>
      <c r="V1371" s="1387">
        <f>28563800-25304000</f>
        <v>3259800</v>
      </c>
      <c r="W1371" s="2516"/>
      <c r="X1371" s="2516"/>
      <c r="Y1371" s="3166">
        <f t="shared" si="452"/>
        <v>25</v>
      </c>
      <c r="Z1371" s="2307">
        <f t="shared" si="457"/>
        <v>28563800</v>
      </c>
      <c r="AA1371" s="1396">
        <f t="shared" si="458"/>
        <v>25</v>
      </c>
      <c r="AB1371" s="2500">
        <f t="shared" si="459"/>
        <v>28563800</v>
      </c>
      <c r="AC1371" s="2424">
        <f t="shared" si="460"/>
        <v>50</v>
      </c>
      <c r="AD1371" s="2433">
        <f t="shared" si="461"/>
        <v>49.482546556951064</v>
      </c>
      <c r="AE1371" s="3187"/>
      <c r="AG1371" s="3212"/>
      <c r="AH1371" s="1134"/>
      <c r="AI1371" s="1134"/>
      <c r="AJ1371" s="1134"/>
      <c r="AK1371" s="1134"/>
      <c r="AL1371" s="1134"/>
      <c r="AM1371" s="1134"/>
    </row>
    <row r="1372" spans="1:39" s="114" customFormat="1" ht="18.75" customHeight="1">
      <c r="A1372" s="4244" t="s">
        <v>89</v>
      </c>
      <c r="B1372" s="4244"/>
      <c r="C1372" s="4245"/>
      <c r="D1372" s="4245"/>
      <c r="E1372" s="4245"/>
      <c r="F1372" s="4245"/>
      <c r="G1372" s="4245"/>
      <c r="H1372" s="4245"/>
      <c r="I1372" s="4245"/>
      <c r="J1372" s="4245"/>
      <c r="K1372" s="4245"/>
      <c r="L1372" s="4245"/>
      <c r="M1372" s="4245"/>
      <c r="N1372" s="4245"/>
      <c r="O1372" s="4245"/>
      <c r="P1372" s="4245"/>
      <c r="Q1372" s="4245"/>
      <c r="R1372" s="4245"/>
      <c r="S1372" s="4245"/>
      <c r="T1372" s="4245"/>
      <c r="U1372" s="4245"/>
      <c r="V1372" s="4245"/>
      <c r="W1372" s="4245"/>
      <c r="X1372" s="4245"/>
      <c r="Y1372" s="4245"/>
      <c r="Z1372" s="4245"/>
      <c r="AA1372" s="4245"/>
      <c r="AB1372" s="4245"/>
      <c r="AC1372" s="2030">
        <f>(AC1359+AC1366+AC1370)/3</f>
        <v>7.5163398692810448</v>
      </c>
      <c r="AD1372" s="2030">
        <f>(AD1359+AD1366+AD1370)/3</f>
        <v>30.872397864879201</v>
      </c>
      <c r="AE1372" s="390"/>
    </row>
    <row r="1373" spans="1:39" s="475" customFormat="1" ht="15.75" customHeight="1">
      <c r="A1373" s="4244" t="s">
        <v>90</v>
      </c>
      <c r="B1373" s="4244"/>
      <c r="C1373" s="4245"/>
      <c r="D1373" s="4245"/>
      <c r="E1373" s="4245"/>
      <c r="F1373" s="4245"/>
      <c r="G1373" s="4245"/>
      <c r="H1373" s="4245"/>
      <c r="I1373" s="4245"/>
      <c r="J1373" s="4245"/>
      <c r="K1373" s="4245"/>
      <c r="L1373" s="4245"/>
      <c r="M1373" s="4245"/>
      <c r="N1373" s="4245"/>
      <c r="O1373" s="4245"/>
      <c r="P1373" s="4245"/>
      <c r="Q1373" s="4245"/>
      <c r="R1373" s="4245"/>
      <c r="S1373" s="4245"/>
      <c r="T1373" s="4245"/>
      <c r="U1373" s="4245"/>
      <c r="V1373" s="4245"/>
      <c r="W1373" s="4245"/>
      <c r="X1373" s="4245"/>
      <c r="Y1373" s="4245"/>
      <c r="Z1373" s="4245"/>
      <c r="AA1373" s="4245"/>
      <c r="AB1373" s="4245"/>
      <c r="AC1373" s="3152" t="str">
        <f>IF(AC1372&gt;=91,"ST",IF(AC1372&gt;=76,"T",IF(AC1372&gt;=66,"S",IF(AC1372&gt;=51,"R","SR"))))</f>
        <v>SR</v>
      </c>
      <c r="AD1373" s="3152" t="str">
        <f>IF(AD1372&gt;=91,"ST",IF(AD1372&gt;=76,"T",IF(AD1372&gt;=66,"S",IF(AD1372&gt;=51,"R","SR"))))</f>
        <v>SR</v>
      </c>
      <c r="AE1373" s="390"/>
    </row>
    <row r="1374" spans="1:39" s="642" customFormat="1" ht="25.5" customHeight="1">
      <c r="A1374" s="2546" t="s">
        <v>3253</v>
      </c>
      <c r="B1374" s="2918"/>
      <c r="C1374" s="2546"/>
      <c r="D1374" s="2546"/>
      <c r="E1374" s="2546"/>
      <c r="F1374" s="2546"/>
      <c r="G1374" s="2546"/>
      <c r="H1374" s="2546"/>
      <c r="I1374" s="2515" t="s">
        <v>217</v>
      </c>
      <c r="J1374" s="2918"/>
      <c r="K1374" s="3210"/>
      <c r="L1374" s="3198">
        <f>L1375</f>
        <v>10467693929.6</v>
      </c>
      <c r="M1374" s="3210"/>
      <c r="N1374" s="3195">
        <f>N1375</f>
        <v>1409033280</v>
      </c>
      <c r="O1374" s="3210"/>
      <c r="P1374" s="3195">
        <f>SUM(P1375)</f>
        <v>695342700</v>
      </c>
      <c r="Q1374" s="3210"/>
      <c r="R1374" s="2916">
        <f>R1375</f>
        <v>43811400</v>
      </c>
      <c r="S1374" s="2918"/>
      <c r="T1374" s="2916">
        <f>T1375</f>
        <v>111276000</v>
      </c>
      <c r="U1374" s="2918"/>
      <c r="V1374" s="2916">
        <f>SUM(V1375)</f>
        <v>102347250</v>
      </c>
      <c r="W1374" s="2918"/>
      <c r="X1374" s="2918"/>
      <c r="Y1374" s="3210"/>
      <c r="Z1374" s="2916">
        <f>R1374+T1374+V1374+X1374</f>
        <v>257434650</v>
      </c>
      <c r="AA1374" s="3210"/>
      <c r="AB1374" s="2916">
        <f>AB1375</f>
        <v>1564120680</v>
      </c>
      <c r="AC1374" s="3210"/>
      <c r="AD1374" s="3210"/>
      <c r="AE1374" s="3211"/>
    </row>
    <row r="1375" spans="1:39" s="1133" customFormat="1" ht="30" customHeight="1">
      <c r="A1375" s="2335">
        <v>1</v>
      </c>
      <c r="B1375" s="2335"/>
      <c r="C1375" s="3795"/>
      <c r="D1375" s="3795"/>
      <c r="E1375" s="3795"/>
      <c r="F1375" s="3795"/>
      <c r="G1375" s="3795"/>
      <c r="H1375" s="3795"/>
      <c r="I1375" s="2363" t="s">
        <v>3417</v>
      </c>
      <c r="J1375" s="3156" t="s">
        <v>1632</v>
      </c>
      <c r="K1375" s="2762">
        <v>100</v>
      </c>
      <c r="L1375" s="2683">
        <f>SUM(L1376:L1379)</f>
        <v>10467693929.6</v>
      </c>
      <c r="M1375" s="2557">
        <v>60</v>
      </c>
      <c r="N1375" s="3075">
        <f>SUM(N1376:N1379)</f>
        <v>1409033280</v>
      </c>
      <c r="O1375" s="2557">
        <v>70</v>
      </c>
      <c r="P1375" s="3076">
        <f>SUM(P1376:P1379)</f>
        <v>695342700</v>
      </c>
      <c r="Q1375" s="2715">
        <v>1</v>
      </c>
      <c r="R1375" s="2958">
        <f>SUM(R1376:R1379)</f>
        <v>43811400</v>
      </c>
      <c r="S1375" s="2335"/>
      <c r="T1375" s="2935">
        <f>SUM(T1376:T1379)</f>
        <v>111276000</v>
      </c>
      <c r="U1375" s="2335"/>
      <c r="V1375" s="2342">
        <f>SUM(V1376:V1379)</f>
        <v>102347250</v>
      </c>
      <c r="W1375" s="2335"/>
      <c r="X1375" s="2958"/>
      <c r="Y1375" s="2715">
        <f>Q1375+S1375+U1375+W1375</f>
        <v>1</v>
      </c>
      <c r="Z1375" s="2958">
        <f>SUM(R1375+T1375)</f>
        <v>155087400</v>
      </c>
      <c r="AA1375" s="2557">
        <f t="shared" ref="AA1375:AB1379" si="462">M1375+Y1375</f>
        <v>61</v>
      </c>
      <c r="AB1375" s="2935">
        <f t="shared" si="462"/>
        <v>1564120680</v>
      </c>
      <c r="AC1375" s="2937">
        <f t="shared" ref="AC1375:AD1379" si="463">AA1375/K1375*100</f>
        <v>61</v>
      </c>
      <c r="AD1375" s="2937">
        <f t="shared" si="463"/>
        <v>14.942361617749073</v>
      </c>
      <c r="AE1375" s="3138" t="s">
        <v>3416</v>
      </c>
    </row>
    <row r="1376" spans="1:39" s="1133" customFormat="1" ht="48" customHeight="1">
      <c r="A1376" s="384"/>
      <c r="B1376" s="384"/>
      <c r="C1376" s="1218" t="s">
        <v>65</v>
      </c>
      <c r="D1376" s="1218" t="s">
        <v>66</v>
      </c>
      <c r="E1376" s="1218" t="s">
        <v>66</v>
      </c>
      <c r="F1376" s="1218" t="s">
        <v>155</v>
      </c>
      <c r="G1376" s="1218"/>
      <c r="H1376" s="1218" t="s">
        <v>197</v>
      </c>
      <c r="I1376" s="728" t="s">
        <v>4060</v>
      </c>
      <c r="J1376" s="3140" t="s">
        <v>1635</v>
      </c>
      <c r="K1376" s="2326">
        <v>12</v>
      </c>
      <c r="L1376" s="3077">
        <v>5318496000</v>
      </c>
      <c r="M1376" s="2326">
        <v>4</v>
      </c>
      <c r="N1376" s="3078">
        <v>342248000</v>
      </c>
      <c r="O1376" s="2326">
        <v>2</v>
      </c>
      <c r="P1376" s="2593">
        <v>342248000</v>
      </c>
      <c r="Q1376" s="384">
        <v>1</v>
      </c>
      <c r="R1376" s="2955">
        <v>11225000</v>
      </c>
      <c r="S1376" s="384">
        <v>1</v>
      </c>
      <c r="T1376" s="2954">
        <v>20757000</v>
      </c>
      <c r="U1376" s="384"/>
      <c r="V1376" s="1202">
        <v>38000650</v>
      </c>
      <c r="W1376" s="384"/>
      <c r="X1376" s="2955"/>
      <c r="Y1376" s="3079">
        <f>Q1376+S1376+U1376+W1376</f>
        <v>2</v>
      </c>
      <c r="Z1376" s="2955">
        <f>R1376+T1376+V1376</f>
        <v>69982650</v>
      </c>
      <c r="AA1376" s="2326">
        <f t="shared" si="462"/>
        <v>6</v>
      </c>
      <c r="AB1376" s="2954">
        <f t="shared" si="462"/>
        <v>412230650</v>
      </c>
      <c r="AC1376" s="1207">
        <f t="shared" si="463"/>
        <v>50</v>
      </c>
      <c r="AD1376" s="1207">
        <f t="shared" si="463"/>
        <v>7.7508876569616678</v>
      </c>
      <c r="AE1376" s="390"/>
    </row>
    <row r="1377" spans="1:76" s="1134" customFormat="1" ht="55.5" customHeight="1">
      <c r="A1377" s="384"/>
      <c r="B1377" s="384"/>
      <c r="C1377" s="1218" t="s">
        <v>65</v>
      </c>
      <c r="D1377" s="1218" t="s">
        <v>66</v>
      </c>
      <c r="E1377" s="1218" t="s">
        <v>66</v>
      </c>
      <c r="F1377" s="1218" t="s">
        <v>155</v>
      </c>
      <c r="G1377" s="1218"/>
      <c r="H1377" s="1218" t="s">
        <v>198</v>
      </c>
      <c r="I1377" s="1200" t="s">
        <v>1636</v>
      </c>
      <c r="J1377" s="3140" t="s">
        <v>1638</v>
      </c>
      <c r="K1377" s="2326">
        <v>6</v>
      </c>
      <c r="L1377" s="3077">
        <v>1440871940</v>
      </c>
      <c r="M1377" s="2326">
        <v>2</v>
      </c>
      <c r="N1377" s="3080">
        <v>504646040</v>
      </c>
      <c r="O1377" s="2326">
        <v>1</v>
      </c>
      <c r="P1377" s="2593">
        <v>108725900</v>
      </c>
      <c r="Q1377" s="384">
        <v>1</v>
      </c>
      <c r="R1377" s="2955">
        <v>21426400</v>
      </c>
      <c r="S1377" s="384">
        <v>1</v>
      </c>
      <c r="T1377" s="3081">
        <v>44412200</v>
      </c>
      <c r="U1377" s="1195"/>
      <c r="V1377" s="1202">
        <f>AF1377-T1377</f>
        <v>-44412200</v>
      </c>
      <c r="W1377" s="1195"/>
      <c r="X1377" s="2955"/>
      <c r="Y1377" s="3079">
        <f>Q1377+S1377+U1377+W1377</f>
        <v>2</v>
      </c>
      <c r="Z1377" s="2955">
        <f>R1377+T1377+V1377</f>
        <v>21426400</v>
      </c>
      <c r="AA1377" s="2326">
        <f t="shared" si="462"/>
        <v>4</v>
      </c>
      <c r="AB1377" s="2954">
        <f t="shared" si="462"/>
        <v>526072440</v>
      </c>
      <c r="AC1377" s="1207">
        <f t="shared" si="463"/>
        <v>66.666666666666657</v>
      </c>
      <c r="AD1377" s="1207">
        <f t="shared" si="463"/>
        <v>36.510700597028766</v>
      </c>
      <c r="AE1377" s="390"/>
      <c r="AF1377" s="3601"/>
    </row>
    <row r="1378" spans="1:76" s="1134" customFormat="1" ht="48" customHeight="1">
      <c r="A1378" s="384"/>
      <c r="B1378" s="3140"/>
      <c r="C1378" s="1218" t="s">
        <v>65</v>
      </c>
      <c r="D1378" s="1218" t="s">
        <v>66</v>
      </c>
      <c r="E1378" s="1218" t="s">
        <v>66</v>
      </c>
      <c r="F1378" s="1218" t="s">
        <v>155</v>
      </c>
      <c r="G1378" s="1218"/>
      <c r="H1378" s="1218" t="s">
        <v>160</v>
      </c>
      <c r="I1378" s="1200" t="s">
        <v>1640</v>
      </c>
      <c r="J1378" s="3140" t="s">
        <v>3418</v>
      </c>
      <c r="K1378" s="2326">
        <v>6</v>
      </c>
      <c r="L1378" s="3077">
        <v>2168672789.5999999</v>
      </c>
      <c r="M1378" s="2326">
        <v>2</v>
      </c>
      <c r="N1378" s="3080">
        <v>310189240</v>
      </c>
      <c r="O1378" s="2326">
        <v>1</v>
      </c>
      <c r="P1378" s="2593">
        <v>115165600</v>
      </c>
      <c r="Q1378" s="384">
        <v>1</v>
      </c>
      <c r="R1378" s="2955">
        <v>11160000</v>
      </c>
      <c r="S1378" s="384">
        <v>1</v>
      </c>
      <c r="T1378" s="3081">
        <v>30886600</v>
      </c>
      <c r="U1378" s="1195"/>
      <c r="V1378" s="1202">
        <v>41076600</v>
      </c>
      <c r="W1378" s="1195"/>
      <c r="X1378" s="2955"/>
      <c r="Y1378" s="3079">
        <f>Q1378+S1378+U1378+W1378</f>
        <v>2</v>
      </c>
      <c r="Z1378" s="2955">
        <f>R1378+T1378+V1378</f>
        <v>83123200</v>
      </c>
      <c r="AA1378" s="2326">
        <f t="shared" si="462"/>
        <v>4</v>
      </c>
      <c r="AB1378" s="2954">
        <f t="shared" si="462"/>
        <v>393312440</v>
      </c>
      <c r="AC1378" s="1207">
        <f t="shared" si="463"/>
        <v>66.666666666666657</v>
      </c>
      <c r="AD1378" s="1207">
        <f t="shared" si="463"/>
        <v>18.136089588348845</v>
      </c>
      <c r="AE1378" s="390"/>
      <c r="AF1378" s="3212"/>
    </row>
    <row r="1379" spans="1:76" s="1134" customFormat="1" ht="48" customHeight="1">
      <c r="A1379" s="384"/>
      <c r="B1379" s="384"/>
      <c r="C1379" s="1218" t="s">
        <v>65</v>
      </c>
      <c r="D1379" s="1218" t="s">
        <v>66</v>
      </c>
      <c r="E1379" s="1218" t="s">
        <v>66</v>
      </c>
      <c r="F1379" s="1218" t="s">
        <v>155</v>
      </c>
      <c r="G1379" s="1218"/>
      <c r="H1379" s="1218" t="s">
        <v>417</v>
      </c>
      <c r="I1379" s="1200" t="s">
        <v>1643</v>
      </c>
      <c r="J1379" s="3140" t="s">
        <v>3419</v>
      </c>
      <c r="K1379" s="2326">
        <v>6</v>
      </c>
      <c r="L1379" s="3077">
        <v>1539653200</v>
      </c>
      <c r="M1379" s="2326">
        <v>2</v>
      </c>
      <c r="N1379" s="3080">
        <v>251950000</v>
      </c>
      <c r="O1379" s="2326">
        <v>1</v>
      </c>
      <c r="P1379" s="2593">
        <v>129203200</v>
      </c>
      <c r="Q1379" s="384">
        <v>0</v>
      </c>
      <c r="R1379" s="2955">
        <v>0</v>
      </c>
      <c r="S1379" s="384">
        <v>1</v>
      </c>
      <c r="T1379" s="3081">
        <v>15220200</v>
      </c>
      <c r="U1379" s="1195"/>
      <c r="V1379" s="1202">
        <v>67682200</v>
      </c>
      <c r="W1379" s="1195"/>
      <c r="X1379" s="2955"/>
      <c r="Y1379" s="3079">
        <f>Q1379+S1379+U1379+W1379</f>
        <v>1</v>
      </c>
      <c r="Z1379" s="2955">
        <f>T1379+V1379</f>
        <v>82902400</v>
      </c>
      <c r="AA1379" s="2326">
        <f t="shared" si="462"/>
        <v>3</v>
      </c>
      <c r="AB1379" s="2954">
        <f t="shared" si="462"/>
        <v>334852400</v>
      </c>
      <c r="AC1379" s="1207">
        <f t="shared" si="463"/>
        <v>50</v>
      </c>
      <c r="AD1379" s="1207">
        <f t="shared" si="463"/>
        <v>21.748560000394896</v>
      </c>
      <c r="AE1379" s="390"/>
    </row>
    <row r="1380" spans="1:76" s="114" customFormat="1" ht="18.75" customHeight="1">
      <c r="A1380" s="4244" t="s">
        <v>89</v>
      </c>
      <c r="B1380" s="4244"/>
      <c r="C1380" s="4245"/>
      <c r="D1380" s="4245"/>
      <c r="E1380" s="4245"/>
      <c r="F1380" s="4245"/>
      <c r="G1380" s="4245"/>
      <c r="H1380" s="4245"/>
      <c r="I1380" s="4245"/>
      <c r="J1380" s="4245"/>
      <c r="K1380" s="4245"/>
      <c r="L1380" s="4245"/>
      <c r="M1380" s="4245"/>
      <c r="N1380" s="4245"/>
      <c r="O1380" s="4245"/>
      <c r="P1380" s="4245"/>
      <c r="Q1380" s="4245"/>
      <c r="R1380" s="4245"/>
      <c r="S1380" s="4245"/>
      <c r="T1380" s="4245"/>
      <c r="U1380" s="4245"/>
      <c r="V1380" s="4245"/>
      <c r="W1380" s="4245"/>
      <c r="X1380" s="4245"/>
      <c r="Y1380" s="4245"/>
      <c r="Z1380" s="4245"/>
      <c r="AA1380" s="4245"/>
      <c r="AB1380" s="4245"/>
      <c r="AC1380" s="2030">
        <f>AC1375</f>
        <v>61</v>
      </c>
      <c r="AD1380" s="2030">
        <f>AD1375</f>
        <v>14.942361617749073</v>
      </c>
      <c r="AE1380" s="390"/>
    </row>
    <row r="1381" spans="1:76" s="475" customFormat="1" ht="15.75" customHeight="1">
      <c r="A1381" s="4244" t="s">
        <v>90</v>
      </c>
      <c r="B1381" s="4244"/>
      <c r="C1381" s="4245"/>
      <c r="D1381" s="4245"/>
      <c r="E1381" s="4245"/>
      <c r="F1381" s="4245"/>
      <c r="G1381" s="4245"/>
      <c r="H1381" s="4245"/>
      <c r="I1381" s="4245"/>
      <c r="J1381" s="4245"/>
      <c r="K1381" s="4245"/>
      <c r="L1381" s="4245"/>
      <c r="M1381" s="4245"/>
      <c r="N1381" s="4245"/>
      <c r="O1381" s="4245"/>
      <c r="P1381" s="4245"/>
      <c r="Q1381" s="4245"/>
      <c r="R1381" s="4245"/>
      <c r="S1381" s="4245"/>
      <c r="T1381" s="4245"/>
      <c r="U1381" s="4245"/>
      <c r="V1381" s="4245"/>
      <c r="W1381" s="4245"/>
      <c r="X1381" s="4245"/>
      <c r="Y1381" s="4245"/>
      <c r="Z1381" s="4245"/>
      <c r="AA1381" s="4245"/>
      <c r="AB1381" s="4245"/>
      <c r="AC1381" s="3152" t="str">
        <f>IF(AC1380&gt;=91,"ST",IF(AC1380&gt;=76,"T",IF(AC1380&gt;=66,"S",IF(AC1380&gt;=51,"R","SR"))))</f>
        <v>R</v>
      </c>
      <c r="AD1381" s="3152" t="str">
        <f>IF(AD1380&gt;=91,"ST",IF(AD1380&gt;=76,"T",IF(AD1380&gt;=66,"S",IF(AD1380&gt;=51,"R","SR"))))</f>
        <v>SR</v>
      </c>
      <c r="AE1381" s="390"/>
    </row>
    <row r="1382" spans="1:76" s="639" customFormat="1" ht="21" customHeight="1">
      <c r="A1382" s="3967"/>
      <c r="B1382" s="3967"/>
      <c r="C1382" s="3968"/>
      <c r="D1382" s="3968"/>
      <c r="E1382" s="3968"/>
      <c r="F1382" s="3968"/>
      <c r="G1382" s="3968"/>
      <c r="H1382" s="3968"/>
      <c r="I1382" s="3969" t="s">
        <v>218</v>
      </c>
      <c r="J1382" s="3967"/>
      <c r="K1382" s="3970"/>
      <c r="L1382" s="3970"/>
      <c r="M1382" s="3970"/>
      <c r="N1382" s="3970"/>
      <c r="O1382" s="3970"/>
      <c r="P1382" s="3970"/>
      <c r="Q1382" s="3970"/>
      <c r="R1382" s="3967"/>
      <c r="S1382" s="3967"/>
      <c r="T1382" s="3967"/>
      <c r="U1382" s="3967"/>
      <c r="V1382" s="3972"/>
      <c r="W1382" s="3967"/>
      <c r="X1382" s="3967"/>
      <c r="Y1382" s="3970"/>
      <c r="Z1382" s="3972"/>
      <c r="AA1382" s="3970"/>
      <c r="AB1382" s="3972"/>
      <c r="AC1382" s="3970"/>
      <c r="AD1382" s="3970"/>
      <c r="AE1382" s="3973"/>
    </row>
    <row r="1383" spans="1:76" s="642" customFormat="1" ht="26.25" customHeight="1">
      <c r="A1383" s="2546" t="s">
        <v>30</v>
      </c>
      <c r="B1383" s="2918"/>
      <c r="C1383" s="2546"/>
      <c r="D1383" s="2546"/>
      <c r="E1383" s="2546"/>
      <c r="F1383" s="2546"/>
      <c r="G1383" s="2546"/>
      <c r="H1383" s="2546"/>
      <c r="I1383" s="2515" t="s">
        <v>906</v>
      </c>
      <c r="J1383" s="2918"/>
      <c r="K1383" s="3210"/>
      <c r="L1383" s="3194">
        <f>L1384+L1397+L1406+L1415</f>
        <v>39649132270</v>
      </c>
      <c r="M1383" s="3210"/>
      <c r="N1383" s="3195">
        <f>N1384+N1397+N1406+N1415</f>
        <v>6152072105</v>
      </c>
      <c r="O1383" s="3210"/>
      <c r="P1383" s="3195">
        <f>P1384+P1397+P1406+P1415</f>
        <v>3246219817</v>
      </c>
      <c r="Q1383" s="3210"/>
      <c r="R1383" s="2916">
        <f>R1384+R1397+R1406+R1415</f>
        <v>713637226</v>
      </c>
      <c r="S1383" s="2918"/>
      <c r="T1383" s="2916">
        <f>T1384+T1397+T1406+T1415</f>
        <v>852952664</v>
      </c>
      <c r="U1383" s="2918"/>
      <c r="V1383" s="2916">
        <f>V1384+V1397+V1406+V1415</f>
        <v>886376685</v>
      </c>
      <c r="W1383" s="2918"/>
      <c r="X1383" s="2918"/>
      <c r="Y1383" s="3210"/>
      <c r="Z1383" s="2916">
        <f>R1383+T1383+V1383</f>
        <v>2452966575</v>
      </c>
      <c r="AA1383" s="3210"/>
      <c r="AB1383" s="2916">
        <f>AB1384+AB1397+AB1406+AB1415</f>
        <v>8605038680</v>
      </c>
      <c r="AC1383" s="3210"/>
      <c r="AD1383" s="3210"/>
      <c r="AE1383" s="3211"/>
    </row>
    <row r="1384" spans="1:76" s="639" customFormat="1" ht="63.75" customHeight="1">
      <c r="A1384" s="2687">
        <v>1</v>
      </c>
      <c r="B1384" s="2347" t="s">
        <v>1037</v>
      </c>
      <c r="C1384" s="2690">
        <v>3</v>
      </c>
      <c r="D1384" s="2690" t="s">
        <v>107</v>
      </c>
      <c r="E1384" s="2690" t="s">
        <v>66</v>
      </c>
      <c r="F1384" s="2690" t="s">
        <v>66</v>
      </c>
      <c r="G1384" s="2691"/>
      <c r="H1384" s="2691"/>
      <c r="I1384" s="2687" t="s">
        <v>221</v>
      </c>
      <c r="J1384" s="2687" t="s">
        <v>1038</v>
      </c>
      <c r="K1384" s="2596">
        <f>SUM(K1385:K1396)/12</f>
        <v>67</v>
      </c>
      <c r="L1384" s="2596">
        <f>SUM(L1385:L1396)</f>
        <v>6057500000</v>
      </c>
      <c r="M1384" s="2596">
        <f>SUM(M1385:M1396)/12</f>
        <v>22</v>
      </c>
      <c r="N1384" s="2523">
        <f>SUM(N1385:N1396)</f>
        <v>1165404355</v>
      </c>
      <c r="O1384" s="2596">
        <f>SUM(O1385:O1396)/12</f>
        <v>11.166666666666666</v>
      </c>
      <c r="P1384" s="2523">
        <f>SUM(P1385:P1396)</f>
        <v>511677878</v>
      </c>
      <c r="Q1384" s="2596">
        <f>SUM(Q1385:Q1396)/12</f>
        <v>2.5</v>
      </c>
      <c r="R1384" s="2688">
        <f>SUM(R1385:R1395)</f>
        <v>95913325</v>
      </c>
      <c r="S1384" s="1086">
        <f>SUM(S1385:S1396)/12</f>
        <v>3.5844735609103076</v>
      </c>
      <c r="T1384" s="1081">
        <f>SUM(T1385:T1395)</f>
        <v>133483814</v>
      </c>
      <c r="U1384" s="2688">
        <f>SUM(U1385:U1396)/12</f>
        <v>2.75</v>
      </c>
      <c r="V1384" s="2689">
        <f>SUM(V1385:V1395)</f>
        <v>94051829</v>
      </c>
      <c r="W1384" s="2688">
        <f>SUM(W1385:W1396)/12</f>
        <v>0</v>
      </c>
      <c r="X1384" s="2687">
        <f>SUM(X1385:X1395)</f>
        <v>0</v>
      </c>
      <c r="Y1384" s="2596">
        <f t="shared" ref="Y1384:Y1417" si="464">Q1384+S1384+U1384+W1384</f>
        <v>8.8344735609103076</v>
      </c>
      <c r="Z1384" s="2689">
        <f t="shared" ref="Z1384:Z1417" si="465">R1384+T1384+V1384+X1384</f>
        <v>323448968</v>
      </c>
      <c r="AA1384" s="2596">
        <f t="shared" ref="AA1384:AA1396" si="466">M1384+Y1384</f>
        <v>30.834473560910308</v>
      </c>
      <c r="AB1384" s="2689">
        <f t="shared" ref="AB1384:AB1396" si="467">N1384+Z1384</f>
        <v>1488853323</v>
      </c>
      <c r="AC1384" s="2597">
        <f t="shared" ref="AC1384:AC1396" si="468">AA1384/K1384*100</f>
        <v>46.021602329716877</v>
      </c>
      <c r="AD1384" s="2672">
        <f t="shared" ref="AD1384:AD1396" si="469">AB1384/L1384*100</f>
        <v>24.57867640115559</v>
      </c>
      <c r="AE1384" s="3138" t="s">
        <v>3420</v>
      </c>
    </row>
    <row r="1385" spans="1:76" s="3236" customFormat="1" ht="67.5" customHeight="1">
      <c r="A1385" s="3167"/>
      <c r="B1385" s="1114"/>
      <c r="C1385" s="2449">
        <v>3</v>
      </c>
      <c r="D1385" s="2449" t="s">
        <v>107</v>
      </c>
      <c r="E1385" s="2449" t="s">
        <v>66</v>
      </c>
      <c r="F1385" s="2449" t="s">
        <v>66</v>
      </c>
      <c r="G1385" s="2449" t="s">
        <v>65</v>
      </c>
      <c r="H1385" s="2449"/>
      <c r="I1385" s="1090" t="s">
        <v>195</v>
      </c>
      <c r="J1385" s="1091" t="s">
        <v>4061</v>
      </c>
      <c r="K1385" s="2392">
        <v>72</v>
      </c>
      <c r="L1385" s="2392">
        <f>60000000+65000000+75000000+75500000+78000000+80000000</f>
        <v>433500000</v>
      </c>
      <c r="M1385" s="2392">
        <v>24</v>
      </c>
      <c r="N1385" s="2392">
        <f>45987962+49885950</f>
        <v>95873912</v>
      </c>
      <c r="O1385" s="2392">
        <v>12</v>
      </c>
      <c r="P1385" s="2392">
        <f>+[10]Sheet1!$D$3</f>
        <v>49800000</v>
      </c>
      <c r="Q1385" s="2392">
        <v>3</v>
      </c>
      <c r="R1385" s="3167">
        <f>[10]Sheet1!$E$3</f>
        <v>7860525</v>
      </c>
      <c r="S1385" s="3167">
        <f>T1385/P1385%</f>
        <v>13.013682730923694</v>
      </c>
      <c r="T1385" s="3167">
        <f>14341339-R1385</f>
        <v>6480814</v>
      </c>
      <c r="U1385" s="3167">
        <v>3</v>
      </c>
      <c r="V1385" s="2498">
        <v>10713329</v>
      </c>
      <c r="W1385" s="1086">
        <f t="shared" ref="W1385:W1395" si="470">X1385/P1385*100</f>
        <v>0</v>
      </c>
      <c r="X1385" s="1086">
        <v>0</v>
      </c>
      <c r="Y1385" s="2392">
        <f t="shared" si="464"/>
        <v>19.013682730923694</v>
      </c>
      <c r="Z1385" s="2498">
        <f t="shared" si="465"/>
        <v>25054668</v>
      </c>
      <c r="AA1385" s="2392">
        <f t="shared" si="466"/>
        <v>43.013682730923691</v>
      </c>
      <c r="AB1385" s="2498">
        <f t="shared" si="467"/>
        <v>120928580</v>
      </c>
      <c r="AC1385" s="2390">
        <f t="shared" si="468"/>
        <v>59.74122601517179</v>
      </c>
      <c r="AD1385" s="2390">
        <f t="shared" si="469"/>
        <v>27.895866205305651</v>
      </c>
      <c r="AE1385" s="3235"/>
      <c r="AF1385" s="639"/>
      <c r="AG1385" s="639"/>
      <c r="AH1385" s="639"/>
      <c r="AI1385" s="639"/>
      <c r="AJ1385" s="639"/>
      <c r="AK1385" s="639"/>
      <c r="AL1385" s="639"/>
      <c r="AM1385" s="639"/>
      <c r="AN1385" s="639"/>
      <c r="AO1385" s="639"/>
      <c r="AP1385" s="639"/>
      <c r="AQ1385" s="639"/>
      <c r="AR1385" s="639"/>
      <c r="AS1385" s="639"/>
      <c r="AT1385" s="639"/>
      <c r="AU1385" s="639"/>
      <c r="AV1385" s="639"/>
      <c r="AW1385" s="639"/>
      <c r="AX1385" s="639"/>
      <c r="AY1385" s="639"/>
      <c r="AZ1385" s="639"/>
      <c r="BA1385" s="639"/>
      <c r="BB1385" s="639"/>
      <c r="BC1385" s="639"/>
      <c r="BD1385" s="639"/>
      <c r="BE1385" s="639"/>
      <c r="BF1385" s="639"/>
      <c r="BG1385" s="639"/>
      <c r="BH1385" s="639"/>
      <c r="BI1385" s="639"/>
      <c r="BJ1385" s="639"/>
      <c r="BK1385" s="639"/>
      <c r="BL1385" s="639"/>
      <c r="BM1385" s="639"/>
      <c r="BN1385" s="639"/>
      <c r="BO1385" s="639"/>
      <c r="BP1385" s="639"/>
      <c r="BQ1385" s="639"/>
      <c r="BR1385" s="639"/>
      <c r="BS1385" s="639"/>
      <c r="BT1385" s="639"/>
      <c r="BU1385" s="639"/>
      <c r="BV1385" s="639"/>
      <c r="BW1385" s="639"/>
      <c r="BX1385" s="639"/>
    </row>
    <row r="1386" spans="1:76" s="639" customFormat="1" ht="56.25" customHeight="1">
      <c r="A1386" s="1081"/>
      <c r="B1386" s="1081"/>
      <c r="C1386" s="2449">
        <v>3</v>
      </c>
      <c r="D1386" s="2449" t="s">
        <v>107</v>
      </c>
      <c r="E1386" s="2449" t="s">
        <v>66</v>
      </c>
      <c r="F1386" s="2449" t="s">
        <v>66</v>
      </c>
      <c r="G1386" s="2449" t="s">
        <v>198</v>
      </c>
      <c r="H1386" s="2449"/>
      <c r="I1386" s="1090" t="s">
        <v>199</v>
      </c>
      <c r="J1386" s="1091" t="s">
        <v>4062</v>
      </c>
      <c r="K1386" s="2392">
        <v>72</v>
      </c>
      <c r="L1386" s="2392">
        <f>70000000+75000000+80000000+81000000+85000000+90000000</f>
        <v>481000000</v>
      </c>
      <c r="M1386" s="2392">
        <v>24</v>
      </c>
      <c r="N1386" s="2392">
        <f>63245000+67480000</f>
        <v>130725000</v>
      </c>
      <c r="O1386" s="2392">
        <v>12</v>
      </c>
      <c r="P1386" s="2392">
        <f>+[10]Sheet1!$D$6</f>
        <v>82800000</v>
      </c>
      <c r="Q1386" s="2392">
        <v>3</v>
      </c>
      <c r="R1386" s="3167">
        <f>[10]Sheet1!$E$6</f>
        <v>12950000</v>
      </c>
      <c r="S1386" s="3167">
        <v>3</v>
      </c>
      <c r="T1386" s="3167">
        <f>33650000-R1386</f>
        <v>20700000</v>
      </c>
      <c r="U1386" s="3167">
        <v>3</v>
      </c>
      <c r="V1386" s="2498">
        <v>21100000</v>
      </c>
      <c r="W1386" s="1086">
        <f t="shared" si="470"/>
        <v>0</v>
      </c>
      <c r="X1386" s="3167">
        <v>0</v>
      </c>
      <c r="Y1386" s="2392">
        <f t="shared" si="464"/>
        <v>9</v>
      </c>
      <c r="Z1386" s="2498">
        <f t="shared" si="465"/>
        <v>54750000</v>
      </c>
      <c r="AA1386" s="2392">
        <f t="shared" si="466"/>
        <v>33</v>
      </c>
      <c r="AB1386" s="2498">
        <f t="shared" si="467"/>
        <v>185475000</v>
      </c>
      <c r="AC1386" s="2390">
        <f t="shared" si="468"/>
        <v>45.833333333333329</v>
      </c>
      <c r="AD1386" s="2390">
        <f t="shared" si="469"/>
        <v>38.560291060291057</v>
      </c>
      <c r="AE1386" s="3235"/>
    </row>
    <row r="1387" spans="1:76" s="642" customFormat="1" ht="43.5" customHeight="1">
      <c r="A1387" s="3167"/>
      <c r="B1387" s="3167"/>
      <c r="C1387" s="2449">
        <v>3</v>
      </c>
      <c r="D1387" s="2449" t="s">
        <v>107</v>
      </c>
      <c r="E1387" s="2449" t="s">
        <v>66</v>
      </c>
      <c r="F1387" s="2449" t="s">
        <v>66</v>
      </c>
      <c r="G1387" s="2449" t="s">
        <v>93</v>
      </c>
      <c r="H1387" s="2449"/>
      <c r="I1387" s="1090" t="s">
        <v>200</v>
      </c>
      <c r="J1387" s="1091" t="s">
        <v>4063</v>
      </c>
      <c r="K1387" s="2392">
        <v>72</v>
      </c>
      <c r="L1387" s="2392">
        <f>65000000+70000000+70500000+72500000+75000000+80000000</f>
        <v>433000000</v>
      </c>
      <c r="M1387" s="2392">
        <v>24</v>
      </c>
      <c r="N1387" s="2392">
        <f>67296000+42849400</f>
        <v>110145400</v>
      </c>
      <c r="O1387" s="2392">
        <v>12</v>
      </c>
      <c r="P1387" s="2392">
        <f>[10]Sheet1!$D$9</f>
        <v>57205391</v>
      </c>
      <c r="Q1387" s="2392">
        <v>3</v>
      </c>
      <c r="R1387" s="3167">
        <f>[10]Sheet1!$E$9</f>
        <v>12830000</v>
      </c>
      <c r="S1387" s="3167">
        <v>3</v>
      </c>
      <c r="T1387" s="3167">
        <f>30220000-R1387</f>
        <v>17390000</v>
      </c>
      <c r="U1387" s="3167">
        <v>3</v>
      </c>
      <c r="V1387" s="2498">
        <v>12605000</v>
      </c>
      <c r="W1387" s="1086">
        <f t="shared" si="470"/>
        <v>0</v>
      </c>
      <c r="X1387" s="3167">
        <v>0</v>
      </c>
      <c r="Y1387" s="2392">
        <f t="shared" si="464"/>
        <v>9</v>
      </c>
      <c r="Z1387" s="2498">
        <f t="shared" si="465"/>
        <v>42825000</v>
      </c>
      <c r="AA1387" s="2392">
        <f t="shared" si="466"/>
        <v>33</v>
      </c>
      <c r="AB1387" s="2498">
        <f t="shared" si="467"/>
        <v>152970400</v>
      </c>
      <c r="AC1387" s="2390">
        <f t="shared" si="468"/>
        <v>45.833333333333329</v>
      </c>
      <c r="AD1387" s="2390">
        <f t="shared" si="469"/>
        <v>35.328036951501154</v>
      </c>
      <c r="AE1387" s="3235"/>
    </row>
    <row r="1388" spans="1:76" s="639" customFormat="1" ht="43.5" customHeight="1">
      <c r="A1388" s="3167"/>
      <c r="B1388" s="3167"/>
      <c r="C1388" s="2449">
        <v>3</v>
      </c>
      <c r="D1388" s="2449" t="s">
        <v>107</v>
      </c>
      <c r="E1388" s="2449" t="s">
        <v>66</v>
      </c>
      <c r="F1388" s="2449" t="s">
        <v>66</v>
      </c>
      <c r="G1388" s="2449" t="s">
        <v>201</v>
      </c>
      <c r="H1388" s="2449"/>
      <c r="I1388" s="1090" t="s">
        <v>1438</v>
      </c>
      <c r="J1388" s="1093" t="s">
        <v>4064</v>
      </c>
      <c r="K1388" s="2392">
        <v>72</v>
      </c>
      <c r="L1388" s="2392">
        <f>70000000+45000000+45000000+45500000+50000000+55000000</f>
        <v>310500000</v>
      </c>
      <c r="M1388" s="2392">
        <v>24</v>
      </c>
      <c r="N1388" s="2392">
        <f>28931900+33050000</f>
        <v>61981900</v>
      </c>
      <c r="O1388" s="2392">
        <v>12</v>
      </c>
      <c r="P1388" s="2392">
        <f>[10]Sheet1!$D$13</f>
        <v>24350000</v>
      </c>
      <c r="Q1388" s="2392">
        <v>3</v>
      </c>
      <c r="R1388" s="3167">
        <f>[10]Sheet1!$E$13</f>
        <v>6350000</v>
      </c>
      <c r="S1388" s="3167">
        <f>T1388/P1388%</f>
        <v>0</v>
      </c>
      <c r="T1388" s="3167">
        <v>0</v>
      </c>
      <c r="U1388" s="3167">
        <v>3</v>
      </c>
      <c r="V1388" s="2498">
        <v>2300000</v>
      </c>
      <c r="W1388" s="1086">
        <f t="shared" si="470"/>
        <v>0</v>
      </c>
      <c r="X1388" s="3167">
        <v>0</v>
      </c>
      <c r="Y1388" s="2392">
        <f t="shared" si="464"/>
        <v>6</v>
      </c>
      <c r="Z1388" s="2498">
        <f t="shared" si="465"/>
        <v>8650000</v>
      </c>
      <c r="AA1388" s="2392">
        <f t="shared" si="466"/>
        <v>30</v>
      </c>
      <c r="AB1388" s="2498">
        <f t="shared" si="467"/>
        <v>70631900</v>
      </c>
      <c r="AC1388" s="2390">
        <f t="shared" si="468"/>
        <v>41.666666666666671</v>
      </c>
      <c r="AD1388" s="2390">
        <f t="shared" si="469"/>
        <v>22.747793880837357</v>
      </c>
      <c r="AE1388" s="3235"/>
    </row>
    <row r="1389" spans="1:76" s="639" customFormat="1" ht="43.5" customHeight="1">
      <c r="A1389" s="3167"/>
      <c r="B1389" s="3167"/>
      <c r="C1389" s="2449">
        <v>3</v>
      </c>
      <c r="D1389" s="2449" t="s">
        <v>107</v>
      </c>
      <c r="E1389" s="2449" t="s">
        <v>66</v>
      </c>
      <c r="F1389" s="2449" t="s">
        <v>66</v>
      </c>
      <c r="G1389" s="2449" t="s">
        <v>202</v>
      </c>
      <c r="H1389" s="2449"/>
      <c r="I1389" s="1090" t="s">
        <v>1440</v>
      </c>
      <c r="J1389" s="1091" t="s">
        <v>4065</v>
      </c>
      <c r="K1389" s="2392">
        <v>72</v>
      </c>
      <c r="L1389" s="2392">
        <f>70000000+73000000+75000000+75500000+80000000+85000000</f>
        <v>458500000</v>
      </c>
      <c r="M1389" s="2392">
        <v>24</v>
      </c>
      <c r="N1389" s="2392">
        <f>35342500+35031000</f>
        <v>70373500</v>
      </c>
      <c r="O1389" s="2392">
        <v>12</v>
      </c>
      <c r="P1389" s="2392">
        <f>[10]Sheet1!$D$16</f>
        <v>31655923</v>
      </c>
      <c r="Q1389" s="2392">
        <v>3</v>
      </c>
      <c r="R1389" s="3167">
        <f>[10]Sheet1!$E$16</f>
        <v>5240000</v>
      </c>
      <c r="S1389" s="3167">
        <v>3</v>
      </c>
      <c r="T1389" s="3167">
        <f>14379500-R1389</f>
        <v>9139500</v>
      </c>
      <c r="U1389" s="3167">
        <v>3</v>
      </c>
      <c r="V1389" s="2498">
        <v>8040000</v>
      </c>
      <c r="W1389" s="1086">
        <f t="shared" si="470"/>
        <v>0</v>
      </c>
      <c r="X1389" s="3167">
        <v>0</v>
      </c>
      <c r="Y1389" s="2392">
        <f t="shared" si="464"/>
        <v>9</v>
      </c>
      <c r="Z1389" s="2498">
        <f t="shared" si="465"/>
        <v>22419500</v>
      </c>
      <c r="AA1389" s="2392">
        <f t="shared" si="466"/>
        <v>33</v>
      </c>
      <c r="AB1389" s="2498">
        <f t="shared" si="467"/>
        <v>92793000</v>
      </c>
      <c r="AC1389" s="2390">
        <f t="shared" si="468"/>
        <v>45.833333333333329</v>
      </c>
      <c r="AD1389" s="2390">
        <f t="shared" si="469"/>
        <v>20.238386041439476</v>
      </c>
      <c r="AE1389" s="3235"/>
    </row>
    <row r="1390" spans="1:76" s="639" customFormat="1" ht="43.5" customHeight="1">
      <c r="A1390" s="3167"/>
      <c r="B1390" s="3167"/>
      <c r="C1390" s="2449">
        <v>3</v>
      </c>
      <c r="D1390" s="2449" t="s">
        <v>107</v>
      </c>
      <c r="E1390" s="2449" t="s">
        <v>66</v>
      </c>
      <c r="F1390" s="2449" t="s">
        <v>66</v>
      </c>
      <c r="G1390" s="2449" t="s">
        <v>417</v>
      </c>
      <c r="H1390" s="2449"/>
      <c r="I1390" s="1090" t="s">
        <v>204</v>
      </c>
      <c r="J1390" s="1091" t="s">
        <v>4066</v>
      </c>
      <c r="K1390" s="2392">
        <v>72</v>
      </c>
      <c r="L1390" s="2392">
        <f>50000000+53000000+55000000+55500000+60000000+70000000</f>
        <v>343500000</v>
      </c>
      <c r="M1390" s="2392">
        <v>24</v>
      </c>
      <c r="N1390" s="2392">
        <f>42522500+42519000</f>
        <v>85041500</v>
      </c>
      <c r="O1390" s="2392">
        <v>12</v>
      </c>
      <c r="P1390" s="2392">
        <f>[10]Sheet1!$D$19</f>
        <v>22793564</v>
      </c>
      <c r="Q1390" s="2392">
        <v>3</v>
      </c>
      <c r="R1390" s="3167">
        <f>[10]Sheet1!$E$19</f>
        <v>3800000</v>
      </c>
      <c r="S1390" s="3167">
        <v>3</v>
      </c>
      <c r="T1390" s="3167">
        <f>9800000-R1390</f>
        <v>6000000</v>
      </c>
      <c r="U1390" s="3167">
        <v>3</v>
      </c>
      <c r="V1390" s="2498">
        <v>6350000</v>
      </c>
      <c r="W1390" s="1086">
        <f t="shared" si="470"/>
        <v>0</v>
      </c>
      <c r="X1390" s="3167">
        <v>0</v>
      </c>
      <c r="Y1390" s="2392">
        <f t="shared" si="464"/>
        <v>9</v>
      </c>
      <c r="Z1390" s="2498">
        <f t="shared" si="465"/>
        <v>16150000</v>
      </c>
      <c r="AA1390" s="2392">
        <f t="shared" si="466"/>
        <v>33</v>
      </c>
      <c r="AB1390" s="2498">
        <f t="shared" si="467"/>
        <v>101191500</v>
      </c>
      <c r="AC1390" s="2390">
        <f t="shared" si="468"/>
        <v>45.833333333333329</v>
      </c>
      <c r="AD1390" s="2390">
        <f t="shared" si="469"/>
        <v>29.458951965065499</v>
      </c>
      <c r="AE1390" s="3235"/>
    </row>
    <row r="1391" spans="1:76" s="639" customFormat="1" ht="43.5" customHeight="1">
      <c r="A1391" s="3167"/>
      <c r="B1391" s="3167"/>
      <c r="C1391" s="2449">
        <v>3</v>
      </c>
      <c r="D1391" s="2449" t="s">
        <v>107</v>
      </c>
      <c r="E1391" s="2449" t="s">
        <v>66</v>
      </c>
      <c r="F1391" s="2449" t="s">
        <v>66</v>
      </c>
      <c r="G1391" s="2449" t="s">
        <v>160</v>
      </c>
      <c r="H1391" s="2449"/>
      <c r="I1391" s="1090" t="s">
        <v>205</v>
      </c>
      <c r="J1391" s="1091" t="s">
        <v>4067</v>
      </c>
      <c r="K1391" s="2392">
        <v>72</v>
      </c>
      <c r="L1391" s="2392">
        <f>30000000+33000000+35000000+35500000+40000000+45000000</f>
        <v>218500000</v>
      </c>
      <c r="M1391" s="2392">
        <v>24</v>
      </c>
      <c r="N1391" s="2392">
        <f>21659000+21719000</f>
        <v>43378000</v>
      </c>
      <c r="O1391" s="2392">
        <v>12</v>
      </c>
      <c r="P1391" s="2392">
        <f>[10]Sheet1!$D$22</f>
        <v>12738000</v>
      </c>
      <c r="Q1391" s="2392">
        <f>R1391/P1391*100</f>
        <v>0</v>
      </c>
      <c r="R1391" s="3167">
        <f>[10]Sheet1!$E$22</f>
        <v>0</v>
      </c>
      <c r="S1391" s="3167">
        <v>3</v>
      </c>
      <c r="T1391" s="3167">
        <v>2000000</v>
      </c>
      <c r="U1391" s="3167">
        <f>V1391/P1391*100</f>
        <v>0</v>
      </c>
      <c r="V1391" s="2498">
        <v>0</v>
      </c>
      <c r="W1391" s="1086">
        <f t="shared" si="470"/>
        <v>0</v>
      </c>
      <c r="X1391" s="3167">
        <v>0</v>
      </c>
      <c r="Y1391" s="2392">
        <f t="shared" si="464"/>
        <v>3</v>
      </c>
      <c r="Z1391" s="2498">
        <f t="shared" si="465"/>
        <v>2000000</v>
      </c>
      <c r="AA1391" s="2392">
        <f t="shared" si="466"/>
        <v>27</v>
      </c>
      <c r="AB1391" s="2498">
        <f t="shared" si="467"/>
        <v>45378000</v>
      </c>
      <c r="AC1391" s="2390">
        <f t="shared" si="468"/>
        <v>37.5</v>
      </c>
      <c r="AD1391" s="2390">
        <f t="shared" si="469"/>
        <v>20.76796338672769</v>
      </c>
      <c r="AE1391" s="3235"/>
    </row>
    <row r="1392" spans="1:76" s="642" customFormat="1" ht="43.5" customHeight="1">
      <c r="A1392" s="3167"/>
      <c r="B1392" s="3167"/>
      <c r="C1392" s="2449">
        <v>3</v>
      </c>
      <c r="D1392" s="2449" t="s">
        <v>107</v>
      </c>
      <c r="E1392" s="2449" t="s">
        <v>66</v>
      </c>
      <c r="F1392" s="2449" t="s">
        <v>66</v>
      </c>
      <c r="G1392" s="2449" t="s">
        <v>155</v>
      </c>
      <c r="H1392" s="2449"/>
      <c r="I1392" s="1090" t="s">
        <v>533</v>
      </c>
      <c r="J1392" s="1091" t="s">
        <v>4068</v>
      </c>
      <c r="K1392" s="2392">
        <v>72</v>
      </c>
      <c r="L1392" s="2392">
        <f>20000000+23000000+25000000+25500000+30000000+35000000</f>
        <v>158500000</v>
      </c>
      <c r="M1392" s="2392">
        <v>24</v>
      </c>
      <c r="N1392" s="2392">
        <f>8900000+12400000</f>
        <v>21300000</v>
      </c>
      <c r="O1392" s="2392">
        <v>12</v>
      </c>
      <c r="P1392" s="2392">
        <f>[10]Sheet1!$D$25</f>
        <v>6400000</v>
      </c>
      <c r="Q1392" s="2392">
        <v>3</v>
      </c>
      <c r="R1392" s="3167">
        <f>[10]Sheet1!$E$25</f>
        <v>720000</v>
      </c>
      <c r="S1392" s="3167">
        <v>3</v>
      </c>
      <c r="T1392" s="3167">
        <v>1440000</v>
      </c>
      <c r="U1392" s="3167">
        <v>3</v>
      </c>
      <c r="V1392" s="2498">
        <v>1080000</v>
      </c>
      <c r="W1392" s="1086">
        <f t="shared" si="470"/>
        <v>0</v>
      </c>
      <c r="X1392" s="3167">
        <v>0</v>
      </c>
      <c r="Y1392" s="2392">
        <f t="shared" si="464"/>
        <v>9</v>
      </c>
      <c r="Z1392" s="2498">
        <f t="shared" si="465"/>
        <v>3240000</v>
      </c>
      <c r="AA1392" s="2392">
        <f t="shared" si="466"/>
        <v>33</v>
      </c>
      <c r="AB1392" s="2498">
        <f t="shared" si="467"/>
        <v>24540000</v>
      </c>
      <c r="AC1392" s="2390">
        <f t="shared" si="468"/>
        <v>45.833333333333329</v>
      </c>
      <c r="AD1392" s="2390">
        <f t="shared" si="469"/>
        <v>15.482649842271293</v>
      </c>
      <c r="AE1392" s="3235"/>
    </row>
    <row r="1393" spans="1:31" s="642" customFormat="1" ht="43.5" customHeight="1">
      <c r="A1393" s="3167"/>
      <c r="B1393" s="3167"/>
      <c r="C1393" s="2449">
        <v>3</v>
      </c>
      <c r="D1393" s="2449" t="s">
        <v>107</v>
      </c>
      <c r="E1393" s="2449" t="s">
        <v>66</v>
      </c>
      <c r="F1393" s="2449" t="s">
        <v>66</v>
      </c>
      <c r="G1393" s="2449" t="s">
        <v>448</v>
      </c>
      <c r="H1393" s="2449"/>
      <c r="I1393" s="1090" t="s">
        <v>206</v>
      </c>
      <c r="J1393" s="1091" t="s">
        <v>4069</v>
      </c>
      <c r="K1393" s="2392">
        <v>72</v>
      </c>
      <c r="L1393" s="2392">
        <f>40000000+45000000+55000000+55500000+60000000+65000000</f>
        <v>320500000</v>
      </c>
      <c r="M1393" s="2392">
        <v>24</v>
      </c>
      <c r="N1393" s="2392">
        <f>42215000+38192500</f>
        <v>80407500</v>
      </c>
      <c r="O1393" s="2392">
        <v>12</v>
      </c>
      <c r="P1393" s="2392">
        <f>[10]Sheet1!$D$28</f>
        <v>43610000</v>
      </c>
      <c r="Q1393" s="2392">
        <v>3</v>
      </c>
      <c r="R1393" s="3167">
        <f>[10]Sheet1!$E$28</f>
        <v>11715000</v>
      </c>
      <c r="S1393" s="3167">
        <v>3</v>
      </c>
      <c r="T1393" s="3167">
        <f>24065000-R1393</f>
        <v>12350000</v>
      </c>
      <c r="U1393" s="3167">
        <v>3</v>
      </c>
      <c r="V1393" s="2498">
        <v>6370000</v>
      </c>
      <c r="W1393" s="1086">
        <f t="shared" si="470"/>
        <v>0</v>
      </c>
      <c r="X1393" s="3167">
        <v>0</v>
      </c>
      <c r="Y1393" s="2392">
        <f t="shared" si="464"/>
        <v>9</v>
      </c>
      <c r="Z1393" s="2498">
        <f t="shared" si="465"/>
        <v>30435000</v>
      </c>
      <c r="AA1393" s="2392">
        <f t="shared" si="466"/>
        <v>33</v>
      </c>
      <c r="AB1393" s="2498">
        <f t="shared" si="467"/>
        <v>110842500</v>
      </c>
      <c r="AC1393" s="2390">
        <f t="shared" si="468"/>
        <v>45.833333333333329</v>
      </c>
      <c r="AD1393" s="2390">
        <f t="shared" si="469"/>
        <v>34.584243369734793</v>
      </c>
      <c r="AE1393" s="3235"/>
    </row>
    <row r="1394" spans="1:31" s="642" customFormat="1" ht="43.5" customHeight="1">
      <c r="A1394" s="3167"/>
      <c r="B1394" s="3167"/>
      <c r="C1394" s="2449">
        <v>3</v>
      </c>
      <c r="D1394" s="2449" t="s">
        <v>107</v>
      </c>
      <c r="E1394" s="2449" t="s">
        <v>66</v>
      </c>
      <c r="F1394" s="2449" t="s">
        <v>66</v>
      </c>
      <c r="G1394" s="2449" t="s">
        <v>167</v>
      </c>
      <c r="H1394" s="2449"/>
      <c r="I1394" s="1090" t="s">
        <v>207</v>
      </c>
      <c r="J1394" s="1091" t="s">
        <v>4070</v>
      </c>
      <c r="K1394" s="2392">
        <v>72</v>
      </c>
      <c r="L1394" s="2392">
        <f>250000000+300000000+335000000+340000000+350000000+360000000</f>
        <v>1935000000</v>
      </c>
      <c r="M1394" s="2392">
        <v>24</v>
      </c>
      <c r="N1394" s="2392">
        <f>203794943+159982700</f>
        <v>363777643</v>
      </c>
      <c r="O1394" s="2392">
        <v>12</v>
      </c>
      <c r="P1394" s="2392">
        <f>[10]Sheet1!$D$31</f>
        <v>92000000</v>
      </c>
      <c r="Q1394" s="2392">
        <v>3</v>
      </c>
      <c r="R1394" s="3167">
        <f>[10]Sheet1!$E$31</f>
        <v>28447800</v>
      </c>
      <c r="S1394" s="3167">
        <v>3</v>
      </c>
      <c r="T1394" s="3167">
        <f>67706300-R1394</f>
        <v>39258500</v>
      </c>
      <c r="U1394" s="3167">
        <v>3</v>
      </c>
      <c r="V1394" s="2498">
        <v>18923500</v>
      </c>
      <c r="W1394" s="1086">
        <f t="shared" si="470"/>
        <v>0</v>
      </c>
      <c r="X1394" s="3167">
        <v>0</v>
      </c>
      <c r="Y1394" s="2392">
        <f t="shared" si="464"/>
        <v>9</v>
      </c>
      <c r="Z1394" s="2498">
        <f t="shared" si="465"/>
        <v>86629800</v>
      </c>
      <c r="AA1394" s="2392">
        <f t="shared" si="466"/>
        <v>33</v>
      </c>
      <c r="AB1394" s="2498">
        <f t="shared" si="467"/>
        <v>450407443</v>
      </c>
      <c r="AC1394" s="2390">
        <f t="shared" si="468"/>
        <v>45.833333333333329</v>
      </c>
      <c r="AD1394" s="2390">
        <f t="shared" si="469"/>
        <v>23.276870439276486</v>
      </c>
      <c r="AE1394" s="3235"/>
    </row>
    <row r="1395" spans="1:31" s="642" customFormat="1" ht="43.5" customHeight="1">
      <c r="A1395" s="3167"/>
      <c r="B1395" s="3167"/>
      <c r="C1395" s="2449">
        <v>3</v>
      </c>
      <c r="D1395" s="2449" t="s">
        <v>107</v>
      </c>
      <c r="E1395" s="2449" t="s">
        <v>66</v>
      </c>
      <c r="F1395" s="2449" t="s">
        <v>66</v>
      </c>
      <c r="G1395" s="2449" t="s">
        <v>376</v>
      </c>
      <c r="H1395" s="2449"/>
      <c r="I1395" s="1090" t="s">
        <v>208</v>
      </c>
      <c r="J1395" s="1091" t="s">
        <v>4071</v>
      </c>
      <c r="K1395" s="2392">
        <v>72</v>
      </c>
      <c r="L1395" s="2392">
        <f>100000000+110000000+120000000+125000000+130000000+140000000</f>
        <v>725000000</v>
      </c>
      <c r="M1395" s="2392">
        <v>24</v>
      </c>
      <c r="N1395" s="2392">
        <f>51200000+51200000</f>
        <v>102400000</v>
      </c>
      <c r="O1395" s="2392">
        <v>12</v>
      </c>
      <c r="P1395" s="2392">
        <f>[10]Sheet1!$D$34</f>
        <v>53325000</v>
      </c>
      <c r="Q1395" s="2392">
        <v>3</v>
      </c>
      <c r="R1395" s="3167">
        <f>[10]Sheet1!$E$34</f>
        <v>6000000</v>
      </c>
      <c r="S1395" s="3167">
        <v>3</v>
      </c>
      <c r="T1395" s="3167">
        <f>24725000-R1395</f>
        <v>18725000</v>
      </c>
      <c r="U1395" s="3167">
        <v>3</v>
      </c>
      <c r="V1395" s="2498">
        <v>6570000</v>
      </c>
      <c r="W1395" s="1086">
        <f t="shared" si="470"/>
        <v>0</v>
      </c>
      <c r="X1395" s="3167">
        <v>0</v>
      </c>
      <c r="Y1395" s="2392">
        <f t="shared" si="464"/>
        <v>9</v>
      </c>
      <c r="Z1395" s="2498">
        <f t="shared" si="465"/>
        <v>31295000</v>
      </c>
      <c r="AA1395" s="2392">
        <f t="shared" si="466"/>
        <v>33</v>
      </c>
      <c r="AB1395" s="2498">
        <f t="shared" si="467"/>
        <v>133695000</v>
      </c>
      <c r="AC1395" s="2390">
        <f t="shared" si="468"/>
        <v>45.833333333333329</v>
      </c>
      <c r="AD1395" s="2390">
        <f t="shared" si="469"/>
        <v>18.440689655172413</v>
      </c>
      <c r="AE1395" s="3235"/>
    </row>
    <row r="1396" spans="1:31" s="642" customFormat="1" ht="43.5" customHeight="1">
      <c r="A1396" s="3167"/>
      <c r="B1396" s="3167"/>
      <c r="C1396" s="2449">
        <v>3</v>
      </c>
      <c r="D1396" s="2449" t="s">
        <v>107</v>
      </c>
      <c r="E1396" s="2449" t="s">
        <v>66</v>
      </c>
      <c r="F1396" s="2449" t="s">
        <v>66</v>
      </c>
      <c r="G1396" s="2449" t="s">
        <v>1087</v>
      </c>
      <c r="H1396" s="2449"/>
      <c r="I1396" s="1090" t="s">
        <v>1448</v>
      </c>
      <c r="J1396" s="1093" t="s">
        <v>4072</v>
      </c>
      <c r="K1396" s="2392">
        <v>12</v>
      </c>
      <c r="L1396" s="2392">
        <f>25000000+30000000+35000000+40000000+50000000+60000000</f>
        <v>240000000</v>
      </c>
      <c r="M1396" s="2392">
        <v>0</v>
      </c>
      <c r="N1396" s="2392">
        <v>0</v>
      </c>
      <c r="O1396" s="2392">
        <v>2</v>
      </c>
      <c r="P1396" s="2392">
        <f>[10]Sheet1!$D$37</f>
        <v>35000000</v>
      </c>
      <c r="Q1396" s="2392">
        <f>R1396/P1396*100</f>
        <v>0</v>
      </c>
      <c r="R1396" s="3167">
        <f>[10]Sheet1!$E$37</f>
        <v>0</v>
      </c>
      <c r="S1396" s="3167">
        <v>3</v>
      </c>
      <c r="T1396" s="3167">
        <v>11040000</v>
      </c>
      <c r="U1396" s="3167">
        <v>3</v>
      </c>
      <c r="V1396" s="2498">
        <v>5370000</v>
      </c>
      <c r="W1396" s="1086"/>
      <c r="X1396" s="3167"/>
      <c r="Y1396" s="2392">
        <f t="shared" si="464"/>
        <v>6</v>
      </c>
      <c r="Z1396" s="2498">
        <f t="shared" si="465"/>
        <v>16410000</v>
      </c>
      <c r="AA1396" s="2392">
        <f t="shared" si="466"/>
        <v>6</v>
      </c>
      <c r="AB1396" s="2498">
        <f t="shared" si="467"/>
        <v>16410000</v>
      </c>
      <c r="AC1396" s="2390">
        <f t="shared" si="468"/>
        <v>50</v>
      </c>
      <c r="AD1396" s="2390">
        <f t="shared" si="469"/>
        <v>6.8375000000000004</v>
      </c>
      <c r="AE1396" s="3235"/>
    </row>
    <row r="1397" spans="1:31" s="642" customFormat="1" ht="51">
      <c r="A1397" s="2688">
        <v>2</v>
      </c>
      <c r="B1397" s="2688"/>
      <c r="C1397" s="2692">
        <v>3</v>
      </c>
      <c r="D1397" s="2692" t="s">
        <v>107</v>
      </c>
      <c r="E1397" s="2692" t="s">
        <v>66</v>
      </c>
      <c r="F1397" s="2692" t="s">
        <v>65</v>
      </c>
      <c r="G1397" s="2693"/>
      <c r="H1397" s="2693"/>
      <c r="I1397" s="2694" t="s">
        <v>257</v>
      </c>
      <c r="J1397" s="2688" t="s">
        <v>1450</v>
      </c>
      <c r="K1397" s="2655">
        <f>SUM(K1398:K1405)/8</f>
        <v>72</v>
      </c>
      <c r="L1397" s="2655">
        <f>SUM(L1398:L1405)</f>
        <v>7276000000</v>
      </c>
      <c r="M1397" s="2655">
        <f>SUM(M1398:M1405)/8</f>
        <v>12</v>
      </c>
      <c r="N1397" s="2596">
        <f>SUM(N1398:N1402)</f>
        <v>602529100</v>
      </c>
      <c r="O1397" s="2655">
        <f>SUM(O1398:O1405)/8</f>
        <v>6</v>
      </c>
      <c r="P1397" s="2596">
        <f>SUM(P1398:P1402)</f>
        <v>277742000</v>
      </c>
      <c r="Q1397" s="2655">
        <f>SUM(Q1398:Q1405)/8</f>
        <v>1.5</v>
      </c>
      <c r="R1397" s="2688">
        <f>SUM(R1398:R1405)</f>
        <v>49440500</v>
      </c>
      <c r="S1397" s="2688">
        <f>T1397/P1397*100</f>
        <v>21.453795248828051</v>
      </c>
      <c r="T1397" s="2688">
        <f>SUM(T1398:T1402)</f>
        <v>59586200</v>
      </c>
      <c r="U1397" s="2688">
        <f>V1397/P1397*100</f>
        <v>5.4042240640594503</v>
      </c>
      <c r="V1397" s="2689">
        <f>SUM(V1398:V1402)</f>
        <v>15009800</v>
      </c>
      <c r="W1397" s="2688">
        <f>X1397/P1397*100</f>
        <v>0</v>
      </c>
      <c r="X1397" s="2688">
        <f>SUM(X1398:X1402)</f>
        <v>0</v>
      </c>
      <c r="Y1397" s="2596">
        <f t="shared" si="464"/>
        <v>28.3580193128875</v>
      </c>
      <c r="Z1397" s="2689">
        <f t="shared" si="465"/>
        <v>124036500</v>
      </c>
      <c r="AA1397" s="2596">
        <f t="shared" ref="AA1397:AA1405" si="471">M1397+Y1397</f>
        <v>40.3580193128875</v>
      </c>
      <c r="AB1397" s="2689">
        <f t="shared" ref="AB1397:AB1405" si="472">N1397+Z1397</f>
        <v>726565600</v>
      </c>
      <c r="AC1397" s="2672">
        <f t="shared" ref="AC1397:AC1405" si="473">AA1397/K1397*100</f>
        <v>56.052804601232644</v>
      </c>
      <c r="AD1397" s="2672">
        <f t="shared" ref="AD1397:AD1405" si="474">AB1397/L1397*100</f>
        <v>9.9857833974711383</v>
      </c>
      <c r="AE1397" s="3138" t="s">
        <v>3420</v>
      </c>
    </row>
    <row r="1398" spans="1:31" s="642" customFormat="1" ht="45.75" customHeight="1">
      <c r="A1398" s="3167"/>
      <c r="B1398" s="3167"/>
      <c r="C1398" s="2449">
        <v>3</v>
      </c>
      <c r="D1398" s="2449" t="s">
        <v>107</v>
      </c>
      <c r="E1398" s="2449" t="s">
        <v>66</v>
      </c>
      <c r="F1398" s="2449" t="s">
        <v>65</v>
      </c>
      <c r="G1398" s="2449" t="s">
        <v>198</v>
      </c>
      <c r="H1398" s="2449"/>
      <c r="I1398" s="1090" t="s">
        <v>1451</v>
      </c>
      <c r="J1398" s="1091" t="s">
        <v>4073</v>
      </c>
      <c r="K1398" s="2392">
        <v>72</v>
      </c>
      <c r="L1398" s="2392">
        <f>35000000+40000000+50000000+60000000+70000000+80000000</f>
        <v>335000000</v>
      </c>
      <c r="M1398" s="2393">
        <v>24</v>
      </c>
      <c r="N1398" s="2392">
        <f>44000000+112000000</f>
        <v>156000000</v>
      </c>
      <c r="O1398" s="2393">
        <v>12</v>
      </c>
      <c r="P1398" s="2392">
        <f>[10]Sheet1!$D$42</f>
        <v>3000000</v>
      </c>
      <c r="Q1398" s="2393">
        <v>3</v>
      </c>
      <c r="R1398" s="3167">
        <f>[10]Sheet1!$E$42</f>
        <v>3000000</v>
      </c>
      <c r="S1398" s="3167">
        <f>T1398/P1398*100</f>
        <v>0</v>
      </c>
      <c r="T1398" s="3167">
        <v>0</v>
      </c>
      <c r="U1398" s="3167">
        <f>V1398/P1398*100</f>
        <v>0</v>
      </c>
      <c r="V1398" s="2498">
        <v>0</v>
      </c>
      <c r="W1398" s="3167">
        <f>X1398/P1398*100</f>
        <v>0</v>
      </c>
      <c r="X1398" s="3167">
        <v>0</v>
      </c>
      <c r="Y1398" s="2392">
        <f t="shared" si="464"/>
        <v>3</v>
      </c>
      <c r="Z1398" s="2498">
        <f t="shared" si="465"/>
        <v>3000000</v>
      </c>
      <c r="AA1398" s="2392">
        <f t="shared" si="471"/>
        <v>27</v>
      </c>
      <c r="AB1398" s="2498">
        <f t="shared" si="472"/>
        <v>159000000</v>
      </c>
      <c r="AC1398" s="2390">
        <f t="shared" si="473"/>
        <v>37.5</v>
      </c>
      <c r="AD1398" s="2390">
        <f t="shared" si="474"/>
        <v>47.462686567164184</v>
      </c>
      <c r="AE1398" s="3235"/>
    </row>
    <row r="1399" spans="1:31" s="642" customFormat="1" ht="55.5" customHeight="1">
      <c r="A1399" s="3167"/>
      <c r="B1399" s="3167"/>
      <c r="C1399" s="2449">
        <v>3</v>
      </c>
      <c r="D1399" s="2449" t="s">
        <v>107</v>
      </c>
      <c r="E1399" s="2449" t="s">
        <v>66</v>
      </c>
      <c r="F1399" s="2449" t="s">
        <v>65</v>
      </c>
      <c r="G1399" s="2449" t="s">
        <v>201</v>
      </c>
      <c r="H1399" s="2449"/>
      <c r="I1399" s="1090" t="s">
        <v>1453</v>
      </c>
      <c r="J1399" s="1093" t="s">
        <v>4074</v>
      </c>
      <c r="K1399" s="2392">
        <v>72</v>
      </c>
      <c r="L1399" s="2392">
        <f>45000000+50000000+60000000+75000000+80000000+85000000</f>
        <v>395000000</v>
      </c>
      <c r="M1399" s="2393">
        <v>24</v>
      </c>
      <c r="N1399" s="2392">
        <f>47230000+37000000</f>
        <v>84230000</v>
      </c>
      <c r="O1399" s="2393">
        <v>12</v>
      </c>
      <c r="P1399" s="2392">
        <f>[10]Sheet1!$D$45</f>
        <v>9000000</v>
      </c>
      <c r="Q1399" s="2393">
        <v>3</v>
      </c>
      <c r="R1399" s="3167">
        <f>[10]Sheet1!$E$45</f>
        <v>9000000</v>
      </c>
      <c r="S1399" s="3167">
        <f>T1399/P1399*100</f>
        <v>0</v>
      </c>
      <c r="T1399" s="3167">
        <v>0</v>
      </c>
      <c r="U1399" s="3167">
        <f>V1399/P1399*100</f>
        <v>0</v>
      </c>
      <c r="V1399" s="2498">
        <v>0</v>
      </c>
      <c r="W1399" s="3167">
        <f>X1399/P1399*100</f>
        <v>0</v>
      </c>
      <c r="X1399" s="3167">
        <v>0</v>
      </c>
      <c r="Y1399" s="2392">
        <f t="shared" si="464"/>
        <v>3</v>
      </c>
      <c r="Z1399" s="2498">
        <f t="shared" si="465"/>
        <v>9000000</v>
      </c>
      <c r="AA1399" s="2392">
        <f t="shared" si="471"/>
        <v>27</v>
      </c>
      <c r="AB1399" s="2498">
        <f t="shared" si="472"/>
        <v>93230000</v>
      </c>
      <c r="AC1399" s="2390">
        <f t="shared" si="473"/>
        <v>37.5</v>
      </c>
      <c r="AD1399" s="2390">
        <f t="shared" si="474"/>
        <v>23.60253164556962</v>
      </c>
      <c r="AE1399" s="3235"/>
    </row>
    <row r="1400" spans="1:31" s="642" customFormat="1" ht="31.5" customHeight="1">
      <c r="A1400" s="3167"/>
      <c r="B1400" s="3167"/>
      <c r="C1400" s="2449">
        <v>3</v>
      </c>
      <c r="D1400" s="2449" t="s">
        <v>107</v>
      </c>
      <c r="E1400" s="2449" t="s">
        <v>66</v>
      </c>
      <c r="F1400" s="2449" t="s">
        <v>65</v>
      </c>
      <c r="G1400" s="2449"/>
      <c r="H1400" s="2449"/>
      <c r="I1400" s="1090" t="s">
        <v>1455</v>
      </c>
      <c r="J1400" s="1093" t="s">
        <v>4075</v>
      </c>
      <c r="K1400" s="2392">
        <v>72</v>
      </c>
      <c r="L1400" s="2392">
        <f>73000000+77000000+80000000+84000000+85000000+88000000</f>
        <v>487000000</v>
      </c>
      <c r="M1400" s="2392">
        <v>0</v>
      </c>
      <c r="N1400" s="2392">
        <v>0</v>
      </c>
      <c r="O1400" s="2392">
        <v>0</v>
      </c>
      <c r="P1400" s="2392">
        <v>0</v>
      </c>
      <c r="Q1400" s="2392">
        <v>0</v>
      </c>
      <c r="R1400" s="3167">
        <v>0</v>
      </c>
      <c r="S1400" s="3167">
        <v>0</v>
      </c>
      <c r="T1400" s="3167">
        <v>0</v>
      </c>
      <c r="U1400" s="3167">
        <v>0</v>
      </c>
      <c r="V1400" s="2498">
        <v>0</v>
      </c>
      <c r="W1400" s="3167">
        <v>0</v>
      </c>
      <c r="X1400" s="3167">
        <v>0</v>
      </c>
      <c r="Y1400" s="2392">
        <f t="shared" si="464"/>
        <v>0</v>
      </c>
      <c r="Z1400" s="2498">
        <f t="shared" si="465"/>
        <v>0</v>
      </c>
      <c r="AA1400" s="2392">
        <f t="shared" si="471"/>
        <v>0</v>
      </c>
      <c r="AB1400" s="2498">
        <f t="shared" si="472"/>
        <v>0</v>
      </c>
      <c r="AC1400" s="2390">
        <f t="shared" si="473"/>
        <v>0</v>
      </c>
      <c r="AD1400" s="2390">
        <f t="shared" si="474"/>
        <v>0</v>
      </c>
      <c r="AE1400" s="3235"/>
    </row>
    <row r="1401" spans="1:31" s="642" customFormat="1" ht="36.75" customHeight="1">
      <c r="A1401" s="3167"/>
      <c r="B1401" s="3167"/>
      <c r="C1401" s="2449">
        <v>3</v>
      </c>
      <c r="D1401" s="2449" t="s">
        <v>107</v>
      </c>
      <c r="E1401" s="2449" t="s">
        <v>66</v>
      </c>
      <c r="F1401" s="2449" t="s">
        <v>65</v>
      </c>
      <c r="G1401" s="2449">
        <v>22</v>
      </c>
      <c r="H1401" s="2449"/>
      <c r="I1401" s="1090" t="s">
        <v>1457</v>
      </c>
      <c r="J1401" s="1099" t="s">
        <v>1458</v>
      </c>
      <c r="K1401" s="2392">
        <v>72</v>
      </c>
      <c r="L1401" s="2392">
        <f>90000000+100000000+110000000+125000000+130000000+135000000</f>
        <v>690000000</v>
      </c>
      <c r="M1401" s="2393">
        <v>24</v>
      </c>
      <c r="N1401" s="2392">
        <f>19965000+50000000</f>
        <v>69965000</v>
      </c>
      <c r="O1401" s="2393">
        <v>12</v>
      </c>
      <c r="P1401" s="2392">
        <f>[10]Sheet1!$D$48</f>
        <v>40000000</v>
      </c>
      <c r="Q1401" s="2392">
        <v>3</v>
      </c>
      <c r="R1401" s="3167">
        <f>[10]Sheet1!$E$48</f>
        <v>0</v>
      </c>
      <c r="S1401" s="3167">
        <v>3</v>
      </c>
      <c r="T1401" s="3167">
        <v>40000000</v>
      </c>
      <c r="U1401" s="3167">
        <v>3</v>
      </c>
      <c r="V1401" s="2498">
        <v>0</v>
      </c>
      <c r="W1401" s="3167">
        <f>X1401/P1401*100</f>
        <v>0</v>
      </c>
      <c r="X1401" s="3167">
        <v>0</v>
      </c>
      <c r="Y1401" s="2392">
        <f t="shared" si="464"/>
        <v>9</v>
      </c>
      <c r="Z1401" s="2498">
        <f t="shared" si="465"/>
        <v>40000000</v>
      </c>
      <c r="AA1401" s="2392">
        <f t="shared" si="471"/>
        <v>33</v>
      </c>
      <c r="AB1401" s="2498">
        <f t="shared" si="472"/>
        <v>109965000</v>
      </c>
      <c r="AC1401" s="2390">
        <f t="shared" si="473"/>
        <v>45.833333333333329</v>
      </c>
      <c r="AD1401" s="2390">
        <f t="shared" si="474"/>
        <v>15.936956521739132</v>
      </c>
      <c r="AE1401" s="3235"/>
    </row>
    <row r="1402" spans="1:31" s="642" customFormat="1" ht="45" customHeight="1">
      <c r="A1402" s="3167"/>
      <c r="B1402" s="3167"/>
      <c r="C1402" s="2449">
        <v>3</v>
      </c>
      <c r="D1402" s="2449" t="s">
        <v>107</v>
      </c>
      <c r="E1402" s="2449" t="s">
        <v>66</v>
      </c>
      <c r="F1402" s="2449" t="s">
        <v>65</v>
      </c>
      <c r="G1402" s="2449">
        <v>24</v>
      </c>
      <c r="H1402" s="2449"/>
      <c r="I1402" s="1090" t="s">
        <v>1459</v>
      </c>
      <c r="J1402" s="1093" t="s">
        <v>4076</v>
      </c>
      <c r="K1402" s="2392">
        <v>72</v>
      </c>
      <c r="L1402" s="2392">
        <f>170000000+180000000+190000000+200000000+210000000+220000000</f>
        <v>1170000000</v>
      </c>
      <c r="M1402" s="2392">
        <v>24</v>
      </c>
      <c r="N1402" s="2392">
        <f>144681100+147653000</f>
        <v>292334100</v>
      </c>
      <c r="O1402" s="2392">
        <v>12</v>
      </c>
      <c r="P1402" s="2392">
        <f>[10]Sheet1!$D$51</f>
        <v>225742000</v>
      </c>
      <c r="Q1402" s="2392">
        <v>3</v>
      </c>
      <c r="R1402" s="3167">
        <f>[10]Sheet1!$E$51</f>
        <v>37440500</v>
      </c>
      <c r="S1402" s="3167">
        <f>T1402/P1402*100</f>
        <v>8.6763650539111019</v>
      </c>
      <c r="T1402" s="3167">
        <f>57026700-R1402</f>
        <v>19586200</v>
      </c>
      <c r="U1402" s="3167">
        <v>3</v>
      </c>
      <c r="V1402" s="2498">
        <v>15009800</v>
      </c>
      <c r="W1402" s="3167">
        <f>X1402/P1402*100</f>
        <v>0</v>
      </c>
      <c r="X1402" s="3167">
        <v>0</v>
      </c>
      <c r="Y1402" s="2392">
        <f t="shared" si="464"/>
        <v>14.676365053911102</v>
      </c>
      <c r="Z1402" s="2498">
        <f t="shared" si="465"/>
        <v>72036500</v>
      </c>
      <c r="AA1402" s="2392">
        <f t="shared" si="471"/>
        <v>38.676365053911098</v>
      </c>
      <c r="AB1402" s="2498">
        <f t="shared" si="472"/>
        <v>364370600</v>
      </c>
      <c r="AC1402" s="2390">
        <f t="shared" si="473"/>
        <v>53.717173685987639</v>
      </c>
      <c r="AD1402" s="2390">
        <f t="shared" si="474"/>
        <v>31.142786324786325</v>
      </c>
      <c r="AE1402" s="3235"/>
    </row>
    <row r="1403" spans="1:31" s="642" customFormat="1" ht="53.25" customHeight="1">
      <c r="A1403" s="3167"/>
      <c r="B1403" s="3167"/>
      <c r="C1403" s="2449">
        <v>3</v>
      </c>
      <c r="D1403" s="2449" t="s">
        <v>107</v>
      </c>
      <c r="E1403" s="2449" t="s">
        <v>66</v>
      </c>
      <c r="F1403" s="2449" t="s">
        <v>65</v>
      </c>
      <c r="G1403" s="2449"/>
      <c r="H1403" s="2449"/>
      <c r="I1403" s="1090" t="s">
        <v>1461</v>
      </c>
      <c r="J1403" s="1093" t="s">
        <v>1462</v>
      </c>
      <c r="K1403" s="2392">
        <v>72</v>
      </c>
      <c r="L1403" s="2392">
        <f>100000000+105000000+110000000+125000000+135000000+145000000</f>
        <v>720000000</v>
      </c>
      <c r="M1403" s="2392">
        <v>0</v>
      </c>
      <c r="N1403" s="2392">
        <v>0</v>
      </c>
      <c r="O1403" s="2392">
        <v>0</v>
      </c>
      <c r="P1403" s="2392">
        <v>0</v>
      </c>
      <c r="Q1403" s="2392">
        <v>0</v>
      </c>
      <c r="R1403" s="3167">
        <v>0</v>
      </c>
      <c r="S1403" s="3167">
        <v>0</v>
      </c>
      <c r="T1403" s="3167">
        <v>0</v>
      </c>
      <c r="U1403" s="3167">
        <v>0</v>
      </c>
      <c r="V1403" s="2498">
        <v>0</v>
      </c>
      <c r="W1403" s="3167">
        <v>0</v>
      </c>
      <c r="X1403" s="3167">
        <v>0</v>
      </c>
      <c r="Y1403" s="2392">
        <f t="shared" si="464"/>
        <v>0</v>
      </c>
      <c r="Z1403" s="2498">
        <f t="shared" si="465"/>
        <v>0</v>
      </c>
      <c r="AA1403" s="2392">
        <f t="shared" si="471"/>
        <v>0</v>
      </c>
      <c r="AB1403" s="2498">
        <f t="shared" si="472"/>
        <v>0</v>
      </c>
      <c r="AC1403" s="2390">
        <f t="shared" si="473"/>
        <v>0</v>
      </c>
      <c r="AD1403" s="2390">
        <f t="shared" si="474"/>
        <v>0</v>
      </c>
      <c r="AE1403" s="3235"/>
    </row>
    <row r="1404" spans="1:31" s="642" customFormat="1" ht="45" customHeight="1">
      <c r="A1404" s="3167"/>
      <c r="B1404" s="3167"/>
      <c r="C1404" s="2449">
        <v>3</v>
      </c>
      <c r="D1404" s="2449" t="s">
        <v>107</v>
      </c>
      <c r="E1404" s="2449" t="s">
        <v>66</v>
      </c>
      <c r="F1404" s="2449" t="s">
        <v>65</v>
      </c>
      <c r="G1404" s="2449"/>
      <c r="H1404" s="2449"/>
      <c r="I1404" s="1090" t="s">
        <v>1463</v>
      </c>
      <c r="J1404" s="1093" t="s">
        <v>1464</v>
      </c>
      <c r="K1404" s="2392">
        <v>72</v>
      </c>
      <c r="L1404" s="2392">
        <f>450000000+450000000+450000000+500000000+500000000+550000000</f>
        <v>2900000000</v>
      </c>
      <c r="M1404" s="2392">
        <v>0</v>
      </c>
      <c r="N1404" s="2392">
        <v>0</v>
      </c>
      <c r="O1404" s="2392">
        <v>0</v>
      </c>
      <c r="P1404" s="2392">
        <v>0</v>
      </c>
      <c r="Q1404" s="2392">
        <v>0</v>
      </c>
      <c r="R1404" s="3167">
        <v>0</v>
      </c>
      <c r="S1404" s="3167">
        <v>0</v>
      </c>
      <c r="T1404" s="3167">
        <v>0</v>
      </c>
      <c r="U1404" s="3167">
        <v>0</v>
      </c>
      <c r="V1404" s="2498">
        <v>0</v>
      </c>
      <c r="W1404" s="3167">
        <v>0</v>
      </c>
      <c r="X1404" s="3167">
        <v>0</v>
      </c>
      <c r="Y1404" s="2392">
        <f t="shared" si="464"/>
        <v>0</v>
      </c>
      <c r="Z1404" s="2498">
        <f t="shared" si="465"/>
        <v>0</v>
      </c>
      <c r="AA1404" s="2392">
        <f t="shared" si="471"/>
        <v>0</v>
      </c>
      <c r="AB1404" s="2498">
        <f t="shared" si="472"/>
        <v>0</v>
      </c>
      <c r="AC1404" s="2390">
        <f t="shared" si="473"/>
        <v>0</v>
      </c>
      <c r="AD1404" s="2390">
        <f t="shared" si="474"/>
        <v>0</v>
      </c>
      <c r="AE1404" s="3235"/>
    </row>
    <row r="1405" spans="1:31" s="642" customFormat="1" ht="68.25" customHeight="1">
      <c r="A1405" s="3167"/>
      <c r="B1405" s="3167"/>
      <c r="C1405" s="2449">
        <v>3</v>
      </c>
      <c r="D1405" s="2449" t="s">
        <v>107</v>
      </c>
      <c r="E1405" s="2449" t="s">
        <v>66</v>
      </c>
      <c r="F1405" s="2449" t="s">
        <v>65</v>
      </c>
      <c r="G1405" s="2449"/>
      <c r="H1405" s="2449"/>
      <c r="I1405" s="1090" t="s">
        <v>1465</v>
      </c>
      <c r="J1405" s="1093" t="s">
        <v>1466</v>
      </c>
      <c r="K1405" s="2392">
        <v>72</v>
      </c>
      <c r="L1405" s="2392">
        <f>80000000+9000000+100000000+130000000+130000000+130000000</f>
        <v>579000000</v>
      </c>
      <c r="M1405" s="2392">
        <v>0</v>
      </c>
      <c r="N1405" s="2392">
        <v>0</v>
      </c>
      <c r="O1405" s="2392">
        <v>0</v>
      </c>
      <c r="P1405" s="2392">
        <v>0</v>
      </c>
      <c r="Q1405" s="2392">
        <v>0</v>
      </c>
      <c r="R1405" s="3167">
        <v>0</v>
      </c>
      <c r="S1405" s="3167">
        <v>0</v>
      </c>
      <c r="T1405" s="3167">
        <v>0</v>
      </c>
      <c r="U1405" s="3167">
        <v>0</v>
      </c>
      <c r="V1405" s="2498">
        <v>0</v>
      </c>
      <c r="W1405" s="3167">
        <v>0</v>
      </c>
      <c r="X1405" s="3167">
        <v>0</v>
      </c>
      <c r="Y1405" s="2392">
        <f t="shared" si="464"/>
        <v>0</v>
      </c>
      <c r="Z1405" s="2498">
        <f t="shared" si="465"/>
        <v>0</v>
      </c>
      <c r="AA1405" s="2392">
        <f t="shared" si="471"/>
        <v>0</v>
      </c>
      <c r="AB1405" s="2498">
        <f t="shared" si="472"/>
        <v>0</v>
      </c>
      <c r="AC1405" s="2390">
        <f t="shared" si="473"/>
        <v>0</v>
      </c>
      <c r="AD1405" s="2390">
        <f t="shared" si="474"/>
        <v>0</v>
      </c>
      <c r="AE1405" s="3235"/>
    </row>
    <row r="1406" spans="1:31" s="642" customFormat="1" ht="87.75" customHeight="1">
      <c r="A1406" s="2688">
        <v>3</v>
      </c>
      <c r="B1406" s="2688"/>
      <c r="C1406" s="2695">
        <v>3</v>
      </c>
      <c r="D1406" s="2695" t="s">
        <v>107</v>
      </c>
      <c r="E1406" s="2695" t="s">
        <v>66</v>
      </c>
      <c r="F1406" s="2695">
        <v>20</v>
      </c>
      <c r="G1406" s="2696"/>
      <c r="H1406" s="2696"/>
      <c r="I1406" s="2688" t="s">
        <v>1475</v>
      </c>
      <c r="J1406" s="2687" t="s">
        <v>1476</v>
      </c>
      <c r="K1406" s="2655">
        <f>SUM(K1407:K1410)/6</f>
        <v>3484</v>
      </c>
      <c r="L1406" s="2655">
        <f>SUM(L1407:L1414)</f>
        <v>24155632270</v>
      </c>
      <c r="M1406" s="2655">
        <f>SUM(M1407:M1410)/6</f>
        <v>700</v>
      </c>
      <c r="N1406" s="2596">
        <f>SUM(N1407:N1414)</f>
        <v>3878403300</v>
      </c>
      <c r="O1406" s="2655">
        <f>SUM(O1407:O1410)/6</f>
        <v>540.83333333333337</v>
      </c>
      <c r="P1406" s="2596">
        <f>SUM(P1407:P1414)</f>
        <v>2228250939</v>
      </c>
      <c r="Q1406" s="2655">
        <f>SUM(Q1407:Q1410)/6</f>
        <v>87.333333333333329</v>
      </c>
      <c r="R1406" s="2688">
        <f>SUM(R1407:R1414)</f>
        <v>521970350</v>
      </c>
      <c r="S1406" s="2697">
        <f>SUM(S1407:S1412)/6</f>
        <v>99.014922757753212</v>
      </c>
      <c r="T1406" s="2688">
        <f>SUM(T1407:T1417)</f>
        <v>591920850</v>
      </c>
      <c r="U1406" s="2697">
        <f>SUM(U1407:U1410)/6</f>
        <v>67.166666666666671</v>
      </c>
      <c r="V1406" s="2689">
        <f>SUM(V1407:V1414)</f>
        <v>747263576</v>
      </c>
      <c r="W1406" s="2697">
        <f>SUM(W1407:W1410)/6</f>
        <v>0</v>
      </c>
      <c r="X1406" s="2688">
        <f>SUM(X1407:X1414)</f>
        <v>0</v>
      </c>
      <c r="Y1406" s="2655">
        <f t="shared" si="464"/>
        <v>253.5149227577532</v>
      </c>
      <c r="Z1406" s="2689">
        <f t="shared" si="465"/>
        <v>1861154776</v>
      </c>
      <c r="AA1406" s="2655">
        <f>+Y1406+M1406</f>
        <v>953.5149227577532</v>
      </c>
      <c r="AB1406" s="2689">
        <f>+N1406+Z1406</f>
        <v>5739558076</v>
      </c>
      <c r="AC1406" s="2674">
        <f>(AA1406/K1406)*100</f>
        <v>27.36839617559567</v>
      </c>
      <c r="AD1406" s="2672">
        <f t="shared" ref="AD1406:AD1414" si="475">(AB1406/L1406)*100</f>
        <v>23.760744541256422</v>
      </c>
      <c r="AE1406" s="3138" t="s">
        <v>3420</v>
      </c>
    </row>
    <row r="1407" spans="1:31" s="642" customFormat="1" ht="56.25" customHeight="1">
      <c r="A1407" s="3167"/>
      <c r="B1407" s="3167"/>
      <c r="C1407" s="2449">
        <v>3</v>
      </c>
      <c r="D1407" s="2449" t="s">
        <v>107</v>
      </c>
      <c r="E1407" s="2449" t="s">
        <v>66</v>
      </c>
      <c r="F1407" s="2449">
        <v>20</v>
      </c>
      <c r="G1407" s="2449" t="s">
        <v>66</v>
      </c>
      <c r="H1407" s="2449"/>
      <c r="I1407" s="3167" t="s">
        <v>1477</v>
      </c>
      <c r="J1407" s="1091" t="s">
        <v>4077</v>
      </c>
      <c r="K1407" s="2392">
        <v>1424</v>
      </c>
      <c r="L1407" s="2392">
        <f>1400000000+1500000000+1600000000+1650000000+1700000000+1900000000</f>
        <v>9750000000</v>
      </c>
      <c r="M1407" s="2392">
        <v>256</v>
      </c>
      <c r="N1407" s="2392">
        <f>889835750+954842450</f>
        <v>1844678200</v>
      </c>
      <c r="O1407" s="2392">
        <v>200</v>
      </c>
      <c r="P1407" s="2392">
        <f>[10]Sheet1!$D$57</f>
        <v>1051610535</v>
      </c>
      <c r="Q1407" s="2392">
        <v>54</v>
      </c>
      <c r="R1407" s="3167">
        <f>[10]Sheet1!$E$57</f>
        <v>265681000</v>
      </c>
      <c r="S1407" s="3167">
        <v>57</v>
      </c>
      <c r="T1407" s="3167">
        <f>503484000-R1407</f>
        <v>237803000</v>
      </c>
      <c r="U1407" s="3167">
        <v>57</v>
      </c>
      <c r="V1407" s="2498">
        <v>393369150</v>
      </c>
      <c r="W1407" s="1086">
        <f t="shared" ref="W1407:W1414" si="476">X1407/P1407*100</f>
        <v>0</v>
      </c>
      <c r="X1407" s="3167">
        <v>0</v>
      </c>
      <c r="Y1407" s="2392">
        <f t="shared" si="464"/>
        <v>168</v>
      </c>
      <c r="Z1407" s="2498">
        <f t="shared" si="465"/>
        <v>896853150</v>
      </c>
      <c r="AA1407" s="2392">
        <f t="shared" ref="AA1407:AA1414" si="477">+Y1407+M1407</f>
        <v>424</v>
      </c>
      <c r="AB1407" s="2498">
        <f t="shared" ref="AB1407:AB1414" si="478">+N1407+Z1407</f>
        <v>2741531350</v>
      </c>
      <c r="AC1407" s="2390">
        <f t="shared" ref="AC1407:AC1414" si="479">(AA1407/K1407)*100</f>
        <v>29.775280898876407</v>
      </c>
      <c r="AD1407" s="2390">
        <f t="shared" si="475"/>
        <v>28.118270256410256</v>
      </c>
      <c r="AE1407" s="3235"/>
    </row>
    <row r="1408" spans="1:31" s="642" customFormat="1" ht="64.5" customHeight="1">
      <c r="A1408" s="3167"/>
      <c r="B1408" s="3167"/>
      <c r="C1408" s="2449">
        <v>3</v>
      </c>
      <c r="D1408" s="2449" t="s">
        <v>107</v>
      </c>
      <c r="E1408" s="2449" t="s">
        <v>66</v>
      </c>
      <c r="F1408" s="2449">
        <v>20</v>
      </c>
      <c r="G1408" s="2449" t="s">
        <v>65</v>
      </c>
      <c r="H1408" s="2449"/>
      <c r="I1408" s="3167" t="s">
        <v>1479</v>
      </c>
      <c r="J1408" s="1091" t="s">
        <v>4078</v>
      </c>
      <c r="K1408" s="2392">
        <v>280</v>
      </c>
      <c r="L1408" s="2392">
        <f>5*P1408</f>
        <v>3160132270</v>
      </c>
      <c r="M1408" s="2392">
        <v>63</v>
      </c>
      <c r="N1408" s="2392">
        <f>512517500+421693850</f>
        <v>934211350</v>
      </c>
      <c r="O1408" s="2392">
        <v>45</v>
      </c>
      <c r="P1408" s="2392">
        <f>[10]Sheet1!$D$60</f>
        <v>632026454</v>
      </c>
      <c r="Q1408" s="2392">
        <v>10</v>
      </c>
      <c r="R1408" s="3167">
        <f>[10]Sheet1!$E$60</f>
        <v>169913350</v>
      </c>
      <c r="S1408" s="3167">
        <f>T1408/P1408*100</f>
        <v>21.089536546519302</v>
      </c>
      <c r="T1408" s="3167">
        <f>303204800-R1408</f>
        <v>133291450</v>
      </c>
      <c r="U1408" s="3167">
        <v>6</v>
      </c>
      <c r="V1408" s="2498">
        <v>215393000</v>
      </c>
      <c r="W1408" s="1086">
        <f t="shared" si="476"/>
        <v>0</v>
      </c>
      <c r="X1408" s="3167">
        <v>0</v>
      </c>
      <c r="Y1408" s="2392">
        <f t="shared" si="464"/>
        <v>37.089536546519298</v>
      </c>
      <c r="Z1408" s="2498">
        <f t="shared" si="465"/>
        <v>518597800</v>
      </c>
      <c r="AA1408" s="2392">
        <f t="shared" si="477"/>
        <v>100.0895365465193</v>
      </c>
      <c r="AB1408" s="2498">
        <f t="shared" si="478"/>
        <v>1452809150</v>
      </c>
      <c r="AC1408" s="2390">
        <f t="shared" si="479"/>
        <v>35.746263052328317</v>
      </c>
      <c r="AD1408" s="2390">
        <f t="shared" si="475"/>
        <v>45.973048780011979</v>
      </c>
      <c r="AE1408" s="3235"/>
    </row>
    <row r="1409" spans="1:76" s="642" customFormat="1" ht="47.25" customHeight="1">
      <c r="A1409" s="3167"/>
      <c r="B1409" s="3167"/>
      <c r="C1409" s="2449">
        <v>3</v>
      </c>
      <c r="D1409" s="2449" t="s">
        <v>107</v>
      </c>
      <c r="E1409" s="2449" t="s">
        <v>66</v>
      </c>
      <c r="F1409" s="2449">
        <v>20</v>
      </c>
      <c r="G1409" s="2449" t="s">
        <v>161</v>
      </c>
      <c r="H1409" s="2449"/>
      <c r="I1409" s="3167" t="s">
        <v>1481</v>
      </c>
      <c r="J1409" s="3167" t="s">
        <v>1482</v>
      </c>
      <c r="K1409" s="2392">
        <v>9600</v>
      </c>
      <c r="L1409" s="2392">
        <f>45000000+50000000+55000000+55500000+56000000+60000000</f>
        <v>321500000</v>
      </c>
      <c r="M1409" s="2392">
        <v>2279</v>
      </c>
      <c r="N1409" s="2392">
        <f>23985000+43662770</f>
        <v>67647770</v>
      </c>
      <c r="O1409" s="2392">
        <v>1500</v>
      </c>
      <c r="P1409" s="2392">
        <f>[10]Sheet1!$D$63</f>
        <v>24345000</v>
      </c>
      <c r="Q1409" s="2392">
        <v>256</v>
      </c>
      <c r="R1409" s="3167">
        <f>[10]Sheet1!$E$63</f>
        <v>900000</v>
      </c>
      <c r="S1409" s="3167">
        <v>156</v>
      </c>
      <c r="T1409" s="3167">
        <f>2250000-R1409</f>
        <v>1350000</v>
      </c>
      <c r="U1409" s="3167">
        <v>134</v>
      </c>
      <c r="V1409" s="2498">
        <v>2949176</v>
      </c>
      <c r="W1409" s="1086">
        <f t="shared" si="476"/>
        <v>0</v>
      </c>
      <c r="X1409" s="3167">
        <v>0</v>
      </c>
      <c r="Y1409" s="2392">
        <f t="shared" si="464"/>
        <v>546</v>
      </c>
      <c r="Z1409" s="2498">
        <f t="shared" si="465"/>
        <v>5199176</v>
      </c>
      <c r="AA1409" s="2392">
        <f t="shared" si="477"/>
        <v>2825</v>
      </c>
      <c r="AB1409" s="2498">
        <f t="shared" si="478"/>
        <v>72846946</v>
      </c>
      <c r="AC1409" s="2390">
        <f t="shared" si="479"/>
        <v>29.427083333333332</v>
      </c>
      <c r="AD1409" s="2390">
        <f t="shared" si="475"/>
        <v>22.658459097978227</v>
      </c>
      <c r="AE1409" s="3235"/>
    </row>
    <row r="1410" spans="1:76" s="642" customFormat="1" ht="56.25" customHeight="1">
      <c r="A1410" s="3167"/>
      <c r="B1410" s="3167"/>
      <c r="C1410" s="2449">
        <v>3</v>
      </c>
      <c r="D1410" s="2449" t="s">
        <v>107</v>
      </c>
      <c r="E1410" s="2449" t="s">
        <v>66</v>
      </c>
      <c r="F1410" s="2449">
        <v>20</v>
      </c>
      <c r="G1410" s="2449" t="s">
        <v>197</v>
      </c>
      <c r="H1410" s="2449"/>
      <c r="I1410" s="3167" t="s">
        <v>1483</v>
      </c>
      <c r="J1410" s="3167" t="s">
        <v>1484</v>
      </c>
      <c r="K1410" s="2392">
        <v>9600</v>
      </c>
      <c r="L1410" s="2392">
        <f>1350000000+1400000000+1500000000+1550000000+1600000000+1700000000</f>
        <v>9100000000</v>
      </c>
      <c r="M1410" s="2392">
        <v>1602</v>
      </c>
      <c r="N1410" s="2392">
        <f>357728600+338694000</f>
        <v>696422600</v>
      </c>
      <c r="O1410" s="2392">
        <v>1500</v>
      </c>
      <c r="P1410" s="2392">
        <f>[10]Sheet1!$D$67</f>
        <v>458379450</v>
      </c>
      <c r="Q1410" s="2392">
        <v>204</v>
      </c>
      <c r="R1410" s="3167">
        <f>[10]Sheet1!$E$67</f>
        <v>85476000</v>
      </c>
      <c r="S1410" s="3167">
        <v>360</v>
      </c>
      <c r="T1410" s="3167">
        <f>136278800-R1410</f>
        <v>50802800</v>
      </c>
      <c r="U1410" s="3167">
        <v>206</v>
      </c>
      <c r="V1410" s="2498">
        <v>132303250</v>
      </c>
      <c r="W1410" s="1086">
        <f t="shared" si="476"/>
        <v>0</v>
      </c>
      <c r="X1410" s="3167">
        <v>0</v>
      </c>
      <c r="Y1410" s="2392">
        <f t="shared" si="464"/>
        <v>770</v>
      </c>
      <c r="Z1410" s="2498">
        <f t="shared" si="465"/>
        <v>268582050</v>
      </c>
      <c r="AA1410" s="2392">
        <f t="shared" si="477"/>
        <v>2372</v>
      </c>
      <c r="AB1410" s="2498">
        <f t="shared" si="478"/>
        <v>965004650</v>
      </c>
      <c r="AC1410" s="2390">
        <f t="shared" si="479"/>
        <v>24.708333333333332</v>
      </c>
      <c r="AD1410" s="2390">
        <f t="shared" si="475"/>
        <v>10.604446703296704</v>
      </c>
      <c r="AE1410" s="3235"/>
    </row>
    <row r="1411" spans="1:76" s="642" customFormat="1" ht="46.5" customHeight="1">
      <c r="A1411" s="1081"/>
      <c r="B1411" s="1114"/>
      <c r="C1411" s="2449"/>
      <c r="D1411" s="2449"/>
      <c r="E1411" s="2449"/>
      <c r="F1411" s="2449"/>
      <c r="G1411" s="2449"/>
      <c r="H1411" s="2449"/>
      <c r="I1411" s="3167" t="s">
        <v>1490</v>
      </c>
      <c r="J1411" s="3167" t="s">
        <v>1491</v>
      </c>
      <c r="K1411" s="2392">
        <v>45</v>
      </c>
      <c r="L1411" s="2392">
        <f>90000000+100000000+110000000+111000000+120000000+135000000</f>
        <v>666000000</v>
      </c>
      <c r="M1411" s="2392">
        <v>42</v>
      </c>
      <c r="N1411" s="2392">
        <v>59563500</v>
      </c>
      <c r="O1411" s="2392">
        <v>0</v>
      </c>
      <c r="P1411" s="2392">
        <v>0</v>
      </c>
      <c r="Q1411" s="2392">
        <v>0</v>
      </c>
      <c r="R1411" s="3167">
        <v>0</v>
      </c>
      <c r="S1411" s="3167">
        <v>0</v>
      </c>
      <c r="T1411" s="3167">
        <v>0</v>
      </c>
      <c r="U1411" s="3167">
        <v>0</v>
      </c>
      <c r="V1411" s="2498">
        <v>0</v>
      </c>
      <c r="W1411" s="1086">
        <v>0</v>
      </c>
      <c r="X1411" s="3167">
        <v>0</v>
      </c>
      <c r="Y1411" s="2392">
        <f t="shared" si="464"/>
        <v>0</v>
      </c>
      <c r="Z1411" s="2498">
        <f t="shared" si="465"/>
        <v>0</v>
      </c>
      <c r="AA1411" s="2392">
        <f t="shared" si="477"/>
        <v>42</v>
      </c>
      <c r="AB1411" s="2498">
        <f>+N1411+Z1411</f>
        <v>59563500</v>
      </c>
      <c r="AC1411" s="2390">
        <f t="shared" si="479"/>
        <v>93.333333333333329</v>
      </c>
      <c r="AD1411" s="2390">
        <f t="shared" si="475"/>
        <v>8.9434684684684687</v>
      </c>
      <c r="AE1411" s="3235"/>
    </row>
    <row r="1412" spans="1:76" s="642" customFormat="1" ht="40.5" customHeight="1">
      <c r="A1412" s="3167"/>
      <c r="B1412" s="3167"/>
      <c r="C1412" s="2449">
        <v>3</v>
      </c>
      <c r="D1412" s="2449" t="s">
        <v>107</v>
      </c>
      <c r="E1412" s="2449" t="s">
        <v>66</v>
      </c>
      <c r="F1412" s="2449">
        <v>20</v>
      </c>
      <c r="G1412" s="2449" t="s">
        <v>155</v>
      </c>
      <c r="H1412" s="2449"/>
      <c r="I1412" s="3167" t="s">
        <v>1494</v>
      </c>
      <c r="J1412" s="3167" t="s">
        <v>1495</v>
      </c>
      <c r="K1412" s="2392">
        <v>6</v>
      </c>
      <c r="L1412" s="2392">
        <f>35000000+40000000+45000000+45500000+65000000+70000000</f>
        <v>300500000</v>
      </c>
      <c r="M1412" s="2392">
        <v>1</v>
      </c>
      <c r="N1412" s="2392">
        <f>65905200+31088400</f>
        <v>96993600</v>
      </c>
      <c r="O1412" s="2392">
        <v>1</v>
      </c>
      <c r="P1412" s="2392">
        <f>[10]Sheet1!$D$70</f>
        <v>16986500</v>
      </c>
      <c r="Q1412" s="2392">
        <f>R1412/P1412*100</f>
        <v>0</v>
      </c>
      <c r="R1412" s="3167">
        <f>[10]Sheet1!$E$70</f>
        <v>0</v>
      </c>
      <c r="S1412" s="3167">
        <v>0</v>
      </c>
      <c r="T1412" s="3167">
        <v>11837500</v>
      </c>
      <c r="U1412" s="3167">
        <v>1</v>
      </c>
      <c r="V1412" s="2498">
        <v>2499000</v>
      </c>
      <c r="W1412" s="1086">
        <f>X1412/P1412*100</f>
        <v>0</v>
      </c>
      <c r="X1412" s="3167">
        <v>0</v>
      </c>
      <c r="Y1412" s="2392">
        <f t="shared" si="464"/>
        <v>1</v>
      </c>
      <c r="Z1412" s="2498">
        <f t="shared" si="465"/>
        <v>14336500</v>
      </c>
      <c r="AA1412" s="2392">
        <f t="shared" si="477"/>
        <v>2</v>
      </c>
      <c r="AB1412" s="2498">
        <f t="shared" si="478"/>
        <v>111330100</v>
      </c>
      <c r="AC1412" s="2390">
        <f t="shared" si="479"/>
        <v>33.333333333333329</v>
      </c>
      <c r="AD1412" s="2390">
        <f t="shared" si="475"/>
        <v>37.048286189683857</v>
      </c>
      <c r="AE1412" s="3235"/>
    </row>
    <row r="1413" spans="1:76" s="642" customFormat="1" ht="56.25" customHeight="1">
      <c r="A1413" s="3167"/>
      <c r="B1413" s="3167"/>
      <c r="C1413" s="2449">
        <v>3</v>
      </c>
      <c r="D1413" s="2449" t="s">
        <v>107</v>
      </c>
      <c r="E1413" s="2449" t="s">
        <v>66</v>
      </c>
      <c r="F1413" s="2449">
        <v>20</v>
      </c>
      <c r="G1413" s="2449" t="s">
        <v>167</v>
      </c>
      <c r="H1413" s="2449"/>
      <c r="I1413" s="3167" t="s">
        <v>1496</v>
      </c>
      <c r="J1413" s="3167" t="s">
        <v>1497</v>
      </c>
      <c r="K1413" s="2392">
        <f>5*M1413</f>
        <v>225</v>
      </c>
      <c r="L1413" s="2392">
        <f>40000000+42000000+47500000+48000000+60000000+70000000</f>
        <v>307500000</v>
      </c>
      <c r="M1413" s="2392">
        <v>45</v>
      </c>
      <c r="N1413" s="2392">
        <f>40045950+32538280</f>
        <v>72584230</v>
      </c>
      <c r="O1413" s="2392">
        <v>45</v>
      </c>
      <c r="P1413" s="2392">
        <f>[10]Sheet1!$D$73</f>
        <v>23362500</v>
      </c>
      <c r="Q1413" s="2392">
        <f>R1413/P1413*100</f>
        <v>0</v>
      </c>
      <c r="R1413" s="3167">
        <f>[10]Sheet1!$E$73</f>
        <v>0</v>
      </c>
      <c r="S1413" s="3167">
        <v>0</v>
      </c>
      <c r="T1413" s="3167">
        <v>20912500</v>
      </c>
      <c r="U1413" s="3167">
        <v>45</v>
      </c>
      <c r="V1413" s="2498">
        <v>750000</v>
      </c>
      <c r="W1413" s="1086">
        <f t="shared" si="476"/>
        <v>0</v>
      </c>
      <c r="X1413" s="3167">
        <v>0</v>
      </c>
      <c r="Y1413" s="2392">
        <f t="shared" si="464"/>
        <v>45</v>
      </c>
      <c r="Z1413" s="2498">
        <f t="shared" si="465"/>
        <v>21662500</v>
      </c>
      <c r="AA1413" s="2392">
        <f t="shared" si="477"/>
        <v>90</v>
      </c>
      <c r="AB1413" s="2498">
        <f t="shared" si="478"/>
        <v>94246730</v>
      </c>
      <c r="AC1413" s="2390">
        <f t="shared" si="479"/>
        <v>40</v>
      </c>
      <c r="AD1413" s="2390">
        <f t="shared" si="475"/>
        <v>30.649343089430893</v>
      </c>
      <c r="AE1413" s="3235"/>
    </row>
    <row r="1414" spans="1:76" s="639" customFormat="1" ht="57" customHeight="1">
      <c r="A1414" s="3167"/>
      <c r="B1414" s="3167"/>
      <c r="C1414" s="2449">
        <v>3</v>
      </c>
      <c r="D1414" s="2449" t="s">
        <v>107</v>
      </c>
      <c r="E1414" s="2449" t="s">
        <v>66</v>
      </c>
      <c r="F1414" s="2449">
        <v>20</v>
      </c>
      <c r="G1414" s="2449" t="s">
        <v>163</v>
      </c>
      <c r="H1414" s="2449"/>
      <c r="I1414" s="3167" t="s">
        <v>1498</v>
      </c>
      <c r="J1414" s="3167" t="s">
        <v>1499</v>
      </c>
      <c r="K1414" s="2392">
        <v>225</v>
      </c>
      <c r="L1414" s="2392">
        <f>75000000+80000000+90000000+95000000+100000000+110000000</f>
        <v>550000000</v>
      </c>
      <c r="M1414" s="2392">
        <v>45</v>
      </c>
      <c r="N1414" s="2392">
        <f>51833500+54468550</f>
        <v>106302050</v>
      </c>
      <c r="O1414" s="2392">
        <v>45</v>
      </c>
      <c r="P1414" s="2392">
        <f>[10]Sheet1!$D$76</f>
        <v>21540500</v>
      </c>
      <c r="Q1414" s="2392">
        <f>R1414/P1414*100</f>
        <v>0</v>
      </c>
      <c r="R1414" s="3167">
        <f>[10]Sheet1!$E$76</f>
        <v>0</v>
      </c>
      <c r="S1414" s="3167">
        <f>T1414/P1414*100</f>
        <v>0</v>
      </c>
      <c r="T1414" s="3167">
        <f>'[11]juni 17'!$H$99</f>
        <v>0</v>
      </c>
      <c r="U1414" s="3167">
        <f>V1414/P1414*100</f>
        <v>0</v>
      </c>
      <c r="V1414" s="2498">
        <v>0</v>
      </c>
      <c r="W1414" s="1086">
        <f t="shared" si="476"/>
        <v>0</v>
      </c>
      <c r="X1414" s="3167">
        <v>0</v>
      </c>
      <c r="Y1414" s="2392">
        <f t="shared" si="464"/>
        <v>0</v>
      </c>
      <c r="Z1414" s="2498">
        <f t="shared" si="465"/>
        <v>0</v>
      </c>
      <c r="AA1414" s="2392">
        <f t="shared" si="477"/>
        <v>45</v>
      </c>
      <c r="AB1414" s="2498">
        <f t="shared" si="478"/>
        <v>106302050</v>
      </c>
      <c r="AC1414" s="2390">
        <f t="shared" si="479"/>
        <v>20</v>
      </c>
      <c r="AD1414" s="2390">
        <f t="shared" si="475"/>
        <v>19.327645454545454</v>
      </c>
      <c r="AE1414" s="3235"/>
    </row>
    <row r="1415" spans="1:76" s="639" customFormat="1" ht="57" customHeight="1">
      <c r="A1415" s="2688">
        <v>4</v>
      </c>
      <c r="B1415" s="2688"/>
      <c r="C1415" s="2695">
        <v>3</v>
      </c>
      <c r="D1415" s="2695" t="s">
        <v>107</v>
      </c>
      <c r="E1415" s="2695" t="s">
        <v>66</v>
      </c>
      <c r="F1415" s="2695">
        <v>21</v>
      </c>
      <c r="G1415" s="2696"/>
      <c r="H1415" s="2696"/>
      <c r="I1415" s="2688" t="s">
        <v>1512</v>
      </c>
      <c r="J1415" s="2688"/>
      <c r="K1415" s="2655">
        <f>(K1416+K1417)/2</f>
        <v>42</v>
      </c>
      <c r="L1415" s="2655">
        <f>SUM(L1416:L1417)</f>
        <v>2160000000</v>
      </c>
      <c r="M1415" s="2655">
        <f>(M1416+M1417)/2</f>
        <v>14</v>
      </c>
      <c r="N1415" s="2596">
        <f>N1416+N1417</f>
        <v>505735350</v>
      </c>
      <c r="O1415" s="2655">
        <f>(O1416+O1417)/2</f>
        <v>7</v>
      </c>
      <c r="P1415" s="2596">
        <f>SUM(P1416:P1417)</f>
        <v>228549000</v>
      </c>
      <c r="Q1415" s="2655">
        <f>(Q1416+Q1417)/2</f>
        <v>4</v>
      </c>
      <c r="R1415" s="2688">
        <f>SUM(R1416:R1417)</f>
        <v>46313051</v>
      </c>
      <c r="S1415" s="2688">
        <f>T1415/P1415*100</f>
        <v>29.736205365151459</v>
      </c>
      <c r="T1415" s="2688">
        <f>SUM(T1416:T1417)</f>
        <v>67961800</v>
      </c>
      <c r="U1415" s="2688">
        <f>V1415/P1415*100</f>
        <v>13.148812727248863</v>
      </c>
      <c r="V1415" s="2689">
        <f>SUM(V1416:V1417)</f>
        <v>30051480</v>
      </c>
      <c r="W1415" s="2688">
        <f>X1415/P1415*100</f>
        <v>0</v>
      </c>
      <c r="X1415" s="2688">
        <f>SUM(X1416:X1417)</f>
        <v>0</v>
      </c>
      <c r="Y1415" s="2596">
        <f t="shared" si="464"/>
        <v>46.88501809240033</v>
      </c>
      <c r="Z1415" s="2689">
        <f t="shared" si="465"/>
        <v>144326331</v>
      </c>
      <c r="AA1415" s="2596">
        <f>+Y1415+M1415</f>
        <v>60.88501809240033</v>
      </c>
      <c r="AB1415" s="2689">
        <f>+N1415+Z1415</f>
        <v>650061681</v>
      </c>
      <c r="AC1415" s="2672">
        <f t="shared" ref="AC1415:AD1417" si="480">(AA1415/K1415)*100</f>
        <v>144.96432879142935</v>
      </c>
      <c r="AD1415" s="2672">
        <f t="shared" si="480"/>
        <v>30.095448194444447</v>
      </c>
      <c r="AE1415" s="3138" t="s">
        <v>3420</v>
      </c>
    </row>
    <row r="1416" spans="1:76" s="639" customFormat="1" ht="46.5" customHeight="1">
      <c r="A1416" s="3167"/>
      <c r="B1416" s="3167"/>
      <c r="C1416" s="2449">
        <v>3</v>
      </c>
      <c r="D1416" s="2449" t="s">
        <v>107</v>
      </c>
      <c r="E1416" s="2449" t="s">
        <v>66</v>
      </c>
      <c r="F1416" s="2449">
        <v>21</v>
      </c>
      <c r="G1416" s="2449" t="s">
        <v>66</v>
      </c>
      <c r="H1416" s="2449"/>
      <c r="I1416" s="1104" t="s">
        <v>1513</v>
      </c>
      <c r="J1416" s="1091" t="s">
        <v>1514</v>
      </c>
      <c r="K1416" s="2392">
        <v>72</v>
      </c>
      <c r="L1416" s="2392">
        <f>225000000+250000000+275000000+300000000+325000000+350000000</f>
        <v>1725000000</v>
      </c>
      <c r="M1416" s="2392">
        <v>24</v>
      </c>
      <c r="N1416" s="2392">
        <f>228743500+217239850</f>
        <v>445983350</v>
      </c>
      <c r="O1416" s="2392">
        <v>12</v>
      </c>
      <c r="P1416" s="2392">
        <f>[10]Sheet1!$D$81</f>
        <v>199785000</v>
      </c>
      <c r="Q1416" s="2392">
        <v>8</v>
      </c>
      <c r="R1416" s="3167">
        <f>[10]Sheet1!$E$81</f>
        <v>46313051</v>
      </c>
      <c r="S1416" s="3167">
        <v>11</v>
      </c>
      <c r="T1416" s="3167">
        <v>67961800</v>
      </c>
      <c r="U1416" s="3167">
        <v>23</v>
      </c>
      <c r="V1416" s="2498">
        <v>30051480</v>
      </c>
      <c r="W1416" s="3167">
        <f>X1416/P1416*100</f>
        <v>0</v>
      </c>
      <c r="X1416" s="3167">
        <v>0</v>
      </c>
      <c r="Y1416" s="2392">
        <f t="shared" si="464"/>
        <v>42</v>
      </c>
      <c r="Z1416" s="2498">
        <f t="shared" si="465"/>
        <v>144326331</v>
      </c>
      <c r="AA1416" s="2392">
        <f>+Y1416+M1416</f>
        <v>66</v>
      </c>
      <c r="AB1416" s="2498">
        <f>+N1416+Z1416</f>
        <v>590309681</v>
      </c>
      <c r="AC1416" s="2390">
        <f t="shared" si="480"/>
        <v>91.666666666666657</v>
      </c>
      <c r="AD1416" s="2390">
        <f t="shared" si="480"/>
        <v>34.220851072463773</v>
      </c>
      <c r="AE1416" s="3235"/>
    </row>
    <row r="1417" spans="1:76" s="639" customFormat="1" ht="48" customHeight="1">
      <c r="A1417" s="3167"/>
      <c r="B1417" s="3167"/>
      <c r="C1417" s="2449">
        <v>3</v>
      </c>
      <c r="D1417" s="2449" t="s">
        <v>107</v>
      </c>
      <c r="E1417" s="2449" t="s">
        <v>66</v>
      </c>
      <c r="F1417" s="2449">
        <v>21</v>
      </c>
      <c r="G1417" s="2449" t="s">
        <v>196</v>
      </c>
      <c r="H1417" s="2449"/>
      <c r="I1417" s="1104" t="s">
        <v>1515</v>
      </c>
      <c r="J1417" s="1091" t="s">
        <v>1516</v>
      </c>
      <c r="K1417" s="2392">
        <v>12</v>
      </c>
      <c r="L1417" s="2392">
        <f>60000000+65000000+70000000+75000000+80000000+85000000</f>
        <v>435000000</v>
      </c>
      <c r="M1417" s="2392">
        <v>4</v>
      </c>
      <c r="N1417" s="2392">
        <f>34704000+25048000</f>
        <v>59752000</v>
      </c>
      <c r="O1417" s="2392">
        <v>2</v>
      </c>
      <c r="P1417" s="2392">
        <f>[10]Sheet1!$D$84</f>
        <v>28764000</v>
      </c>
      <c r="Q1417" s="2392">
        <f>R1417/P1417*100</f>
        <v>0</v>
      </c>
      <c r="R1417" s="3167">
        <f>[10]Sheet1!$E$84</f>
        <v>0</v>
      </c>
      <c r="S1417" s="3167">
        <f>T1417/P1417*100</f>
        <v>0</v>
      </c>
      <c r="T1417" s="3167">
        <f>'[11]juni 17'!$H$112</f>
        <v>0</v>
      </c>
      <c r="U1417" s="3167">
        <f>V1417/P1417*100</f>
        <v>0</v>
      </c>
      <c r="V1417" s="2498">
        <f>'[11]Sept 17'!$H$116</f>
        <v>0</v>
      </c>
      <c r="W1417" s="3167">
        <f>X1417/P1417*100</f>
        <v>0</v>
      </c>
      <c r="X1417" s="3167">
        <v>0</v>
      </c>
      <c r="Y1417" s="2392">
        <f t="shared" si="464"/>
        <v>0</v>
      </c>
      <c r="Z1417" s="2498">
        <f t="shared" si="465"/>
        <v>0</v>
      </c>
      <c r="AA1417" s="2392">
        <f>+Y1417+M1417</f>
        <v>4</v>
      </c>
      <c r="AB1417" s="2498">
        <f>+N1417+Z1417</f>
        <v>59752000</v>
      </c>
      <c r="AC1417" s="2390">
        <f t="shared" si="480"/>
        <v>33.333333333333329</v>
      </c>
      <c r="AD1417" s="2390">
        <f t="shared" si="480"/>
        <v>13.736091954022989</v>
      </c>
      <c r="AE1417" s="3235"/>
    </row>
    <row r="1418" spans="1:76" s="114" customFormat="1" ht="18.75" customHeight="1">
      <c r="A1418" s="4244" t="s">
        <v>89</v>
      </c>
      <c r="B1418" s="4244"/>
      <c r="C1418" s="4245"/>
      <c r="D1418" s="4245"/>
      <c r="E1418" s="4245"/>
      <c r="F1418" s="4245"/>
      <c r="G1418" s="4245"/>
      <c r="H1418" s="4245"/>
      <c r="I1418" s="4245"/>
      <c r="J1418" s="4245"/>
      <c r="K1418" s="4245"/>
      <c r="L1418" s="4245"/>
      <c r="M1418" s="4245"/>
      <c r="N1418" s="4245"/>
      <c r="O1418" s="4245"/>
      <c r="P1418" s="4245"/>
      <c r="Q1418" s="4245"/>
      <c r="R1418" s="4245"/>
      <c r="S1418" s="4245"/>
      <c r="T1418" s="4245"/>
      <c r="U1418" s="4245"/>
      <c r="V1418" s="4245"/>
      <c r="W1418" s="4245"/>
      <c r="X1418" s="4245"/>
      <c r="Y1418" s="4245"/>
      <c r="Z1418" s="4245"/>
      <c r="AA1418" s="4245"/>
      <c r="AB1418" s="4245"/>
      <c r="AC1418" s="2030">
        <f>(AC1384+AC1397+AC1406+AC1415)/4</f>
        <v>68.601782974493631</v>
      </c>
      <c r="AD1418" s="2030">
        <f>(AD1384+AD1397+AD1406+AD1415)/4</f>
        <v>22.1051631335819</v>
      </c>
      <c r="AE1418" s="390"/>
    </row>
    <row r="1419" spans="1:76" s="475" customFormat="1" ht="15.75" customHeight="1">
      <c r="A1419" s="4244" t="s">
        <v>90</v>
      </c>
      <c r="B1419" s="4244"/>
      <c r="C1419" s="4245"/>
      <c r="D1419" s="4245"/>
      <c r="E1419" s="4245"/>
      <c r="F1419" s="4245"/>
      <c r="G1419" s="4245"/>
      <c r="H1419" s="4245"/>
      <c r="I1419" s="4245"/>
      <c r="J1419" s="4245"/>
      <c r="K1419" s="4245"/>
      <c r="L1419" s="4245"/>
      <c r="M1419" s="4245"/>
      <c r="N1419" s="4245"/>
      <c r="O1419" s="4245"/>
      <c r="P1419" s="4245"/>
      <c r="Q1419" s="4245"/>
      <c r="R1419" s="4245"/>
      <c r="S1419" s="4245"/>
      <c r="T1419" s="4245"/>
      <c r="U1419" s="4245"/>
      <c r="V1419" s="4245"/>
      <c r="W1419" s="4245"/>
      <c r="X1419" s="4245"/>
      <c r="Y1419" s="4245"/>
      <c r="Z1419" s="4245"/>
      <c r="AA1419" s="4245"/>
      <c r="AB1419" s="4245"/>
      <c r="AC1419" s="3152" t="str">
        <f>IF(AC1418&gt;=91,"ST",IF(AC1418&gt;=76,"T",IF(AC1418&gt;=66,"S",IF(AC1418&gt;=51,"R","SR"))))</f>
        <v>S</v>
      </c>
      <c r="AD1419" s="3152" t="str">
        <f>IF(AD1418&gt;=91,"ST",IF(AD1418&gt;=76,"T",IF(AD1418&gt;=66,"S",IF(AD1418&gt;=51,"R","SR"))))</f>
        <v>SR</v>
      </c>
      <c r="AE1419" s="390"/>
    </row>
    <row r="1420" spans="1:76" s="642" customFormat="1" ht="26.25" customHeight="1">
      <c r="A1420" s="2546" t="s">
        <v>31</v>
      </c>
      <c r="B1420" s="2323"/>
      <c r="C1420" s="2546"/>
      <c r="D1420" s="2546"/>
      <c r="E1420" s="2546"/>
      <c r="F1420" s="2546"/>
      <c r="G1420" s="2546"/>
      <c r="H1420" s="2546"/>
      <c r="I1420" s="2515" t="s">
        <v>219</v>
      </c>
      <c r="J1420" s="2918"/>
      <c r="K1420" s="3210"/>
      <c r="L1420" s="3198">
        <f>L1421+L1436+L1440+L1449+L1452+L1454+L1456+L1473+L1475+L1478</f>
        <v>26002297500</v>
      </c>
      <c r="M1420" s="3210"/>
      <c r="N1420" s="3195">
        <f>N1421+N1436+N1440+N1449+N1452+N1454+N1456+N1473+N1475+N1478</f>
        <v>7477446131</v>
      </c>
      <c r="O1420" s="3210"/>
      <c r="P1420" s="3195">
        <f>P1421+P1436+P1440+P1449+P1452+P1454+P1456+P1470+P1473+P1475+P1443</f>
        <v>3545561784</v>
      </c>
      <c r="Q1420" s="3210"/>
      <c r="R1420" s="2916">
        <f>R1421+R1436+R1440+R1449+R1452+R1454+R1456+R1473+R1475+R1478</f>
        <v>457361149</v>
      </c>
      <c r="S1420" s="2918"/>
      <c r="T1420" s="2916">
        <f>T1421+T1436+T1440+T1449+T1452+T1454+T1456+T1473+T1475+T1478</f>
        <v>1156281145</v>
      </c>
      <c r="U1420" s="2918"/>
      <c r="V1420" s="2916"/>
      <c r="W1420" s="2918"/>
      <c r="X1420" s="2918"/>
      <c r="Y1420" s="3210"/>
      <c r="Z1420" s="2916">
        <f>Z1421+Z1436+Z1440+Z1443+Z1449+Z1452+Z1454+Z1456+Z1470+Z1473+Z1475+Z1478</f>
        <v>2133645639.138</v>
      </c>
      <c r="AA1420" s="3210"/>
      <c r="AB1420" s="2916">
        <f>AB1421+AB1436+AB1440+AB1449+AB1452+AB1454+AB1456+AB1473+AB1475+AB1478</f>
        <v>9369591745.1380005</v>
      </c>
      <c r="AC1420" s="3210"/>
      <c r="AD1420" s="3210"/>
      <c r="AE1420" s="3211"/>
    </row>
    <row r="1421" spans="1:76" s="2728" customFormat="1" ht="51">
      <c r="A1421" s="2578">
        <v>1</v>
      </c>
      <c r="B1421" s="2578"/>
      <c r="C1421" s="2575"/>
      <c r="D1421" s="2575"/>
      <c r="E1421" s="2575"/>
      <c r="F1421" s="2575"/>
      <c r="G1421" s="2575"/>
      <c r="H1421" s="2575"/>
      <c r="I1421" s="3153" t="s">
        <v>3426</v>
      </c>
      <c r="J1421" s="3153" t="s">
        <v>3427</v>
      </c>
      <c r="K1421" s="2747">
        <v>72</v>
      </c>
      <c r="L1421" s="2638">
        <f>SUM(L1422:L1435)</f>
        <v>5660000000</v>
      </c>
      <c r="M1421" s="2747">
        <v>24</v>
      </c>
      <c r="N1421" s="2638">
        <f>SUM(N1422:N1435)</f>
        <v>1890267065</v>
      </c>
      <c r="O1421" s="2747">
        <v>12</v>
      </c>
      <c r="P1421" s="2638">
        <f>SUM(P1422:P1435)</f>
        <v>954818742</v>
      </c>
      <c r="Q1421" s="2747">
        <v>3</v>
      </c>
      <c r="R1421" s="2638">
        <f>SUM(R1422:R1435)</f>
        <v>149497180</v>
      </c>
      <c r="S1421" s="2577">
        <v>3</v>
      </c>
      <c r="T1421" s="2859">
        <f>SUM(T1422:T1435)</f>
        <v>388861659</v>
      </c>
      <c r="U1421" s="2577"/>
      <c r="V1421" s="2859">
        <f>SUM(V1422:V1435)</f>
        <v>585960.13800000004</v>
      </c>
      <c r="W1421" s="2577"/>
      <c r="X1421" s="2577"/>
      <c r="Y1421" s="2577">
        <f t="shared" ref="Y1421:Y1430" si="481">Q1421+S1421+U1421+W1421</f>
        <v>6</v>
      </c>
      <c r="Z1421" s="2638">
        <f t="shared" ref="Z1421:Z1477" si="482">R1421+T1421+V1421+X1421</f>
        <v>538944799.13800001</v>
      </c>
      <c r="AA1421" s="2577">
        <f t="shared" ref="AA1421:AA1435" si="483">+Y1421+M1421</f>
        <v>30</v>
      </c>
      <c r="AB1421" s="2638">
        <f t="shared" ref="AB1421:AB1435" si="484">+N1421+Z1421</f>
        <v>2429211864.138</v>
      </c>
      <c r="AC1421" s="2732">
        <f t="shared" ref="AC1421:AC1435" si="485">(AA1421/K1421)*100</f>
        <v>41.666666666666671</v>
      </c>
      <c r="AD1421" s="2584">
        <f t="shared" ref="AD1421:AD1435" si="486">(AB1421/L1421)*100</f>
        <v>42.918937528939935</v>
      </c>
      <c r="AE1421" s="3135" t="s">
        <v>82</v>
      </c>
      <c r="AF1421" s="353"/>
      <c r="AG1421" s="3237"/>
      <c r="AH1421" s="3237"/>
      <c r="AI1421" s="3237"/>
      <c r="AJ1421" s="3237"/>
      <c r="AK1421" s="3237"/>
      <c r="AL1421" s="3237"/>
      <c r="AM1421" s="3237"/>
      <c r="AN1421" s="353"/>
      <c r="AO1421" s="353"/>
      <c r="AP1421" s="353"/>
      <c r="AQ1421" s="353"/>
      <c r="AR1421" s="353"/>
      <c r="AS1421" s="353"/>
      <c r="AT1421" s="353"/>
      <c r="AU1421" s="353"/>
      <c r="AV1421" s="353"/>
      <c r="AW1421" s="353"/>
      <c r="AX1421" s="353"/>
      <c r="AY1421" s="353"/>
      <c r="AZ1421" s="353"/>
      <c r="BA1421" s="353"/>
      <c r="BB1421" s="353"/>
      <c r="BC1421" s="353"/>
      <c r="BD1421" s="353"/>
      <c r="BE1421" s="353"/>
      <c r="BF1421" s="353"/>
      <c r="BG1421" s="353"/>
      <c r="BH1421" s="353"/>
      <c r="BI1421" s="353"/>
      <c r="BJ1421" s="353"/>
      <c r="BK1421" s="353"/>
      <c r="BL1421" s="353"/>
      <c r="BM1421" s="353"/>
      <c r="BN1421" s="353"/>
      <c r="BO1421" s="353"/>
      <c r="BP1421" s="353"/>
      <c r="BQ1421" s="353"/>
      <c r="BR1421" s="353"/>
      <c r="BS1421" s="353"/>
      <c r="BT1421" s="353"/>
      <c r="BU1421" s="353"/>
      <c r="BV1421" s="353"/>
      <c r="BW1421" s="353"/>
      <c r="BX1421" s="353"/>
    </row>
    <row r="1422" spans="1:76" s="2263" customFormat="1" ht="38.1" customHeight="1">
      <c r="A1422" s="1486"/>
      <c r="B1422" s="1486"/>
      <c r="C1422" s="1484"/>
      <c r="D1422" s="1484"/>
      <c r="E1422" s="1484"/>
      <c r="F1422" s="1484"/>
      <c r="G1422" s="1484"/>
      <c r="H1422" s="1484"/>
      <c r="I1422" s="1936" t="s">
        <v>3428</v>
      </c>
      <c r="J1422" s="1936" t="s">
        <v>3918</v>
      </c>
      <c r="K1422" s="2748">
        <v>72</v>
      </c>
      <c r="L1422" s="2402">
        <v>395000000</v>
      </c>
      <c r="M1422" s="2748">
        <v>24</v>
      </c>
      <c r="N1422" s="2402">
        <v>91000000</v>
      </c>
      <c r="O1422" s="2334">
        <v>12</v>
      </c>
      <c r="P1422" s="2402">
        <v>65000000</v>
      </c>
      <c r="Q1422" s="2749">
        <v>3</v>
      </c>
      <c r="R1422" s="2402">
        <v>10000000</v>
      </c>
      <c r="S1422" s="2402">
        <v>3</v>
      </c>
      <c r="T1422" s="2733">
        <v>35000000</v>
      </c>
      <c r="U1422" s="2733">
        <v>0</v>
      </c>
      <c r="V1422" s="3669">
        <v>45000</v>
      </c>
      <c r="W1422" s="2733">
        <v>0</v>
      </c>
      <c r="X1422" s="2733">
        <v>0</v>
      </c>
      <c r="Y1422" s="2733">
        <f t="shared" si="481"/>
        <v>6</v>
      </c>
      <c r="Z1422" s="2402">
        <f t="shared" si="482"/>
        <v>45045000</v>
      </c>
      <c r="AA1422" s="2334">
        <f t="shared" si="483"/>
        <v>30</v>
      </c>
      <c r="AB1422" s="2402">
        <f t="shared" si="484"/>
        <v>136045000</v>
      </c>
      <c r="AC1422" s="2586">
        <f t="shared" si="485"/>
        <v>41.666666666666671</v>
      </c>
      <c r="AD1422" s="2586">
        <f t="shared" si="486"/>
        <v>34.441772151898739</v>
      </c>
      <c r="AE1422" s="2382"/>
      <c r="AF1422" s="2266"/>
      <c r="AG1422" s="3237"/>
      <c r="AH1422" s="3237"/>
      <c r="AI1422" s="3237"/>
      <c r="AJ1422" s="3237"/>
      <c r="AK1422" s="3237"/>
      <c r="AL1422" s="3237"/>
      <c r="AM1422" s="3237"/>
      <c r="AN1422" s="2266"/>
      <c r="AO1422" s="2266"/>
      <c r="AP1422" s="2266"/>
      <c r="AQ1422" s="2266"/>
      <c r="AR1422" s="2266"/>
      <c r="AS1422" s="2266"/>
      <c r="AT1422" s="2266"/>
      <c r="AU1422" s="2266"/>
      <c r="AV1422" s="2266"/>
      <c r="AW1422" s="2266"/>
      <c r="AX1422" s="2266"/>
      <c r="AY1422" s="2266"/>
      <c r="AZ1422" s="2266"/>
      <c r="BA1422" s="2266"/>
      <c r="BB1422" s="2266"/>
      <c r="BC1422" s="2266"/>
      <c r="BD1422" s="2266"/>
      <c r="BE1422" s="2266"/>
      <c r="BF1422" s="2266"/>
      <c r="BG1422" s="2266"/>
      <c r="BH1422" s="2266"/>
      <c r="BI1422" s="2266"/>
      <c r="BJ1422" s="2266"/>
      <c r="BK1422" s="2266"/>
      <c r="BL1422" s="2266"/>
      <c r="BM1422" s="2266"/>
      <c r="BN1422" s="2266"/>
      <c r="BO1422" s="2266"/>
      <c r="BP1422" s="2266"/>
      <c r="BQ1422" s="2266"/>
      <c r="BR1422" s="2266"/>
      <c r="BS1422" s="2266"/>
      <c r="BT1422" s="2266"/>
      <c r="BU1422" s="2266"/>
      <c r="BV1422" s="2266"/>
      <c r="BW1422" s="2266"/>
      <c r="BX1422" s="2266"/>
    </row>
    <row r="1423" spans="1:76" s="2263" customFormat="1" ht="54" customHeight="1">
      <c r="A1423" s="1486"/>
      <c r="B1423" s="1486"/>
      <c r="C1423" s="1484"/>
      <c r="D1423" s="1484"/>
      <c r="E1423" s="1484"/>
      <c r="F1423" s="1484"/>
      <c r="G1423" s="1484"/>
      <c r="H1423" s="1484"/>
      <c r="I1423" s="1936" t="s">
        <v>1521</v>
      </c>
      <c r="J1423" s="1936" t="s">
        <v>3919</v>
      </c>
      <c r="K1423" s="2748">
        <v>72</v>
      </c>
      <c r="L1423" s="2402">
        <v>690000000</v>
      </c>
      <c r="M1423" s="2748">
        <v>24</v>
      </c>
      <c r="N1423" s="2402">
        <v>221704221.00000003</v>
      </c>
      <c r="O1423" s="2334">
        <v>12</v>
      </c>
      <c r="P1423" s="2402">
        <v>114000000</v>
      </c>
      <c r="Q1423" s="2749">
        <v>3</v>
      </c>
      <c r="R1423" s="2402">
        <v>20559380</v>
      </c>
      <c r="S1423" s="2402">
        <v>3</v>
      </c>
      <c r="T1423" s="2733">
        <v>44241346</v>
      </c>
      <c r="U1423" s="2733">
        <v>0</v>
      </c>
      <c r="V1423" s="3670">
        <v>64370.463000000003</v>
      </c>
      <c r="W1423" s="2733">
        <v>0</v>
      </c>
      <c r="X1423" s="2733">
        <v>0</v>
      </c>
      <c r="Y1423" s="2733">
        <f t="shared" si="481"/>
        <v>6</v>
      </c>
      <c r="Z1423" s="2402">
        <f t="shared" si="482"/>
        <v>64865096.463</v>
      </c>
      <c r="AA1423" s="2334">
        <f t="shared" si="483"/>
        <v>30</v>
      </c>
      <c r="AB1423" s="2402">
        <f t="shared" si="484"/>
        <v>286569317.46300006</v>
      </c>
      <c r="AC1423" s="2586">
        <f t="shared" si="485"/>
        <v>41.666666666666671</v>
      </c>
      <c r="AD1423" s="2586">
        <f t="shared" si="486"/>
        <v>41.531785139565223</v>
      </c>
      <c r="AE1423" s="2382"/>
      <c r="AF1423" s="2266"/>
      <c r="AG1423" s="3237"/>
      <c r="AH1423" s="3237"/>
      <c r="AI1423" s="3237"/>
      <c r="AJ1423" s="3237"/>
      <c r="AK1423" s="3237"/>
      <c r="AL1423" s="3237"/>
      <c r="AM1423" s="3237"/>
      <c r="AN1423" s="2266"/>
      <c r="AO1423" s="2266"/>
      <c r="AP1423" s="2266"/>
      <c r="AQ1423" s="2266"/>
      <c r="AR1423" s="2266"/>
      <c r="AS1423" s="2266"/>
      <c r="AT1423" s="2266"/>
      <c r="AU1423" s="2266"/>
      <c r="AV1423" s="2266"/>
      <c r="AW1423" s="2266"/>
      <c r="AX1423" s="2266"/>
      <c r="AY1423" s="2266"/>
      <c r="AZ1423" s="2266"/>
      <c r="BA1423" s="2266"/>
      <c r="BB1423" s="2266"/>
      <c r="BC1423" s="2266"/>
      <c r="BD1423" s="2266"/>
      <c r="BE1423" s="2266"/>
      <c r="BF1423" s="2266"/>
      <c r="BG1423" s="2266"/>
      <c r="BH1423" s="2266"/>
      <c r="BI1423" s="2266"/>
      <c r="BJ1423" s="2266"/>
      <c r="BK1423" s="2266"/>
      <c r="BL1423" s="2266"/>
      <c r="BM1423" s="2266"/>
      <c r="BN1423" s="2266"/>
      <c r="BO1423" s="2266"/>
      <c r="BP1423" s="2266"/>
      <c r="BQ1423" s="2266"/>
      <c r="BR1423" s="2266"/>
      <c r="BS1423" s="2266"/>
      <c r="BT1423" s="2266"/>
      <c r="BU1423" s="2266"/>
      <c r="BV1423" s="2266"/>
      <c r="BW1423" s="2266"/>
      <c r="BX1423" s="2266"/>
    </row>
    <row r="1424" spans="1:76" s="2263" customFormat="1" ht="50.25" customHeight="1">
      <c r="A1424" s="1486"/>
      <c r="B1424" s="1486"/>
      <c r="C1424" s="1484"/>
      <c r="D1424" s="1484"/>
      <c r="E1424" s="1484"/>
      <c r="F1424" s="1484"/>
      <c r="G1424" s="1484"/>
      <c r="H1424" s="1484"/>
      <c r="I1424" s="1936" t="s">
        <v>1287</v>
      </c>
      <c r="J1424" s="1936" t="s">
        <v>3920</v>
      </c>
      <c r="K1424" s="2748">
        <v>72</v>
      </c>
      <c r="L1424" s="2402">
        <v>375000000</v>
      </c>
      <c r="M1424" s="2748">
        <v>24</v>
      </c>
      <c r="N1424" s="2402">
        <v>187218115.99999997</v>
      </c>
      <c r="O1424" s="2334">
        <v>12</v>
      </c>
      <c r="P1424" s="2402">
        <v>75687985</v>
      </c>
      <c r="Q1424" s="2749">
        <v>3</v>
      </c>
      <c r="R1424" s="2402">
        <v>12924000</v>
      </c>
      <c r="S1424" s="2402">
        <v>3</v>
      </c>
      <c r="T1424" s="2733">
        <v>24124000</v>
      </c>
      <c r="U1424" s="2733">
        <v>0</v>
      </c>
      <c r="V1424" s="3670">
        <v>51222.400000000001</v>
      </c>
      <c r="W1424" s="2733">
        <v>0</v>
      </c>
      <c r="X1424" s="2733">
        <v>0</v>
      </c>
      <c r="Y1424" s="2334">
        <f t="shared" si="481"/>
        <v>6</v>
      </c>
      <c r="Z1424" s="2402">
        <f t="shared" si="482"/>
        <v>37099222.399999999</v>
      </c>
      <c r="AA1424" s="2334">
        <f t="shared" si="483"/>
        <v>30</v>
      </c>
      <c r="AB1424" s="2402">
        <f t="shared" si="484"/>
        <v>224317338.39999998</v>
      </c>
      <c r="AC1424" s="2586">
        <f t="shared" si="485"/>
        <v>41.666666666666671</v>
      </c>
      <c r="AD1424" s="2586">
        <f t="shared" si="486"/>
        <v>59.817956906666659</v>
      </c>
      <c r="AE1424" s="2382"/>
      <c r="AF1424" s="2266"/>
      <c r="AG1424" s="3237"/>
      <c r="AH1424" s="3237"/>
      <c r="AI1424" s="3237"/>
      <c r="AJ1424" s="3237"/>
      <c r="AK1424" s="3237"/>
      <c r="AL1424" s="3237"/>
      <c r="AM1424" s="3237"/>
      <c r="AN1424" s="2266"/>
      <c r="AO1424" s="2266"/>
      <c r="AP1424" s="2266"/>
      <c r="AQ1424" s="2266"/>
      <c r="AR1424" s="2266"/>
      <c r="AS1424" s="2266"/>
      <c r="AT1424" s="2266"/>
      <c r="AU1424" s="2266"/>
      <c r="AV1424" s="2266"/>
      <c r="AW1424" s="2266"/>
      <c r="AX1424" s="2266"/>
      <c r="AY1424" s="2266"/>
      <c r="AZ1424" s="2266"/>
      <c r="BA1424" s="2266"/>
      <c r="BB1424" s="2266"/>
      <c r="BC1424" s="2266"/>
      <c r="BD1424" s="2266"/>
      <c r="BE1424" s="2266"/>
      <c r="BF1424" s="2266"/>
      <c r="BG1424" s="2266"/>
      <c r="BH1424" s="2266"/>
      <c r="BI1424" s="2266"/>
      <c r="BJ1424" s="2266"/>
      <c r="BK1424" s="2266"/>
      <c r="BL1424" s="2266"/>
      <c r="BM1424" s="2266"/>
      <c r="BN1424" s="2266"/>
      <c r="BO1424" s="2266"/>
      <c r="BP1424" s="2266"/>
      <c r="BQ1424" s="2266"/>
      <c r="BR1424" s="2266"/>
      <c r="BS1424" s="2266"/>
      <c r="BT1424" s="2266"/>
      <c r="BU1424" s="2266"/>
      <c r="BV1424" s="2266"/>
      <c r="BW1424" s="2266"/>
      <c r="BX1424" s="2266"/>
    </row>
    <row r="1425" spans="1:76" s="2263" customFormat="1" ht="50.25" customHeight="1">
      <c r="A1425" s="1486"/>
      <c r="B1425" s="1486"/>
      <c r="C1425" s="1484"/>
      <c r="D1425" s="1484"/>
      <c r="E1425" s="1484"/>
      <c r="F1425" s="1484"/>
      <c r="G1425" s="1484"/>
      <c r="H1425" s="1484"/>
      <c r="I1425" s="1936" t="s">
        <v>149</v>
      </c>
      <c r="J1425" s="1936" t="s">
        <v>3921</v>
      </c>
      <c r="K1425" s="2748">
        <v>72</v>
      </c>
      <c r="L1425" s="2402">
        <v>375000000</v>
      </c>
      <c r="M1425" s="2748">
        <v>24</v>
      </c>
      <c r="N1425" s="2402">
        <v>94250000</v>
      </c>
      <c r="O1425" s="2334">
        <v>12</v>
      </c>
      <c r="P1425" s="2402">
        <v>65000000</v>
      </c>
      <c r="Q1425" s="2749">
        <v>3</v>
      </c>
      <c r="R1425" s="2402">
        <v>10000000</v>
      </c>
      <c r="S1425" s="2402">
        <v>3</v>
      </c>
      <c r="T1425" s="2733">
        <v>35000000</v>
      </c>
      <c r="U1425" s="2733">
        <v>0</v>
      </c>
      <c r="V1425" s="3669">
        <v>45000</v>
      </c>
      <c r="W1425" s="2733">
        <v>0</v>
      </c>
      <c r="X1425" s="2733">
        <v>0</v>
      </c>
      <c r="Y1425" s="2334">
        <f t="shared" si="481"/>
        <v>6</v>
      </c>
      <c r="Z1425" s="2402">
        <f t="shared" si="482"/>
        <v>45045000</v>
      </c>
      <c r="AA1425" s="2334">
        <f t="shared" si="483"/>
        <v>30</v>
      </c>
      <c r="AB1425" s="2402">
        <f t="shared" si="484"/>
        <v>139295000</v>
      </c>
      <c r="AC1425" s="2586">
        <f t="shared" si="485"/>
        <v>41.666666666666671</v>
      </c>
      <c r="AD1425" s="2586">
        <f t="shared" si="486"/>
        <v>37.145333333333333</v>
      </c>
      <c r="AE1425" s="2382"/>
      <c r="AF1425" s="2266"/>
      <c r="AG1425" s="3237"/>
      <c r="AH1425" s="3237"/>
      <c r="AI1425" s="3237"/>
      <c r="AJ1425" s="3237"/>
      <c r="AK1425" s="3237"/>
      <c r="AL1425" s="3237"/>
      <c r="AM1425" s="3237"/>
      <c r="AN1425" s="2266"/>
      <c r="AO1425" s="2266"/>
      <c r="AP1425" s="2266"/>
      <c r="AQ1425" s="2266"/>
      <c r="AR1425" s="2266"/>
      <c r="AS1425" s="2266"/>
      <c r="AT1425" s="2266"/>
      <c r="AU1425" s="2266"/>
      <c r="AV1425" s="2266"/>
      <c r="AW1425" s="2266"/>
      <c r="AX1425" s="2266"/>
      <c r="AY1425" s="2266"/>
      <c r="AZ1425" s="2266"/>
      <c r="BA1425" s="2266"/>
      <c r="BB1425" s="2266"/>
      <c r="BC1425" s="2266"/>
      <c r="BD1425" s="2266"/>
      <c r="BE1425" s="2266"/>
      <c r="BF1425" s="2266"/>
      <c r="BG1425" s="2266"/>
      <c r="BH1425" s="2266"/>
      <c r="BI1425" s="2266"/>
      <c r="BJ1425" s="2266"/>
      <c r="BK1425" s="2266"/>
      <c r="BL1425" s="2266"/>
      <c r="BM1425" s="2266"/>
      <c r="BN1425" s="2266"/>
      <c r="BO1425" s="2266"/>
      <c r="BP1425" s="2266"/>
      <c r="BQ1425" s="2266"/>
      <c r="BR1425" s="2266"/>
      <c r="BS1425" s="2266"/>
      <c r="BT1425" s="2266"/>
      <c r="BU1425" s="2266"/>
      <c r="BV1425" s="2266"/>
      <c r="BW1425" s="2266"/>
      <c r="BX1425" s="2266"/>
    </row>
    <row r="1426" spans="1:76" s="2263" customFormat="1" ht="38.1" customHeight="1">
      <c r="A1426" s="1486"/>
      <c r="B1426" s="1486"/>
      <c r="C1426" s="1484"/>
      <c r="D1426" s="1484"/>
      <c r="E1426" s="1484"/>
      <c r="F1426" s="1484"/>
      <c r="G1426" s="1484"/>
      <c r="H1426" s="1484"/>
      <c r="I1426" s="1936" t="s">
        <v>1410</v>
      </c>
      <c r="J1426" s="1936" t="s">
        <v>3922</v>
      </c>
      <c r="K1426" s="2748">
        <v>72</v>
      </c>
      <c r="L1426" s="2402">
        <v>360000000</v>
      </c>
      <c r="M1426" s="2748">
        <v>24</v>
      </c>
      <c r="N1426" s="2402">
        <v>92990500</v>
      </c>
      <c r="O1426" s="2334">
        <v>12</v>
      </c>
      <c r="P1426" s="2402">
        <v>44250000</v>
      </c>
      <c r="Q1426" s="2749">
        <v>3</v>
      </c>
      <c r="R1426" s="2402">
        <v>460000</v>
      </c>
      <c r="S1426" s="2402">
        <v>3</v>
      </c>
      <c r="T1426" s="2733">
        <v>11295000</v>
      </c>
      <c r="U1426" s="2733">
        <v>0</v>
      </c>
      <c r="V1426" s="3670">
        <v>16603.5</v>
      </c>
      <c r="W1426" s="2733">
        <v>0</v>
      </c>
      <c r="X1426" s="2733">
        <v>0</v>
      </c>
      <c r="Y1426" s="2402">
        <f t="shared" si="481"/>
        <v>6</v>
      </c>
      <c r="Z1426" s="2402">
        <f t="shared" si="482"/>
        <v>11771603.5</v>
      </c>
      <c r="AA1426" s="2334">
        <f t="shared" si="483"/>
        <v>30</v>
      </c>
      <c r="AB1426" s="2402">
        <f t="shared" si="484"/>
        <v>104762103.5</v>
      </c>
      <c r="AC1426" s="2586">
        <f t="shared" si="485"/>
        <v>41.666666666666671</v>
      </c>
      <c r="AD1426" s="2586">
        <f t="shared" si="486"/>
        <v>29.100584305555554</v>
      </c>
      <c r="AE1426" s="2382"/>
      <c r="AF1426" s="2266"/>
      <c r="AG1426" s="3237"/>
      <c r="AH1426" s="3237"/>
      <c r="AI1426" s="3237"/>
      <c r="AJ1426" s="3237"/>
      <c r="AK1426" s="3237"/>
      <c r="AL1426" s="3237"/>
      <c r="AM1426" s="3237"/>
      <c r="AN1426" s="2266"/>
      <c r="AO1426" s="2266"/>
      <c r="AP1426" s="2266"/>
      <c r="AQ1426" s="2266"/>
      <c r="AR1426" s="2266"/>
      <c r="AS1426" s="2266"/>
      <c r="AT1426" s="2266"/>
      <c r="AU1426" s="2266"/>
      <c r="AV1426" s="2266"/>
      <c r="AW1426" s="2266"/>
      <c r="AX1426" s="2266"/>
      <c r="AY1426" s="2266"/>
      <c r="AZ1426" s="2266"/>
      <c r="BA1426" s="2266"/>
      <c r="BB1426" s="2266"/>
      <c r="BC1426" s="2266"/>
      <c r="BD1426" s="2266"/>
      <c r="BE1426" s="2266"/>
      <c r="BF1426" s="2266"/>
      <c r="BG1426" s="2266"/>
      <c r="BH1426" s="2266"/>
      <c r="BI1426" s="2266"/>
      <c r="BJ1426" s="2266"/>
      <c r="BK1426" s="2266"/>
      <c r="BL1426" s="2266"/>
      <c r="BM1426" s="2266"/>
      <c r="BN1426" s="2266"/>
      <c r="BO1426" s="2266"/>
      <c r="BP1426" s="2266"/>
      <c r="BQ1426" s="2266"/>
      <c r="BR1426" s="2266"/>
      <c r="BS1426" s="2266"/>
      <c r="BT1426" s="2266"/>
      <c r="BU1426" s="2266"/>
      <c r="BV1426" s="2266"/>
      <c r="BW1426" s="2266"/>
      <c r="BX1426" s="2266"/>
    </row>
    <row r="1427" spans="1:76" s="2263" customFormat="1" ht="38.1" customHeight="1">
      <c r="A1427" s="1486"/>
      <c r="B1427" s="1486"/>
      <c r="C1427" s="1484"/>
      <c r="D1427" s="1484"/>
      <c r="E1427" s="1484"/>
      <c r="F1427" s="1484"/>
      <c r="G1427" s="1484"/>
      <c r="H1427" s="1484"/>
      <c r="I1427" s="1936" t="s">
        <v>150</v>
      </c>
      <c r="J1427" s="1936" t="s">
        <v>3923</v>
      </c>
      <c r="K1427" s="2748">
        <v>72</v>
      </c>
      <c r="L1427" s="2402">
        <v>390000000</v>
      </c>
      <c r="M1427" s="2748">
        <v>24</v>
      </c>
      <c r="N1427" s="2402">
        <v>69995249.000000015</v>
      </c>
      <c r="O1427" s="2334">
        <v>12</v>
      </c>
      <c r="P1427" s="2402">
        <v>37814729</v>
      </c>
      <c r="Q1427" s="2749">
        <v>3</v>
      </c>
      <c r="R1427" s="2402">
        <v>9112300</v>
      </c>
      <c r="S1427" s="2402">
        <v>3</v>
      </c>
      <c r="T1427" s="2406">
        <v>17220650</v>
      </c>
      <c r="U1427" s="2733">
        <v>0</v>
      </c>
      <c r="V1427" s="3670">
        <v>32152.04</v>
      </c>
      <c r="W1427" s="2733">
        <v>0</v>
      </c>
      <c r="X1427" s="2733">
        <v>0</v>
      </c>
      <c r="Y1427" s="2402">
        <f t="shared" si="481"/>
        <v>6</v>
      </c>
      <c r="Z1427" s="2402">
        <f t="shared" si="482"/>
        <v>26365102.039999999</v>
      </c>
      <c r="AA1427" s="2334">
        <f t="shared" si="483"/>
        <v>30</v>
      </c>
      <c r="AB1427" s="2402">
        <f t="shared" si="484"/>
        <v>96360351.040000021</v>
      </c>
      <c r="AC1427" s="2586">
        <f t="shared" si="485"/>
        <v>41.666666666666671</v>
      </c>
      <c r="AD1427" s="2586">
        <f t="shared" si="486"/>
        <v>24.707782317948723</v>
      </c>
      <c r="AE1427" s="2382"/>
      <c r="AF1427" s="2266"/>
      <c r="AG1427" s="3237"/>
      <c r="AH1427" s="3237"/>
      <c r="AI1427" s="3237"/>
      <c r="AJ1427" s="3237"/>
      <c r="AK1427" s="3237"/>
      <c r="AL1427" s="3237"/>
      <c r="AM1427" s="3237"/>
      <c r="AN1427" s="2266"/>
      <c r="AO1427" s="2266"/>
      <c r="AP1427" s="2266"/>
      <c r="AQ1427" s="2266"/>
      <c r="AR1427" s="2266"/>
      <c r="AS1427" s="2266"/>
      <c r="AT1427" s="2266"/>
      <c r="AU1427" s="2266"/>
      <c r="AV1427" s="2266"/>
      <c r="AW1427" s="2266"/>
      <c r="AX1427" s="2266"/>
      <c r="AY1427" s="2266"/>
      <c r="AZ1427" s="2266"/>
      <c r="BA1427" s="2266"/>
      <c r="BB1427" s="2266"/>
      <c r="BC1427" s="2266"/>
      <c r="BD1427" s="2266"/>
      <c r="BE1427" s="2266"/>
      <c r="BF1427" s="2266"/>
      <c r="BG1427" s="2266"/>
      <c r="BH1427" s="2266"/>
      <c r="BI1427" s="2266"/>
      <c r="BJ1427" s="2266"/>
      <c r="BK1427" s="2266"/>
      <c r="BL1427" s="2266"/>
      <c r="BM1427" s="2266"/>
      <c r="BN1427" s="2266"/>
      <c r="BO1427" s="2266"/>
      <c r="BP1427" s="2266"/>
      <c r="BQ1427" s="2266"/>
      <c r="BR1427" s="2266"/>
      <c r="BS1427" s="2266"/>
      <c r="BT1427" s="2266"/>
      <c r="BU1427" s="2266"/>
      <c r="BV1427" s="2266"/>
      <c r="BW1427" s="2266"/>
      <c r="BX1427" s="2266"/>
    </row>
    <row r="1428" spans="1:76" s="2263" customFormat="1" ht="54.75" customHeight="1">
      <c r="A1428" s="1486"/>
      <c r="B1428" s="1486"/>
      <c r="C1428" s="1484"/>
      <c r="D1428" s="1484"/>
      <c r="E1428" s="1484"/>
      <c r="F1428" s="1484"/>
      <c r="G1428" s="1484"/>
      <c r="H1428" s="1484"/>
      <c r="I1428" s="1936" t="s">
        <v>3429</v>
      </c>
      <c r="J1428" s="1936" t="s">
        <v>3924</v>
      </c>
      <c r="K1428" s="2748">
        <v>72</v>
      </c>
      <c r="L1428" s="2402">
        <v>390000000</v>
      </c>
      <c r="M1428" s="2748">
        <v>24</v>
      </c>
      <c r="N1428" s="2402">
        <v>102273300</v>
      </c>
      <c r="O1428" s="2334">
        <v>12</v>
      </c>
      <c r="P1428" s="2402">
        <v>37710630</v>
      </c>
      <c r="Q1428" s="2749">
        <v>3</v>
      </c>
      <c r="R1428" s="2402">
        <v>9970000</v>
      </c>
      <c r="S1428" s="2733">
        <v>3</v>
      </c>
      <c r="T1428" s="2733">
        <v>18066880</v>
      </c>
      <c r="U1428" s="2733">
        <v>0</v>
      </c>
      <c r="V1428" s="3670">
        <v>31354.44</v>
      </c>
      <c r="W1428" s="2733">
        <v>0</v>
      </c>
      <c r="X1428" s="2733">
        <v>0</v>
      </c>
      <c r="Y1428" s="2402">
        <f t="shared" si="481"/>
        <v>6</v>
      </c>
      <c r="Z1428" s="2402">
        <f t="shared" si="482"/>
        <v>28068234.440000001</v>
      </c>
      <c r="AA1428" s="2334">
        <f t="shared" si="483"/>
        <v>30</v>
      </c>
      <c r="AB1428" s="2402">
        <f t="shared" si="484"/>
        <v>130341534.44</v>
      </c>
      <c r="AC1428" s="2586">
        <f t="shared" si="485"/>
        <v>41.666666666666671</v>
      </c>
      <c r="AD1428" s="2586">
        <f t="shared" si="486"/>
        <v>33.42090626666667</v>
      </c>
      <c r="AE1428" s="2382"/>
      <c r="AF1428" s="2266"/>
      <c r="AG1428" s="3237"/>
      <c r="AH1428" s="3237"/>
      <c r="AI1428" s="3237"/>
      <c r="AJ1428" s="3237"/>
      <c r="AK1428" s="3237"/>
      <c r="AL1428" s="3237"/>
      <c r="AM1428" s="3237"/>
      <c r="AN1428" s="2266"/>
      <c r="AO1428" s="2266"/>
      <c r="AP1428" s="2266"/>
      <c r="AQ1428" s="2266"/>
      <c r="AR1428" s="2266"/>
      <c r="AS1428" s="2266"/>
      <c r="AT1428" s="2266"/>
      <c r="AU1428" s="2266"/>
      <c r="AV1428" s="2266"/>
      <c r="AW1428" s="2266"/>
      <c r="AX1428" s="2266"/>
      <c r="AY1428" s="2266"/>
      <c r="AZ1428" s="2266"/>
      <c r="BA1428" s="2266"/>
      <c r="BB1428" s="2266"/>
      <c r="BC1428" s="2266"/>
      <c r="BD1428" s="2266"/>
      <c r="BE1428" s="2266"/>
      <c r="BF1428" s="2266"/>
      <c r="BG1428" s="2266"/>
      <c r="BH1428" s="2266"/>
      <c r="BI1428" s="2266"/>
      <c r="BJ1428" s="2266"/>
      <c r="BK1428" s="2266"/>
      <c r="BL1428" s="2266"/>
      <c r="BM1428" s="2266"/>
      <c r="BN1428" s="2266"/>
      <c r="BO1428" s="2266"/>
      <c r="BP1428" s="2266"/>
      <c r="BQ1428" s="2266"/>
      <c r="BR1428" s="2266"/>
      <c r="BS1428" s="2266"/>
      <c r="BT1428" s="2266"/>
      <c r="BU1428" s="2266"/>
      <c r="BV1428" s="2266"/>
      <c r="BW1428" s="2266"/>
      <c r="BX1428" s="2266"/>
    </row>
    <row r="1429" spans="1:76" s="2263" customFormat="1" ht="75.75" customHeight="1">
      <c r="A1429" s="1486"/>
      <c r="B1429" s="1486"/>
      <c r="C1429" s="1484"/>
      <c r="D1429" s="1484"/>
      <c r="E1429" s="1484"/>
      <c r="F1429" s="1484"/>
      <c r="G1429" s="1484"/>
      <c r="H1429" s="1484"/>
      <c r="I1429" s="1936" t="s">
        <v>3430</v>
      </c>
      <c r="J1429" s="1936" t="s">
        <v>3925</v>
      </c>
      <c r="K1429" s="2748">
        <v>72</v>
      </c>
      <c r="L1429" s="2402">
        <v>165000000</v>
      </c>
      <c r="M1429" s="2748">
        <v>24</v>
      </c>
      <c r="N1429" s="2402">
        <v>54113400</v>
      </c>
      <c r="O1429" s="2334">
        <v>12</v>
      </c>
      <c r="P1429" s="2402">
        <v>24661665</v>
      </c>
      <c r="Q1429" s="2749">
        <v>3</v>
      </c>
      <c r="R1429" s="2402">
        <v>6563700</v>
      </c>
      <c r="S1429" s="2402">
        <v>3</v>
      </c>
      <c r="T1429" s="2733">
        <v>21671300</v>
      </c>
      <c r="U1429" s="2733">
        <v>0</v>
      </c>
      <c r="V1429" s="3670">
        <v>23301.5</v>
      </c>
      <c r="W1429" s="2733">
        <v>0</v>
      </c>
      <c r="X1429" s="2733">
        <v>0</v>
      </c>
      <c r="Y1429" s="2402">
        <f t="shared" si="481"/>
        <v>6</v>
      </c>
      <c r="Z1429" s="2402">
        <f t="shared" si="482"/>
        <v>28258301.5</v>
      </c>
      <c r="AA1429" s="2334">
        <f t="shared" si="483"/>
        <v>30</v>
      </c>
      <c r="AB1429" s="2402">
        <f t="shared" si="484"/>
        <v>82371701.5</v>
      </c>
      <c r="AC1429" s="2586">
        <f t="shared" si="485"/>
        <v>41.666666666666671</v>
      </c>
      <c r="AD1429" s="2586">
        <f t="shared" si="486"/>
        <v>49.922243333333334</v>
      </c>
      <c r="AE1429" s="2382"/>
      <c r="AF1429" s="2266"/>
      <c r="AG1429" s="3237"/>
      <c r="AH1429" s="3237"/>
      <c r="AI1429" s="3237"/>
      <c r="AJ1429" s="3237"/>
      <c r="AK1429" s="3237"/>
      <c r="AL1429" s="3237"/>
      <c r="AM1429" s="3237"/>
      <c r="AN1429" s="2266"/>
      <c r="AO1429" s="2266"/>
      <c r="AP1429" s="2266"/>
      <c r="AQ1429" s="2266"/>
      <c r="AR1429" s="2266"/>
      <c r="AS1429" s="2266"/>
      <c r="AT1429" s="2266"/>
      <c r="AU1429" s="2266"/>
      <c r="AV1429" s="2266"/>
      <c r="AW1429" s="2266"/>
      <c r="AX1429" s="2266"/>
      <c r="AY1429" s="2266"/>
      <c r="AZ1429" s="2266"/>
      <c r="BA1429" s="2266"/>
      <c r="BB1429" s="2266"/>
      <c r="BC1429" s="2266"/>
      <c r="BD1429" s="2266"/>
      <c r="BE1429" s="2266"/>
      <c r="BF1429" s="2266"/>
      <c r="BG1429" s="2266"/>
      <c r="BH1429" s="2266"/>
      <c r="BI1429" s="2266"/>
      <c r="BJ1429" s="2266"/>
      <c r="BK1429" s="2266"/>
      <c r="BL1429" s="2266"/>
      <c r="BM1429" s="2266"/>
      <c r="BN1429" s="2266"/>
      <c r="BO1429" s="2266"/>
      <c r="BP1429" s="2266"/>
      <c r="BQ1429" s="2266"/>
      <c r="BR1429" s="2266"/>
      <c r="BS1429" s="2266"/>
      <c r="BT1429" s="2266"/>
      <c r="BU1429" s="2266"/>
      <c r="BV1429" s="2266"/>
      <c r="BW1429" s="2266"/>
      <c r="BX1429" s="2266"/>
    </row>
    <row r="1430" spans="1:76" s="2263" customFormat="1" ht="82.5" customHeight="1">
      <c r="A1430" s="1486"/>
      <c r="B1430" s="1486"/>
      <c r="C1430" s="1484"/>
      <c r="D1430" s="1484"/>
      <c r="E1430" s="1484"/>
      <c r="F1430" s="1484"/>
      <c r="G1430" s="1484"/>
      <c r="H1430" s="1484"/>
      <c r="I1430" s="1936" t="s">
        <v>3431</v>
      </c>
      <c r="J1430" s="1936" t="s">
        <v>3926</v>
      </c>
      <c r="K1430" s="2748">
        <v>72</v>
      </c>
      <c r="L1430" s="2402">
        <v>60000000</v>
      </c>
      <c r="M1430" s="2748">
        <v>24</v>
      </c>
      <c r="N1430" s="2402">
        <v>11371500</v>
      </c>
      <c r="O1430" s="2334">
        <v>12</v>
      </c>
      <c r="P1430" s="2402">
        <v>5400000</v>
      </c>
      <c r="Q1430" s="2749">
        <v>3</v>
      </c>
      <c r="R1430" s="2402">
        <v>1305000</v>
      </c>
      <c r="S1430" s="2402">
        <v>3</v>
      </c>
      <c r="T1430" s="2733">
        <v>2610000</v>
      </c>
      <c r="U1430" s="2733">
        <v>0</v>
      </c>
      <c r="V1430" s="3669">
        <v>3945</v>
      </c>
      <c r="W1430" s="2733">
        <v>0</v>
      </c>
      <c r="X1430" s="2733">
        <v>0</v>
      </c>
      <c r="Y1430" s="2334">
        <f t="shared" si="481"/>
        <v>6</v>
      </c>
      <c r="Z1430" s="2402">
        <f t="shared" si="482"/>
        <v>3918945</v>
      </c>
      <c r="AA1430" s="2334">
        <f t="shared" si="483"/>
        <v>30</v>
      </c>
      <c r="AB1430" s="2402">
        <f t="shared" si="484"/>
        <v>15290445</v>
      </c>
      <c r="AC1430" s="2586">
        <f t="shared" si="485"/>
        <v>41.666666666666671</v>
      </c>
      <c r="AD1430" s="2586">
        <f t="shared" si="486"/>
        <v>25.484075000000001</v>
      </c>
      <c r="AE1430" s="2382"/>
      <c r="AF1430" s="2266"/>
      <c r="AG1430" s="3237"/>
      <c r="AH1430" s="3237"/>
      <c r="AI1430" s="3237"/>
      <c r="AJ1430" s="3237"/>
      <c r="AK1430" s="3237"/>
      <c r="AL1430" s="3237"/>
      <c r="AM1430" s="3237"/>
      <c r="AN1430" s="2266"/>
      <c r="AO1430" s="2266"/>
      <c r="AP1430" s="2266"/>
      <c r="AQ1430" s="2266"/>
      <c r="AR1430" s="2266"/>
      <c r="AS1430" s="2266"/>
      <c r="AT1430" s="2266"/>
      <c r="AU1430" s="2266"/>
      <c r="AV1430" s="2266"/>
      <c r="AW1430" s="2266"/>
      <c r="AX1430" s="2266"/>
      <c r="AY1430" s="2266"/>
      <c r="AZ1430" s="2266"/>
      <c r="BA1430" s="2266"/>
      <c r="BB1430" s="2266"/>
      <c r="BC1430" s="2266"/>
      <c r="BD1430" s="2266"/>
      <c r="BE1430" s="2266"/>
      <c r="BF1430" s="2266"/>
      <c r="BG1430" s="2266"/>
      <c r="BH1430" s="2266"/>
      <c r="BI1430" s="2266"/>
      <c r="BJ1430" s="2266"/>
      <c r="BK1430" s="2266"/>
      <c r="BL1430" s="2266"/>
      <c r="BM1430" s="2266"/>
      <c r="BN1430" s="2266"/>
      <c r="BO1430" s="2266"/>
      <c r="BP1430" s="2266"/>
      <c r="BQ1430" s="2266"/>
      <c r="BR1430" s="2266"/>
      <c r="BS1430" s="2266"/>
      <c r="BT1430" s="2266"/>
      <c r="BU1430" s="2266"/>
      <c r="BV1430" s="2266"/>
      <c r="BW1430" s="2266"/>
      <c r="BX1430" s="2266"/>
    </row>
    <row r="1431" spans="1:76" s="2263" customFormat="1" ht="42" customHeight="1">
      <c r="A1431" s="1486"/>
      <c r="B1431" s="1486"/>
      <c r="C1431" s="1484"/>
      <c r="D1431" s="1484"/>
      <c r="E1431" s="1484"/>
      <c r="F1431" s="1484"/>
      <c r="G1431" s="1484"/>
      <c r="H1431" s="1484"/>
      <c r="I1431" s="1936" t="s">
        <v>3432</v>
      </c>
      <c r="J1431" s="1936" t="s">
        <v>3927</v>
      </c>
      <c r="K1431" s="2748">
        <v>72</v>
      </c>
      <c r="L1431" s="2402">
        <v>255000000</v>
      </c>
      <c r="M1431" s="2748">
        <v>24</v>
      </c>
      <c r="N1431" s="2402">
        <v>124565225</v>
      </c>
      <c r="O1431" s="2334">
        <v>12</v>
      </c>
      <c r="P1431" s="2402">
        <v>45400000</v>
      </c>
      <c r="Q1431" s="2749">
        <v>3</v>
      </c>
      <c r="R1431" s="2402">
        <v>8889000</v>
      </c>
      <c r="S1431" s="2402">
        <v>3</v>
      </c>
      <c r="T1431" s="2402">
        <v>18737400</v>
      </c>
      <c r="U1431" s="2733">
        <v>0</v>
      </c>
      <c r="V1431" s="3670">
        <v>30917.3</v>
      </c>
      <c r="W1431" s="2733">
        <v>0</v>
      </c>
      <c r="X1431" s="2733">
        <v>0</v>
      </c>
      <c r="Y1431" s="2402">
        <f>SUM(Q1431+S1431)</f>
        <v>6</v>
      </c>
      <c r="Z1431" s="2402">
        <f t="shared" si="482"/>
        <v>27657317.300000001</v>
      </c>
      <c r="AA1431" s="2334">
        <f t="shared" si="483"/>
        <v>30</v>
      </c>
      <c r="AB1431" s="2402">
        <f t="shared" si="484"/>
        <v>152222542.30000001</v>
      </c>
      <c r="AC1431" s="2586">
        <f t="shared" si="485"/>
        <v>41.666666666666671</v>
      </c>
      <c r="AD1431" s="2586">
        <f t="shared" si="486"/>
        <v>59.695114627450984</v>
      </c>
      <c r="AE1431" s="2382"/>
      <c r="AF1431" s="2266"/>
      <c r="AG1431" s="3237"/>
      <c r="AH1431" s="3237"/>
      <c r="AI1431" s="3237"/>
      <c r="AJ1431" s="3237"/>
      <c r="AK1431" s="3237"/>
      <c r="AL1431" s="3237"/>
      <c r="AM1431" s="3237"/>
      <c r="AN1431" s="2266"/>
      <c r="AO1431" s="2266"/>
      <c r="AP1431" s="2266"/>
      <c r="AQ1431" s="2266"/>
      <c r="AR1431" s="2266"/>
      <c r="AS1431" s="2266"/>
      <c r="AT1431" s="2266"/>
      <c r="AU1431" s="2266"/>
      <c r="AV1431" s="2266"/>
      <c r="AW1431" s="2266"/>
      <c r="AX1431" s="2266"/>
      <c r="AY1431" s="2266"/>
      <c r="AZ1431" s="2266"/>
      <c r="BA1431" s="2266"/>
      <c r="BB1431" s="2266"/>
      <c r="BC1431" s="2266"/>
      <c r="BD1431" s="2266"/>
      <c r="BE1431" s="2266"/>
      <c r="BF1431" s="2266"/>
      <c r="BG1431" s="2266"/>
      <c r="BH1431" s="2266"/>
      <c r="BI1431" s="2266"/>
      <c r="BJ1431" s="2266"/>
      <c r="BK1431" s="2266"/>
      <c r="BL1431" s="2266"/>
      <c r="BM1431" s="2266"/>
      <c r="BN1431" s="2266"/>
      <c r="BO1431" s="2266"/>
      <c r="BP1431" s="2266"/>
      <c r="BQ1431" s="2266"/>
      <c r="BR1431" s="2266"/>
      <c r="BS1431" s="2266"/>
      <c r="BT1431" s="2266"/>
      <c r="BU1431" s="2266"/>
      <c r="BV1431" s="2266"/>
      <c r="BW1431" s="2266"/>
      <c r="BX1431" s="2266"/>
    </row>
    <row r="1432" spans="1:76" s="2263" customFormat="1" ht="68.25" customHeight="1">
      <c r="A1432" s="1486"/>
      <c r="B1432" s="1486"/>
      <c r="C1432" s="1484"/>
      <c r="D1432" s="1484"/>
      <c r="E1432" s="1484"/>
      <c r="F1432" s="1484"/>
      <c r="G1432" s="1484"/>
      <c r="H1432" s="1484"/>
      <c r="I1432" s="1936" t="s">
        <v>158</v>
      </c>
      <c r="J1432" s="1936" t="s">
        <v>3929</v>
      </c>
      <c r="K1432" s="2748">
        <v>72</v>
      </c>
      <c r="L1432" s="2402">
        <v>1200000000</v>
      </c>
      <c r="M1432" s="2748">
        <v>24</v>
      </c>
      <c r="N1432" s="2402">
        <v>570853453.99999988</v>
      </c>
      <c r="O1432" s="2334">
        <v>12</v>
      </c>
      <c r="P1432" s="2402">
        <v>299425000</v>
      </c>
      <c r="Q1432" s="2749">
        <v>3</v>
      </c>
      <c r="R1432" s="2402">
        <v>37763000</v>
      </c>
      <c r="S1432" s="2402">
        <v>3</v>
      </c>
      <c r="T1432" s="2402">
        <v>97280283</v>
      </c>
      <c r="U1432" s="2733">
        <v>0</v>
      </c>
      <c r="V1432" s="3670">
        <v>156215.19500000001</v>
      </c>
      <c r="W1432" s="2733">
        <v>0</v>
      </c>
      <c r="X1432" s="2733">
        <v>0</v>
      </c>
      <c r="Y1432" s="2402">
        <f>Q1432+S1432</f>
        <v>6</v>
      </c>
      <c r="Z1432" s="2402">
        <f t="shared" si="482"/>
        <v>135199498.19499999</v>
      </c>
      <c r="AA1432" s="2334">
        <f t="shared" si="483"/>
        <v>30</v>
      </c>
      <c r="AB1432" s="2402">
        <f t="shared" si="484"/>
        <v>706052952.19499993</v>
      </c>
      <c r="AC1432" s="2586">
        <f t="shared" si="485"/>
        <v>41.666666666666671</v>
      </c>
      <c r="AD1432" s="2586">
        <f t="shared" si="486"/>
        <v>58.837746016249994</v>
      </c>
      <c r="AE1432" s="2382"/>
      <c r="AF1432" s="2266"/>
      <c r="AG1432" s="3237"/>
      <c r="AH1432" s="3237"/>
      <c r="AI1432" s="3237"/>
      <c r="AJ1432" s="3237"/>
      <c r="AK1432" s="3237"/>
      <c r="AL1432" s="3237"/>
      <c r="AM1432" s="3237"/>
      <c r="AN1432" s="2266"/>
      <c r="AO1432" s="2266"/>
      <c r="AP1432" s="2266"/>
      <c r="AQ1432" s="2266"/>
      <c r="AR1432" s="2266"/>
      <c r="AS1432" s="2266"/>
      <c r="AT1432" s="2266"/>
      <c r="AU1432" s="2266"/>
      <c r="AV1432" s="2266"/>
      <c r="AW1432" s="2266"/>
      <c r="AX1432" s="2266"/>
      <c r="AY1432" s="2266"/>
      <c r="AZ1432" s="2266"/>
      <c r="BA1432" s="2266"/>
      <c r="BB1432" s="2266"/>
      <c r="BC1432" s="2266"/>
      <c r="BD1432" s="2266"/>
      <c r="BE1432" s="2266"/>
      <c r="BF1432" s="2266"/>
      <c r="BG1432" s="2266"/>
      <c r="BH1432" s="2266"/>
      <c r="BI1432" s="2266"/>
      <c r="BJ1432" s="2266"/>
      <c r="BK1432" s="2266"/>
      <c r="BL1432" s="2266"/>
      <c r="BM1432" s="2266"/>
      <c r="BN1432" s="2266"/>
      <c r="BO1432" s="2266"/>
      <c r="BP1432" s="2266"/>
      <c r="BQ1432" s="2266"/>
      <c r="BR1432" s="2266"/>
      <c r="BS1432" s="2266"/>
      <c r="BT1432" s="2266"/>
      <c r="BU1432" s="2266"/>
      <c r="BV1432" s="2266"/>
      <c r="BW1432" s="2266"/>
      <c r="BX1432" s="2266"/>
    </row>
    <row r="1433" spans="1:76" s="2263" customFormat="1" ht="52.5" customHeight="1">
      <c r="A1433" s="1486"/>
      <c r="B1433" s="1486"/>
      <c r="C1433" s="1484"/>
      <c r="D1433" s="1484"/>
      <c r="E1433" s="1484"/>
      <c r="F1433" s="1484"/>
      <c r="G1433" s="1484"/>
      <c r="H1433" s="1484"/>
      <c r="I1433" s="1936" t="s">
        <v>3255</v>
      </c>
      <c r="J1433" s="1936" t="s">
        <v>3928</v>
      </c>
      <c r="K1433" s="2748">
        <v>72</v>
      </c>
      <c r="L1433" s="2402">
        <v>330000000</v>
      </c>
      <c r="M1433" s="2748">
        <v>24</v>
      </c>
      <c r="N1433" s="2402">
        <v>91000000</v>
      </c>
      <c r="O1433" s="2334">
        <v>12</v>
      </c>
      <c r="P1433" s="2402">
        <v>52000000</v>
      </c>
      <c r="Q1433" s="2749">
        <v>3</v>
      </c>
      <c r="R1433" s="2402">
        <v>8000000</v>
      </c>
      <c r="S1433" s="2402">
        <v>3</v>
      </c>
      <c r="T1433" s="2402">
        <v>28000000</v>
      </c>
      <c r="U1433" s="2733">
        <v>0</v>
      </c>
      <c r="V1433" s="3669">
        <v>36000</v>
      </c>
      <c r="W1433" s="2733">
        <v>0</v>
      </c>
      <c r="X1433" s="2733">
        <v>0</v>
      </c>
      <c r="Y1433" s="2334">
        <f t="shared" ref="Y1433:Y1461" si="487">Q1433+S1433+U1433+W1433</f>
        <v>6</v>
      </c>
      <c r="Z1433" s="2402">
        <f t="shared" si="482"/>
        <v>36036000</v>
      </c>
      <c r="AA1433" s="2334">
        <f t="shared" si="483"/>
        <v>30</v>
      </c>
      <c r="AB1433" s="2402">
        <f t="shared" si="484"/>
        <v>127036000</v>
      </c>
      <c r="AC1433" s="2586">
        <f t="shared" si="485"/>
        <v>41.666666666666671</v>
      </c>
      <c r="AD1433" s="2586">
        <f t="shared" si="486"/>
        <v>38.49575757575758</v>
      </c>
      <c r="AE1433" s="2382"/>
      <c r="AF1433" s="2266"/>
      <c r="AG1433" s="3237"/>
      <c r="AH1433" s="3237"/>
      <c r="AI1433" s="3237"/>
      <c r="AJ1433" s="3237"/>
      <c r="AK1433" s="3237"/>
      <c r="AL1433" s="3237"/>
      <c r="AM1433" s="3237"/>
      <c r="AN1433" s="2266"/>
      <c r="AO1433" s="2266"/>
      <c r="AP1433" s="2266"/>
      <c r="AQ1433" s="2266"/>
      <c r="AR1433" s="2266"/>
      <c r="AS1433" s="2266"/>
      <c r="AT1433" s="2266"/>
      <c r="AU1433" s="2266"/>
      <c r="AV1433" s="2266"/>
      <c r="AW1433" s="2266"/>
      <c r="AX1433" s="2266"/>
      <c r="AY1433" s="2266"/>
      <c r="AZ1433" s="2266"/>
      <c r="BA1433" s="2266"/>
      <c r="BB1433" s="2266"/>
      <c r="BC1433" s="2266"/>
      <c r="BD1433" s="2266"/>
      <c r="BE1433" s="2266"/>
      <c r="BF1433" s="2266"/>
      <c r="BG1433" s="2266"/>
      <c r="BH1433" s="2266"/>
      <c r="BI1433" s="2266"/>
      <c r="BJ1433" s="2266"/>
      <c r="BK1433" s="2266"/>
      <c r="BL1433" s="2266"/>
      <c r="BM1433" s="2266"/>
      <c r="BN1433" s="2266"/>
      <c r="BO1433" s="2266"/>
      <c r="BP1433" s="2266"/>
      <c r="BQ1433" s="2266"/>
      <c r="BR1433" s="2266"/>
      <c r="BS1433" s="2266"/>
      <c r="BT1433" s="2266"/>
      <c r="BU1433" s="2266"/>
      <c r="BV1433" s="2266"/>
      <c r="BW1433" s="2266"/>
      <c r="BX1433" s="2266"/>
    </row>
    <row r="1434" spans="1:76" s="2263" customFormat="1" ht="70.5" customHeight="1">
      <c r="A1434" s="1486"/>
      <c r="B1434" s="1486"/>
      <c r="C1434" s="1484"/>
      <c r="D1434" s="1484"/>
      <c r="E1434" s="1484"/>
      <c r="F1434" s="1484"/>
      <c r="G1434" s="1484"/>
      <c r="H1434" s="1484"/>
      <c r="I1434" s="1936" t="s">
        <v>3433</v>
      </c>
      <c r="J1434" s="1936" t="s">
        <v>3930</v>
      </c>
      <c r="K1434" s="2748">
        <v>72</v>
      </c>
      <c r="L1434" s="2402">
        <v>375000000</v>
      </c>
      <c r="M1434" s="2748">
        <v>24</v>
      </c>
      <c r="N1434" s="2402">
        <v>113820000</v>
      </c>
      <c r="O1434" s="2334">
        <v>12</v>
      </c>
      <c r="P1434" s="2402">
        <v>48075000</v>
      </c>
      <c r="Q1434" s="2749">
        <v>3</v>
      </c>
      <c r="R1434" s="2402">
        <v>7684000</v>
      </c>
      <c r="S1434" s="2402">
        <v>3</v>
      </c>
      <c r="T1434" s="2402">
        <v>19838000</v>
      </c>
      <c r="U1434" s="2733">
        <v>0</v>
      </c>
      <c r="V1434" s="3669">
        <v>27768</v>
      </c>
      <c r="W1434" s="2733">
        <v>0</v>
      </c>
      <c r="X1434" s="2733">
        <v>0</v>
      </c>
      <c r="Y1434" s="2334">
        <f t="shared" si="487"/>
        <v>6</v>
      </c>
      <c r="Z1434" s="2402">
        <f t="shared" si="482"/>
        <v>27549768</v>
      </c>
      <c r="AA1434" s="2334">
        <f t="shared" si="483"/>
        <v>30</v>
      </c>
      <c r="AB1434" s="2402">
        <f t="shared" si="484"/>
        <v>141369768</v>
      </c>
      <c r="AC1434" s="2586">
        <f t="shared" si="485"/>
        <v>41.666666666666671</v>
      </c>
      <c r="AD1434" s="2586">
        <f t="shared" si="486"/>
        <v>37.698604799999998</v>
      </c>
      <c r="AE1434" s="2382"/>
      <c r="AF1434" s="2266"/>
      <c r="AG1434" s="3237"/>
      <c r="AH1434" s="3237"/>
      <c r="AI1434" s="3237"/>
      <c r="AJ1434" s="3237"/>
      <c r="AK1434" s="3237"/>
      <c r="AL1434" s="3237"/>
      <c r="AM1434" s="3237"/>
      <c r="AN1434" s="2266"/>
      <c r="AO1434" s="2266"/>
      <c r="AP1434" s="2266"/>
      <c r="AQ1434" s="2266"/>
      <c r="AR1434" s="2266"/>
      <c r="AS1434" s="2266"/>
      <c r="AT1434" s="2266"/>
      <c r="AU1434" s="2266"/>
      <c r="AV1434" s="2266"/>
      <c r="AW1434" s="2266"/>
      <c r="AX1434" s="2266"/>
      <c r="AY1434" s="2266"/>
      <c r="AZ1434" s="2266"/>
      <c r="BA1434" s="2266"/>
      <c r="BB1434" s="2266"/>
      <c r="BC1434" s="2266"/>
      <c r="BD1434" s="2266"/>
      <c r="BE1434" s="2266"/>
      <c r="BF1434" s="2266"/>
      <c r="BG1434" s="2266"/>
      <c r="BH1434" s="2266"/>
      <c r="BI1434" s="2266"/>
      <c r="BJ1434" s="2266"/>
      <c r="BK1434" s="2266"/>
      <c r="BL1434" s="2266"/>
      <c r="BM1434" s="2266"/>
      <c r="BN1434" s="2266"/>
      <c r="BO1434" s="2266"/>
      <c r="BP1434" s="2266"/>
      <c r="BQ1434" s="2266"/>
      <c r="BR1434" s="2266"/>
      <c r="BS1434" s="2266"/>
      <c r="BT1434" s="2266"/>
      <c r="BU1434" s="2266"/>
      <c r="BV1434" s="2266"/>
      <c r="BW1434" s="2266"/>
      <c r="BX1434" s="2266"/>
    </row>
    <row r="1435" spans="1:76" s="2263" customFormat="1" ht="52.5" customHeight="1">
      <c r="A1435" s="1486"/>
      <c r="B1435" s="1486"/>
      <c r="C1435" s="1484"/>
      <c r="D1435" s="1484"/>
      <c r="E1435" s="1484"/>
      <c r="F1435" s="1484"/>
      <c r="G1435" s="1484"/>
      <c r="H1435" s="1484"/>
      <c r="I1435" s="3169" t="s">
        <v>3434</v>
      </c>
      <c r="J1435" s="1936" t="s">
        <v>3435</v>
      </c>
      <c r="K1435" s="2748">
        <v>72</v>
      </c>
      <c r="L1435" s="2402">
        <v>300000000</v>
      </c>
      <c r="M1435" s="2748">
        <v>24</v>
      </c>
      <c r="N1435" s="2402">
        <v>65112100</v>
      </c>
      <c r="O1435" s="2334">
        <v>12</v>
      </c>
      <c r="P1435" s="2402">
        <v>40393733</v>
      </c>
      <c r="Q1435" s="2749">
        <v>3</v>
      </c>
      <c r="R1435" s="2402">
        <v>6266800</v>
      </c>
      <c r="S1435" s="2402">
        <v>3</v>
      </c>
      <c r="T1435" s="2402">
        <v>15776800</v>
      </c>
      <c r="U1435" s="2733">
        <v>0</v>
      </c>
      <c r="V1435" s="3670">
        <v>22110.3</v>
      </c>
      <c r="W1435" s="2733">
        <v>0</v>
      </c>
      <c r="X1435" s="2733">
        <v>0</v>
      </c>
      <c r="Y1435" s="2334">
        <f t="shared" si="487"/>
        <v>6</v>
      </c>
      <c r="Z1435" s="2402">
        <f t="shared" si="482"/>
        <v>22065710.300000001</v>
      </c>
      <c r="AA1435" s="2334">
        <f t="shared" si="483"/>
        <v>30</v>
      </c>
      <c r="AB1435" s="2402">
        <f t="shared" si="484"/>
        <v>87177810.299999997</v>
      </c>
      <c r="AC1435" s="2586">
        <f t="shared" si="485"/>
        <v>41.666666666666671</v>
      </c>
      <c r="AD1435" s="2586">
        <f t="shared" si="486"/>
        <v>29.059270099999999</v>
      </c>
      <c r="AE1435" s="2382"/>
      <c r="AF1435" s="2266"/>
      <c r="AG1435" s="3237"/>
      <c r="AH1435" s="3237"/>
      <c r="AI1435" s="3237"/>
      <c r="AJ1435" s="3237"/>
      <c r="AK1435" s="3237"/>
      <c r="AL1435" s="3237"/>
      <c r="AM1435" s="3237"/>
      <c r="AN1435" s="2266"/>
      <c r="AO1435" s="2266"/>
      <c r="AP1435" s="2266"/>
      <c r="AQ1435" s="2266"/>
      <c r="AR1435" s="2266"/>
      <c r="AS1435" s="2266"/>
      <c r="AT1435" s="2266"/>
      <c r="AU1435" s="2266"/>
      <c r="AV1435" s="2266"/>
      <c r="AW1435" s="2266"/>
      <c r="AX1435" s="2266"/>
      <c r="AY1435" s="2266"/>
      <c r="AZ1435" s="2266"/>
      <c r="BA1435" s="2266"/>
      <c r="BB1435" s="2266"/>
      <c r="BC1435" s="2266"/>
      <c r="BD1435" s="2266"/>
      <c r="BE1435" s="2266"/>
      <c r="BF1435" s="2266"/>
      <c r="BG1435" s="2266"/>
      <c r="BH1435" s="2266"/>
      <c r="BI1435" s="2266"/>
      <c r="BJ1435" s="2266"/>
      <c r="BK1435" s="2266"/>
      <c r="BL1435" s="2266"/>
      <c r="BM1435" s="2266"/>
      <c r="BN1435" s="2266"/>
      <c r="BO1435" s="2266"/>
      <c r="BP1435" s="2266"/>
      <c r="BQ1435" s="2266"/>
      <c r="BR1435" s="2266"/>
      <c r="BS1435" s="2266"/>
      <c r="BT1435" s="2266"/>
      <c r="BU1435" s="2266"/>
      <c r="BV1435" s="2266"/>
      <c r="BW1435" s="2266"/>
      <c r="BX1435" s="2266"/>
    </row>
    <row r="1436" spans="1:76" s="2728" customFormat="1" ht="63" customHeight="1">
      <c r="A1436" s="2578">
        <v>2</v>
      </c>
      <c r="B1436" s="2578"/>
      <c r="C1436" s="2575"/>
      <c r="D1436" s="2575"/>
      <c r="E1436" s="2575"/>
      <c r="F1436" s="2575"/>
      <c r="G1436" s="2575"/>
      <c r="H1436" s="2575"/>
      <c r="I1436" s="3153" t="s">
        <v>3436</v>
      </c>
      <c r="J1436" s="3153" t="s">
        <v>3491</v>
      </c>
      <c r="K1436" s="2502">
        <v>72</v>
      </c>
      <c r="L1436" s="2638">
        <f>SUM(L1437:L1439)</f>
        <v>3762309000</v>
      </c>
      <c r="M1436" s="2502">
        <v>24</v>
      </c>
      <c r="N1436" s="2638">
        <f>SUM(N1437:N1439)</f>
        <v>1148682745</v>
      </c>
      <c r="O1436" s="2502">
        <v>12</v>
      </c>
      <c r="P1436" s="2638">
        <f>SUM(P1437:P1439)</f>
        <v>363655764</v>
      </c>
      <c r="Q1436" s="2752">
        <v>3</v>
      </c>
      <c r="R1436" s="2638">
        <f>SUM(R1437:R1439)</f>
        <v>38469712</v>
      </c>
      <c r="S1436" s="2577">
        <v>3</v>
      </c>
      <c r="T1436" s="2859">
        <f>SUM(T1438:T1439)</f>
        <v>146211852</v>
      </c>
      <c r="U1436" s="2577"/>
      <c r="V1436" s="2638"/>
      <c r="W1436" s="2577"/>
      <c r="X1436" s="2577"/>
      <c r="Y1436" s="2577">
        <f t="shared" si="487"/>
        <v>6</v>
      </c>
      <c r="Z1436" s="2638">
        <f t="shared" si="482"/>
        <v>184681564</v>
      </c>
      <c r="AA1436" s="2577">
        <f t="shared" ref="AA1436:AA1450" si="488">+Y1436+M1436</f>
        <v>30</v>
      </c>
      <c r="AB1436" s="2638">
        <f t="shared" ref="AB1436:AB1442" si="489">+N1436+Z1436</f>
        <v>1333364309</v>
      </c>
      <c r="AC1436" s="2584">
        <f t="shared" ref="AC1436:AC1444" si="490">(AA1436/K1436)*100</f>
        <v>41.666666666666671</v>
      </c>
      <c r="AD1436" s="2584">
        <f t="shared" ref="AD1436:AD1444" si="491">(AB1436/L1436)*100</f>
        <v>35.440053142897085</v>
      </c>
      <c r="AE1436" s="3135" t="s">
        <v>82</v>
      </c>
      <c r="AF1436" s="353"/>
      <c r="AG1436" s="3237"/>
      <c r="AH1436" s="3237"/>
      <c r="AI1436" s="3237"/>
      <c r="AJ1436" s="3237"/>
      <c r="AK1436" s="3237"/>
      <c r="AL1436" s="3237"/>
      <c r="AM1436" s="3237"/>
      <c r="AN1436" s="353"/>
      <c r="AO1436" s="353"/>
      <c r="AP1436" s="353"/>
      <c r="AQ1436" s="353"/>
      <c r="AR1436" s="353"/>
      <c r="AS1436" s="353"/>
      <c r="AT1436" s="353"/>
      <c r="AU1436" s="353"/>
      <c r="AV1436" s="353"/>
      <c r="AW1436" s="353"/>
      <c r="AX1436" s="353"/>
      <c r="AY1436" s="353"/>
      <c r="AZ1436" s="353"/>
      <c r="BA1436" s="353"/>
      <c r="BB1436" s="353"/>
      <c r="BC1436" s="353"/>
      <c r="BD1436" s="353"/>
      <c r="BE1436" s="353"/>
      <c r="BF1436" s="353"/>
      <c r="BG1436" s="353"/>
      <c r="BH1436" s="353"/>
      <c r="BI1436" s="353"/>
      <c r="BJ1436" s="353"/>
      <c r="BK1436" s="353"/>
      <c r="BL1436" s="353"/>
      <c r="BM1436" s="353"/>
      <c r="BN1436" s="353"/>
      <c r="BO1436" s="353"/>
      <c r="BP1436" s="353"/>
      <c r="BQ1436" s="353"/>
      <c r="BR1436" s="353"/>
      <c r="BS1436" s="353"/>
      <c r="BT1436" s="353"/>
      <c r="BU1436" s="353"/>
      <c r="BV1436" s="353"/>
      <c r="BW1436" s="353"/>
      <c r="BX1436" s="353"/>
    </row>
    <row r="1437" spans="1:76" s="2263" customFormat="1" ht="90" customHeight="1">
      <c r="A1437" s="1486"/>
      <c r="B1437" s="1486"/>
      <c r="C1437" s="1484"/>
      <c r="D1437" s="1484"/>
      <c r="E1437" s="1484"/>
      <c r="F1437" s="1484"/>
      <c r="G1437" s="1484"/>
      <c r="H1437" s="1484"/>
      <c r="I1437" s="1936" t="s">
        <v>454</v>
      </c>
      <c r="J1437" s="1936" t="s">
        <v>3931</v>
      </c>
      <c r="K1437" s="2334">
        <v>72</v>
      </c>
      <c r="L1437" s="2402">
        <v>1536500000</v>
      </c>
      <c r="M1437" s="2334">
        <v>24</v>
      </c>
      <c r="N1437" s="2734">
        <v>356235140</v>
      </c>
      <c r="O1437" s="2334">
        <v>12</v>
      </c>
      <c r="P1437" s="2402">
        <v>60050000</v>
      </c>
      <c r="Q1437" s="2402">
        <v>3</v>
      </c>
      <c r="R1437" s="2402">
        <v>0</v>
      </c>
      <c r="S1437" s="2733">
        <v>0</v>
      </c>
      <c r="T1437" s="2733">
        <v>0</v>
      </c>
      <c r="U1437" s="2733">
        <v>0</v>
      </c>
      <c r="V1437" s="2402">
        <v>0</v>
      </c>
      <c r="W1437" s="2733">
        <v>0</v>
      </c>
      <c r="X1437" s="2733">
        <v>0</v>
      </c>
      <c r="Y1437" s="2334">
        <f t="shared" si="487"/>
        <v>3</v>
      </c>
      <c r="Z1437" s="2402">
        <f t="shared" si="482"/>
        <v>0</v>
      </c>
      <c r="AA1437" s="2334">
        <f t="shared" si="488"/>
        <v>27</v>
      </c>
      <c r="AB1437" s="2402">
        <f t="shared" si="489"/>
        <v>356235140</v>
      </c>
      <c r="AC1437" s="2735">
        <f t="shared" si="490"/>
        <v>37.5</v>
      </c>
      <c r="AD1437" s="2586">
        <f t="shared" si="491"/>
        <v>23.184844777090792</v>
      </c>
      <c r="AE1437" s="2382"/>
      <c r="AF1437" s="2266"/>
      <c r="AG1437" s="3237"/>
      <c r="AH1437" s="3237"/>
      <c r="AI1437" s="3237"/>
      <c r="AJ1437" s="3237"/>
      <c r="AK1437" s="3237"/>
      <c r="AL1437" s="3237"/>
      <c r="AM1437" s="3237"/>
      <c r="AN1437" s="2266"/>
      <c r="AO1437" s="2266"/>
      <c r="AP1437" s="2266"/>
      <c r="AQ1437" s="2266"/>
      <c r="AR1437" s="2266"/>
      <c r="AS1437" s="2266"/>
      <c r="AT1437" s="2266"/>
      <c r="AU1437" s="2266"/>
      <c r="AV1437" s="2266"/>
      <c r="AW1437" s="2266"/>
      <c r="AX1437" s="2266"/>
      <c r="AY1437" s="2266"/>
      <c r="AZ1437" s="2266"/>
      <c r="BA1437" s="2266"/>
      <c r="BB1437" s="2266"/>
      <c r="BC1437" s="2266"/>
      <c r="BD1437" s="2266"/>
      <c r="BE1437" s="2266"/>
      <c r="BF1437" s="2266"/>
      <c r="BG1437" s="2266"/>
      <c r="BH1437" s="2266"/>
      <c r="BI1437" s="2266"/>
      <c r="BJ1437" s="2266"/>
      <c r="BK1437" s="2266"/>
      <c r="BL1437" s="2266"/>
      <c r="BM1437" s="2266"/>
      <c r="BN1437" s="2266"/>
      <c r="BO1437" s="2266"/>
      <c r="BP1437" s="2266"/>
      <c r="BQ1437" s="2266"/>
      <c r="BR1437" s="2266"/>
      <c r="BS1437" s="2266"/>
      <c r="BT1437" s="2266"/>
      <c r="BU1437" s="2266"/>
      <c r="BV1437" s="2266"/>
      <c r="BW1437" s="2266"/>
      <c r="BX1437" s="2266"/>
    </row>
    <row r="1438" spans="1:76" s="2263" customFormat="1" ht="97.5" customHeight="1">
      <c r="A1438" s="1486"/>
      <c r="B1438" s="1486"/>
      <c r="C1438" s="1484"/>
      <c r="D1438" s="1484"/>
      <c r="E1438" s="1484"/>
      <c r="F1438" s="1484"/>
      <c r="G1438" s="1484"/>
      <c r="H1438" s="1484"/>
      <c r="I1438" s="1936" t="s">
        <v>3437</v>
      </c>
      <c r="J1438" s="1936" t="s">
        <v>3932</v>
      </c>
      <c r="K1438" s="2334">
        <v>72</v>
      </c>
      <c r="L1438" s="2402">
        <v>831277000</v>
      </c>
      <c r="M1438" s="2334">
        <v>24</v>
      </c>
      <c r="N1438" s="2734">
        <v>294856650</v>
      </c>
      <c r="O1438" s="2334">
        <v>12</v>
      </c>
      <c r="P1438" s="2402">
        <v>85577014</v>
      </c>
      <c r="Q1438" s="2402">
        <v>3</v>
      </c>
      <c r="R1438" s="2402">
        <v>879000</v>
      </c>
      <c r="S1438" s="2402">
        <v>3</v>
      </c>
      <c r="T1438" s="2733">
        <v>30015000</v>
      </c>
      <c r="U1438" s="2733">
        <v>0</v>
      </c>
      <c r="V1438" s="3670">
        <v>38659.75</v>
      </c>
      <c r="W1438" s="2733">
        <v>0</v>
      </c>
      <c r="X1438" s="2733">
        <v>0</v>
      </c>
      <c r="Y1438" s="2334">
        <f t="shared" si="487"/>
        <v>6</v>
      </c>
      <c r="Z1438" s="2402">
        <f t="shared" si="482"/>
        <v>30932659.75</v>
      </c>
      <c r="AA1438" s="2334">
        <f t="shared" si="488"/>
        <v>30</v>
      </c>
      <c r="AB1438" s="2402">
        <f t="shared" si="489"/>
        <v>325789309.75</v>
      </c>
      <c r="AC1438" s="2586">
        <f t="shared" si="490"/>
        <v>41.666666666666671</v>
      </c>
      <c r="AD1438" s="2586">
        <f t="shared" si="491"/>
        <v>39.191425932631361</v>
      </c>
      <c r="AE1438" s="2382"/>
      <c r="AF1438" s="2266"/>
      <c r="AG1438" s="3237"/>
      <c r="AH1438" s="3237"/>
      <c r="AI1438" s="3237"/>
      <c r="AJ1438" s="3237"/>
      <c r="AK1438" s="3237"/>
      <c r="AL1438" s="3237"/>
      <c r="AM1438" s="3237"/>
      <c r="AN1438" s="2266"/>
      <c r="AO1438" s="2266"/>
      <c r="AP1438" s="2266"/>
      <c r="AQ1438" s="2266"/>
      <c r="AR1438" s="2266"/>
      <c r="AS1438" s="2266"/>
      <c r="AT1438" s="2266"/>
      <c r="AU1438" s="2266"/>
      <c r="AV1438" s="2266"/>
      <c r="AW1438" s="2266"/>
      <c r="AX1438" s="2266"/>
      <c r="AY1438" s="2266"/>
      <c r="AZ1438" s="2266"/>
      <c r="BA1438" s="2266"/>
      <c r="BB1438" s="2266"/>
      <c r="BC1438" s="2266"/>
      <c r="BD1438" s="2266"/>
      <c r="BE1438" s="2266"/>
      <c r="BF1438" s="2266"/>
      <c r="BG1438" s="2266"/>
      <c r="BH1438" s="2266"/>
      <c r="BI1438" s="2266"/>
      <c r="BJ1438" s="2266"/>
      <c r="BK1438" s="2266"/>
      <c r="BL1438" s="2266"/>
      <c r="BM1438" s="2266"/>
      <c r="BN1438" s="2266"/>
      <c r="BO1438" s="2266"/>
      <c r="BP1438" s="2266"/>
      <c r="BQ1438" s="2266"/>
      <c r="BR1438" s="2266"/>
      <c r="BS1438" s="2266"/>
      <c r="BT1438" s="2266"/>
      <c r="BU1438" s="2266"/>
      <c r="BV1438" s="2266"/>
      <c r="BW1438" s="2266"/>
      <c r="BX1438" s="2266"/>
    </row>
    <row r="1439" spans="1:76" s="2263" customFormat="1" ht="106.5" customHeight="1">
      <c r="A1439" s="1486"/>
      <c r="B1439" s="1486"/>
      <c r="C1439" s="1484"/>
      <c r="D1439" s="1484"/>
      <c r="E1439" s="1484"/>
      <c r="F1439" s="1484"/>
      <c r="G1439" s="1484"/>
      <c r="H1439" s="1484"/>
      <c r="I1439" s="1936" t="s">
        <v>3438</v>
      </c>
      <c r="J1439" s="1936" t="s">
        <v>3492</v>
      </c>
      <c r="K1439" s="2334">
        <v>72</v>
      </c>
      <c r="L1439" s="2402">
        <v>1394532000</v>
      </c>
      <c r="M1439" s="2334">
        <v>24</v>
      </c>
      <c r="N1439" s="2734">
        <v>497590954.99999994</v>
      </c>
      <c r="O1439" s="2334">
        <v>12</v>
      </c>
      <c r="P1439" s="2402">
        <v>218028750</v>
      </c>
      <c r="Q1439" s="2402">
        <v>3</v>
      </c>
      <c r="R1439" s="2402">
        <v>37590712</v>
      </c>
      <c r="S1439" s="2402">
        <v>3</v>
      </c>
      <c r="T1439" s="2733">
        <v>116196852</v>
      </c>
      <c r="U1439" s="2733">
        <v>0</v>
      </c>
      <c r="V1439" s="3670">
        <v>160588.288</v>
      </c>
      <c r="W1439" s="2733">
        <v>0</v>
      </c>
      <c r="X1439" s="2733">
        <v>0</v>
      </c>
      <c r="Y1439" s="2585">
        <f t="shared" si="487"/>
        <v>6</v>
      </c>
      <c r="Z1439" s="2402">
        <f t="shared" si="482"/>
        <v>153948152.28799999</v>
      </c>
      <c r="AA1439" s="2334">
        <f t="shared" si="488"/>
        <v>30</v>
      </c>
      <c r="AB1439" s="2402">
        <f t="shared" si="489"/>
        <v>651539107.28799987</v>
      </c>
      <c r="AC1439" s="2738">
        <f t="shared" si="490"/>
        <v>41.666666666666671</v>
      </c>
      <c r="AD1439" s="2586">
        <f t="shared" si="491"/>
        <v>46.720986487796608</v>
      </c>
      <c r="AE1439" s="2382"/>
      <c r="AF1439" s="2266"/>
      <c r="AG1439" s="3237"/>
      <c r="AH1439" s="3237"/>
      <c r="AI1439" s="3237"/>
      <c r="AJ1439" s="3237"/>
      <c r="AK1439" s="3237"/>
      <c r="AL1439" s="3237"/>
      <c r="AM1439" s="3237"/>
      <c r="AN1439" s="2266"/>
      <c r="AO1439" s="2266"/>
      <c r="AP1439" s="2266"/>
      <c r="AQ1439" s="2266"/>
      <c r="AR1439" s="2266"/>
      <c r="AS1439" s="2266"/>
      <c r="AT1439" s="2266"/>
      <c r="AU1439" s="2266"/>
      <c r="AV1439" s="2266"/>
      <c r="AW1439" s="2266"/>
      <c r="AX1439" s="2266"/>
      <c r="AY1439" s="2266"/>
      <c r="AZ1439" s="2266"/>
      <c r="BA1439" s="2266"/>
      <c r="BB1439" s="2266"/>
      <c r="BC1439" s="2266"/>
      <c r="BD1439" s="2266"/>
      <c r="BE1439" s="2266"/>
      <c r="BF1439" s="2266"/>
      <c r="BG1439" s="2266"/>
      <c r="BH1439" s="2266"/>
      <c r="BI1439" s="2266"/>
      <c r="BJ1439" s="2266"/>
      <c r="BK1439" s="2266"/>
      <c r="BL1439" s="2266"/>
      <c r="BM1439" s="2266"/>
      <c r="BN1439" s="2266"/>
      <c r="BO1439" s="2266"/>
      <c r="BP1439" s="2266"/>
      <c r="BQ1439" s="2266"/>
      <c r="BR1439" s="2266"/>
      <c r="BS1439" s="2266"/>
      <c r="BT1439" s="2266"/>
      <c r="BU1439" s="2266"/>
      <c r="BV1439" s="2266"/>
      <c r="BW1439" s="2266"/>
      <c r="BX1439" s="2266"/>
    </row>
    <row r="1440" spans="1:76" s="2728" customFormat="1" ht="99" customHeight="1">
      <c r="A1440" s="2578">
        <v>3</v>
      </c>
      <c r="B1440" s="2578"/>
      <c r="C1440" s="2575"/>
      <c r="D1440" s="2575"/>
      <c r="E1440" s="2575"/>
      <c r="F1440" s="2575"/>
      <c r="G1440" s="2575"/>
      <c r="H1440" s="2575"/>
      <c r="I1440" s="3153" t="s">
        <v>3439</v>
      </c>
      <c r="J1440" s="3153" t="s">
        <v>3933</v>
      </c>
      <c r="K1440" s="2577">
        <v>100</v>
      </c>
      <c r="L1440" s="2638">
        <f>L1441</f>
        <v>595000000</v>
      </c>
      <c r="M1440" s="2577">
        <v>0</v>
      </c>
      <c r="N1440" s="2753">
        <f>N1441</f>
        <v>0</v>
      </c>
      <c r="O1440" s="2577">
        <v>80</v>
      </c>
      <c r="P1440" s="2754">
        <f>P1441</f>
        <v>90896450</v>
      </c>
      <c r="Q1440" s="2747">
        <v>20</v>
      </c>
      <c r="R1440" s="2638">
        <f>R1441</f>
        <v>29502000</v>
      </c>
      <c r="S1440" s="2638">
        <v>15</v>
      </c>
      <c r="T1440" s="2638">
        <f>SUM(T1441)</f>
        <v>47188124</v>
      </c>
      <c r="U1440" s="2638">
        <v>0</v>
      </c>
      <c r="V1440" s="2638">
        <f>SUM(V1441)</f>
        <v>67343745</v>
      </c>
      <c r="W1440" s="2638">
        <v>0</v>
      </c>
      <c r="X1440" s="2638">
        <f>SUM(X1441)</f>
        <v>0</v>
      </c>
      <c r="Y1440" s="2747">
        <f t="shared" si="487"/>
        <v>35</v>
      </c>
      <c r="Z1440" s="2638">
        <f t="shared" si="482"/>
        <v>144033869</v>
      </c>
      <c r="AA1440" s="2577">
        <f t="shared" si="488"/>
        <v>35</v>
      </c>
      <c r="AB1440" s="2638">
        <f t="shared" si="489"/>
        <v>144033869</v>
      </c>
      <c r="AC1440" s="2732">
        <f t="shared" si="490"/>
        <v>35</v>
      </c>
      <c r="AD1440" s="2732">
        <f t="shared" si="491"/>
        <v>24.20737294117647</v>
      </c>
      <c r="AE1440" s="3135" t="s">
        <v>82</v>
      </c>
      <c r="AF1440" s="353"/>
      <c r="AG1440" s="3237"/>
      <c r="AH1440" s="3237"/>
      <c r="AI1440" s="3237"/>
      <c r="AJ1440" s="3237"/>
      <c r="AK1440" s="3237"/>
      <c r="AL1440" s="3237"/>
      <c r="AM1440" s="3237"/>
      <c r="AN1440" s="353"/>
      <c r="AO1440" s="353"/>
      <c r="AP1440" s="353"/>
      <c r="AQ1440" s="353"/>
      <c r="AR1440" s="353"/>
      <c r="AS1440" s="353"/>
      <c r="AT1440" s="353"/>
      <c r="AU1440" s="353"/>
      <c r="AV1440" s="353"/>
      <c r="AW1440" s="353"/>
      <c r="AX1440" s="353"/>
      <c r="AY1440" s="353"/>
      <c r="AZ1440" s="353"/>
      <c r="BA1440" s="353"/>
      <c r="BB1440" s="353"/>
      <c r="BC1440" s="353"/>
      <c r="BD1440" s="353"/>
      <c r="BE1440" s="353"/>
      <c r="BF1440" s="353"/>
      <c r="BG1440" s="353"/>
      <c r="BH1440" s="353"/>
      <c r="BI1440" s="353"/>
      <c r="BJ1440" s="353"/>
      <c r="BK1440" s="353"/>
      <c r="BL1440" s="353"/>
      <c r="BM1440" s="353"/>
      <c r="BN1440" s="353"/>
      <c r="BO1440" s="353"/>
      <c r="BP1440" s="353"/>
      <c r="BQ1440" s="353"/>
      <c r="BR1440" s="353"/>
      <c r="BS1440" s="353"/>
      <c r="BT1440" s="353"/>
      <c r="BU1440" s="353"/>
      <c r="BV1440" s="353"/>
      <c r="BW1440" s="353"/>
      <c r="BX1440" s="353"/>
    </row>
    <row r="1441" spans="1:76" s="2263" customFormat="1" ht="54.75" customHeight="1">
      <c r="A1441" s="1486"/>
      <c r="B1441" s="3169" t="s">
        <v>3440</v>
      </c>
      <c r="C1441" s="1484"/>
      <c r="D1441" s="1484"/>
      <c r="E1441" s="1484"/>
      <c r="F1441" s="1484"/>
      <c r="G1441" s="1484"/>
      <c r="H1441" s="1484"/>
      <c r="I1441" s="1936" t="s">
        <v>3934</v>
      </c>
      <c r="J1441" s="3169" t="s">
        <v>3935</v>
      </c>
      <c r="K1441" s="2334">
        <v>6</v>
      </c>
      <c r="L1441" s="2402">
        <v>595000000</v>
      </c>
      <c r="M1441" s="2334">
        <v>0</v>
      </c>
      <c r="N1441" s="2402"/>
      <c r="O1441" s="2334">
        <v>1</v>
      </c>
      <c r="P1441" s="2402">
        <v>90896450</v>
      </c>
      <c r="Q1441" s="3129" t="s">
        <v>2034</v>
      </c>
      <c r="R1441" s="2402">
        <v>29502000</v>
      </c>
      <c r="S1441" s="2746" t="s">
        <v>2034</v>
      </c>
      <c r="T1441" s="2402">
        <v>47188124</v>
      </c>
      <c r="U1441" s="2402"/>
      <c r="V1441" s="3671">
        <v>67343745</v>
      </c>
      <c r="W1441" s="2402"/>
      <c r="X1441" s="2402"/>
      <c r="Y1441" s="2585">
        <f t="shared" si="487"/>
        <v>0</v>
      </c>
      <c r="Z1441" s="2739">
        <f>R1441+T1441+V1441+X1441</f>
        <v>144033869</v>
      </c>
      <c r="AA1441" s="2402">
        <f t="shared" si="488"/>
        <v>0</v>
      </c>
      <c r="AB1441" s="2402">
        <f t="shared" si="489"/>
        <v>144033869</v>
      </c>
      <c r="AC1441" s="2586">
        <f t="shared" si="490"/>
        <v>0</v>
      </c>
      <c r="AD1441" s="2586">
        <f t="shared" si="491"/>
        <v>24.20737294117647</v>
      </c>
      <c r="AE1441" s="2736"/>
      <c r="AF1441" s="2266"/>
      <c r="AG1441" s="3237"/>
      <c r="AH1441" s="3237"/>
      <c r="AI1441" s="3237"/>
      <c r="AJ1441" s="3237"/>
      <c r="AK1441" s="3237"/>
      <c r="AL1441" s="3237"/>
      <c r="AM1441" s="3237"/>
      <c r="AN1441" s="2266"/>
      <c r="AO1441" s="2266"/>
      <c r="AP1441" s="2266"/>
      <c r="AQ1441" s="2266"/>
      <c r="AR1441" s="2266"/>
      <c r="AS1441" s="2266"/>
      <c r="AT1441" s="2266"/>
      <c r="AU1441" s="2266"/>
      <c r="AV1441" s="2266"/>
      <c r="AW1441" s="2266"/>
      <c r="AX1441" s="2266"/>
      <c r="AY1441" s="2266"/>
      <c r="AZ1441" s="2266"/>
      <c r="BA1441" s="2266"/>
      <c r="BB1441" s="2266"/>
      <c r="BC1441" s="2266"/>
      <c r="BD1441" s="2266"/>
      <c r="BE1441" s="2266"/>
      <c r="BF1441" s="2266"/>
      <c r="BG1441" s="2266"/>
      <c r="BH1441" s="2266"/>
      <c r="BI1441" s="2266"/>
      <c r="BJ1441" s="2266"/>
      <c r="BK1441" s="2266"/>
      <c r="BL1441" s="2266"/>
      <c r="BM1441" s="2266"/>
      <c r="BN1441" s="2266"/>
      <c r="BO1441" s="2266"/>
      <c r="BP1441" s="2266"/>
      <c r="BQ1441" s="2266"/>
      <c r="BR1441" s="2266"/>
      <c r="BS1441" s="2266"/>
      <c r="BT1441" s="2266"/>
      <c r="BU1441" s="2266"/>
      <c r="BV1441" s="2266"/>
      <c r="BW1441" s="2266"/>
      <c r="BX1441" s="2266"/>
    </row>
    <row r="1442" spans="1:76" s="2263" customFormat="1" ht="35.25" customHeight="1">
      <c r="A1442" s="1486"/>
      <c r="B1442" s="1486"/>
      <c r="C1442" s="1484"/>
      <c r="D1442" s="1484"/>
      <c r="E1442" s="1484"/>
      <c r="F1442" s="1484"/>
      <c r="G1442" s="1484"/>
      <c r="H1442" s="1484"/>
      <c r="I1442" s="1936"/>
      <c r="J1442" s="3169" t="s">
        <v>3936</v>
      </c>
      <c r="K1442" s="2334">
        <v>484</v>
      </c>
      <c r="L1442" s="2402"/>
      <c r="M1442" s="2745">
        <v>0</v>
      </c>
      <c r="N1442" s="2402"/>
      <c r="O1442" s="2334">
        <v>212</v>
      </c>
      <c r="P1442" s="2402"/>
      <c r="Q1442" s="2739">
        <v>40</v>
      </c>
      <c r="R1442" s="2402"/>
      <c r="S1442" s="2402">
        <v>5</v>
      </c>
      <c r="T1442" s="2402"/>
      <c r="U1442" s="2402"/>
      <c r="V1442" s="2402"/>
      <c r="W1442" s="2402"/>
      <c r="X1442" s="2402"/>
      <c r="Y1442" s="2585">
        <f t="shared" si="487"/>
        <v>45</v>
      </c>
      <c r="Z1442" s="2739">
        <f>R1442+T1442+V1442+X1442</f>
        <v>0</v>
      </c>
      <c r="AA1442" s="2334">
        <f t="shared" si="488"/>
        <v>45</v>
      </c>
      <c r="AB1442" s="2402">
        <f t="shared" si="489"/>
        <v>0</v>
      </c>
      <c r="AC1442" s="2586">
        <f t="shared" si="490"/>
        <v>9.2975206611570247</v>
      </c>
      <c r="AD1442" s="2586"/>
      <c r="AE1442" s="2736"/>
      <c r="AF1442" s="2266"/>
      <c r="AG1442" s="3237"/>
      <c r="AH1442" s="3237"/>
      <c r="AI1442" s="3237"/>
      <c r="AJ1442" s="3237"/>
      <c r="AK1442" s="3237"/>
      <c r="AL1442" s="3237"/>
      <c r="AM1442" s="3237"/>
      <c r="AN1442" s="2266"/>
      <c r="AO1442" s="2266"/>
      <c r="AP1442" s="2266"/>
      <c r="AQ1442" s="2266"/>
      <c r="AR1442" s="2266"/>
      <c r="AS1442" s="2266"/>
      <c r="AT1442" s="2266"/>
      <c r="AU1442" s="2266"/>
      <c r="AV1442" s="2266"/>
      <c r="AW1442" s="2266"/>
      <c r="AX1442" s="2266"/>
      <c r="AY1442" s="2266"/>
      <c r="AZ1442" s="2266"/>
      <c r="BA1442" s="2266"/>
      <c r="BB1442" s="2266"/>
      <c r="BC1442" s="2266"/>
      <c r="BD1442" s="2266"/>
      <c r="BE1442" s="2266"/>
      <c r="BF1442" s="2266"/>
      <c r="BG1442" s="2266"/>
      <c r="BH1442" s="2266"/>
      <c r="BI1442" s="2266"/>
      <c r="BJ1442" s="2266"/>
      <c r="BK1442" s="2266"/>
      <c r="BL1442" s="2266"/>
      <c r="BM1442" s="2266"/>
      <c r="BN1442" s="2266"/>
      <c r="BO1442" s="2266"/>
      <c r="BP1442" s="2266"/>
      <c r="BQ1442" s="2266"/>
      <c r="BR1442" s="2266"/>
      <c r="BS1442" s="2266"/>
      <c r="BT1442" s="2266"/>
      <c r="BU1442" s="2266"/>
      <c r="BV1442" s="2266"/>
      <c r="BW1442" s="2266"/>
      <c r="BX1442" s="2266"/>
    </row>
    <row r="1443" spans="1:76" s="2728" customFormat="1" ht="75" customHeight="1">
      <c r="A1443" s="2578">
        <v>4</v>
      </c>
      <c r="B1443" s="2501"/>
      <c r="C1443" s="2575"/>
      <c r="D1443" s="2575"/>
      <c r="E1443" s="2575"/>
      <c r="F1443" s="2575"/>
      <c r="G1443" s="2575"/>
      <c r="H1443" s="2575"/>
      <c r="I1443" s="2501" t="s">
        <v>3441</v>
      </c>
      <c r="J1443" s="2501" t="s">
        <v>3943</v>
      </c>
      <c r="K1443" s="2638">
        <v>100</v>
      </c>
      <c r="L1443" s="2638">
        <f>SUM(L1444:L1448)</f>
        <v>1792350000</v>
      </c>
      <c r="M1443" s="2638">
        <v>60</v>
      </c>
      <c r="N1443" s="2731">
        <f>SUM(N1444)</f>
        <v>216415739</v>
      </c>
      <c r="O1443" s="2638">
        <v>15</v>
      </c>
      <c r="P1443" s="2638">
        <f>SUM(P1444)</f>
        <v>61115802</v>
      </c>
      <c r="Q1443" s="2750">
        <v>2</v>
      </c>
      <c r="R1443" s="2638">
        <f>SUM(R1444:R1448)</f>
        <v>8851900</v>
      </c>
      <c r="S1443" s="2638">
        <v>5</v>
      </c>
      <c r="T1443" s="2638">
        <f>SUM(T1444:T1448)</f>
        <v>54658800</v>
      </c>
      <c r="U1443" s="2638">
        <v>0</v>
      </c>
      <c r="V1443" s="2718">
        <f>SUM(V1444:V1448)</f>
        <v>57795878</v>
      </c>
      <c r="W1443" s="2638">
        <v>0</v>
      </c>
      <c r="X1443" s="2638">
        <f>SUM(X1444:X1444)</f>
        <v>0</v>
      </c>
      <c r="Y1443" s="2638">
        <f t="shared" si="487"/>
        <v>7</v>
      </c>
      <c r="Z1443" s="2638">
        <f>R1443+T1443+V1443</f>
        <v>121306578</v>
      </c>
      <c r="AA1443" s="2577">
        <f t="shared" si="488"/>
        <v>67</v>
      </c>
      <c r="AB1443" s="2638">
        <f>SUM(N1443+Z1443)</f>
        <v>337722317</v>
      </c>
      <c r="AC1443" s="2732">
        <f t="shared" si="490"/>
        <v>67</v>
      </c>
      <c r="AD1443" s="2732">
        <f t="shared" si="491"/>
        <v>18.842431277373279</v>
      </c>
      <c r="AE1443" s="3135" t="s">
        <v>82</v>
      </c>
      <c r="AF1443" s="353"/>
      <c r="AG1443" s="3237"/>
      <c r="AH1443" s="3237"/>
      <c r="AI1443" s="3237"/>
      <c r="AJ1443" s="3237"/>
      <c r="AK1443" s="3237"/>
      <c r="AL1443" s="3237"/>
      <c r="AM1443" s="3237"/>
      <c r="AN1443" s="353"/>
      <c r="AO1443" s="353"/>
      <c r="AP1443" s="353"/>
      <c r="AQ1443" s="353"/>
      <c r="AR1443" s="353"/>
      <c r="AS1443" s="353"/>
      <c r="AT1443" s="353"/>
      <c r="AU1443" s="353"/>
      <c r="AV1443" s="353"/>
      <c r="AW1443" s="353"/>
      <c r="AX1443" s="353"/>
      <c r="AY1443" s="353"/>
      <c r="AZ1443" s="353"/>
      <c r="BA1443" s="353"/>
      <c r="BB1443" s="353"/>
      <c r="BC1443" s="353"/>
      <c r="BD1443" s="353"/>
      <c r="BE1443" s="353"/>
      <c r="BF1443" s="353"/>
      <c r="BG1443" s="353"/>
      <c r="BH1443" s="353"/>
      <c r="BI1443" s="353"/>
      <c r="BJ1443" s="353"/>
      <c r="BK1443" s="353"/>
      <c r="BL1443" s="353"/>
      <c r="BM1443" s="353"/>
      <c r="BN1443" s="353"/>
      <c r="BO1443" s="353"/>
      <c r="BP1443" s="353"/>
      <c r="BQ1443" s="353"/>
      <c r="BR1443" s="353"/>
      <c r="BS1443" s="353"/>
      <c r="BT1443" s="353"/>
      <c r="BU1443" s="353"/>
      <c r="BV1443" s="353"/>
      <c r="BW1443" s="353"/>
      <c r="BX1443" s="353"/>
    </row>
    <row r="1444" spans="1:76" s="2263" customFormat="1" ht="25.5">
      <c r="A1444" s="1936"/>
      <c r="B1444" s="3169"/>
      <c r="C1444" s="1484"/>
      <c r="D1444" s="1484"/>
      <c r="E1444" s="1484"/>
      <c r="F1444" s="1484"/>
      <c r="G1444" s="1484"/>
      <c r="H1444" s="1484"/>
      <c r="I1444" s="1936" t="s">
        <v>3442</v>
      </c>
      <c r="J1444" s="1936" t="s">
        <v>4124</v>
      </c>
      <c r="K1444" s="2334">
        <v>6</v>
      </c>
      <c r="L1444" s="2402">
        <v>700000000</v>
      </c>
      <c r="M1444" s="2334">
        <v>2</v>
      </c>
      <c r="N1444" s="2734">
        <v>216415739</v>
      </c>
      <c r="O1444" s="2334">
        <v>1</v>
      </c>
      <c r="P1444" s="2402">
        <v>61115802</v>
      </c>
      <c r="Q1444" s="2585">
        <v>0.2</v>
      </c>
      <c r="R1444" s="2402">
        <v>2701900</v>
      </c>
      <c r="S1444" s="3131">
        <v>0.4</v>
      </c>
      <c r="T1444" s="2402">
        <v>7781500</v>
      </c>
      <c r="U1444" s="2402">
        <v>0</v>
      </c>
      <c r="V1444" s="3673">
        <v>29653943</v>
      </c>
      <c r="W1444" s="2402">
        <v>0</v>
      </c>
      <c r="X1444" s="2402">
        <v>0</v>
      </c>
      <c r="Y1444" s="2585">
        <f t="shared" si="487"/>
        <v>0.60000000000000009</v>
      </c>
      <c r="Z1444" s="2402">
        <f>R1444+T1444+V1444+X1444</f>
        <v>40137343</v>
      </c>
      <c r="AA1444" s="2334">
        <f t="shared" si="488"/>
        <v>2.6</v>
      </c>
      <c r="AB1444" s="2402">
        <f t="shared" ref="AB1444:AB1450" si="492">+N1444+Z1444</f>
        <v>256553082</v>
      </c>
      <c r="AC1444" s="2743">
        <f t="shared" si="490"/>
        <v>43.333333333333336</v>
      </c>
      <c r="AD1444" s="2743">
        <f t="shared" si="491"/>
        <v>36.650440285714289</v>
      </c>
      <c r="AE1444" s="2736"/>
      <c r="AF1444" s="2266"/>
      <c r="AG1444" s="3237"/>
      <c r="AH1444" s="3237"/>
      <c r="AI1444" s="3237"/>
      <c r="AJ1444" s="3237"/>
      <c r="AK1444" s="3237"/>
      <c r="AL1444" s="3237"/>
      <c r="AM1444" s="3237"/>
      <c r="AN1444" s="2266"/>
      <c r="AO1444" s="2266"/>
      <c r="AP1444" s="2266"/>
      <c r="AQ1444" s="2266"/>
      <c r="AR1444" s="2266"/>
      <c r="AS1444" s="2266"/>
      <c r="AT1444" s="2266"/>
      <c r="AU1444" s="2266"/>
      <c r="AV1444" s="2266"/>
      <c r="AW1444" s="2266"/>
      <c r="AX1444" s="2266"/>
      <c r="AY1444" s="2266"/>
      <c r="AZ1444" s="2266"/>
      <c r="BA1444" s="2266"/>
      <c r="BB1444" s="2266"/>
      <c r="BC1444" s="2266"/>
      <c r="BD1444" s="2266"/>
      <c r="BE1444" s="2266"/>
      <c r="BF1444" s="2266"/>
      <c r="BG1444" s="2266"/>
      <c r="BH1444" s="2266"/>
      <c r="BI1444" s="2266"/>
      <c r="BJ1444" s="2266"/>
      <c r="BK1444" s="2266"/>
      <c r="BL1444" s="2266"/>
      <c r="BM1444" s="2266"/>
      <c r="BN1444" s="2266"/>
      <c r="BO1444" s="2266"/>
      <c r="BP1444" s="2266"/>
      <c r="BQ1444" s="2266"/>
      <c r="BR1444" s="2266"/>
      <c r="BS1444" s="2266"/>
      <c r="BT1444" s="2266"/>
      <c r="BU1444" s="2266"/>
      <c r="BV1444" s="2266"/>
      <c r="BW1444" s="2266"/>
      <c r="BX1444" s="2266"/>
    </row>
    <row r="1445" spans="1:76" s="2263" customFormat="1" ht="25.5">
      <c r="A1445" s="1936"/>
      <c r="B1445" s="3169"/>
      <c r="C1445" s="1484"/>
      <c r="D1445" s="1484"/>
      <c r="E1445" s="1484"/>
      <c r="F1445" s="1484"/>
      <c r="G1445" s="1484"/>
      <c r="H1445" s="1484"/>
      <c r="I1445" s="1936"/>
      <c r="J1445" s="1936" t="s">
        <v>4125</v>
      </c>
      <c r="K1445" s="2334">
        <v>6</v>
      </c>
      <c r="L1445" s="2402"/>
      <c r="M1445" s="2334">
        <v>2</v>
      </c>
      <c r="N1445" s="2734"/>
      <c r="O1445" s="2334">
        <v>1</v>
      </c>
      <c r="P1445" s="2402"/>
      <c r="Q1445" s="2585">
        <v>0.2</v>
      </c>
      <c r="R1445" s="2402"/>
      <c r="S1445" s="3131">
        <v>0.4</v>
      </c>
      <c r="T1445" s="2402"/>
      <c r="U1445" s="2402"/>
      <c r="V1445" s="3672"/>
      <c r="W1445" s="2402"/>
      <c r="X1445" s="2402"/>
      <c r="Y1445" s="2585">
        <f t="shared" si="487"/>
        <v>0.60000000000000009</v>
      </c>
      <c r="Z1445" s="2402">
        <f>R1445+T1445+V1445+X1445</f>
        <v>0</v>
      </c>
      <c r="AA1445" s="2334">
        <f t="shared" si="488"/>
        <v>2.6</v>
      </c>
      <c r="AB1445" s="2402">
        <f t="shared" si="492"/>
        <v>0</v>
      </c>
      <c r="AC1445" s="2743">
        <f t="shared" ref="AC1445:AC1450" si="493">(AA1445/K1445)*100</f>
        <v>43.333333333333336</v>
      </c>
      <c r="AD1445" s="2743"/>
      <c r="AE1445" s="2736"/>
      <c r="AF1445" s="2266"/>
      <c r="AG1445" s="3237"/>
      <c r="AH1445" s="3237"/>
      <c r="AI1445" s="3237"/>
      <c r="AJ1445" s="3237"/>
      <c r="AK1445" s="3237"/>
      <c r="AL1445" s="3237"/>
      <c r="AM1445" s="3237"/>
      <c r="AN1445" s="2266"/>
      <c r="AO1445" s="2266"/>
      <c r="AP1445" s="2266"/>
      <c r="AQ1445" s="2266"/>
      <c r="AR1445" s="2266"/>
      <c r="AS1445" s="2266"/>
      <c r="AT1445" s="2266"/>
      <c r="AU1445" s="2266"/>
      <c r="AV1445" s="2266"/>
      <c r="AW1445" s="2266"/>
      <c r="AX1445" s="2266"/>
      <c r="AY1445" s="2266"/>
      <c r="AZ1445" s="2266"/>
      <c r="BA1445" s="2266"/>
      <c r="BB1445" s="2266"/>
      <c r="BC1445" s="2266"/>
      <c r="BD1445" s="2266"/>
      <c r="BE1445" s="2266"/>
      <c r="BF1445" s="2266"/>
      <c r="BG1445" s="2266"/>
      <c r="BH1445" s="2266"/>
      <c r="BI1445" s="2266"/>
      <c r="BJ1445" s="2266"/>
      <c r="BK1445" s="2266"/>
      <c r="BL1445" s="2266"/>
      <c r="BM1445" s="2266"/>
      <c r="BN1445" s="2266"/>
      <c r="BO1445" s="2266"/>
      <c r="BP1445" s="2266"/>
      <c r="BQ1445" s="2266"/>
      <c r="BR1445" s="2266"/>
      <c r="BS1445" s="2266"/>
      <c r="BT1445" s="2266"/>
      <c r="BU1445" s="2266"/>
      <c r="BV1445" s="2266"/>
      <c r="BW1445" s="2266"/>
      <c r="BX1445" s="2266"/>
    </row>
    <row r="1446" spans="1:76" s="2730" customFormat="1" ht="73.5" customHeight="1">
      <c r="A1446" s="1936"/>
      <c r="B1446" s="3169"/>
      <c r="C1446" s="1484"/>
      <c r="D1446" s="1484"/>
      <c r="E1446" s="1484"/>
      <c r="F1446" s="1484"/>
      <c r="G1446" s="1484"/>
      <c r="H1446" s="1484"/>
      <c r="I1446" s="1936" t="s">
        <v>3444</v>
      </c>
      <c r="J1446" s="1936" t="s">
        <v>3443</v>
      </c>
      <c r="K1446" s="2334">
        <v>6</v>
      </c>
      <c r="L1446" s="2402">
        <v>700000000</v>
      </c>
      <c r="M1446" s="2334">
        <v>2</v>
      </c>
      <c r="N1446" s="2734">
        <v>169734150</v>
      </c>
      <c r="O1446" s="2334">
        <v>1</v>
      </c>
      <c r="P1446" s="2402">
        <v>61915018</v>
      </c>
      <c r="Q1446" s="2585">
        <v>0</v>
      </c>
      <c r="R1446" s="2402">
        <v>0</v>
      </c>
      <c r="S1446" s="2402">
        <v>0</v>
      </c>
      <c r="T1446" s="2402">
        <v>11737300</v>
      </c>
      <c r="U1446" s="2402">
        <v>0</v>
      </c>
      <c r="V1446" s="3673">
        <v>28095300</v>
      </c>
      <c r="W1446" s="2402">
        <v>0</v>
      </c>
      <c r="X1446" s="2402">
        <v>0</v>
      </c>
      <c r="Y1446" s="2585">
        <f t="shared" si="487"/>
        <v>0</v>
      </c>
      <c r="Z1446" s="2402">
        <f t="shared" si="482"/>
        <v>39832600</v>
      </c>
      <c r="AA1446" s="2334">
        <f t="shared" si="488"/>
        <v>2</v>
      </c>
      <c r="AB1446" s="2402">
        <f t="shared" si="492"/>
        <v>209566750</v>
      </c>
      <c r="AC1446" s="2741">
        <f t="shared" si="493"/>
        <v>33.333333333333329</v>
      </c>
      <c r="AD1446" s="2586">
        <f>(AB1446/L1446)*100</f>
        <v>29.938107142857145</v>
      </c>
      <c r="AE1446" s="2736"/>
      <c r="AF1446" s="2729"/>
      <c r="AG1446" s="3237"/>
      <c r="AH1446" s="3237"/>
      <c r="AI1446" s="3237"/>
      <c r="AJ1446" s="3237"/>
      <c r="AK1446" s="3237"/>
      <c r="AL1446" s="3237"/>
      <c r="AM1446" s="3237"/>
      <c r="AN1446" s="2729"/>
      <c r="AO1446" s="2729"/>
      <c r="AP1446" s="2729"/>
      <c r="AQ1446" s="2729"/>
      <c r="AR1446" s="2729"/>
      <c r="AS1446" s="2729"/>
      <c r="AT1446" s="2729"/>
      <c r="AU1446" s="2729"/>
      <c r="AV1446" s="2729"/>
      <c r="AW1446" s="2729"/>
      <c r="AX1446" s="2729"/>
      <c r="AY1446" s="2729"/>
      <c r="AZ1446" s="2729"/>
      <c r="BA1446" s="2729"/>
      <c r="BB1446" s="2729"/>
      <c r="BC1446" s="2729"/>
      <c r="BD1446" s="2729"/>
      <c r="BE1446" s="2729"/>
      <c r="BF1446" s="2729"/>
      <c r="BG1446" s="2729"/>
      <c r="BH1446" s="2729"/>
      <c r="BI1446" s="2729"/>
      <c r="BJ1446" s="2729"/>
      <c r="BK1446" s="2729"/>
      <c r="BL1446" s="2729"/>
      <c r="BM1446" s="2729"/>
      <c r="BN1446" s="2729"/>
      <c r="BO1446" s="2729"/>
      <c r="BP1446" s="2729"/>
      <c r="BQ1446" s="2729"/>
      <c r="BR1446" s="2729"/>
      <c r="BS1446" s="2729"/>
      <c r="BT1446" s="2729"/>
      <c r="BU1446" s="2729"/>
      <c r="BV1446" s="2729"/>
      <c r="BW1446" s="2729"/>
      <c r="BX1446" s="2729"/>
    </row>
    <row r="1447" spans="1:76" s="2263" customFormat="1" ht="50.25" customHeight="1">
      <c r="A1447" s="1486"/>
      <c r="B1447" s="1486"/>
      <c r="C1447" s="1484"/>
      <c r="D1447" s="1484"/>
      <c r="E1447" s="1484"/>
      <c r="F1447" s="1484"/>
      <c r="G1447" s="1484"/>
      <c r="H1447" s="1484"/>
      <c r="I1447" s="1936" t="s">
        <v>948</v>
      </c>
      <c r="J1447" s="3169" t="s">
        <v>3937</v>
      </c>
      <c r="K1447" s="2334">
        <v>95</v>
      </c>
      <c r="L1447" s="2402">
        <v>350000000</v>
      </c>
      <c r="M1447" s="2334">
        <v>85</v>
      </c>
      <c r="N1447" s="2734">
        <v>65751880.000000007</v>
      </c>
      <c r="O1447" s="2334">
        <v>85</v>
      </c>
      <c r="P1447" s="2402">
        <v>59200000</v>
      </c>
      <c r="Q1447" s="2585">
        <v>10.39</v>
      </c>
      <c r="R1447" s="2402">
        <v>6150000</v>
      </c>
      <c r="S1447" s="2402">
        <v>0</v>
      </c>
      <c r="T1447" s="2402">
        <v>35140000</v>
      </c>
      <c r="U1447" s="2402">
        <v>0</v>
      </c>
      <c r="V1447" s="3673">
        <v>46635</v>
      </c>
      <c r="W1447" s="2402">
        <v>0</v>
      </c>
      <c r="X1447" s="2402">
        <v>0</v>
      </c>
      <c r="Y1447" s="2585">
        <f t="shared" si="487"/>
        <v>10.39</v>
      </c>
      <c r="Z1447" s="2402">
        <f t="shared" si="482"/>
        <v>41336635</v>
      </c>
      <c r="AA1447" s="2334">
        <f t="shared" si="488"/>
        <v>95.39</v>
      </c>
      <c r="AB1447" s="2402">
        <f t="shared" si="492"/>
        <v>107088515</v>
      </c>
      <c r="AC1447" s="2741">
        <f t="shared" si="493"/>
        <v>100.41052631578948</v>
      </c>
      <c r="AD1447" s="2586">
        <f>(AB1447/L1447)*100</f>
        <v>30.596718571428571</v>
      </c>
      <c r="AE1447" s="2736"/>
      <c r="AF1447" s="2266"/>
      <c r="AG1447" s="3237"/>
      <c r="AH1447" s="3237"/>
      <c r="AI1447" s="3237"/>
      <c r="AJ1447" s="3237"/>
      <c r="AK1447" s="3237"/>
      <c r="AL1447" s="3237"/>
      <c r="AM1447" s="3237"/>
      <c r="AN1447" s="2266"/>
      <c r="AO1447" s="2266"/>
      <c r="AP1447" s="2266"/>
      <c r="AQ1447" s="2266"/>
      <c r="AR1447" s="2266"/>
      <c r="AS1447" s="2266"/>
      <c r="AT1447" s="2266"/>
      <c r="AU1447" s="2266"/>
      <c r="AV1447" s="2266"/>
      <c r="AW1447" s="2266"/>
      <c r="AX1447" s="2266"/>
      <c r="AY1447" s="2266"/>
      <c r="AZ1447" s="2266"/>
      <c r="BA1447" s="2266"/>
      <c r="BB1447" s="2266"/>
      <c r="BC1447" s="2266"/>
      <c r="BD1447" s="2266"/>
      <c r="BE1447" s="2266"/>
      <c r="BF1447" s="2266"/>
      <c r="BG1447" s="2266"/>
      <c r="BH1447" s="2266"/>
      <c r="BI1447" s="2266"/>
      <c r="BJ1447" s="2266"/>
      <c r="BK1447" s="2266"/>
      <c r="BL1447" s="2266"/>
      <c r="BM1447" s="2266"/>
      <c r="BN1447" s="2266"/>
      <c r="BO1447" s="2266"/>
      <c r="BP1447" s="2266"/>
      <c r="BQ1447" s="2266"/>
      <c r="BR1447" s="2266"/>
      <c r="BS1447" s="2266"/>
      <c r="BT1447" s="2266"/>
      <c r="BU1447" s="2266"/>
      <c r="BV1447" s="2266"/>
      <c r="BW1447" s="2266"/>
      <c r="BX1447" s="2266"/>
    </row>
    <row r="1448" spans="1:76" s="2263" customFormat="1" ht="55.5" customHeight="1">
      <c r="A1448" s="1486"/>
      <c r="B1448" s="1486"/>
      <c r="C1448" s="1484"/>
      <c r="D1448" s="1484"/>
      <c r="E1448" s="1484"/>
      <c r="F1448" s="1484"/>
      <c r="G1448" s="1484"/>
      <c r="H1448" s="1484"/>
      <c r="I1448" s="1936" t="s">
        <v>3445</v>
      </c>
      <c r="J1448" s="1936" t="s">
        <v>3446</v>
      </c>
      <c r="K1448" s="2334">
        <v>1</v>
      </c>
      <c r="L1448" s="2402">
        <v>42350000</v>
      </c>
      <c r="M1448" s="2334">
        <v>1</v>
      </c>
      <c r="N1448" s="2734">
        <v>37682673</v>
      </c>
      <c r="O1448" s="2334"/>
      <c r="P1448" s="2402">
        <v>0</v>
      </c>
      <c r="Q1448" s="2742">
        <v>0</v>
      </c>
      <c r="R1448" s="2402">
        <v>0</v>
      </c>
      <c r="S1448" s="2402">
        <v>0</v>
      </c>
      <c r="T1448" s="2402">
        <v>0</v>
      </c>
      <c r="U1448" s="2402">
        <v>0</v>
      </c>
      <c r="V1448" s="3673">
        <v>0</v>
      </c>
      <c r="W1448" s="2402">
        <v>0</v>
      </c>
      <c r="X1448" s="2402">
        <v>0</v>
      </c>
      <c r="Y1448" s="2748">
        <f t="shared" si="487"/>
        <v>0</v>
      </c>
      <c r="Z1448" s="2402">
        <f t="shared" si="482"/>
        <v>0</v>
      </c>
      <c r="AA1448" s="2334">
        <f t="shared" si="488"/>
        <v>1</v>
      </c>
      <c r="AB1448" s="2402">
        <f t="shared" si="492"/>
        <v>37682673</v>
      </c>
      <c r="AC1448" s="2741">
        <f t="shared" si="493"/>
        <v>100</v>
      </c>
      <c r="AD1448" s="2586">
        <f>(AB1448/L1448)*100</f>
        <v>88.979157024793381</v>
      </c>
      <c r="AE1448" s="2736"/>
      <c r="AF1448" s="2266"/>
      <c r="AG1448" s="3237"/>
      <c r="AH1448" s="3237"/>
      <c r="AI1448" s="3237"/>
      <c r="AJ1448" s="3237"/>
      <c r="AK1448" s="3237"/>
      <c r="AL1448" s="3237"/>
      <c r="AM1448" s="3237"/>
      <c r="AN1448" s="2266"/>
      <c r="AO1448" s="2266"/>
      <c r="AP1448" s="2266"/>
      <c r="AQ1448" s="2266"/>
      <c r="AR1448" s="2266"/>
      <c r="AS1448" s="2266"/>
      <c r="AT1448" s="2266"/>
      <c r="AU1448" s="2266"/>
      <c r="AV1448" s="2266"/>
      <c r="AW1448" s="2266"/>
      <c r="AX1448" s="2266"/>
      <c r="AY1448" s="2266"/>
      <c r="AZ1448" s="2266"/>
      <c r="BA1448" s="2266"/>
      <c r="BB1448" s="2266"/>
      <c r="BC1448" s="2266"/>
      <c r="BD1448" s="2266"/>
      <c r="BE1448" s="2266"/>
      <c r="BF1448" s="2266"/>
      <c r="BG1448" s="2266"/>
      <c r="BH1448" s="2266"/>
      <c r="BI1448" s="2266"/>
      <c r="BJ1448" s="2266"/>
      <c r="BK1448" s="2266"/>
      <c r="BL1448" s="2266"/>
      <c r="BM1448" s="2266"/>
      <c r="BN1448" s="2266"/>
      <c r="BO1448" s="2266"/>
      <c r="BP1448" s="2266"/>
      <c r="BQ1448" s="2266"/>
      <c r="BR1448" s="2266"/>
      <c r="BS1448" s="2266"/>
      <c r="BT1448" s="2266"/>
      <c r="BU1448" s="2266"/>
      <c r="BV1448" s="2266"/>
      <c r="BW1448" s="2266"/>
      <c r="BX1448" s="2266"/>
    </row>
    <row r="1449" spans="1:76" s="2728" customFormat="1" ht="73.5" customHeight="1">
      <c r="A1449" s="2578">
        <v>5</v>
      </c>
      <c r="B1449" s="2578"/>
      <c r="C1449" s="2575"/>
      <c r="D1449" s="2575"/>
      <c r="E1449" s="2575"/>
      <c r="F1449" s="2575"/>
      <c r="G1449" s="2575"/>
      <c r="H1449" s="2575"/>
      <c r="I1449" s="3153" t="s">
        <v>3447</v>
      </c>
      <c r="J1449" s="3153" t="s">
        <v>3493</v>
      </c>
      <c r="K1449" s="2754">
        <v>100</v>
      </c>
      <c r="L1449" s="2638">
        <f>SUM(L1450:L1451)</f>
        <v>2229000000</v>
      </c>
      <c r="M1449" s="2754">
        <v>80</v>
      </c>
      <c r="N1449" s="2754">
        <f>SUM(N1450:N1451)</f>
        <v>243940964</v>
      </c>
      <c r="O1449" s="2754">
        <v>10</v>
      </c>
      <c r="P1449" s="2754">
        <f>SUM(P1450:P1451)</f>
        <v>302907700</v>
      </c>
      <c r="Q1449" s="2747">
        <v>2</v>
      </c>
      <c r="R1449" s="2638">
        <f>SUM(R1450:R1451)</f>
        <v>31718962</v>
      </c>
      <c r="S1449" s="2638">
        <v>0</v>
      </c>
      <c r="T1449" s="2638">
        <f>SUM(T1450:T1451)</f>
        <v>75132342</v>
      </c>
      <c r="U1449" s="2638">
        <v>0</v>
      </c>
      <c r="V1449" s="2638">
        <f>SUM(V1451)</f>
        <v>30867951</v>
      </c>
      <c r="W1449" s="2638">
        <v>0</v>
      </c>
      <c r="X1449" s="2638">
        <f>SUM(X1450)</f>
        <v>0</v>
      </c>
      <c r="Y1449" s="2747">
        <f t="shared" si="487"/>
        <v>2</v>
      </c>
      <c r="Z1449" s="2638">
        <f t="shared" si="482"/>
        <v>137719255</v>
      </c>
      <c r="AA1449" s="2577">
        <f t="shared" si="488"/>
        <v>82</v>
      </c>
      <c r="AB1449" s="2638">
        <f t="shared" si="492"/>
        <v>381660219</v>
      </c>
      <c r="AC1449" s="2584">
        <f t="shared" si="493"/>
        <v>82</v>
      </c>
      <c r="AD1449" s="2584">
        <f>(AB1449/L1449)*100</f>
        <v>17.122486271870795</v>
      </c>
      <c r="AE1449" s="3135" t="s">
        <v>82</v>
      </c>
      <c r="AF1449" s="353"/>
      <c r="AG1449" s="3237"/>
      <c r="AH1449" s="3237"/>
      <c r="AI1449" s="3237"/>
      <c r="AJ1449" s="3237"/>
      <c r="AK1449" s="3237"/>
      <c r="AL1449" s="3237"/>
      <c r="AM1449" s="3237"/>
      <c r="AN1449" s="353"/>
      <c r="AO1449" s="353"/>
      <c r="AP1449" s="353"/>
      <c r="AQ1449" s="353"/>
      <c r="AR1449" s="353"/>
      <c r="AS1449" s="353"/>
      <c r="AT1449" s="353"/>
      <c r="AU1449" s="353"/>
      <c r="AV1449" s="353"/>
      <c r="AW1449" s="353"/>
      <c r="AX1449" s="353"/>
      <c r="AY1449" s="353"/>
      <c r="AZ1449" s="353"/>
      <c r="BA1449" s="353"/>
      <c r="BB1449" s="353"/>
      <c r="BC1449" s="353"/>
      <c r="BD1449" s="353"/>
      <c r="BE1449" s="353"/>
      <c r="BF1449" s="353"/>
      <c r="BG1449" s="353"/>
      <c r="BH1449" s="353"/>
      <c r="BI1449" s="353"/>
      <c r="BJ1449" s="353"/>
      <c r="BK1449" s="353"/>
      <c r="BL1449" s="353"/>
      <c r="BM1449" s="353"/>
      <c r="BN1449" s="353"/>
      <c r="BO1449" s="353"/>
      <c r="BP1449" s="353"/>
      <c r="BQ1449" s="353"/>
      <c r="BR1449" s="353"/>
      <c r="BS1449" s="353"/>
      <c r="BT1449" s="353"/>
      <c r="BU1449" s="353"/>
      <c r="BV1449" s="353"/>
      <c r="BW1449" s="353"/>
      <c r="BX1449" s="353"/>
    </row>
    <row r="1450" spans="1:76" s="2263" customFormat="1" ht="75" customHeight="1">
      <c r="A1450" s="1486"/>
      <c r="B1450" s="1486"/>
      <c r="C1450" s="1484"/>
      <c r="D1450" s="1484"/>
      <c r="E1450" s="1484"/>
      <c r="F1450" s="1484"/>
      <c r="G1450" s="1484"/>
      <c r="H1450" s="1484"/>
      <c r="I1450" s="1936" t="s">
        <v>3448</v>
      </c>
      <c r="J1450" s="1936" t="s">
        <v>3494</v>
      </c>
      <c r="K1450" s="2402">
        <v>72</v>
      </c>
      <c r="L1450" s="2402">
        <v>1254000000</v>
      </c>
      <c r="M1450" s="2402">
        <v>24</v>
      </c>
      <c r="N1450" s="2402">
        <v>243940964</v>
      </c>
      <c r="O1450" s="2402">
        <v>12</v>
      </c>
      <c r="P1450" s="2402">
        <v>101169500</v>
      </c>
      <c r="Q1450" s="2748">
        <v>3</v>
      </c>
      <c r="R1450" s="2402">
        <v>25910562</v>
      </c>
      <c r="S1450" s="2402">
        <v>3</v>
      </c>
      <c r="T1450" s="2402">
        <v>59842041</v>
      </c>
      <c r="U1450" s="2402">
        <v>0</v>
      </c>
      <c r="V1450" s="2402">
        <v>0</v>
      </c>
      <c r="W1450" s="2402">
        <v>0</v>
      </c>
      <c r="X1450" s="2402">
        <v>0</v>
      </c>
      <c r="Y1450" s="2748">
        <f t="shared" si="487"/>
        <v>6</v>
      </c>
      <c r="Z1450" s="2402">
        <f t="shared" si="482"/>
        <v>85752603</v>
      </c>
      <c r="AA1450" s="2334">
        <f t="shared" si="488"/>
        <v>30</v>
      </c>
      <c r="AB1450" s="2402">
        <f t="shared" si="492"/>
        <v>329693567</v>
      </c>
      <c r="AC1450" s="2586">
        <f t="shared" si="493"/>
        <v>41.666666666666671</v>
      </c>
      <c r="AD1450" s="2586">
        <f>(AB1450/L1450)*100</f>
        <v>26.291353030303032</v>
      </c>
      <c r="AE1450" s="2736"/>
      <c r="AF1450" s="2266"/>
      <c r="AG1450" s="3237"/>
      <c r="AH1450" s="3237"/>
      <c r="AI1450" s="3237"/>
      <c r="AJ1450" s="3237"/>
      <c r="AK1450" s="3237"/>
      <c r="AL1450" s="3237"/>
      <c r="AM1450" s="3237"/>
      <c r="AN1450" s="2266"/>
      <c r="AO1450" s="2266"/>
      <c r="AP1450" s="2266"/>
      <c r="AQ1450" s="2266"/>
      <c r="AR1450" s="2266"/>
      <c r="AS1450" s="2266"/>
      <c r="AT1450" s="2266"/>
      <c r="AU1450" s="2266"/>
      <c r="AV1450" s="2266"/>
      <c r="AW1450" s="2266"/>
      <c r="AX1450" s="2266"/>
      <c r="AY1450" s="2266"/>
      <c r="AZ1450" s="2266"/>
      <c r="BA1450" s="2266"/>
      <c r="BB1450" s="2266"/>
      <c r="BC1450" s="2266"/>
      <c r="BD1450" s="2266"/>
      <c r="BE1450" s="2266"/>
      <c r="BF1450" s="2266"/>
      <c r="BG1450" s="2266"/>
      <c r="BH1450" s="2266"/>
      <c r="BI1450" s="2266"/>
      <c r="BJ1450" s="2266"/>
      <c r="BK1450" s="2266"/>
      <c r="BL1450" s="2266"/>
      <c r="BM1450" s="2266"/>
      <c r="BN1450" s="2266"/>
      <c r="BO1450" s="2266"/>
      <c r="BP1450" s="2266"/>
      <c r="BQ1450" s="2266"/>
      <c r="BR1450" s="2266"/>
      <c r="BS1450" s="2266"/>
      <c r="BT1450" s="2266"/>
      <c r="BU1450" s="2266"/>
      <c r="BV1450" s="2266"/>
      <c r="BW1450" s="2266"/>
      <c r="BX1450" s="2266"/>
    </row>
    <row r="1451" spans="1:76" s="2263" customFormat="1" ht="38.25">
      <c r="A1451" s="1486"/>
      <c r="B1451" s="1486"/>
      <c r="C1451" s="1484"/>
      <c r="D1451" s="1484"/>
      <c r="E1451" s="1484"/>
      <c r="F1451" s="1484"/>
      <c r="G1451" s="1484"/>
      <c r="H1451" s="1484"/>
      <c r="I1451" s="1936" t="s">
        <v>3470</v>
      </c>
      <c r="J1451" s="1936" t="s">
        <v>3503</v>
      </c>
      <c r="K1451" s="2334">
        <v>48</v>
      </c>
      <c r="L1451" s="2402">
        <v>975000000</v>
      </c>
      <c r="M1451" s="2745">
        <v>0</v>
      </c>
      <c r="N1451" s="2746">
        <v>0</v>
      </c>
      <c r="O1451" s="2334">
        <v>12</v>
      </c>
      <c r="P1451" s="2746">
        <v>201738200</v>
      </c>
      <c r="Q1451" s="2748">
        <v>3</v>
      </c>
      <c r="R1451" s="2402">
        <v>5808400</v>
      </c>
      <c r="S1451" s="2402">
        <v>3</v>
      </c>
      <c r="T1451" s="2402">
        <v>15290301</v>
      </c>
      <c r="U1451" s="2402">
        <v>3</v>
      </c>
      <c r="V1451" s="2402">
        <v>30867951</v>
      </c>
      <c r="W1451" s="2402">
        <v>0</v>
      </c>
      <c r="X1451" s="2402">
        <v>0</v>
      </c>
      <c r="Y1451" s="2748">
        <f t="shared" si="487"/>
        <v>9</v>
      </c>
      <c r="Z1451" s="2739">
        <f t="shared" si="482"/>
        <v>51966652</v>
      </c>
      <c r="AA1451" s="2334">
        <f>M1451+Y1451</f>
        <v>9</v>
      </c>
      <c r="AB1451" s="2402">
        <f>N1451+Z1451</f>
        <v>51966652</v>
      </c>
      <c r="AC1451" s="2586">
        <f>AA1451/K1451*100%</f>
        <v>0.1875</v>
      </c>
      <c r="AD1451" s="2586">
        <f>AB1451/L1451*100%</f>
        <v>5.3299130256410254E-2</v>
      </c>
      <c r="AE1451" s="2736"/>
      <c r="AF1451" s="2266"/>
      <c r="AG1451" s="3237"/>
      <c r="AH1451" s="3237"/>
      <c r="AI1451" s="3237"/>
      <c r="AJ1451" s="3237"/>
      <c r="AK1451" s="3237"/>
      <c r="AL1451" s="3237"/>
      <c r="AM1451" s="3237"/>
      <c r="AN1451" s="2266"/>
      <c r="AO1451" s="2266"/>
      <c r="AP1451" s="2266"/>
      <c r="AQ1451" s="2266"/>
      <c r="AR1451" s="2266"/>
      <c r="AS1451" s="2266"/>
      <c r="AT1451" s="2266"/>
      <c r="AU1451" s="2266"/>
      <c r="AV1451" s="2266"/>
      <c r="AW1451" s="2266"/>
      <c r="AX1451" s="2266"/>
      <c r="AY1451" s="2266"/>
      <c r="AZ1451" s="2266"/>
      <c r="BA1451" s="2266"/>
      <c r="BB1451" s="2266"/>
      <c r="BC1451" s="2266"/>
      <c r="BD1451" s="2266"/>
      <c r="BE1451" s="2266"/>
      <c r="BF1451" s="2266"/>
      <c r="BG1451" s="2266"/>
      <c r="BH1451" s="2266"/>
      <c r="BI1451" s="2266"/>
      <c r="BJ1451" s="2266"/>
      <c r="BK1451" s="2266"/>
      <c r="BL1451" s="2266"/>
      <c r="BM1451" s="2266"/>
      <c r="BN1451" s="2266"/>
      <c r="BO1451" s="2266"/>
      <c r="BP1451" s="2266"/>
      <c r="BQ1451" s="2266"/>
      <c r="BR1451" s="2266"/>
      <c r="BS1451" s="2266"/>
      <c r="BT1451" s="2266"/>
      <c r="BU1451" s="2266"/>
      <c r="BV1451" s="2266"/>
      <c r="BW1451" s="2266"/>
      <c r="BX1451" s="2266"/>
    </row>
    <row r="1452" spans="1:76" s="2728" customFormat="1" ht="63.75">
      <c r="A1452" s="2578">
        <v>6</v>
      </c>
      <c r="B1452" s="2578"/>
      <c r="C1452" s="2575"/>
      <c r="D1452" s="2575"/>
      <c r="E1452" s="2575"/>
      <c r="F1452" s="2575"/>
      <c r="G1452" s="2575"/>
      <c r="H1452" s="2575"/>
      <c r="I1452" s="3153" t="s">
        <v>3449</v>
      </c>
      <c r="J1452" s="3153" t="s">
        <v>3495</v>
      </c>
      <c r="K1452" s="2638">
        <v>100</v>
      </c>
      <c r="L1452" s="2638">
        <f>L1453</f>
        <v>810000000</v>
      </c>
      <c r="M1452" s="2638">
        <v>85</v>
      </c>
      <c r="N1452" s="2754">
        <f>N1453</f>
        <v>1007779015</v>
      </c>
      <c r="O1452" s="2638">
        <v>5</v>
      </c>
      <c r="P1452" s="2754">
        <f>P1453</f>
        <v>198670406</v>
      </c>
      <c r="Q1452" s="2747">
        <v>1</v>
      </c>
      <c r="R1452" s="2731">
        <v>1</v>
      </c>
      <c r="S1452" s="2638">
        <v>1</v>
      </c>
      <c r="T1452" s="2638">
        <f>SUM(T1453:T1453)</f>
        <v>95715300</v>
      </c>
      <c r="U1452" s="2638">
        <v>0</v>
      </c>
      <c r="V1452" s="2638">
        <f>SUM(V1453:V1453)</f>
        <v>121971500</v>
      </c>
      <c r="W1452" s="2638">
        <v>0</v>
      </c>
      <c r="X1452" s="2638">
        <f>SUM(X1453:X1453)</f>
        <v>0</v>
      </c>
      <c r="Y1452" s="2747">
        <f t="shared" si="487"/>
        <v>2</v>
      </c>
      <c r="Z1452" s="2638">
        <f t="shared" si="482"/>
        <v>217686801</v>
      </c>
      <c r="AA1452" s="2577">
        <f>+Y1452+M1452</f>
        <v>87</v>
      </c>
      <c r="AB1452" s="2638">
        <f>+N1452+Z1452</f>
        <v>1225465816</v>
      </c>
      <c r="AC1452" s="2584">
        <f t="shared" ref="AC1452:AD1456" si="494">(AA1452/K1452)*100</f>
        <v>87</v>
      </c>
      <c r="AD1452" s="2584">
        <f t="shared" si="494"/>
        <v>151.2920760493827</v>
      </c>
      <c r="AE1452" s="3135" t="s">
        <v>82</v>
      </c>
      <c r="AF1452" s="353"/>
      <c r="AG1452" s="3237"/>
      <c r="AH1452" s="3237"/>
      <c r="AI1452" s="3237"/>
      <c r="AJ1452" s="3237"/>
      <c r="AK1452" s="3237"/>
      <c r="AL1452" s="3237"/>
      <c r="AM1452" s="3237"/>
      <c r="AN1452" s="353"/>
      <c r="AO1452" s="353"/>
      <c r="AP1452" s="353"/>
      <c r="AQ1452" s="353"/>
      <c r="AR1452" s="353"/>
      <c r="AS1452" s="353"/>
      <c r="AT1452" s="353"/>
      <c r="AU1452" s="353"/>
      <c r="AV1452" s="353"/>
      <c r="AW1452" s="353"/>
      <c r="AX1452" s="353"/>
      <c r="AY1452" s="353"/>
      <c r="AZ1452" s="353"/>
      <c r="BA1452" s="353"/>
      <c r="BB1452" s="353"/>
      <c r="BC1452" s="353"/>
      <c r="BD1452" s="353"/>
      <c r="BE1452" s="353"/>
      <c r="BF1452" s="353"/>
      <c r="BG1452" s="353"/>
      <c r="BH1452" s="353"/>
      <c r="BI1452" s="353"/>
      <c r="BJ1452" s="353"/>
      <c r="BK1452" s="353"/>
      <c r="BL1452" s="353"/>
      <c r="BM1452" s="353"/>
      <c r="BN1452" s="353"/>
      <c r="BO1452" s="353"/>
      <c r="BP1452" s="353"/>
      <c r="BQ1452" s="353"/>
      <c r="BR1452" s="353"/>
      <c r="BS1452" s="353"/>
      <c r="BT1452" s="353"/>
      <c r="BU1452" s="353"/>
      <c r="BV1452" s="353"/>
      <c r="BW1452" s="353"/>
      <c r="BX1452" s="353"/>
    </row>
    <row r="1453" spans="1:76" s="2263" customFormat="1" ht="25.5">
      <c r="A1453" s="1486"/>
      <c r="B1453" s="1486"/>
      <c r="C1453" s="1484"/>
      <c r="D1453" s="1484"/>
      <c r="E1453" s="1484"/>
      <c r="F1453" s="1484"/>
      <c r="G1453" s="1484"/>
      <c r="H1453" s="1484"/>
      <c r="I1453" s="1936" t="s">
        <v>3882</v>
      </c>
      <c r="J1453" s="1936" t="s">
        <v>3938</v>
      </c>
      <c r="K1453" s="2402">
        <v>1</v>
      </c>
      <c r="L1453" s="2402">
        <v>810000000</v>
      </c>
      <c r="M1453" s="2402">
        <v>0</v>
      </c>
      <c r="N1453" s="2402">
        <v>1007779015</v>
      </c>
      <c r="O1453" s="2402">
        <v>1</v>
      </c>
      <c r="P1453" s="2402">
        <v>198670406</v>
      </c>
      <c r="Q1453" s="2585">
        <v>0.5</v>
      </c>
      <c r="R1453" s="2734">
        <v>31326400</v>
      </c>
      <c r="S1453" s="3130">
        <v>0.2</v>
      </c>
      <c r="T1453" s="2402">
        <v>95715300</v>
      </c>
      <c r="U1453" s="2402">
        <v>0</v>
      </c>
      <c r="V1453" s="2402">
        <v>121971500</v>
      </c>
      <c r="W1453" s="2402">
        <v>0</v>
      </c>
      <c r="X1453" s="2402">
        <v>0</v>
      </c>
      <c r="Y1453" s="2585">
        <f t="shared" si="487"/>
        <v>0.7</v>
      </c>
      <c r="Z1453" s="2402">
        <f t="shared" si="482"/>
        <v>249013200</v>
      </c>
      <c r="AA1453" s="2334">
        <f>+Y1453+M1453</f>
        <v>0.7</v>
      </c>
      <c r="AB1453" s="2402">
        <f>+N1453+Z1453</f>
        <v>1256792215</v>
      </c>
      <c r="AC1453" s="2735">
        <f t="shared" si="494"/>
        <v>70</v>
      </c>
      <c r="AD1453" s="2586">
        <f t="shared" si="494"/>
        <v>155.1595327160494</v>
      </c>
      <c r="AE1453" s="2736"/>
      <c r="AF1453" s="2266"/>
      <c r="AG1453" s="3237"/>
      <c r="AH1453" s="3237"/>
      <c r="AI1453" s="3237"/>
      <c r="AJ1453" s="3237"/>
      <c r="AK1453" s="3237"/>
      <c r="AL1453" s="3237"/>
      <c r="AM1453" s="3237"/>
      <c r="AN1453" s="2266"/>
      <c r="AO1453" s="2266"/>
      <c r="AP1453" s="2266"/>
      <c r="AQ1453" s="2266"/>
      <c r="AR1453" s="2266"/>
      <c r="AS1453" s="2266"/>
      <c r="AT1453" s="2266"/>
      <c r="AU1453" s="2266"/>
      <c r="AV1453" s="2266"/>
      <c r="AW1453" s="2266"/>
      <c r="AX1453" s="2266"/>
      <c r="AY1453" s="2266"/>
      <c r="AZ1453" s="2266"/>
      <c r="BA1453" s="2266"/>
      <c r="BB1453" s="2266"/>
      <c r="BC1453" s="2266"/>
      <c r="BD1453" s="2266"/>
      <c r="BE1453" s="2266"/>
      <c r="BF1453" s="2266"/>
      <c r="BG1453" s="2266"/>
      <c r="BH1453" s="2266"/>
      <c r="BI1453" s="2266"/>
      <c r="BJ1453" s="2266"/>
      <c r="BK1453" s="2266"/>
      <c r="BL1453" s="2266"/>
      <c r="BM1453" s="2266"/>
      <c r="BN1453" s="2266"/>
      <c r="BO1453" s="2266"/>
      <c r="BP1453" s="2266"/>
      <c r="BQ1453" s="2266"/>
      <c r="BR1453" s="2266"/>
      <c r="BS1453" s="2266"/>
      <c r="BT1453" s="2266"/>
      <c r="BU1453" s="2266"/>
      <c r="BV1453" s="2266"/>
      <c r="BW1453" s="2266"/>
      <c r="BX1453" s="2266"/>
    </row>
    <row r="1454" spans="1:76" s="2728" customFormat="1" ht="72.75" customHeight="1">
      <c r="A1454" s="2578">
        <v>7</v>
      </c>
      <c r="B1454" s="2578"/>
      <c r="C1454" s="2575"/>
      <c r="D1454" s="2575"/>
      <c r="E1454" s="2575"/>
      <c r="F1454" s="2575"/>
      <c r="G1454" s="2575"/>
      <c r="H1454" s="2575"/>
      <c r="I1454" s="3153" t="s">
        <v>3450</v>
      </c>
      <c r="J1454" s="3153" t="s">
        <v>3493</v>
      </c>
      <c r="K1454" s="2577">
        <v>100</v>
      </c>
      <c r="L1454" s="2638">
        <f>L1455</f>
        <v>932612000</v>
      </c>
      <c r="M1454" s="2577">
        <v>80</v>
      </c>
      <c r="N1454" s="2754">
        <f>N1455</f>
        <v>287280483</v>
      </c>
      <c r="O1454" s="2577">
        <v>10</v>
      </c>
      <c r="P1454" s="2754">
        <f>P1455</f>
        <v>112099447</v>
      </c>
      <c r="Q1454" s="2747">
        <v>3</v>
      </c>
      <c r="R1454" s="2638">
        <f>R1455</f>
        <v>10167000</v>
      </c>
      <c r="S1454" s="2638">
        <v>0</v>
      </c>
      <c r="T1454" s="2638">
        <f>SUM(T1455)</f>
        <v>40793700</v>
      </c>
      <c r="U1454" s="2638">
        <v>0</v>
      </c>
      <c r="V1454" s="2638">
        <f>SUM(V1455)</f>
        <v>0</v>
      </c>
      <c r="W1454" s="2638">
        <v>0</v>
      </c>
      <c r="X1454" s="2638">
        <f>SUM(X1455)</f>
        <v>0</v>
      </c>
      <c r="Y1454" s="2584">
        <f t="shared" si="487"/>
        <v>3</v>
      </c>
      <c r="Z1454" s="2638">
        <f t="shared" si="482"/>
        <v>50960700</v>
      </c>
      <c r="AA1454" s="2577">
        <f>+Y1454+M1454</f>
        <v>83</v>
      </c>
      <c r="AB1454" s="2638">
        <f>+N1454+Z1454</f>
        <v>338241183</v>
      </c>
      <c r="AC1454" s="2584">
        <f t="shared" si="494"/>
        <v>83</v>
      </c>
      <c r="AD1454" s="2584">
        <f t="shared" si="494"/>
        <v>36.268156854082939</v>
      </c>
      <c r="AE1454" s="3135" t="s">
        <v>82</v>
      </c>
      <c r="AF1454" s="353"/>
      <c r="AG1454" s="3237"/>
      <c r="AH1454" s="3237"/>
      <c r="AI1454" s="3237"/>
      <c r="AJ1454" s="3237"/>
      <c r="AK1454" s="3237"/>
      <c r="AL1454" s="3237"/>
      <c r="AM1454" s="3237"/>
      <c r="AN1454" s="353"/>
      <c r="AO1454" s="353"/>
      <c r="AP1454" s="353"/>
      <c r="AQ1454" s="353"/>
      <c r="AR1454" s="353"/>
      <c r="AS1454" s="353"/>
      <c r="AT1454" s="353"/>
      <c r="AU1454" s="353"/>
      <c r="AV1454" s="353"/>
      <c r="AW1454" s="353"/>
      <c r="AX1454" s="353"/>
      <c r="AY1454" s="353"/>
      <c r="AZ1454" s="353"/>
      <c r="BA1454" s="353"/>
      <c r="BB1454" s="353"/>
      <c r="BC1454" s="353"/>
      <c r="BD1454" s="353"/>
      <c r="BE1454" s="353"/>
      <c r="BF1454" s="353"/>
      <c r="BG1454" s="353"/>
      <c r="BH1454" s="353"/>
      <c r="BI1454" s="353"/>
      <c r="BJ1454" s="353"/>
      <c r="BK1454" s="353"/>
      <c r="BL1454" s="353"/>
      <c r="BM1454" s="353"/>
      <c r="BN1454" s="353"/>
      <c r="BO1454" s="353"/>
      <c r="BP1454" s="353"/>
      <c r="BQ1454" s="353"/>
      <c r="BR1454" s="353"/>
      <c r="BS1454" s="353"/>
      <c r="BT1454" s="353"/>
      <c r="BU1454" s="353"/>
      <c r="BV1454" s="353"/>
      <c r="BW1454" s="353"/>
      <c r="BX1454" s="353"/>
    </row>
    <row r="1455" spans="1:76" s="2263" customFormat="1" ht="57" customHeight="1">
      <c r="A1455" s="1486"/>
      <c r="B1455" s="1486"/>
      <c r="C1455" s="1484"/>
      <c r="D1455" s="1484"/>
      <c r="E1455" s="1484"/>
      <c r="F1455" s="1484"/>
      <c r="G1455" s="1484"/>
      <c r="H1455" s="1484"/>
      <c r="I1455" s="1936" t="s">
        <v>3451</v>
      </c>
      <c r="J1455" s="1936" t="s">
        <v>3496</v>
      </c>
      <c r="K1455" s="2334">
        <v>6</v>
      </c>
      <c r="L1455" s="2402">
        <v>932612000</v>
      </c>
      <c r="M1455" s="2334">
        <v>2</v>
      </c>
      <c r="N1455" s="2402">
        <v>287280483</v>
      </c>
      <c r="O1455" s="2334">
        <v>1</v>
      </c>
      <c r="P1455" s="2402">
        <v>112099447</v>
      </c>
      <c r="Q1455" s="2748">
        <v>17.5</v>
      </c>
      <c r="R1455" s="2402">
        <v>10167000</v>
      </c>
      <c r="S1455" s="2402">
        <v>25</v>
      </c>
      <c r="T1455" s="2402">
        <v>40793700</v>
      </c>
      <c r="U1455" s="2402">
        <v>0</v>
      </c>
      <c r="V1455" s="2402">
        <v>0</v>
      </c>
      <c r="W1455" s="2402">
        <v>0</v>
      </c>
      <c r="X1455" s="2402">
        <v>0</v>
      </c>
      <c r="Y1455" s="2585">
        <f t="shared" si="487"/>
        <v>42.5</v>
      </c>
      <c r="Z1455" s="2402">
        <f t="shared" si="482"/>
        <v>50960700</v>
      </c>
      <c r="AA1455" s="2334">
        <f>+Y1455+M1455</f>
        <v>44.5</v>
      </c>
      <c r="AB1455" s="2402">
        <f>+N1455+Z1455</f>
        <v>338241183</v>
      </c>
      <c r="AC1455" s="2586">
        <f t="shared" si="494"/>
        <v>741.66666666666674</v>
      </c>
      <c r="AD1455" s="2586">
        <f t="shared" si="494"/>
        <v>36.268156854082939</v>
      </c>
      <c r="AE1455" s="2736"/>
      <c r="AF1455" s="2266"/>
      <c r="AG1455" s="3237"/>
      <c r="AH1455" s="3237"/>
      <c r="AI1455" s="3237"/>
      <c r="AJ1455" s="3237"/>
      <c r="AK1455" s="3237"/>
      <c r="AL1455" s="3237"/>
      <c r="AM1455" s="3237"/>
      <c r="AN1455" s="2266"/>
      <c r="AO1455" s="2266"/>
      <c r="AP1455" s="2266"/>
      <c r="AQ1455" s="2266"/>
      <c r="AR1455" s="2266"/>
      <c r="AS1455" s="2266"/>
      <c r="AT1455" s="2266"/>
      <c r="AU1455" s="2266"/>
      <c r="AV1455" s="2266"/>
      <c r="AW1455" s="2266"/>
      <c r="AX1455" s="2266"/>
      <c r="AY1455" s="2266"/>
      <c r="AZ1455" s="2266"/>
      <c r="BA1455" s="2266"/>
      <c r="BB1455" s="2266"/>
      <c r="BC1455" s="2266"/>
      <c r="BD1455" s="2266"/>
      <c r="BE1455" s="2266"/>
      <c r="BF1455" s="2266"/>
      <c r="BG1455" s="2266"/>
      <c r="BH1455" s="2266"/>
      <c r="BI1455" s="2266"/>
      <c r="BJ1455" s="2266"/>
      <c r="BK1455" s="2266"/>
      <c r="BL1455" s="2266"/>
      <c r="BM1455" s="2266"/>
      <c r="BN1455" s="2266"/>
      <c r="BO1455" s="2266"/>
      <c r="BP1455" s="2266"/>
      <c r="BQ1455" s="2266"/>
      <c r="BR1455" s="2266"/>
      <c r="BS1455" s="2266"/>
      <c r="BT1455" s="2266"/>
      <c r="BU1455" s="2266"/>
      <c r="BV1455" s="2266"/>
      <c r="BW1455" s="2266"/>
      <c r="BX1455" s="2266"/>
    </row>
    <row r="1456" spans="1:76" s="2728" customFormat="1" ht="87" customHeight="1">
      <c r="A1456" s="2578">
        <v>8</v>
      </c>
      <c r="B1456" s="2501" t="s">
        <v>3452</v>
      </c>
      <c r="C1456" s="2575"/>
      <c r="D1456" s="2575"/>
      <c r="E1456" s="2575"/>
      <c r="F1456" s="2575"/>
      <c r="G1456" s="2575"/>
      <c r="H1456" s="2575"/>
      <c r="I1456" s="2501" t="s">
        <v>3453</v>
      </c>
      <c r="J1456" s="3153" t="s">
        <v>3493</v>
      </c>
      <c r="K1456" s="2747">
        <v>100</v>
      </c>
      <c r="L1456" s="2638">
        <f>SUM(L1457:L1468)</f>
        <v>8790000000</v>
      </c>
      <c r="M1456" s="2747">
        <v>90</v>
      </c>
      <c r="N1456" s="2638">
        <f>SUM(N1457:N1468)</f>
        <v>2233999002</v>
      </c>
      <c r="O1456" s="2747">
        <v>5</v>
      </c>
      <c r="P1456" s="2638">
        <f>SUM(P1457:P1469)</f>
        <v>1028222464</v>
      </c>
      <c r="Q1456" s="2747">
        <v>1</v>
      </c>
      <c r="R1456" s="2638">
        <f>SUM(R1457:R1468)</f>
        <v>146427050</v>
      </c>
      <c r="S1456" s="2638">
        <v>1</v>
      </c>
      <c r="T1456" s="2638">
        <f>SUM(T1457:T1468)</f>
        <v>289198744</v>
      </c>
      <c r="U1456" s="2638">
        <v>0</v>
      </c>
      <c r="V1456" s="2638">
        <f>SUM(V1457:V1468)</f>
        <v>0</v>
      </c>
      <c r="W1456" s="2638">
        <v>0</v>
      </c>
      <c r="X1456" s="2638">
        <f>SUM(X1457:X1468)</f>
        <v>0</v>
      </c>
      <c r="Y1456" s="2747">
        <f t="shared" si="487"/>
        <v>2</v>
      </c>
      <c r="Z1456" s="2638">
        <f t="shared" si="482"/>
        <v>435625794</v>
      </c>
      <c r="AA1456" s="2747">
        <f>+Y1456+M1456</f>
        <v>92</v>
      </c>
      <c r="AB1456" s="2638">
        <f>+N1456+Z1456</f>
        <v>2669624796</v>
      </c>
      <c r="AC1456" s="2732">
        <f t="shared" si="494"/>
        <v>92</v>
      </c>
      <c r="AD1456" s="2732">
        <f t="shared" si="494"/>
        <v>30.3711580887372</v>
      </c>
      <c r="AE1456" s="3135" t="s">
        <v>82</v>
      </c>
      <c r="AF1456" s="353"/>
      <c r="AG1456" s="3237"/>
      <c r="AH1456" s="3237"/>
      <c r="AI1456" s="3237"/>
      <c r="AJ1456" s="3237"/>
      <c r="AK1456" s="3237"/>
      <c r="AL1456" s="3237"/>
      <c r="AM1456" s="3237"/>
      <c r="AN1456" s="353"/>
      <c r="AO1456" s="353"/>
      <c r="AP1456" s="353"/>
      <c r="AQ1456" s="353"/>
      <c r="AR1456" s="353"/>
      <c r="AS1456" s="353"/>
      <c r="AT1456" s="353"/>
      <c r="AU1456" s="353"/>
      <c r="AV1456" s="353"/>
      <c r="AW1456" s="353"/>
      <c r="AX1456" s="353"/>
      <c r="AY1456" s="353"/>
      <c r="AZ1456" s="353"/>
      <c r="BA1456" s="353"/>
      <c r="BB1456" s="353"/>
      <c r="BC1456" s="353"/>
      <c r="BD1456" s="353"/>
      <c r="BE1456" s="353"/>
      <c r="BF1456" s="353"/>
      <c r="BG1456" s="353"/>
      <c r="BH1456" s="353"/>
      <c r="BI1456" s="353"/>
      <c r="BJ1456" s="353"/>
      <c r="BK1456" s="353"/>
      <c r="BL1456" s="353"/>
      <c r="BM1456" s="353"/>
      <c r="BN1456" s="353"/>
      <c r="BO1456" s="353"/>
      <c r="BP1456" s="353"/>
      <c r="BQ1456" s="353"/>
      <c r="BR1456" s="353"/>
      <c r="BS1456" s="353"/>
      <c r="BT1456" s="353"/>
      <c r="BU1456" s="353"/>
      <c r="BV1456" s="353"/>
      <c r="BW1456" s="353"/>
      <c r="BX1456" s="353"/>
    </row>
    <row r="1457" spans="1:76" s="2263" customFormat="1" ht="60.75" customHeight="1">
      <c r="A1457" s="1486"/>
      <c r="B1457" s="3169"/>
      <c r="C1457" s="1484"/>
      <c r="D1457" s="1484"/>
      <c r="E1457" s="1484"/>
      <c r="F1457" s="1484"/>
      <c r="G1457" s="1484"/>
      <c r="H1457" s="1484"/>
      <c r="I1457" s="1936" t="s">
        <v>3455</v>
      </c>
      <c r="J1457" s="3169" t="s">
        <v>3497</v>
      </c>
      <c r="K1457" s="2334">
        <v>6</v>
      </c>
      <c r="L1457" s="2402">
        <v>1050000000</v>
      </c>
      <c r="M1457" s="2739">
        <v>2</v>
      </c>
      <c r="N1457" s="2402">
        <v>299954806</v>
      </c>
      <c r="O1457" s="2739">
        <v>1</v>
      </c>
      <c r="P1457" s="2402">
        <v>174872452</v>
      </c>
      <c r="Q1457" s="2739">
        <v>1</v>
      </c>
      <c r="R1457" s="2402">
        <v>77930200</v>
      </c>
      <c r="S1457" s="2402">
        <v>1</v>
      </c>
      <c r="T1457" s="2402">
        <v>130060576</v>
      </c>
      <c r="U1457" s="2402">
        <v>0</v>
      </c>
      <c r="V1457" s="2402">
        <v>0</v>
      </c>
      <c r="W1457" s="2402">
        <v>0</v>
      </c>
      <c r="X1457" s="2402">
        <v>0</v>
      </c>
      <c r="Y1457" s="2748">
        <f t="shared" si="487"/>
        <v>2</v>
      </c>
      <c r="Z1457" s="2402">
        <f t="shared" si="482"/>
        <v>207990776</v>
      </c>
      <c r="AA1457" s="2334">
        <f t="shared" ref="AA1457:AA1469" si="495">+Y1457+M1457</f>
        <v>4</v>
      </c>
      <c r="AB1457" s="2402">
        <f t="shared" ref="AB1457:AB1469" si="496">+N1457+Z1457</f>
        <v>507945582</v>
      </c>
      <c r="AC1457" s="2743">
        <f t="shared" ref="AC1457:AD1469" si="497">(AA1457/K1457)*100</f>
        <v>66.666666666666657</v>
      </c>
      <c r="AD1457" s="2743">
        <f t="shared" ref="AD1457:AD1469" si="498">(AB1457/L1457)*100</f>
        <v>48.375769714285717</v>
      </c>
      <c r="AE1457" s="2736"/>
      <c r="AF1457" s="2266"/>
      <c r="AG1457" s="3237"/>
      <c r="AH1457" s="3237"/>
      <c r="AI1457" s="3237"/>
      <c r="AJ1457" s="3237"/>
      <c r="AK1457" s="3237"/>
      <c r="AL1457" s="3237"/>
      <c r="AM1457" s="3237"/>
      <c r="AN1457" s="2266"/>
      <c r="AO1457" s="2266"/>
      <c r="AP1457" s="2266"/>
      <c r="AQ1457" s="2266"/>
      <c r="AR1457" s="2266"/>
      <c r="AS1457" s="2266"/>
      <c r="AT1457" s="2266"/>
      <c r="AU1457" s="2266"/>
      <c r="AV1457" s="2266"/>
      <c r="AW1457" s="2266"/>
      <c r="AX1457" s="2266"/>
      <c r="AY1457" s="2266"/>
      <c r="AZ1457" s="2266"/>
      <c r="BA1457" s="2266"/>
      <c r="BB1457" s="2266"/>
      <c r="BC1457" s="2266"/>
      <c r="BD1457" s="2266"/>
      <c r="BE1457" s="2266"/>
      <c r="BF1457" s="2266"/>
      <c r="BG1457" s="2266"/>
      <c r="BH1457" s="2266"/>
      <c r="BI1457" s="2266"/>
      <c r="BJ1457" s="2266"/>
      <c r="BK1457" s="2266"/>
      <c r="BL1457" s="2266"/>
      <c r="BM1457" s="2266"/>
      <c r="BN1457" s="2266"/>
      <c r="BO1457" s="2266"/>
      <c r="BP1457" s="2266"/>
      <c r="BQ1457" s="2266"/>
      <c r="BR1457" s="2266"/>
      <c r="BS1457" s="2266"/>
      <c r="BT1457" s="2266"/>
      <c r="BU1457" s="2266"/>
      <c r="BV1457" s="2266"/>
      <c r="BW1457" s="2266"/>
      <c r="BX1457" s="2266"/>
    </row>
    <row r="1458" spans="1:76" s="2263" customFormat="1" ht="60.75" customHeight="1">
      <c r="A1458" s="1486"/>
      <c r="B1458" s="3169"/>
      <c r="C1458" s="1484"/>
      <c r="D1458" s="1484"/>
      <c r="E1458" s="1484"/>
      <c r="F1458" s="1484"/>
      <c r="G1458" s="1484"/>
      <c r="H1458" s="1484"/>
      <c r="I1458" s="1936" t="s">
        <v>88</v>
      </c>
      <c r="J1458" s="3169" t="s">
        <v>3939</v>
      </c>
      <c r="K1458" s="2334">
        <v>6</v>
      </c>
      <c r="L1458" s="2402">
        <v>700000000</v>
      </c>
      <c r="M1458" s="2739">
        <v>2</v>
      </c>
      <c r="N1458" s="2402">
        <v>157512224.99999997</v>
      </c>
      <c r="O1458" s="2739">
        <v>1</v>
      </c>
      <c r="P1458" s="2402">
        <v>64692289</v>
      </c>
      <c r="Q1458" s="3132">
        <v>0.4</v>
      </c>
      <c r="R1458" s="2402">
        <v>16129600</v>
      </c>
      <c r="S1458" s="3131">
        <v>0.9</v>
      </c>
      <c r="T1458" s="2402">
        <v>27453500</v>
      </c>
      <c r="U1458" s="2402">
        <v>0</v>
      </c>
      <c r="V1458" s="2402">
        <v>0</v>
      </c>
      <c r="W1458" s="2402">
        <v>0</v>
      </c>
      <c r="X1458" s="2402">
        <v>0</v>
      </c>
      <c r="Y1458" s="2748">
        <f t="shared" si="487"/>
        <v>1.3</v>
      </c>
      <c r="Z1458" s="2402">
        <f t="shared" si="482"/>
        <v>43583100</v>
      </c>
      <c r="AA1458" s="2334">
        <f t="shared" si="495"/>
        <v>3.3</v>
      </c>
      <c r="AB1458" s="2402">
        <f t="shared" si="496"/>
        <v>201095324.99999997</v>
      </c>
      <c r="AC1458" s="2743">
        <f t="shared" si="497"/>
        <v>54.999999999999993</v>
      </c>
      <c r="AD1458" s="2743">
        <f t="shared" si="498"/>
        <v>28.727903571428566</v>
      </c>
      <c r="AE1458" s="2736"/>
      <c r="AF1458" s="2266"/>
      <c r="AG1458" s="3237"/>
      <c r="AH1458" s="3237"/>
      <c r="AI1458" s="3237"/>
      <c r="AJ1458" s="3237"/>
      <c r="AK1458" s="3237"/>
      <c r="AL1458" s="3237"/>
      <c r="AM1458" s="3237"/>
      <c r="AN1458" s="2266"/>
      <c r="AO1458" s="2266"/>
      <c r="AP1458" s="2266"/>
      <c r="AQ1458" s="2266"/>
      <c r="AR1458" s="2266"/>
      <c r="AS1458" s="2266"/>
      <c r="AT1458" s="2266"/>
      <c r="AU1458" s="2266"/>
      <c r="AV1458" s="2266"/>
      <c r="AW1458" s="2266"/>
      <c r="AX1458" s="2266"/>
      <c r="AY1458" s="2266"/>
      <c r="AZ1458" s="2266"/>
      <c r="BA1458" s="2266"/>
      <c r="BB1458" s="2266"/>
      <c r="BC1458" s="2266"/>
      <c r="BD1458" s="2266"/>
      <c r="BE1458" s="2266"/>
      <c r="BF1458" s="2266"/>
      <c r="BG1458" s="2266"/>
      <c r="BH1458" s="2266"/>
      <c r="BI1458" s="2266"/>
      <c r="BJ1458" s="2266"/>
      <c r="BK1458" s="2266"/>
      <c r="BL1458" s="2266"/>
      <c r="BM1458" s="2266"/>
      <c r="BN1458" s="2266"/>
      <c r="BO1458" s="2266"/>
      <c r="BP1458" s="2266"/>
      <c r="BQ1458" s="2266"/>
      <c r="BR1458" s="2266"/>
      <c r="BS1458" s="2266"/>
      <c r="BT1458" s="2266"/>
      <c r="BU1458" s="2266"/>
      <c r="BV1458" s="2266"/>
      <c r="BW1458" s="2266"/>
      <c r="BX1458" s="2266"/>
    </row>
    <row r="1459" spans="1:76" s="2263" customFormat="1" ht="38.25">
      <c r="A1459" s="1486"/>
      <c r="B1459" s="3169"/>
      <c r="C1459" s="1484"/>
      <c r="D1459" s="1484"/>
      <c r="E1459" s="1484"/>
      <c r="F1459" s="1484"/>
      <c r="G1459" s="1484"/>
      <c r="H1459" s="1484"/>
      <c r="I1459" s="1936" t="s">
        <v>3456</v>
      </c>
      <c r="J1459" s="3169" t="s">
        <v>3944</v>
      </c>
      <c r="K1459" s="2334">
        <v>6</v>
      </c>
      <c r="L1459" s="2402">
        <v>1190000000</v>
      </c>
      <c r="M1459" s="2739">
        <v>2</v>
      </c>
      <c r="N1459" s="2402">
        <v>283467800</v>
      </c>
      <c r="O1459" s="2739">
        <v>1</v>
      </c>
      <c r="P1459" s="2402">
        <v>80143796</v>
      </c>
      <c r="Q1459" s="3132">
        <v>0.2</v>
      </c>
      <c r="R1459" s="2402">
        <v>8493200</v>
      </c>
      <c r="S1459" s="3131">
        <v>0.2</v>
      </c>
      <c r="T1459" s="2402">
        <v>8673200</v>
      </c>
      <c r="U1459" s="2402">
        <v>0</v>
      </c>
      <c r="V1459" s="2402">
        <v>0</v>
      </c>
      <c r="W1459" s="2402">
        <v>0</v>
      </c>
      <c r="X1459" s="2402">
        <v>0</v>
      </c>
      <c r="Y1459" s="2748">
        <f t="shared" si="487"/>
        <v>0.4</v>
      </c>
      <c r="Z1459" s="2402">
        <f t="shared" si="482"/>
        <v>17166400</v>
      </c>
      <c r="AA1459" s="2334">
        <f t="shared" si="495"/>
        <v>2.4</v>
      </c>
      <c r="AB1459" s="2402">
        <f t="shared" si="496"/>
        <v>300634200</v>
      </c>
      <c r="AC1459" s="2743">
        <f t="shared" si="497"/>
        <v>40</v>
      </c>
      <c r="AD1459" s="2743">
        <f t="shared" si="498"/>
        <v>25.2633781512605</v>
      </c>
      <c r="AE1459" s="2736"/>
      <c r="AF1459" s="2266"/>
      <c r="AG1459" s="3237"/>
      <c r="AH1459" s="3237"/>
      <c r="AI1459" s="3237"/>
      <c r="AJ1459" s="3237"/>
      <c r="AK1459" s="3237"/>
      <c r="AL1459" s="3237"/>
      <c r="AM1459" s="3237"/>
      <c r="AN1459" s="2266"/>
      <c r="AO1459" s="2266"/>
      <c r="AP1459" s="2266"/>
      <c r="AQ1459" s="2266"/>
      <c r="AR1459" s="2266"/>
      <c r="AS1459" s="2266"/>
      <c r="AT1459" s="2266"/>
      <c r="AU1459" s="2266"/>
      <c r="AV1459" s="2266"/>
      <c r="AW1459" s="2266"/>
      <c r="AX1459" s="2266"/>
      <c r="AY1459" s="2266"/>
      <c r="AZ1459" s="2266"/>
      <c r="BA1459" s="2266"/>
      <c r="BB1459" s="2266"/>
      <c r="BC1459" s="2266"/>
      <c r="BD1459" s="2266"/>
      <c r="BE1459" s="2266"/>
      <c r="BF1459" s="2266"/>
      <c r="BG1459" s="2266"/>
      <c r="BH1459" s="2266"/>
      <c r="BI1459" s="2266"/>
      <c r="BJ1459" s="2266"/>
      <c r="BK1459" s="2266"/>
      <c r="BL1459" s="2266"/>
      <c r="BM1459" s="2266"/>
      <c r="BN1459" s="2266"/>
      <c r="BO1459" s="2266"/>
      <c r="BP1459" s="2266"/>
      <c r="BQ1459" s="2266"/>
      <c r="BR1459" s="2266"/>
      <c r="BS1459" s="2266"/>
      <c r="BT1459" s="2266"/>
      <c r="BU1459" s="2266"/>
      <c r="BV1459" s="2266"/>
      <c r="BW1459" s="2266"/>
      <c r="BX1459" s="2266"/>
    </row>
    <row r="1460" spans="1:76" s="2263" customFormat="1" ht="25.5">
      <c r="A1460" s="1486"/>
      <c r="B1460" s="3169"/>
      <c r="C1460" s="1484"/>
      <c r="D1460" s="1484"/>
      <c r="E1460" s="1484"/>
      <c r="F1460" s="1484"/>
      <c r="G1460" s="1484"/>
      <c r="H1460" s="1484"/>
      <c r="I1460" s="1936"/>
      <c r="J1460" s="3169" t="s">
        <v>3945</v>
      </c>
      <c r="K1460" s="2334">
        <v>6</v>
      </c>
      <c r="L1460" s="2402"/>
      <c r="M1460" s="2739">
        <v>2</v>
      </c>
      <c r="N1460" s="2402"/>
      <c r="O1460" s="2739">
        <v>1</v>
      </c>
      <c r="P1460" s="2402"/>
      <c r="Q1460" s="2739"/>
      <c r="R1460" s="2402"/>
      <c r="S1460" s="2402"/>
      <c r="T1460" s="2402"/>
      <c r="U1460" s="2402"/>
      <c r="V1460" s="2402"/>
      <c r="W1460" s="2402"/>
      <c r="X1460" s="2402"/>
      <c r="Y1460" s="2748">
        <f t="shared" si="487"/>
        <v>0</v>
      </c>
      <c r="Z1460" s="2402">
        <f>R1460+T1460+V1460+X1460</f>
        <v>0</v>
      </c>
      <c r="AA1460" s="2334">
        <f>+Y1460+M1460</f>
        <v>2</v>
      </c>
      <c r="AB1460" s="2402">
        <f>+N1460+Z1460</f>
        <v>0</v>
      </c>
      <c r="AC1460" s="2743">
        <f>(AA1460/K1460)*100</f>
        <v>33.333333333333329</v>
      </c>
      <c r="AD1460" s="2743"/>
      <c r="AE1460" s="2736"/>
      <c r="AF1460" s="2266"/>
      <c r="AG1460" s="3237"/>
      <c r="AH1460" s="3237"/>
      <c r="AI1460" s="3237"/>
      <c r="AJ1460" s="3237"/>
      <c r="AK1460" s="3237"/>
      <c r="AL1460" s="3237"/>
      <c r="AM1460" s="3237"/>
      <c r="AN1460" s="2266"/>
      <c r="AO1460" s="2266"/>
      <c r="AP1460" s="2266"/>
      <c r="AQ1460" s="2266"/>
      <c r="AR1460" s="2266"/>
      <c r="AS1460" s="2266"/>
      <c r="AT1460" s="2266"/>
      <c r="AU1460" s="2266"/>
      <c r="AV1460" s="2266"/>
      <c r="AW1460" s="2266"/>
      <c r="AX1460" s="2266"/>
      <c r="AY1460" s="2266"/>
      <c r="AZ1460" s="2266"/>
      <c r="BA1460" s="2266"/>
      <c r="BB1460" s="2266"/>
      <c r="BC1460" s="2266"/>
      <c r="BD1460" s="2266"/>
      <c r="BE1460" s="2266"/>
      <c r="BF1460" s="2266"/>
      <c r="BG1460" s="2266"/>
      <c r="BH1460" s="2266"/>
      <c r="BI1460" s="2266"/>
      <c r="BJ1460" s="2266"/>
      <c r="BK1460" s="2266"/>
      <c r="BL1460" s="2266"/>
      <c r="BM1460" s="2266"/>
      <c r="BN1460" s="2266"/>
      <c r="BO1460" s="2266"/>
      <c r="BP1460" s="2266"/>
      <c r="BQ1460" s="2266"/>
      <c r="BR1460" s="2266"/>
      <c r="BS1460" s="2266"/>
      <c r="BT1460" s="2266"/>
      <c r="BU1460" s="2266"/>
      <c r="BV1460" s="2266"/>
      <c r="BW1460" s="2266"/>
      <c r="BX1460" s="2266"/>
    </row>
    <row r="1461" spans="1:76" s="2263" customFormat="1" ht="38.25">
      <c r="A1461" s="1486"/>
      <c r="B1461" s="3169"/>
      <c r="C1461" s="1484"/>
      <c r="D1461" s="1484"/>
      <c r="E1461" s="1484"/>
      <c r="F1461" s="1484"/>
      <c r="G1461" s="1484"/>
      <c r="H1461" s="1484"/>
      <c r="I1461" s="1936" t="s">
        <v>3457</v>
      </c>
      <c r="J1461" s="3169" t="s">
        <v>3946</v>
      </c>
      <c r="K1461" s="2334">
        <v>6</v>
      </c>
      <c r="L1461" s="2402">
        <v>1190000000</v>
      </c>
      <c r="M1461" s="2739">
        <v>2</v>
      </c>
      <c r="N1461" s="2402">
        <v>254892159.99999997</v>
      </c>
      <c r="O1461" s="2739">
        <v>1</v>
      </c>
      <c r="P1461" s="2402">
        <v>80032882</v>
      </c>
      <c r="Q1461" s="3132">
        <v>0.1</v>
      </c>
      <c r="R1461" s="2402">
        <v>0</v>
      </c>
      <c r="S1461" s="2402">
        <v>0</v>
      </c>
      <c r="T1461" s="2402">
        <v>0</v>
      </c>
      <c r="U1461" s="2402">
        <v>0</v>
      </c>
      <c r="V1461" s="2402">
        <v>0</v>
      </c>
      <c r="W1461" s="2402">
        <v>0</v>
      </c>
      <c r="X1461" s="2402">
        <v>0</v>
      </c>
      <c r="Y1461" s="2748">
        <f t="shared" si="487"/>
        <v>0.1</v>
      </c>
      <c r="Z1461" s="2402">
        <f t="shared" si="482"/>
        <v>0</v>
      </c>
      <c r="AA1461" s="2334">
        <f t="shared" si="495"/>
        <v>2.1</v>
      </c>
      <c r="AB1461" s="2402">
        <f t="shared" si="496"/>
        <v>254892159.99999997</v>
      </c>
      <c r="AC1461" s="2743">
        <f t="shared" si="497"/>
        <v>35</v>
      </c>
      <c r="AD1461" s="2743">
        <f t="shared" si="498"/>
        <v>21.419509243697476</v>
      </c>
      <c r="AE1461" s="2736"/>
      <c r="AF1461" s="2266"/>
      <c r="AG1461" s="3237"/>
      <c r="AH1461" s="3237"/>
      <c r="AI1461" s="3237"/>
      <c r="AJ1461" s="3237"/>
      <c r="AK1461" s="3237"/>
      <c r="AL1461" s="3237"/>
      <c r="AM1461" s="3237"/>
      <c r="AN1461" s="2266"/>
      <c r="AO1461" s="2266"/>
      <c r="AP1461" s="2266"/>
      <c r="AQ1461" s="2266"/>
      <c r="AR1461" s="2266"/>
      <c r="AS1461" s="2266"/>
      <c r="AT1461" s="2266"/>
      <c r="AU1461" s="2266"/>
      <c r="AV1461" s="2266"/>
      <c r="AW1461" s="2266"/>
      <c r="AX1461" s="2266"/>
      <c r="AY1461" s="2266"/>
      <c r="AZ1461" s="2266"/>
      <c r="BA1461" s="2266"/>
      <c r="BB1461" s="2266"/>
      <c r="BC1461" s="2266"/>
      <c r="BD1461" s="2266"/>
      <c r="BE1461" s="2266"/>
      <c r="BF1461" s="2266"/>
      <c r="BG1461" s="2266"/>
      <c r="BH1461" s="2266"/>
      <c r="BI1461" s="2266"/>
      <c r="BJ1461" s="2266"/>
      <c r="BK1461" s="2266"/>
      <c r="BL1461" s="2266"/>
      <c r="BM1461" s="2266"/>
      <c r="BN1461" s="2266"/>
      <c r="BO1461" s="2266"/>
      <c r="BP1461" s="2266"/>
      <c r="BQ1461" s="2266"/>
      <c r="BR1461" s="2266"/>
      <c r="BS1461" s="2266"/>
      <c r="BT1461" s="2266"/>
      <c r="BU1461" s="2266"/>
      <c r="BV1461" s="2266"/>
      <c r="BW1461" s="2266"/>
      <c r="BX1461" s="2266"/>
    </row>
    <row r="1462" spans="1:76" s="2263" customFormat="1" ht="25.5">
      <c r="A1462" s="1486"/>
      <c r="B1462" s="3169"/>
      <c r="C1462" s="1484"/>
      <c r="D1462" s="1484"/>
      <c r="E1462" s="1484"/>
      <c r="F1462" s="1484"/>
      <c r="G1462" s="1484"/>
      <c r="H1462" s="1484"/>
      <c r="I1462" s="1936"/>
      <c r="J1462" s="3169" t="s">
        <v>3947</v>
      </c>
      <c r="K1462" s="2334">
        <v>6</v>
      </c>
      <c r="L1462" s="2402"/>
      <c r="M1462" s="2739">
        <v>2</v>
      </c>
      <c r="N1462" s="2402"/>
      <c r="O1462" s="2739">
        <v>1</v>
      </c>
      <c r="P1462" s="2402"/>
      <c r="Q1462" s="3132">
        <v>0.1</v>
      </c>
      <c r="R1462" s="2402"/>
      <c r="S1462" s="2402"/>
      <c r="T1462" s="2402"/>
      <c r="U1462" s="2402"/>
      <c r="V1462" s="2402"/>
      <c r="W1462" s="2402"/>
      <c r="X1462" s="2402"/>
      <c r="Y1462" s="2748"/>
      <c r="Z1462" s="2402">
        <f t="shared" si="482"/>
        <v>0</v>
      </c>
      <c r="AA1462" s="2334">
        <f t="shared" si="495"/>
        <v>2</v>
      </c>
      <c r="AB1462" s="2402">
        <f t="shared" si="496"/>
        <v>0</v>
      </c>
      <c r="AC1462" s="2743">
        <f t="shared" si="497"/>
        <v>33.333333333333329</v>
      </c>
      <c r="AD1462" s="2743"/>
      <c r="AE1462" s="2736"/>
      <c r="AF1462" s="2266"/>
      <c r="AG1462" s="3237"/>
      <c r="AH1462" s="3237"/>
      <c r="AI1462" s="3237"/>
      <c r="AJ1462" s="3237"/>
      <c r="AK1462" s="3237"/>
      <c r="AL1462" s="3237"/>
      <c r="AM1462" s="3237"/>
      <c r="AN1462" s="2266"/>
      <c r="AO1462" s="2266"/>
      <c r="AP1462" s="2266"/>
      <c r="AQ1462" s="2266"/>
      <c r="AR1462" s="2266"/>
      <c r="AS1462" s="2266"/>
      <c r="AT1462" s="2266"/>
      <c r="AU1462" s="2266"/>
      <c r="AV1462" s="2266"/>
      <c r="AW1462" s="2266"/>
      <c r="AX1462" s="2266"/>
      <c r="AY1462" s="2266"/>
      <c r="AZ1462" s="2266"/>
      <c r="BA1462" s="2266"/>
      <c r="BB1462" s="2266"/>
      <c r="BC1462" s="2266"/>
      <c r="BD1462" s="2266"/>
      <c r="BE1462" s="2266"/>
      <c r="BF1462" s="2266"/>
      <c r="BG1462" s="2266"/>
      <c r="BH1462" s="2266"/>
      <c r="BI1462" s="2266"/>
      <c r="BJ1462" s="2266"/>
      <c r="BK1462" s="2266"/>
      <c r="BL1462" s="2266"/>
      <c r="BM1462" s="2266"/>
      <c r="BN1462" s="2266"/>
      <c r="BO1462" s="2266"/>
      <c r="BP1462" s="2266"/>
      <c r="BQ1462" s="2266"/>
      <c r="BR1462" s="2266"/>
      <c r="BS1462" s="2266"/>
      <c r="BT1462" s="2266"/>
      <c r="BU1462" s="2266"/>
      <c r="BV1462" s="2266"/>
      <c r="BW1462" s="2266"/>
      <c r="BX1462" s="2266"/>
    </row>
    <row r="1463" spans="1:76" s="2263" customFormat="1" ht="50.25" customHeight="1">
      <c r="A1463" s="1486"/>
      <c r="B1463" s="1486"/>
      <c r="C1463" s="1484"/>
      <c r="D1463" s="1484"/>
      <c r="E1463" s="1484"/>
      <c r="F1463" s="1484"/>
      <c r="G1463" s="1484"/>
      <c r="H1463" s="1484"/>
      <c r="I1463" s="1936" t="s">
        <v>3458</v>
      </c>
      <c r="J1463" s="3169" t="s">
        <v>3948</v>
      </c>
      <c r="K1463" s="2334">
        <v>1</v>
      </c>
      <c r="L1463" s="2402">
        <v>1100000000</v>
      </c>
      <c r="M1463" s="3132">
        <v>0.7</v>
      </c>
      <c r="N1463" s="2402">
        <v>455684367.99999994</v>
      </c>
      <c r="O1463" s="3132">
        <v>0.3</v>
      </c>
      <c r="P1463" s="2402">
        <v>104079136</v>
      </c>
      <c r="Q1463" s="3132">
        <v>0.05</v>
      </c>
      <c r="R1463" s="2402">
        <v>3115900</v>
      </c>
      <c r="S1463" s="3131">
        <v>0.05</v>
      </c>
      <c r="T1463" s="2402">
        <v>5358400</v>
      </c>
      <c r="U1463" s="2402">
        <v>0</v>
      </c>
      <c r="V1463" s="2402">
        <v>0</v>
      </c>
      <c r="W1463" s="2402">
        <v>0</v>
      </c>
      <c r="X1463" s="2402">
        <v>0</v>
      </c>
      <c r="Y1463" s="2748">
        <f t="shared" ref="Y1463:Y1479" si="499">Q1463+S1463+U1463+W1463</f>
        <v>0.1</v>
      </c>
      <c r="Z1463" s="2402">
        <f t="shared" si="482"/>
        <v>8474300</v>
      </c>
      <c r="AA1463" s="2334">
        <f t="shared" si="495"/>
        <v>0.79999999999999993</v>
      </c>
      <c r="AB1463" s="2402">
        <f t="shared" si="496"/>
        <v>464158667.99999994</v>
      </c>
      <c r="AC1463" s="2743">
        <f t="shared" si="497"/>
        <v>80</v>
      </c>
      <c r="AD1463" s="2743">
        <f t="shared" si="498"/>
        <v>42.196242545454538</v>
      </c>
      <c r="AE1463" s="2736"/>
      <c r="AF1463" s="2266"/>
      <c r="AG1463" s="3237"/>
      <c r="AH1463" s="3237"/>
      <c r="AI1463" s="3237"/>
      <c r="AJ1463" s="3237"/>
      <c r="AK1463" s="3237"/>
      <c r="AL1463" s="3237"/>
      <c r="AM1463" s="3237"/>
      <c r="AN1463" s="2266"/>
      <c r="AO1463" s="2266"/>
      <c r="AP1463" s="2266"/>
      <c r="AQ1463" s="2266"/>
      <c r="AR1463" s="2266"/>
      <c r="AS1463" s="2266"/>
      <c r="AT1463" s="2266"/>
      <c r="AU1463" s="2266"/>
      <c r="AV1463" s="2266"/>
      <c r="AW1463" s="2266"/>
      <c r="AX1463" s="2266"/>
      <c r="AY1463" s="2266"/>
      <c r="AZ1463" s="2266"/>
      <c r="BA1463" s="2266"/>
      <c r="BB1463" s="2266"/>
      <c r="BC1463" s="2266"/>
      <c r="BD1463" s="2266"/>
      <c r="BE1463" s="2266"/>
      <c r="BF1463" s="2266"/>
      <c r="BG1463" s="2266"/>
      <c r="BH1463" s="2266"/>
      <c r="BI1463" s="2266"/>
      <c r="BJ1463" s="2266"/>
      <c r="BK1463" s="2266"/>
      <c r="BL1463" s="2266"/>
      <c r="BM1463" s="2266"/>
      <c r="BN1463" s="2266"/>
      <c r="BO1463" s="2266"/>
      <c r="BP1463" s="2266"/>
      <c r="BQ1463" s="2266"/>
      <c r="BR1463" s="2266"/>
      <c r="BS1463" s="2266"/>
      <c r="BT1463" s="2266"/>
      <c r="BU1463" s="2266"/>
      <c r="BV1463" s="2266"/>
      <c r="BW1463" s="2266"/>
      <c r="BX1463" s="2266"/>
    </row>
    <row r="1464" spans="1:76" s="2263" customFormat="1" ht="62.25" customHeight="1">
      <c r="A1464" s="1486"/>
      <c r="B1464" s="1486"/>
      <c r="C1464" s="1484"/>
      <c r="D1464" s="1484"/>
      <c r="E1464" s="1484"/>
      <c r="F1464" s="1484"/>
      <c r="G1464" s="1484"/>
      <c r="H1464" s="1484"/>
      <c r="I1464" s="1936" t="s">
        <v>3459</v>
      </c>
      <c r="J1464" s="3169" t="s">
        <v>3940</v>
      </c>
      <c r="K1464" s="2334">
        <v>182</v>
      </c>
      <c r="L1464" s="2402">
        <v>500000000</v>
      </c>
      <c r="M1464" s="2334">
        <v>37</v>
      </c>
      <c r="N1464" s="2402">
        <v>155578950</v>
      </c>
      <c r="O1464" s="2334">
        <v>104</v>
      </c>
      <c r="P1464" s="2402">
        <v>126200005</v>
      </c>
      <c r="Q1464" s="2748">
        <v>5</v>
      </c>
      <c r="R1464" s="2402">
        <v>270000</v>
      </c>
      <c r="S1464" s="2402">
        <v>5</v>
      </c>
      <c r="T1464" s="2402">
        <v>2360000</v>
      </c>
      <c r="U1464" s="2402">
        <v>0</v>
      </c>
      <c r="V1464" s="2402">
        <v>0</v>
      </c>
      <c r="W1464" s="2402">
        <v>0</v>
      </c>
      <c r="X1464" s="2402">
        <v>0</v>
      </c>
      <c r="Y1464" s="2585">
        <f t="shared" si="499"/>
        <v>10</v>
      </c>
      <c r="Z1464" s="2402">
        <f t="shared" si="482"/>
        <v>2630000</v>
      </c>
      <c r="AA1464" s="2334">
        <f t="shared" si="495"/>
        <v>47</v>
      </c>
      <c r="AB1464" s="2402">
        <f t="shared" si="496"/>
        <v>158208950</v>
      </c>
      <c r="AC1464" s="2586">
        <f t="shared" si="497"/>
        <v>25.824175824175828</v>
      </c>
      <c r="AD1464" s="2586">
        <f t="shared" si="498"/>
        <v>31.641789999999997</v>
      </c>
      <c r="AE1464" s="2736"/>
      <c r="AF1464" s="2266"/>
      <c r="AG1464" s="3237"/>
      <c r="AH1464" s="3237"/>
      <c r="AI1464" s="3237"/>
      <c r="AJ1464" s="3237"/>
      <c r="AK1464" s="3237"/>
      <c r="AL1464" s="3237"/>
      <c r="AM1464" s="3237"/>
      <c r="AN1464" s="2266"/>
      <c r="AO1464" s="2266"/>
      <c r="AP1464" s="2266"/>
      <c r="AQ1464" s="2266"/>
      <c r="AR1464" s="2266"/>
      <c r="AS1464" s="2266"/>
      <c r="AT1464" s="2266"/>
      <c r="AU1464" s="2266"/>
      <c r="AV1464" s="2266"/>
      <c r="AW1464" s="2266"/>
      <c r="AX1464" s="2266"/>
      <c r="AY1464" s="2266"/>
      <c r="AZ1464" s="2266"/>
      <c r="BA1464" s="2266"/>
      <c r="BB1464" s="2266"/>
      <c r="BC1464" s="2266"/>
      <c r="BD1464" s="2266"/>
      <c r="BE1464" s="2266"/>
      <c r="BF1464" s="2266"/>
      <c r="BG1464" s="2266"/>
      <c r="BH1464" s="2266"/>
      <c r="BI1464" s="2266"/>
      <c r="BJ1464" s="2266"/>
      <c r="BK1464" s="2266"/>
      <c r="BL1464" s="2266"/>
      <c r="BM1464" s="2266"/>
      <c r="BN1464" s="2266"/>
      <c r="BO1464" s="2266"/>
      <c r="BP1464" s="2266"/>
      <c r="BQ1464" s="2266"/>
      <c r="BR1464" s="2266"/>
      <c r="BS1464" s="2266"/>
      <c r="BT1464" s="2266"/>
      <c r="BU1464" s="2266"/>
      <c r="BV1464" s="2266"/>
      <c r="BW1464" s="2266"/>
      <c r="BX1464" s="2266"/>
    </row>
    <row r="1465" spans="1:76" s="2263" customFormat="1" ht="72" customHeight="1">
      <c r="A1465" s="1486"/>
      <c r="B1465" s="1486"/>
      <c r="C1465" s="1484"/>
      <c r="D1465" s="1484"/>
      <c r="E1465" s="1484"/>
      <c r="F1465" s="1484"/>
      <c r="G1465" s="1484"/>
      <c r="H1465" s="1484"/>
      <c r="I1465" s="1936" t="s">
        <v>3460</v>
      </c>
      <c r="J1465" s="3169" t="s">
        <v>3941</v>
      </c>
      <c r="K1465" s="2334">
        <v>48</v>
      </c>
      <c r="L1465" s="2402">
        <v>400000000</v>
      </c>
      <c r="M1465" s="2744" t="s">
        <v>2034</v>
      </c>
      <c r="N1465" s="2402">
        <v>0</v>
      </c>
      <c r="O1465" s="2334">
        <v>12</v>
      </c>
      <c r="P1465" s="2402">
        <v>98921396</v>
      </c>
      <c r="Q1465" s="2748">
        <v>3</v>
      </c>
      <c r="R1465" s="2402">
        <v>9553500</v>
      </c>
      <c r="S1465" s="2402">
        <v>3</v>
      </c>
      <c r="T1465" s="2402">
        <v>24436618</v>
      </c>
      <c r="U1465" s="2402">
        <v>0</v>
      </c>
      <c r="V1465" s="2402">
        <v>0</v>
      </c>
      <c r="W1465" s="2402">
        <v>0</v>
      </c>
      <c r="X1465" s="2402">
        <v>0</v>
      </c>
      <c r="Y1465" s="2585">
        <f t="shared" si="499"/>
        <v>6</v>
      </c>
      <c r="Z1465" s="2402">
        <f>R1465+T1465+V1465+X1465</f>
        <v>33990118</v>
      </c>
      <c r="AA1465" s="2334">
        <f t="shared" si="495"/>
        <v>6</v>
      </c>
      <c r="AB1465" s="2402">
        <f t="shared" si="496"/>
        <v>33990118</v>
      </c>
      <c r="AC1465" s="2735">
        <f t="shared" si="497"/>
        <v>12.5</v>
      </c>
      <c r="AD1465" s="2586">
        <f t="shared" si="497"/>
        <v>8.4975295000000006</v>
      </c>
      <c r="AE1465" s="2736"/>
      <c r="AF1465" s="2266"/>
      <c r="AG1465" s="3237"/>
      <c r="AH1465" s="3237"/>
      <c r="AI1465" s="3237"/>
      <c r="AJ1465" s="3237"/>
      <c r="AK1465" s="3237"/>
      <c r="AL1465" s="3237"/>
      <c r="AM1465" s="3237"/>
      <c r="AN1465" s="2266"/>
      <c r="AO1465" s="2266"/>
      <c r="AP1465" s="2266"/>
      <c r="AQ1465" s="2266"/>
      <c r="AR1465" s="2266"/>
      <c r="AS1465" s="2266"/>
      <c r="AT1465" s="2266"/>
      <c r="AU1465" s="2266"/>
      <c r="AV1465" s="2266"/>
      <c r="AW1465" s="2266"/>
      <c r="AX1465" s="2266"/>
      <c r="AY1465" s="2266"/>
      <c r="AZ1465" s="2266"/>
      <c r="BA1465" s="2266"/>
      <c r="BB1465" s="2266"/>
      <c r="BC1465" s="2266"/>
      <c r="BD1465" s="2266"/>
      <c r="BE1465" s="2266"/>
      <c r="BF1465" s="2266"/>
      <c r="BG1465" s="2266"/>
      <c r="BH1465" s="2266"/>
      <c r="BI1465" s="2266"/>
      <c r="BJ1465" s="2266"/>
      <c r="BK1465" s="2266"/>
      <c r="BL1465" s="2266"/>
      <c r="BM1465" s="2266"/>
      <c r="BN1465" s="2266"/>
      <c r="BO1465" s="2266"/>
      <c r="BP1465" s="2266"/>
      <c r="BQ1465" s="2266"/>
      <c r="BR1465" s="2266"/>
      <c r="BS1465" s="2266"/>
      <c r="BT1465" s="2266"/>
      <c r="BU1465" s="2266"/>
      <c r="BV1465" s="2266"/>
      <c r="BW1465" s="2266"/>
      <c r="BX1465" s="2266"/>
    </row>
    <row r="1466" spans="1:76" s="2263" customFormat="1" ht="72" customHeight="1">
      <c r="A1466" s="1486"/>
      <c r="B1466" s="1486"/>
      <c r="C1466" s="1484"/>
      <c r="D1466" s="1484"/>
      <c r="E1466" s="1484"/>
      <c r="F1466" s="1484"/>
      <c r="G1466" s="1484"/>
      <c r="H1466" s="1484"/>
      <c r="I1466" s="1936" t="s">
        <v>3461</v>
      </c>
      <c r="J1466" s="3169" t="s">
        <v>3949</v>
      </c>
      <c r="K1466" s="2334">
        <v>72</v>
      </c>
      <c r="L1466" s="2402">
        <v>1250000000</v>
      </c>
      <c r="M1466" s="2334">
        <v>24</v>
      </c>
      <c r="N1466" s="2402">
        <v>382558049</v>
      </c>
      <c r="O1466" s="2334">
        <v>12</v>
      </c>
      <c r="P1466" s="2402">
        <v>105954870</v>
      </c>
      <c r="Q1466" s="2748">
        <v>3</v>
      </c>
      <c r="R1466" s="2402">
        <v>12632000</v>
      </c>
      <c r="S1466" s="2402">
        <v>3</v>
      </c>
      <c r="T1466" s="2402">
        <v>32702200</v>
      </c>
      <c r="U1466" s="2402">
        <v>0</v>
      </c>
      <c r="V1466" s="2402">
        <v>0</v>
      </c>
      <c r="W1466" s="2402">
        <v>0</v>
      </c>
      <c r="X1466" s="2402">
        <v>0</v>
      </c>
      <c r="Y1466" s="2585">
        <f t="shared" si="499"/>
        <v>6</v>
      </c>
      <c r="Z1466" s="2402">
        <f t="shared" si="482"/>
        <v>45334200</v>
      </c>
      <c r="AA1466" s="2334">
        <f t="shared" si="495"/>
        <v>30</v>
      </c>
      <c r="AB1466" s="2402">
        <f t="shared" si="496"/>
        <v>427892249</v>
      </c>
      <c r="AC1466" s="2586">
        <f t="shared" si="497"/>
        <v>41.666666666666671</v>
      </c>
      <c r="AD1466" s="2586">
        <f t="shared" si="498"/>
        <v>34.231379920000002</v>
      </c>
      <c r="AE1466" s="2736"/>
      <c r="AF1466" s="2266"/>
      <c r="AG1466" s="3237"/>
      <c r="AH1466" s="3237"/>
      <c r="AI1466" s="3237"/>
      <c r="AJ1466" s="3237"/>
      <c r="AK1466" s="3237"/>
      <c r="AL1466" s="3237"/>
      <c r="AM1466" s="3237"/>
      <c r="AN1466" s="2266"/>
      <c r="AO1466" s="2266"/>
      <c r="AP1466" s="2266"/>
      <c r="AQ1466" s="2266"/>
      <c r="AR1466" s="2266"/>
      <c r="AS1466" s="2266"/>
      <c r="AT1466" s="2266"/>
      <c r="AU1466" s="2266"/>
      <c r="AV1466" s="2266"/>
      <c r="AW1466" s="2266"/>
      <c r="AX1466" s="2266"/>
      <c r="AY1466" s="2266"/>
      <c r="AZ1466" s="2266"/>
      <c r="BA1466" s="2266"/>
      <c r="BB1466" s="2266"/>
      <c r="BC1466" s="2266"/>
      <c r="BD1466" s="2266"/>
      <c r="BE1466" s="2266"/>
      <c r="BF1466" s="2266"/>
      <c r="BG1466" s="2266"/>
      <c r="BH1466" s="2266"/>
      <c r="BI1466" s="2266"/>
      <c r="BJ1466" s="2266"/>
      <c r="BK1466" s="2266"/>
      <c r="BL1466" s="2266"/>
      <c r="BM1466" s="2266"/>
      <c r="BN1466" s="2266"/>
      <c r="BO1466" s="2266"/>
      <c r="BP1466" s="2266"/>
      <c r="BQ1466" s="2266"/>
      <c r="BR1466" s="2266"/>
      <c r="BS1466" s="2266"/>
      <c r="BT1466" s="2266"/>
      <c r="BU1466" s="2266"/>
      <c r="BV1466" s="2266"/>
      <c r="BW1466" s="2266"/>
      <c r="BX1466" s="2266"/>
    </row>
    <row r="1467" spans="1:76" s="2263" customFormat="1" ht="37.5" customHeight="1">
      <c r="A1467" s="1486"/>
      <c r="B1467" s="1486"/>
      <c r="C1467" s="1484"/>
      <c r="D1467" s="1484"/>
      <c r="E1467" s="1484"/>
      <c r="F1467" s="1484"/>
      <c r="G1467" s="1484"/>
      <c r="H1467" s="1484"/>
      <c r="I1467" s="2740" t="s">
        <v>83</v>
      </c>
      <c r="J1467" s="3169" t="s">
        <v>3498</v>
      </c>
      <c r="K1467" s="2334">
        <v>20</v>
      </c>
      <c r="L1467" s="2402">
        <v>450000000</v>
      </c>
      <c r="M1467" s="2334">
        <v>4</v>
      </c>
      <c r="N1467" s="2402">
        <v>68338950</v>
      </c>
      <c r="O1467" s="2334">
        <v>4</v>
      </c>
      <c r="P1467" s="2402">
        <v>64810964</v>
      </c>
      <c r="Q1467" s="2748">
        <v>1</v>
      </c>
      <c r="R1467" s="2734">
        <v>6559650</v>
      </c>
      <c r="S1467" s="2402">
        <v>1</v>
      </c>
      <c r="T1467" s="2402">
        <v>22154250</v>
      </c>
      <c r="U1467" s="2402">
        <v>0</v>
      </c>
      <c r="V1467" s="2402">
        <v>0</v>
      </c>
      <c r="W1467" s="2402">
        <v>0</v>
      </c>
      <c r="X1467" s="2402">
        <v>0</v>
      </c>
      <c r="Y1467" s="2585">
        <f t="shared" si="499"/>
        <v>2</v>
      </c>
      <c r="Z1467" s="2402">
        <f t="shared" si="482"/>
        <v>28713900</v>
      </c>
      <c r="AA1467" s="2334">
        <f t="shared" si="495"/>
        <v>6</v>
      </c>
      <c r="AB1467" s="2402">
        <f t="shared" si="496"/>
        <v>97052850</v>
      </c>
      <c r="AC1467" s="2586">
        <f t="shared" si="497"/>
        <v>30</v>
      </c>
      <c r="AD1467" s="2586">
        <f t="shared" si="498"/>
        <v>21.567299999999999</v>
      </c>
      <c r="AE1467" s="2736"/>
      <c r="AF1467" s="2266"/>
      <c r="AG1467" s="3237"/>
      <c r="AH1467" s="3237"/>
      <c r="AI1467" s="3237"/>
      <c r="AJ1467" s="3237"/>
      <c r="AK1467" s="3237"/>
      <c r="AL1467" s="3237"/>
      <c r="AM1467" s="3237"/>
      <c r="AN1467" s="2266"/>
      <c r="AO1467" s="2266"/>
      <c r="AP1467" s="2266"/>
      <c r="AQ1467" s="2266"/>
      <c r="AR1467" s="2266"/>
      <c r="AS1467" s="2266"/>
      <c r="AT1467" s="2266"/>
      <c r="AU1467" s="2266"/>
      <c r="AV1467" s="2266"/>
      <c r="AW1467" s="2266"/>
      <c r="AX1467" s="2266"/>
      <c r="AY1467" s="2266"/>
      <c r="AZ1467" s="2266"/>
      <c r="BA1467" s="2266"/>
      <c r="BB1467" s="2266"/>
      <c r="BC1467" s="2266"/>
      <c r="BD1467" s="2266"/>
      <c r="BE1467" s="2266"/>
      <c r="BF1467" s="2266"/>
      <c r="BG1467" s="2266"/>
      <c r="BH1467" s="2266"/>
      <c r="BI1467" s="2266"/>
      <c r="BJ1467" s="2266"/>
      <c r="BK1467" s="2266"/>
      <c r="BL1467" s="2266"/>
      <c r="BM1467" s="2266"/>
      <c r="BN1467" s="2266"/>
      <c r="BO1467" s="2266"/>
      <c r="BP1467" s="2266"/>
      <c r="BQ1467" s="2266"/>
      <c r="BR1467" s="2266"/>
      <c r="BS1467" s="2266"/>
      <c r="BT1467" s="2266"/>
      <c r="BU1467" s="2266"/>
      <c r="BV1467" s="2266"/>
      <c r="BW1467" s="2266"/>
      <c r="BX1467" s="2266"/>
    </row>
    <row r="1468" spans="1:76" s="2263" customFormat="1" ht="57" customHeight="1">
      <c r="A1468" s="1486"/>
      <c r="B1468" s="1486"/>
      <c r="C1468" s="1484"/>
      <c r="D1468" s="1484"/>
      <c r="E1468" s="1484"/>
      <c r="F1468" s="1484"/>
      <c r="G1468" s="1484"/>
      <c r="H1468" s="1484"/>
      <c r="I1468" s="1936" t="s">
        <v>3462</v>
      </c>
      <c r="J1468" s="3169" t="s">
        <v>3499</v>
      </c>
      <c r="K1468" s="2334">
        <v>24</v>
      </c>
      <c r="L1468" s="2402">
        <v>960000000</v>
      </c>
      <c r="M1468" s="2334">
        <v>8</v>
      </c>
      <c r="N1468" s="2402">
        <v>176011694.00000003</v>
      </c>
      <c r="O1468" s="2334">
        <v>4</v>
      </c>
      <c r="P1468" s="2402">
        <v>70780510</v>
      </c>
      <c r="Q1468" s="2748">
        <v>1</v>
      </c>
      <c r="R1468" s="2402">
        <v>11743000</v>
      </c>
      <c r="S1468" s="2402">
        <v>1</v>
      </c>
      <c r="T1468" s="2402">
        <v>36000000</v>
      </c>
      <c r="U1468" s="2402">
        <v>0</v>
      </c>
      <c r="V1468" s="2402">
        <v>0</v>
      </c>
      <c r="W1468" s="2402">
        <v>0</v>
      </c>
      <c r="X1468" s="2402">
        <v>0</v>
      </c>
      <c r="Y1468" s="2585">
        <f t="shared" si="499"/>
        <v>2</v>
      </c>
      <c r="Z1468" s="2402">
        <f t="shared" si="482"/>
        <v>47743000</v>
      </c>
      <c r="AA1468" s="2334">
        <f t="shared" si="495"/>
        <v>10</v>
      </c>
      <c r="AB1468" s="2402">
        <f t="shared" si="496"/>
        <v>223754694.00000003</v>
      </c>
      <c r="AC1468" s="2586">
        <f t="shared" si="497"/>
        <v>41.666666666666671</v>
      </c>
      <c r="AD1468" s="2586">
        <f t="shared" si="498"/>
        <v>23.307780625000003</v>
      </c>
      <c r="AE1468" s="2736"/>
      <c r="AF1468" s="2266"/>
      <c r="AG1468" s="3237"/>
      <c r="AH1468" s="3237"/>
      <c r="AI1468" s="3237"/>
      <c r="AJ1468" s="3237"/>
      <c r="AK1468" s="3237"/>
      <c r="AL1468" s="3237"/>
      <c r="AM1468" s="3237"/>
      <c r="AN1468" s="2266"/>
      <c r="AO1468" s="2266"/>
      <c r="AP1468" s="2266"/>
      <c r="AQ1468" s="2266"/>
      <c r="AR1468" s="2266"/>
      <c r="AS1468" s="2266"/>
      <c r="AT1468" s="2266"/>
      <c r="AU1468" s="2266"/>
      <c r="AV1468" s="2266"/>
      <c r="AW1468" s="2266"/>
      <c r="AX1468" s="2266"/>
      <c r="AY1468" s="2266"/>
      <c r="AZ1468" s="2266"/>
      <c r="BA1468" s="2266"/>
      <c r="BB1468" s="2266"/>
      <c r="BC1468" s="2266"/>
      <c r="BD1468" s="2266"/>
      <c r="BE1468" s="2266"/>
      <c r="BF1468" s="2266"/>
      <c r="BG1468" s="2266"/>
      <c r="BH1468" s="2266"/>
      <c r="BI1468" s="2266"/>
      <c r="BJ1468" s="2266"/>
      <c r="BK1468" s="2266"/>
      <c r="BL1468" s="2266"/>
      <c r="BM1468" s="2266"/>
      <c r="BN1468" s="2266"/>
      <c r="BO1468" s="2266"/>
      <c r="BP1468" s="2266"/>
      <c r="BQ1468" s="2266"/>
      <c r="BR1468" s="2266"/>
      <c r="BS1468" s="2266"/>
      <c r="BT1468" s="2266"/>
      <c r="BU1468" s="2266"/>
      <c r="BV1468" s="2266"/>
      <c r="BW1468" s="2266"/>
      <c r="BX1468" s="2266"/>
    </row>
    <row r="1469" spans="1:76" s="2263" customFormat="1" ht="51">
      <c r="A1469" s="1486"/>
      <c r="B1469" s="1486"/>
      <c r="C1469" s="1484"/>
      <c r="D1469" s="1484"/>
      <c r="E1469" s="1484"/>
      <c r="F1469" s="1484"/>
      <c r="G1469" s="1484"/>
      <c r="H1469" s="1484"/>
      <c r="I1469" s="1936" t="s">
        <v>3626</v>
      </c>
      <c r="J1469" s="3169" t="s">
        <v>3942</v>
      </c>
      <c r="K1469" s="2334">
        <v>10</v>
      </c>
      <c r="L1469" s="2402">
        <v>525000000</v>
      </c>
      <c r="M1469" s="2334">
        <v>2</v>
      </c>
      <c r="N1469" s="2402">
        <v>76246300</v>
      </c>
      <c r="O1469" s="2334">
        <v>2</v>
      </c>
      <c r="P1469" s="2402">
        <v>57734164</v>
      </c>
      <c r="Q1469" s="3132">
        <v>0.5</v>
      </c>
      <c r="R1469" s="2402">
        <v>18661420</v>
      </c>
      <c r="S1469" s="3131">
        <v>0.5</v>
      </c>
      <c r="T1469" s="2402">
        <v>21337820</v>
      </c>
      <c r="U1469" s="2402">
        <v>0</v>
      </c>
      <c r="V1469" s="2402">
        <v>0</v>
      </c>
      <c r="W1469" s="2402">
        <v>0</v>
      </c>
      <c r="X1469" s="2402">
        <v>0</v>
      </c>
      <c r="Y1469" s="2585">
        <f t="shared" si="499"/>
        <v>1</v>
      </c>
      <c r="Z1469" s="2739">
        <f t="shared" si="482"/>
        <v>39999240</v>
      </c>
      <c r="AA1469" s="2334">
        <f t="shared" si="495"/>
        <v>3</v>
      </c>
      <c r="AB1469" s="2402">
        <f t="shared" si="496"/>
        <v>116245540</v>
      </c>
      <c r="AC1469" s="2586">
        <f t="shared" si="497"/>
        <v>30</v>
      </c>
      <c r="AD1469" s="2586">
        <f t="shared" si="498"/>
        <v>22.142007619047618</v>
      </c>
      <c r="AE1469" s="2736"/>
      <c r="AF1469" s="2266"/>
      <c r="AG1469" s="3237"/>
      <c r="AH1469" s="3237"/>
      <c r="AI1469" s="3237"/>
      <c r="AJ1469" s="3237"/>
      <c r="AK1469" s="3237"/>
      <c r="AL1469" s="3237"/>
      <c r="AM1469" s="3237"/>
      <c r="AN1469" s="2266"/>
      <c r="AO1469" s="2266"/>
      <c r="AP1469" s="2266"/>
      <c r="AQ1469" s="2266"/>
      <c r="AR1469" s="2266"/>
      <c r="AS1469" s="2266"/>
      <c r="AT1469" s="2266"/>
      <c r="AU1469" s="2266"/>
      <c r="AV1469" s="2266"/>
      <c r="AW1469" s="2266"/>
      <c r="AX1469" s="2266"/>
      <c r="AY1469" s="2266"/>
      <c r="AZ1469" s="2266"/>
      <c r="BA1469" s="2266"/>
      <c r="BB1469" s="2266"/>
      <c r="BC1469" s="2266"/>
      <c r="BD1469" s="2266"/>
      <c r="BE1469" s="2266"/>
      <c r="BF1469" s="2266"/>
      <c r="BG1469" s="2266"/>
      <c r="BH1469" s="2266"/>
      <c r="BI1469" s="2266"/>
      <c r="BJ1469" s="2266"/>
      <c r="BK1469" s="2266"/>
      <c r="BL1469" s="2266"/>
      <c r="BM1469" s="2266"/>
      <c r="BN1469" s="2266"/>
      <c r="BO1469" s="2266"/>
      <c r="BP1469" s="2266"/>
      <c r="BQ1469" s="2266"/>
      <c r="BR1469" s="2266"/>
      <c r="BS1469" s="2266"/>
      <c r="BT1469" s="2266"/>
      <c r="BU1469" s="2266"/>
      <c r="BV1469" s="2266"/>
      <c r="BW1469" s="2266"/>
      <c r="BX1469" s="2266"/>
    </row>
    <row r="1470" spans="1:76" s="2728" customFormat="1" ht="86.25" customHeight="1">
      <c r="A1470" s="2578">
        <v>9</v>
      </c>
      <c r="B1470" s="2501" t="s">
        <v>3463</v>
      </c>
      <c r="C1470" s="2575"/>
      <c r="D1470" s="2575"/>
      <c r="E1470" s="2575"/>
      <c r="F1470" s="2575"/>
      <c r="G1470" s="2575"/>
      <c r="H1470" s="2575"/>
      <c r="I1470" s="2501" t="s">
        <v>3464</v>
      </c>
      <c r="J1470" s="3153" t="s">
        <v>3500</v>
      </c>
      <c r="K1470" s="2577">
        <v>100</v>
      </c>
      <c r="L1470" s="2638">
        <f>SUM(L1471:L1472)</f>
        <v>1787000000</v>
      </c>
      <c r="M1470" s="2577">
        <v>80</v>
      </c>
      <c r="N1470" s="2754">
        <f>SUM(N1471:N1472)</f>
        <v>329273993</v>
      </c>
      <c r="O1470" s="2577">
        <v>10</v>
      </c>
      <c r="P1470" s="2754">
        <f>SUM(P1471:P1472)</f>
        <v>172623600</v>
      </c>
      <c r="Q1470" s="2747">
        <v>2</v>
      </c>
      <c r="R1470" s="2638">
        <f>SUM(R1471:R1472)</f>
        <v>65234100</v>
      </c>
      <c r="S1470" s="2638">
        <v>0</v>
      </c>
      <c r="T1470" s="2638">
        <f>SUM(T1471:T1472)</f>
        <v>54959347</v>
      </c>
      <c r="U1470" s="2638">
        <v>0</v>
      </c>
      <c r="V1470" s="2638">
        <f>SUM(V1471:V1472)</f>
        <v>0</v>
      </c>
      <c r="W1470" s="2638">
        <v>0</v>
      </c>
      <c r="X1470" s="2638">
        <f>SUM(X1471:X1472)</f>
        <v>0</v>
      </c>
      <c r="Y1470" s="2584">
        <f t="shared" si="499"/>
        <v>2</v>
      </c>
      <c r="Z1470" s="2638">
        <f t="shared" si="482"/>
        <v>120193447</v>
      </c>
      <c r="AA1470" s="2577">
        <f t="shared" ref="AA1470:AA1479" si="500">+Y1470+M1470</f>
        <v>82</v>
      </c>
      <c r="AB1470" s="2638">
        <f t="shared" ref="AB1470:AB1479" si="501">+N1470+Z1470</f>
        <v>449467440</v>
      </c>
      <c r="AC1470" s="2584">
        <f t="shared" ref="AC1470:AC1479" si="502">(AA1470/K1470)*100</f>
        <v>82</v>
      </c>
      <c r="AD1470" s="2584">
        <f t="shared" ref="AD1470:AD1479" si="503">(AB1470/L1470)*100</f>
        <v>25.152067151650808</v>
      </c>
      <c r="AE1470" s="3135" t="s">
        <v>82</v>
      </c>
      <c r="AF1470" s="353"/>
      <c r="AG1470" s="3237"/>
      <c r="AH1470" s="3237"/>
      <c r="AI1470" s="3237"/>
      <c r="AJ1470" s="3237"/>
      <c r="AK1470" s="3237"/>
      <c r="AL1470" s="3237"/>
      <c r="AM1470" s="3237"/>
      <c r="AN1470" s="353"/>
      <c r="AO1470" s="353"/>
      <c r="AP1470" s="353"/>
      <c r="AQ1470" s="353"/>
      <c r="AR1470" s="353"/>
      <c r="AS1470" s="353"/>
      <c r="AT1470" s="353"/>
      <c r="AU1470" s="353"/>
      <c r="AV1470" s="353"/>
      <c r="AW1470" s="353"/>
      <c r="AX1470" s="353"/>
      <c r="AY1470" s="353"/>
      <c r="AZ1470" s="353"/>
      <c r="BA1470" s="353"/>
      <c r="BB1470" s="353"/>
      <c r="BC1470" s="353"/>
      <c r="BD1470" s="353"/>
      <c r="BE1470" s="353"/>
      <c r="BF1470" s="353"/>
      <c r="BG1470" s="353"/>
      <c r="BH1470" s="353"/>
      <c r="BI1470" s="353"/>
      <c r="BJ1470" s="353"/>
      <c r="BK1470" s="353"/>
      <c r="BL1470" s="353"/>
      <c r="BM1470" s="353"/>
      <c r="BN1470" s="353"/>
      <c r="BO1470" s="353"/>
      <c r="BP1470" s="353"/>
      <c r="BQ1470" s="353"/>
      <c r="BR1470" s="353"/>
      <c r="BS1470" s="353"/>
      <c r="BT1470" s="353"/>
      <c r="BU1470" s="353"/>
      <c r="BV1470" s="353"/>
      <c r="BW1470" s="353"/>
      <c r="BX1470" s="353"/>
    </row>
    <row r="1471" spans="1:76" s="2263" customFormat="1" ht="56.25" customHeight="1">
      <c r="A1471" s="1486"/>
      <c r="B1471" s="3169"/>
      <c r="C1471" s="1484"/>
      <c r="D1471" s="1484"/>
      <c r="E1471" s="1484"/>
      <c r="F1471" s="1484"/>
      <c r="G1471" s="1484"/>
      <c r="H1471" s="1484"/>
      <c r="I1471" s="1936" t="s">
        <v>3465</v>
      </c>
      <c r="J1471" s="3169" t="s">
        <v>3501</v>
      </c>
      <c r="K1471" s="2334">
        <v>5</v>
      </c>
      <c r="L1471" s="2402">
        <v>527000000</v>
      </c>
      <c r="M1471" s="2334">
        <v>1</v>
      </c>
      <c r="N1471" s="2402">
        <v>106804793</v>
      </c>
      <c r="O1471" s="2334">
        <v>1</v>
      </c>
      <c r="P1471" s="2402">
        <v>59914600</v>
      </c>
      <c r="Q1471" s="2748">
        <v>0</v>
      </c>
      <c r="R1471" s="2402">
        <v>59914600</v>
      </c>
      <c r="S1471" s="2402">
        <v>0</v>
      </c>
      <c r="T1471" s="2402">
        <v>30809847</v>
      </c>
      <c r="U1471" s="2402">
        <v>0</v>
      </c>
      <c r="V1471" s="2402">
        <v>0</v>
      </c>
      <c r="W1471" s="2402">
        <v>0</v>
      </c>
      <c r="X1471" s="2402">
        <v>0</v>
      </c>
      <c r="Y1471" s="2585">
        <f t="shared" si="499"/>
        <v>0</v>
      </c>
      <c r="Z1471" s="2402">
        <f t="shared" si="482"/>
        <v>90724447</v>
      </c>
      <c r="AA1471" s="2334">
        <f t="shared" si="500"/>
        <v>1</v>
      </c>
      <c r="AB1471" s="2402">
        <f t="shared" si="501"/>
        <v>197529240</v>
      </c>
      <c r="AC1471" s="2735">
        <f t="shared" si="502"/>
        <v>20</v>
      </c>
      <c r="AD1471" s="2586">
        <f t="shared" si="503"/>
        <v>37.481829222011385</v>
      </c>
      <c r="AE1471" s="2736"/>
      <c r="AF1471" s="2266"/>
      <c r="AG1471" s="3237"/>
      <c r="AH1471" s="3237"/>
      <c r="AI1471" s="3237"/>
      <c r="AJ1471" s="3237"/>
      <c r="AK1471" s="3237"/>
      <c r="AL1471" s="3237"/>
      <c r="AM1471" s="3237"/>
      <c r="AN1471" s="2266"/>
      <c r="AO1471" s="2266"/>
      <c r="AP1471" s="2266"/>
      <c r="AQ1471" s="2266"/>
      <c r="AR1471" s="2266"/>
      <c r="AS1471" s="2266"/>
      <c r="AT1471" s="2266"/>
      <c r="AU1471" s="2266"/>
      <c r="AV1471" s="2266"/>
      <c r="AW1471" s="2266"/>
      <c r="AX1471" s="2266"/>
      <c r="AY1471" s="2266"/>
      <c r="AZ1471" s="2266"/>
      <c r="BA1471" s="2266"/>
      <c r="BB1471" s="2266"/>
      <c r="BC1471" s="2266"/>
      <c r="BD1471" s="2266"/>
      <c r="BE1471" s="2266"/>
      <c r="BF1471" s="2266"/>
      <c r="BG1471" s="2266"/>
      <c r="BH1471" s="2266"/>
      <c r="BI1471" s="2266"/>
      <c r="BJ1471" s="2266"/>
      <c r="BK1471" s="2266"/>
      <c r="BL1471" s="2266"/>
      <c r="BM1471" s="2266"/>
      <c r="BN1471" s="2266"/>
      <c r="BO1471" s="2266"/>
      <c r="BP1471" s="2266"/>
      <c r="BQ1471" s="2266"/>
      <c r="BR1471" s="2266"/>
      <c r="BS1471" s="2266"/>
      <c r="BT1471" s="2266"/>
      <c r="BU1471" s="2266"/>
      <c r="BV1471" s="2266"/>
      <c r="BW1471" s="2266"/>
      <c r="BX1471" s="2266"/>
    </row>
    <row r="1472" spans="1:76" s="2263" customFormat="1" ht="59.25" customHeight="1">
      <c r="A1472" s="1486"/>
      <c r="B1472" s="3169"/>
      <c r="C1472" s="1484"/>
      <c r="D1472" s="1484"/>
      <c r="E1472" s="1484"/>
      <c r="F1472" s="1484"/>
      <c r="G1472" s="1484"/>
      <c r="H1472" s="1484"/>
      <c r="I1472" s="1936" t="s">
        <v>3466</v>
      </c>
      <c r="J1472" s="3169" t="s">
        <v>3467</v>
      </c>
      <c r="K1472" s="2334">
        <v>6</v>
      </c>
      <c r="L1472" s="2402">
        <v>1260000000</v>
      </c>
      <c r="M1472" s="2334">
        <v>2</v>
      </c>
      <c r="N1472" s="2402">
        <v>222469200</v>
      </c>
      <c r="O1472" s="2334">
        <v>1</v>
      </c>
      <c r="P1472" s="2402">
        <v>112709000</v>
      </c>
      <c r="Q1472" s="2748">
        <v>0</v>
      </c>
      <c r="R1472" s="2402">
        <v>5319500</v>
      </c>
      <c r="S1472" s="2402">
        <v>0</v>
      </c>
      <c r="T1472" s="2402">
        <v>24149500</v>
      </c>
      <c r="U1472" s="2402">
        <v>0</v>
      </c>
      <c r="V1472" s="2402">
        <v>0</v>
      </c>
      <c r="W1472" s="2402">
        <v>0</v>
      </c>
      <c r="X1472" s="2402">
        <v>0</v>
      </c>
      <c r="Y1472" s="2585">
        <f t="shared" si="499"/>
        <v>0</v>
      </c>
      <c r="Z1472" s="2402">
        <f t="shared" si="482"/>
        <v>29469000</v>
      </c>
      <c r="AA1472" s="2334">
        <f t="shared" si="500"/>
        <v>2</v>
      </c>
      <c r="AB1472" s="2402">
        <f t="shared" si="501"/>
        <v>251938200</v>
      </c>
      <c r="AC1472" s="2586">
        <f t="shared" si="502"/>
        <v>33.333333333333329</v>
      </c>
      <c r="AD1472" s="2586">
        <f t="shared" si="503"/>
        <v>19.995095238095235</v>
      </c>
      <c r="AE1472" s="2736"/>
      <c r="AF1472" s="2266"/>
      <c r="AG1472" s="3237"/>
      <c r="AH1472" s="3237"/>
      <c r="AI1472" s="3237"/>
      <c r="AJ1472" s="3237"/>
      <c r="AK1472" s="3237"/>
      <c r="AL1472" s="3237"/>
      <c r="AM1472" s="3237"/>
      <c r="AN1472" s="2266"/>
      <c r="AO1472" s="2266"/>
      <c r="AP1472" s="2266"/>
      <c r="AQ1472" s="2266"/>
      <c r="AR1472" s="2266"/>
      <c r="AS1472" s="2266"/>
      <c r="AT1472" s="2266"/>
      <c r="AU1472" s="2266"/>
      <c r="AV1472" s="2266"/>
      <c r="AW1472" s="2266"/>
      <c r="AX1472" s="2266"/>
      <c r="AY1472" s="2266"/>
      <c r="AZ1472" s="2266"/>
      <c r="BA1472" s="2266"/>
      <c r="BB1472" s="2266"/>
      <c r="BC1472" s="2266"/>
      <c r="BD1472" s="2266"/>
      <c r="BE1472" s="2266"/>
      <c r="BF1472" s="2266"/>
      <c r="BG1472" s="2266"/>
      <c r="BH1472" s="2266"/>
      <c r="BI1472" s="2266"/>
      <c r="BJ1472" s="2266"/>
      <c r="BK1472" s="2266"/>
      <c r="BL1472" s="2266"/>
      <c r="BM1472" s="2266"/>
      <c r="BN1472" s="2266"/>
      <c r="BO1472" s="2266"/>
      <c r="BP1472" s="2266"/>
      <c r="BQ1472" s="2266"/>
      <c r="BR1472" s="2266"/>
      <c r="BS1472" s="2266"/>
      <c r="BT1472" s="2266"/>
      <c r="BU1472" s="2266"/>
      <c r="BV1472" s="2266"/>
      <c r="BW1472" s="2266"/>
      <c r="BX1472" s="2266"/>
    </row>
    <row r="1473" spans="1:76" s="2728" customFormat="1" ht="73.5" customHeight="1">
      <c r="A1473" s="2578">
        <v>10</v>
      </c>
      <c r="B1473" s="2578"/>
      <c r="C1473" s="2575"/>
      <c r="D1473" s="2575"/>
      <c r="E1473" s="2575"/>
      <c r="F1473" s="2575"/>
      <c r="G1473" s="2575"/>
      <c r="H1473" s="2575"/>
      <c r="I1473" s="2501" t="s">
        <v>3468</v>
      </c>
      <c r="J1473" s="3153" t="s">
        <v>3493</v>
      </c>
      <c r="K1473" s="2747">
        <v>100</v>
      </c>
      <c r="L1473" s="2754">
        <f>L1474</f>
        <v>1398918000</v>
      </c>
      <c r="M1473" s="2747">
        <v>80</v>
      </c>
      <c r="N1473" s="2754">
        <f>N1474</f>
        <v>258780709</v>
      </c>
      <c r="O1473" s="2754">
        <v>8</v>
      </c>
      <c r="P1473" s="2754">
        <f>P1474</f>
        <v>125451809</v>
      </c>
      <c r="Q1473" s="2747">
        <v>2</v>
      </c>
      <c r="R1473" s="2754">
        <f>R1474</f>
        <v>9893000</v>
      </c>
      <c r="S1473" s="2638">
        <v>0</v>
      </c>
      <c r="T1473" s="2638">
        <f>SUM(T1474:T1474)</f>
        <v>23790400</v>
      </c>
      <c r="U1473" s="2638">
        <v>0</v>
      </c>
      <c r="V1473" s="2638">
        <f>SUM(V1474:V1474)</f>
        <v>0</v>
      </c>
      <c r="W1473" s="2638">
        <v>0</v>
      </c>
      <c r="X1473" s="2638">
        <f>SUM(X1474:X1474)</f>
        <v>0</v>
      </c>
      <c r="Y1473" s="2584">
        <f t="shared" si="499"/>
        <v>2</v>
      </c>
      <c r="Z1473" s="2754">
        <f t="shared" si="482"/>
        <v>33683400</v>
      </c>
      <c r="AA1473" s="2577">
        <f t="shared" si="500"/>
        <v>82</v>
      </c>
      <c r="AB1473" s="2638">
        <f t="shared" si="501"/>
        <v>292464109</v>
      </c>
      <c r="AC1473" s="2584">
        <f t="shared" si="502"/>
        <v>82</v>
      </c>
      <c r="AD1473" s="2584">
        <f t="shared" si="503"/>
        <v>20.906451200141824</v>
      </c>
      <c r="AE1473" s="3135" t="s">
        <v>82</v>
      </c>
      <c r="AF1473" s="353"/>
      <c r="AG1473" s="3237"/>
      <c r="AH1473" s="3237"/>
      <c r="AI1473" s="3237"/>
      <c r="AJ1473" s="3237"/>
      <c r="AK1473" s="3237"/>
      <c r="AL1473" s="3237"/>
      <c r="AM1473" s="3237"/>
      <c r="AN1473" s="353"/>
      <c r="AO1473" s="353"/>
      <c r="AP1473" s="353"/>
      <c r="AQ1473" s="353"/>
      <c r="AR1473" s="353"/>
      <c r="AS1473" s="353"/>
      <c r="AT1473" s="353"/>
      <c r="AU1473" s="353"/>
      <c r="AV1473" s="353"/>
      <c r="AW1473" s="353"/>
      <c r="AX1473" s="353"/>
      <c r="AY1473" s="353"/>
      <c r="AZ1473" s="353"/>
      <c r="BA1473" s="353"/>
      <c r="BB1473" s="353"/>
      <c r="BC1473" s="353"/>
      <c r="BD1473" s="353"/>
      <c r="BE1473" s="353"/>
      <c r="BF1473" s="353"/>
      <c r="BG1473" s="353"/>
      <c r="BH1473" s="353"/>
      <c r="BI1473" s="353"/>
      <c r="BJ1473" s="353"/>
      <c r="BK1473" s="353"/>
      <c r="BL1473" s="353"/>
      <c r="BM1473" s="353"/>
      <c r="BN1473" s="353"/>
      <c r="BO1473" s="353"/>
      <c r="BP1473" s="353"/>
      <c r="BQ1473" s="353"/>
      <c r="BR1473" s="353"/>
      <c r="BS1473" s="353"/>
      <c r="BT1473" s="353"/>
      <c r="BU1473" s="353"/>
      <c r="BV1473" s="353"/>
      <c r="BW1473" s="353"/>
      <c r="BX1473" s="353"/>
    </row>
    <row r="1474" spans="1:76" s="2263" customFormat="1" ht="74.25" customHeight="1">
      <c r="A1474" s="1486"/>
      <c r="B1474" s="1486"/>
      <c r="C1474" s="1484"/>
      <c r="D1474" s="1484"/>
      <c r="E1474" s="1484"/>
      <c r="F1474" s="1484"/>
      <c r="G1474" s="1484"/>
      <c r="H1474" s="1484"/>
      <c r="I1474" s="1936" t="s">
        <v>3469</v>
      </c>
      <c r="J1474" s="3169" t="s">
        <v>3502</v>
      </c>
      <c r="K1474" s="2748">
        <v>72</v>
      </c>
      <c r="L1474" s="2402">
        <v>1398918000</v>
      </c>
      <c r="M1474" s="2748">
        <v>24</v>
      </c>
      <c r="N1474" s="2402">
        <v>258780709</v>
      </c>
      <c r="O1474" s="2739">
        <v>12</v>
      </c>
      <c r="P1474" s="2402">
        <v>125451809</v>
      </c>
      <c r="Q1474" s="2748">
        <v>3</v>
      </c>
      <c r="R1474" s="2402">
        <v>9893000</v>
      </c>
      <c r="S1474" s="2402">
        <v>0</v>
      </c>
      <c r="T1474" s="2402">
        <v>23790400</v>
      </c>
      <c r="U1474" s="2402">
        <v>0</v>
      </c>
      <c r="V1474" s="2402">
        <v>0</v>
      </c>
      <c r="W1474" s="2402">
        <v>0</v>
      </c>
      <c r="X1474" s="2402">
        <v>0</v>
      </c>
      <c r="Y1474" s="2585">
        <f t="shared" si="499"/>
        <v>3</v>
      </c>
      <c r="Z1474" s="2739">
        <f t="shared" si="482"/>
        <v>33683400</v>
      </c>
      <c r="AA1474" s="2334">
        <f t="shared" si="500"/>
        <v>27</v>
      </c>
      <c r="AB1474" s="2402">
        <f t="shared" si="501"/>
        <v>292464109</v>
      </c>
      <c r="AC1474" s="2586">
        <f t="shared" si="502"/>
        <v>37.5</v>
      </c>
      <c r="AD1474" s="2586">
        <f t="shared" si="503"/>
        <v>20.906451200141824</v>
      </c>
      <c r="AE1474" s="2736"/>
      <c r="AF1474" s="2266"/>
      <c r="AG1474" s="3237"/>
      <c r="AH1474" s="3237"/>
      <c r="AI1474" s="3237"/>
      <c r="AJ1474" s="3237"/>
      <c r="AK1474" s="3237"/>
      <c r="AL1474" s="3237"/>
      <c r="AM1474" s="3237"/>
      <c r="AN1474" s="2266"/>
      <c r="AO1474" s="2266"/>
      <c r="AP1474" s="2266"/>
      <c r="AQ1474" s="2266"/>
      <c r="AR1474" s="2266"/>
      <c r="AS1474" s="2266"/>
      <c r="AT1474" s="2266"/>
      <c r="AU1474" s="2266"/>
      <c r="AV1474" s="2266"/>
      <c r="AW1474" s="2266"/>
      <c r="AX1474" s="2266"/>
      <c r="AY1474" s="2266"/>
      <c r="AZ1474" s="2266"/>
      <c r="BA1474" s="2266"/>
      <c r="BB1474" s="2266"/>
      <c r="BC1474" s="2266"/>
      <c r="BD1474" s="2266"/>
      <c r="BE1474" s="2266"/>
      <c r="BF1474" s="2266"/>
      <c r="BG1474" s="2266"/>
      <c r="BH1474" s="2266"/>
      <c r="BI1474" s="2266"/>
      <c r="BJ1474" s="2266"/>
      <c r="BK1474" s="2266"/>
      <c r="BL1474" s="2266"/>
      <c r="BM1474" s="2266"/>
      <c r="BN1474" s="2266"/>
      <c r="BO1474" s="2266"/>
      <c r="BP1474" s="2266"/>
      <c r="BQ1474" s="2266"/>
      <c r="BR1474" s="2266"/>
      <c r="BS1474" s="2266"/>
      <c r="BT1474" s="2266"/>
      <c r="BU1474" s="2266"/>
      <c r="BV1474" s="2266"/>
      <c r="BW1474" s="2266"/>
      <c r="BX1474" s="2266"/>
    </row>
    <row r="1475" spans="1:76" s="2728" customFormat="1" ht="74.25" customHeight="1">
      <c r="A1475" s="2578">
        <v>11</v>
      </c>
      <c r="B1475" s="2578"/>
      <c r="C1475" s="2575"/>
      <c r="D1475" s="2575"/>
      <c r="E1475" s="2575"/>
      <c r="F1475" s="2575"/>
      <c r="G1475" s="2575"/>
      <c r="H1475" s="2575"/>
      <c r="I1475" s="3153" t="s">
        <v>3450</v>
      </c>
      <c r="J1475" s="3153" t="s">
        <v>3493</v>
      </c>
      <c r="K1475" s="2638">
        <v>100</v>
      </c>
      <c r="L1475" s="2638">
        <f>SUM(L1476:L1477)</f>
        <v>1299458500</v>
      </c>
      <c r="M1475" s="2638">
        <v>80</v>
      </c>
      <c r="N1475" s="2638">
        <f>SUM(N1476:N1477)</f>
        <v>330469848</v>
      </c>
      <c r="O1475" s="2638">
        <v>10</v>
      </c>
      <c r="P1475" s="2638">
        <f>SUM(P1476:P1477)</f>
        <v>135099600</v>
      </c>
      <c r="Q1475" s="2638">
        <v>3</v>
      </c>
      <c r="R1475" s="2638">
        <f>SUM(R1476:R1477)</f>
        <v>23024824</v>
      </c>
      <c r="S1475" s="2638">
        <v>0</v>
      </c>
      <c r="T1475" s="2638">
        <f>SUM(T1476:T1477)</f>
        <v>49389024</v>
      </c>
      <c r="U1475" s="2638">
        <v>0</v>
      </c>
      <c r="V1475" s="2638">
        <v>0</v>
      </c>
      <c r="W1475" s="2638">
        <v>0</v>
      </c>
      <c r="X1475" s="2638">
        <v>0</v>
      </c>
      <c r="Y1475" s="2584">
        <f t="shared" si="499"/>
        <v>3</v>
      </c>
      <c r="Z1475" s="2754">
        <f t="shared" si="482"/>
        <v>72413848</v>
      </c>
      <c r="AA1475" s="2584">
        <f t="shared" si="500"/>
        <v>83</v>
      </c>
      <c r="AB1475" s="2638">
        <f t="shared" si="501"/>
        <v>402883696</v>
      </c>
      <c r="AC1475" s="2732">
        <f t="shared" si="502"/>
        <v>83</v>
      </c>
      <c r="AD1475" s="2732">
        <f t="shared" si="503"/>
        <v>31.003967883545336</v>
      </c>
      <c r="AE1475" s="2502" t="s">
        <v>82</v>
      </c>
      <c r="AF1475" s="353"/>
      <c r="AG1475" s="3237"/>
      <c r="AH1475" s="3237"/>
      <c r="AI1475" s="3237"/>
      <c r="AJ1475" s="3237"/>
      <c r="AK1475" s="3237"/>
      <c r="AL1475" s="3237"/>
      <c r="AM1475" s="3237"/>
      <c r="AN1475" s="353"/>
      <c r="AO1475" s="353"/>
      <c r="AP1475" s="353"/>
      <c r="AQ1475" s="353"/>
      <c r="AR1475" s="353"/>
      <c r="AS1475" s="353"/>
      <c r="AT1475" s="353"/>
      <c r="AU1475" s="353"/>
      <c r="AV1475" s="353"/>
      <c r="AW1475" s="353"/>
      <c r="AX1475" s="353"/>
      <c r="AY1475" s="353"/>
      <c r="AZ1475" s="353"/>
      <c r="BA1475" s="353"/>
      <c r="BB1475" s="353"/>
      <c r="BC1475" s="353"/>
      <c r="BD1475" s="353"/>
      <c r="BE1475" s="353"/>
      <c r="BF1475" s="353"/>
      <c r="BG1475" s="353"/>
      <c r="BH1475" s="353"/>
      <c r="BI1475" s="353"/>
      <c r="BJ1475" s="353"/>
      <c r="BK1475" s="353"/>
      <c r="BL1475" s="353"/>
      <c r="BM1475" s="353"/>
      <c r="BN1475" s="353"/>
      <c r="BO1475" s="353"/>
      <c r="BP1475" s="353"/>
      <c r="BQ1475" s="353"/>
      <c r="BR1475" s="353"/>
      <c r="BS1475" s="353"/>
      <c r="BT1475" s="353"/>
      <c r="BU1475" s="353"/>
      <c r="BV1475" s="353"/>
      <c r="BW1475" s="353"/>
      <c r="BX1475" s="353"/>
    </row>
    <row r="1476" spans="1:76" s="2263" customFormat="1" ht="69.75" customHeight="1">
      <c r="A1476" s="1486"/>
      <c r="B1476" s="1486"/>
      <c r="C1476" s="1484"/>
      <c r="D1476" s="1484"/>
      <c r="E1476" s="1484"/>
      <c r="F1476" s="1484"/>
      <c r="G1476" s="1484"/>
      <c r="H1476" s="1484"/>
      <c r="I1476" s="1936" t="s">
        <v>3471</v>
      </c>
      <c r="J1476" s="1936" t="s">
        <v>3472</v>
      </c>
      <c r="K1476" s="2402">
        <v>6</v>
      </c>
      <c r="L1476" s="2402">
        <v>600000000</v>
      </c>
      <c r="M1476" s="2402">
        <v>2</v>
      </c>
      <c r="N1476" s="2402">
        <v>168055682</v>
      </c>
      <c r="O1476" s="2402">
        <v>1</v>
      </c>
      <c r="P1476" s="2402">
        <v>89223600</v>
      </c>
      <c r="Q1476" s="2402">
        <v>1</v>
      </c>
      <c r="R1476" s="2402">
        <v>11947700</v>
      </c>
      <c r="S1476" s="2402">
        <v>0</v>
      </c>
      <c r="T1476" s="2402">
        <v>30490100</v>
      </c>
      <c r="U1476" s="2402">
        <v>0</v>
      </c>
      <c r="V1476" s="2402">
        <v>0</v>
      </c>
      <c r="W1476" s="2402">
        <v>0</v>
      </c>
      <c r="X1476" s="2402">
        <v>0</v>
      </c>
      <c r="Y1476" s="2585">
        <f t="shared" si="499"/>
        <v>1</v>
      </c>
      <c r="Z1476" s="2739">
        <f t="shared" si="482"/>
        <v>42437800</v>
      </c>
      <c r="AA1476" s="2334">
        <f t="shared" si="500"/>
        <v>3</v>
      </c>
      <c r="AB1476" s="2402">
        <f t="shared" si="501"/>
        <v>210493482</v>
      </c>
      <c r="AC1476" s="2743">
        <f t="shared" si="502"/>
        <v>50</v>
      </c>
      <c r="AD1476" s="2743">
        <f t="shared" si="503"/>
        <v>35.082247000000002</v>
      </c>
      <c r="AE1476" s="2736"/>
      <c r="AF1476" s="2266"/>
      <c r="AG1476" s="3237"/>
      <c r="AH1476" s="3237"/>
      <c r="AI1476" s="3237"/>
      <c r="AJ1476" s="3237"/>
      <c r="AK1476" s="3237"/>
      <c r="AL1476" s="3237"/>
      <c r="AM1476" s="3237"/>
      <c r="AN1476" s="2266"/>
      <c r="AO1476" s="2266"/>
      <c r="AP1476" s="2266"/>
      <c r="AQ1476" s="2266"/>
      <c r="AR1476" s="2266"/>
      <c r="AS1476" s="2266"/>
      <c r="AT1476" s="2266"/>
      <c r="AU1476" s="2266"/>
      <c r="AV1476" s="2266"/>
      <c r="AW1476" s="2266"/>
      <c r="AX1476" s="2266"/>
      <c r="AY1476" s="2266"/>
      <c r="AZ1476" s="2266"/>
      <c r="BA1476" s="2266"/>
      <c r="BB1476" s="2266"/>
      <c r="BC1476" s="2266"/>
      <c r="BD1476" s="2266"/>
      <c r="BE1476" s="2266"/>
      <c r="BF1476" s="2266"/>
      <c r="BG1476" s="2266"/>
      <c r="BH1476" s="2266"/>
      <c r="BI1476" s="2266"/>
      <c r="BJ1476" s="2266"/>
      <c r="BK1476" s="2266"/>
      <c r="BL1476" s="2266"/>
      <c r="BM1476" s="2266"/>
      <c r="BN1476" s="2266"/>
      <c r="BO1476" s="2266"/>
      <c r="BP1476" s="2266"/>
      <c r="BQ1476" s="2266"/>
      <c r="BR1476" s="2266"/>
      <c r="BS1476" s="2266"/>
      <c r="BT1476" s="2266"/>
      <c r="BU1476" s="2266"/>
      <c r="BV1476" s="2266"/>
      <c r="BW1476" s="2266"/>
      <c r="BX1476" s="2266"/>
    </row>
    <row r="1477" spans="1:76" s="2263" customFormat="1" ht="71.25" customHeight="1">
      <c r="A1477" s="1486"/>
      <c r="B1477" s="1486"/>
      <c r="C1477" s="1484"/>
      <c r="D1477" s="1484"/>
      <c r="E1477" s="1484"/>
      <c r="F1477" s="1484"/>
      <c r="G1477" s="1484"/>
      <c r="H1477" s="1484"/>
      <c r="I1477" s="1936" t="s">
        <v>3697</v>
      </c>
      <c r="J1477" s="1936" t="s">
        <v>3473</v>
      </c>
      <c r="K1477" s="2402">
        <v>6</v>
      </c>
      <c r="L1477" s="2402">
        <v>699458500</v>
      </c>
      <c r="M1477" s="2402">
        <v>2</v>
      </c>
      <c r="N1477" s="2402">
        <v>162414166</v>
      </c>
      <c r="O1477" s="2402">
        <v>1</v>
      </c>
      <c r="P1477" s="2402">
        <v>45876000</v>
      </c>
      <c r="Q1477" s="2402">
        <v>1</v>
      </c>
      <c r="R1477" s="2402">
        <v>11077124</v>
      </c>
      <c r="S1477" s="2402">
        <v>0</v>
      </c>
      <c r="T1477" s="2402">
        <v>18898924</v>
      </c>
      <c r="U1477" s="2402">
        <v>0</v>
      </c>
      <c r="V1477" s="2402">
        <v>0</v>
      </c>
      <c r="W1477" s="2402">
        <v>0</v>
      </c>
      <c r="X1477" s="2402">
        <v>0</v>
      </c>
      <c r="Y1477" s="2585">
        <f t="shared" si="499"/>
        <v>1</v>
      </c>
      <c r="Z1477" s="2739">
        <f t="shared" si="482"/>
        <v>29976048</v>
      </c>
      <c r="AA1477" s="2334">
        <f t="shared" si="500"/>
        <v>3</v>
      </c>
      <c r="AB1477" s="2402">
        <f t="shared" si="501"/>
        <v>192390214</v>
      </c>
      <c r="AC1477" s="2743">
        <f t="shared" si="502"/>
        <v>50</v>
      </c>
      <c r="AD1477" s="2743">
        <f t="shared" si="503"/>
        <v>27.505593827224917</v>
      </c>
      <c r="AE1477" s="2736"/>
      <c r="AF1477" s="2266"/>
      <c r="AG1477" s="3237"/>
      <c r="AH1477" s="3237"/>
      <c r="AI1477" s="3237"/>
      <c r="AJ1477" s="3237"/>
      <c r="AK1477" s="3237"/>
      <c r="AL1477" s="3237"/>
      <c r="AM1477" s="3237"/>
      <c r="AN1477" s="2266"/>
      <c r="AO1477" s="2266"/>
      <c r="AP1477" s="2266"/>
      <c r="AQ1477" s="2266"/>
      <c r="AR1477" s="2266"/>
      <c r="AS1477" s="2266"/>
      <c r="AT1477" s="2266"/>
      <c r="AU1477" s="2266"/>
      <c r="AV1477" s="2266"/>
      <c r="AW1477" s="2266"/>
      <c r="AX1477" s="2266"/>
      <c r="AY1477" s="2266"/>
      <c r="AZ1477" s="2266"/>
      <c r="BA1477" s="2266"/>
      <c r="BB1477" s="2266"/>
      <c r="BC1477" s="2266"/>
      <c r="BD1477" s="2266"/>
      <c r="BE1477" s="2266"/>
      <c r="BF1477" s="2266"/>
      <c r="BG1477" s="2266"/>
      <c r="BH1477" s="2266"/>
      <c r="BI1477" s="2266"/>
      <c r="BJ1477" s="2266"/>
      <c r="BK1477" s="2266"/>
      <c r="BL1477" s="2266"/>
      <c r="BM1477" s="2266"/>
      <c r="BN1477" s="2266"/>
      <c r="BO1477" s="2266"/>
      <c r="BP1477" s="2266"/>
      <c r="BQ1477" s="2266"/>
      <c r="BR1477" s="2266"/>
      <c r="BS1477" s="2266"/>
      <c r="BT1477" s="2266"/>
      <c r="BU1477" s="2266"/>
      <c r="BV1477" s="2266"/>
      <c r="BW1477" s="2266"/>
      <c r="BX1477" s="2266"/>
    </row>
    <row r="1478" spans="1:76" s="2728" customFormat="1" ht="86.25" hidden="1" customHeight="1">
      <c r="A1478" s="2578">
        <v>8</v>
      </c>
      <c r="B1478" s="2350" t="s">
        <v>3474</v>
      </c>
      <c r="C1478" s="2575"/>
      <c r="D1478" s="2575"/>
      <c r="E1478" s="2575"/>
      <c r="F1478" s="2575"/>
      <c r="G1478" s="2575"/>
      <c r="H1478" s="2575"/>
      <c r="I1478" s="2501" t="s">
        <v>3453</v>
      </c>
      <c r="J1478" s="2501" t="s">
        <v>3454</v>
      </c>
      <c r="K1478" s="2747">
        <v>100</v>
      </c>
      <c r="L1478" s="2638">
        <f>L1479</f>
        <v>525000000</v>
      </c>
      <c r="M1478" s="2747">
        <v>90</v>
      </c>
      <c r="N1478" s="2638">
        <f>N1479</f>
        <v>76246300</v>
      </c>
      <c r="O1478" s="2747">
        <v>5</v>
      </c>
      <c r="P1478" s="2638">
        <f>P1479</f>
        <v>57734164</v>
      </c>
      <c r="Q1478" s="2747">
        <v>0</v>
      </c>
      <c r="R1478" s="2638">
        <f>R1479</f>
        <v>18661420</v>
      </c>
      <c r="S1478" s="2638">
        <v>0</v>
      </c>
      <c r="T1478" s="2638"/>
      <c r="U1478" s="2638">
        <v>0</v>
      </c>
      <c r="V1478" s="2638">
        <f>SUM(V1479:V1644)</f>
        <v>16327604747</v>
      </c>
      <c r="W1478" s="2638">
        <v>0</v>
      </c>
      <c r="X1478" s="2638">
        <f>SUM(X1479:X1644)</f>
        <v>0</v>
      </c>
      <c r="Y1478" s="2747">
        <f t="shared" si="499"/>
        <v>0</v>
      </c>
      <c r="Z1478" s="2638">
        <f>P1478+R1478</f>
        <v>76395584</v>
      </c>
      <c r="AA1478" s="2747">
        <f t="shared" si="500"/>
        <v>90</v>
      </c>
      <c r="AB1478" s="2638">
        <f t="shared" si="501"/>
        <v>152641884</v>
      </c>
      <c r="AC1478" s="2732">
        <f t="shared" si="502"/>
        <v>90</v>
      </c>
      <c r="AD1478" s="2732">
        <f t="shared" si="503"/>
        <v>29.074644571428571</v>
      </c>
      <c r="AE1478" s="3135" t="s">
        <v>82</v>
      </c>
      <c r="AF1478" s="353"/>
      <c r="AG1478" s="3237"/>
      <c r="AH1478" s="3237"/>
      <c r="AI1478" s="3237"/>
      <c r="AJ1478" s="3237"/>
      <c r="AK1478" s="3237"/>
      <c r="AL1478" s="3237"/>
      <c r="AM1478" s="3237"/>
      <c r="AN1478" s="353"/>
      <c r="AO1478" s="353"/>
      <c r="AP1478" s="353"/>
      <c r="AQ1478" s="353"/>
      <c r="AR1478" s="353"/>
      <c r="AS1478" s="353"/>
      <c r="AT1478" s="353"/>
      <c r="AU1478" s="353"/>
      <c r="AV1478" s="353"/>
      <c r="AW1478" s="353"/>
      <c r="AX1478" s="353"/>
      <c r="AY1478" s="353"/>
      <c r="AZ1478" s="353"/>
      <c r="BA1478" s="353"/>
      <c r="BB1478" s="353"/>
      <c r="BC1478" s="353"/>
      <c r="BD1478" s="353"/>
      <c r="BE1478" s="353"/>
      <c r="BF1478" s="353"/>
      <c r="BG1478" s="353"/>
      <c r="BH1478" s="353"/>
      <c r="BI1478" s="353"/>
      <c r="BJ1478" s="353"/>
      <c r="BK1478" s="353"/>
      <c r="BL1478" s="353"/>
      <c r="BM1478" s="353"/>
      <c r="BN1478" s="353"/>
      <c r="BO1478" s="353"/>
      <c r="BP1478" s="353"/>
      <c r="BQ1478" s="353"/>
      <c r="BR1478" s="353"/>
      <c r="BS1478" s="353"/>
      <c r="BT1478" s="353"/>
      <c r="BU1478" s="353"/>
      <c r="BV1478" s="353"/>
      <c r="BW1478" s="353"/>
      <c r="BX1478" s="353"/>
    </row>
    <row r="1479" spans="1:76" s="2263" customFormat="1" ht="96.75" hidden="1" customHeight="1">
      <c r="A1479" s="1486"/>
      <c r="B1479" s="3169"/>
      <c r="C1479" s="1484"/>
      <c r="D1479" s="1484"/>
      <c r="E1479" s="1484"/>
      <c r="F1479" s="1484"/>
      <c r="G1479" s="1484"/>
      <c r="H1479" s="1484"/>
      <c r="I1479" s="1936" t="s">
        <v>3626</v>
      </c>
      <c r="J1479" s="3169" t="s">
        <v>3627</v>
      </c>
      <c r="K1479" s="2334">
        <v>10</v>
      </c>
      <c r="L1479" s="2402">
        <v>525000000</v>
      </c>
      <c r="M1479" s="2334">
        <v>2</v>
      </c>
      <c r="N1479" s="2402">
        <v>76246300</v>
      </c>
      <c r="O1479" s="2334">
        <v>2</v>
      </c>
      <c r="P1479" s="2402">
        <v>57734164</v>
      </c>
      <c r="Q1479" s="2739">
        <v>1</v>
      </c>
      <c r="R1479" s="2402">
        <v>18661420</v>
      </c>
      <c r="S1479" s="2402">
        <v>0</v>
      </c>
      <c r="T1479" s="2402">
        <v>0</v>
      </c>
      <c r="U1479" s="2402">
        <v>0</v>
      </c>
      <c r="V1479" s="2402">
        <v>0</v>
      </c>
      <c r="W1479" s="2402">
        <v>0</v>
      </c>
      <c r="X1479" s="2402">
        <v>0</v>
      </c>
      <c r="Y1479" s="2585">
        <f t="shared" si="499"/>
        <v>1</v>
      </c>
      <c r="Z1479" s="2739">
        <f>P1479+R1479</f>
        <v>76395584</v>
      </c>
      <c r="AA1479" s="2334">
        <f t="shared" si="500"/>
        <v>3</v>
      </c>
      <c r="AB1479" s="2402">
        <f t="shared" si="501"/>
        <v>152641884</v>
      </c>
      <c r="AC1479" s="2586">
        <f t="shared" si="502"/>
        <v>30</v>
      </c>
      <c r="AD1479" s="2586">
        <f t="shared" si="503"/>
        <v>29.074644571428571</v>
      </c>
      <c r="AE1479" s="2736"/>
      <c r="AF1479" s="2266"/>
      <c r="AG1479" s="3237"/>
      <c r="AH1479" s="3237"/>
      <c r="AI1479" s="3237"/>
      <c r="AJ1479" s="3237"/>
      <c r="AK1479" s="3237"/>
      <c r="AL1479" s="3237"/>
      <c r="AM1479" s="3237"/>
      <c r="AN1479" s="2266"/>
      <c r="AO1479" s="2266"/>
      <c r="AP1479" s="2266"/>
      <c r="AQ1479" s="2266"/>
      <c r="AR1479" s="2266"/>
      <c r="AS1479" s="2266"/>
      <c r="AT1479" s="2266"/>
      <c r="AU1479" s="2266"/>
      <c r="AV1479" s="2266"/>
      <c r="AW1479" s="2266"/>
      <c r="AX1479" s="2266"/>
      <c r="AY1479" s="2266"/>
      <c r="AZ1479" s="2266"/>
      <c r="BA1479" s="2266"/>
      <c r="BB1479" s="2266"/>
      <c r="BC1479" s="2266"/>
      <c r="BD1479" s="2266"/>
      <c r="BE1479" s="2266"/>
      <c r="BF1479" s="2266"/>
      <c r="BG1479" s="2266"/>
      <c r="BH1479" s="2266"/>
      <c r="BI1479" s="2266"/>
      <c r="BJ1479" s="2266"/>
      <c r="BK1479" s="2266"/>
      <c r="BL1479" s="2266"/>
      <c r="BM1479" s="2266"/>
      <c r="BN1479" s="2266"/>
      <c r="BO1479" s="2266"/>
      <c r="BP1479" s="2266"/>
      <c r="BQ1479" s="2266"/>
      <c r="BR1479" s="2266"/>
      <c r="BS1479" s="2266"/>
      <c r="BT1479" s="2266"/>
      <c r="BU1479" s="2266"/>
      <c r="BV1479" s="2266"/>
      <c r="BW1479" s="2266"/>
      <c r="BX1479" s="2266"/>
    </row>
    <row r="1480" spans="1:76" s="114" customFormat="1" ht="18.75" customHeight="1">
      <c r="A1480" s="4244" t="s">
        <v>89</v>
      </c>
      <c r="B1480" s="4244"/>
      <c r="C1480" s="4244"/>
      <c r="D1480" s="4244"/>
      <c r="E1480" s="4244"/>
      <c r="F1480" s="4244"/>
      <c r="G1480" s="4244"/>
      <c r="H1480" s="4244"/>
      <c r="I1480" s="4244"/>
      <c r="J1480" s="4244"/>
      <c r="K1480" s="4244"/>
      <c r="L1480" s="4244"/>
      <c r="M1480" s="4244"/>
      <c r="N1480" s="4244"/>
      <c r="O1480" s="4244"/>
      <c r="P1480" s="4244"/>
      <c r="Q1480" s="4244"/>
      <c r="R1480" s="4244"/>
      <c r="S1480" s="4244"/>
      <c r="T1480" s="4244"/>
      <c r="U1480" s="4244"/>
      <c r="V1480" s="4244"/>
      <c r="W1480" s="4244"/>
      <c r="X1480" s="4244"/>
      <c r="Y1480" s="4244"/>
      <c r="Z1480" s="4244"/>
      <c r="AA1480" s="4244"/>
      <c r="AB1480" s="4244"/>
      <c r="AC1480" s="2030">
        <f>(AC1421+AC1436+AC1440+AC1443+AC1449+AC1452+AC1454+AC1456+AC1470+AC1473+AC1475+AC1478)/12</f>
        <v>72.194444444444443</v>
      </c>
      <c r="AD1480" s="2030">
        <f>(AD1421+AD1436+AD1440+AD1443+AD1449+AD1452+AD1454+AD1456+AD1470+AD1473+AD1475+AD1478)/12</f>
        <v>38.549983580102243</v>
      </c>
      <c r="AE1480" s="390"/>
    </row>
    <row r="1481" spans="1:76" s="475" customFormat="1" ht="15.75" customHeight="1">
      <c r="A1481" s="4244" t="s">
        <v>90</v>
      </c>
      <c r="B1481" s="4244"/>
      <c r="C1481" s="4244"/>
      <c r="D1481" s="4244"/>
      <c r="E1481" s="4244"/>
      <c r="F1481" s="4244"/>
      <c r="G1481" s="4244"/>
      <c r="H1481" s="4244"/>
      <c r="I1481" s="4244"/>
      <c r="J1481" s="4244"/>
      <c r="K1481" s="4244"/>
      <c r="L1481" s="4244"/>
      <c r="M1481" s="4244"/>
      <c r="N1481" s="4244"/>
      <c r="O1481" s="4244"/>
      <c r="P1481" s="4244"/>
      <c r="Q1481" s="4244"/>
      <c r="R1481" s="4244"/>
      <c r="S1481" s="4244"/>
      <c r="T1481" s="4244"/>
      <c r="U1481" s="4244"/>
      <c r="V1481" s="4244"/>
      <c r="W1481" s="4244"/>
      <c r="X1481" s="4244"/>
      <c r="Y1481" s="4244"/>
      <c r="Z1481" s="4244"/>
      <c r="AA1481" s="4244"/>
      <c r="AB1481" s="4244"/>
      <c r="AC1481" s="3152" t="str">
        <f>IF(AC1480&gt;=91,"ST",IF(AC1480&gt;=76,"T",IF(AC1480&gt;=66,"S",IF(AC1480&gt;=51,"R","SR"))))</f>
        <v>S</v>
      </c>
      <c r="AD1481" s="3152" t="str">
        <f>IF(AD1480&gt;=91,"ST",IF(AD1480&gt;=76,"T",IF(AD1480&gt;=66,"S",IF(AD1480&gt;=51,"R","SR"))))</f>
        <v>SR</v>
      </c>
      <c r="AE1481" s="390"/>
    </row>
    <row r="1482" spans="1:76" s="2983" customFormat="1" ht="28.5" customHeight="1">
      <c r="A1482" s="2546" t="s">
        <v>122</v>
      </c>
      <c r="B1482" s="2918"/>
      <c r="C1482" s="2546"/>
      <c r="D1482" s="2546"/>
      <c r="E1482" s="2546"/>
      <c r="F1482" s="2546"/>
      <c r="G1482" s="2546"/>
      <c r="H1482" s="2546"/>
      <c r="I1482" s="2515" t="s">
        <v>220</v>
      </c>
      <c r="J1482" s="2918"/>
      <c r="K1482" s="3210"/>
      <c r="L1482" s="3195">
        <f>L1483+L1552</f>
        <v>63739443324.393799</v>
      </c>
      <c r="M1482" s="3210"/>
      <c r="N1482" s="3195">
        <f>N1483+N1552</f>
        <v>15537727230</v>
      </c>
      <c r="O1482" s="3210"/>
      <c r="P1482" s="3195">
        <f>SUM(P1484+P1497+P1505+P1508+P1512+P1538)</f>
        <v>6232605147.8500004</v>
      </c>
      <c r="Q1482" s="3210"/>
      <c r="R1482" s="2916">
        <f>R1483+R1552</f>
        <v>1298053254</v>
      </c>
      <c r="S1482" s="2918"/>
      <c r="T1482" s="2916">
        <f>T1483+T1552</f>
        <v>3737870455.75</v>
      </c>
      <c r="U1482" s="2918"/>
      <c r="V1482" s="2916">
        <f>V1483+V1552</f>
        <v>3102275754</v>
      </c>
      <c r="W1482" s="2918"/>
      <c r="X1482" s="2918"/>
      <c r="Y1482" s="3210"/>
      <c r="Z1482" s="2916">
        <f>SUM(Z1484+Z1497+Z1505+Z1508+Z1510+Z1512+Z1538+Z1545)</f>
        <v>4771989926.75</v>
      </c>
      <c r="AA1482" s="3210"/>
      <c r="AB1482" s="2916">
        <f>AB1483+AB1552</f>
        <v>23296370080.75</v>
      </c>
      <c r="AC1482" s="3210"/>
      <c r="AD1482" s="3210"/>
      <c r="AE1482" s="3211"/>
      <c r="AF1482" s="642"/>
      <c r="AG1482" s="642"/>
      <c r="AH1482" s="642"/>
      <c r="AI1482" s="642"/>
      <c r="AJ1482" s="642"/>
      <c r="AK1482" s="642"/>
      <c r="AL1482" s="642"/>
      <c r="AM1482" s="642"/>
      <c r="AN1482" s="642"/>
      <c r="AO1482" s="642"/>
      <c r="AP1482" s="642"/>
      <c r="AQ1482" s="642"/>
      <c r="AR1482" s="642"/>
      <c r="AS1482" s="642"/>
      <c r="AT1482" s="642"/>
      <c r="AU1482" s="642"/>
      <c r="AV1482" s="642"/>
      <c r="AW1482" s="642"/>
      <c r="AX1482" s="642"/>
      <c r="AY1482" s="642"/>
      <c r="AZ1482" s="642"/>
      <c r="BA1482" s="642"/>
      <c r="BB1482" s="642"/>
      <c r="BC1482" s="642"/>
      <c r="BD1482" s="642"/>
      <c r="BE1482" s="642"/>
      <c r="BF1482" s="642"/>
      <c r="BG1482" s="642"/>
      <c r="BH1482" s="642"/>
      <c r="BI1482" s="642"/>
      <c r="BJ1482" s="642"/>
      <c r="BK1482" s="642"/>
      <c r="BL1482" s="642"/>
      <c r="BM1482" s="642"/>
      <c r="BN1482" s="642"/>
      <c r="BO1482" s="642"/>
      <c r="BP1482" s="642"/>
      <c r="BQ1482" s="642"/>
      <c r="BR1482" s="642"/>
      <c r="BS1482" s="642"/>
      <c r="BT1482" s="642"/>
      <c r="BU1482" s="642"/>
      <c r="BV1482" s="642"/>
      <c r="BW1482" s="642"/>
      <c r="BX1482" s="642"/>
    </row>
    <row r="1483" spans="1:76" ht="25.5" customHeight="1">
      <c r="A1483" s="2089" t="s">
        <v>3116</v>
      </c>
      <c r="B1483" s="2089"/>
      <c r="C1483" s="3842"/>
      <c r="D1483" s="3842"/>
      <c r="E1483" s="3842"/>
      <c r="F1483" s="3842"/>
      <c r="G1483" s="3842"/>
      <c r="H1483" s="3842"/>
      <c r="I1483" s="2089"/>
      <c r="J1483" s="2089"/>
      <c r="K1483" s="2089"/>
      <c r="L1483" s="3230">
        <f>L1484+L1497+L1505+L1508+L1510+L1512+L1545</f>
        <v>49211791077</v>
      </c>
      <c r="M1483" s="2089"/>
      <c r="N1483" s="3231">
        <f>N1484+N1497+N1505+N1508+N1510+N1512+N1545</f>
        <v>13440148360</v>
      </c>
      <c r="O1483" s="2089"/>
      <c r="P1483" s="3231">
        <f>SUM(P1484+P1497+P1505+P1508+P1510+P1512+P1538+P1545)</f>
        <v>6491291032.6000004</v>
      </c>
      <c r="Q1483" s="2089"/>
      <c r="R1483" s="3231">
        <f>R1484+R1497+R1505+R1508+R1510+R1512+R1545</f>
        <v>666714178</v>
      </c>
      <c r="S1483" s="2089"/>
      <c r="T1483" s="3231">
        <f>T1484+T1497+T1505+T1508+T1510+T1512+T1545</f>
        <v>2993328406.75</v>
      </c>
      <c r="U1483" s="2089"/>
      <c r="V1483" s="3231">
        <f>V1484+V1497+V1505+V1508+V1510+V1512+V1545</f>
        <v>992168932</v>
      </c>
      <c r="W1483" s="2089"/>
      <c r="X1483" s="2089"/>
      <c r="Y1483" s="2089"/>
      <c r="Z1483" s="3231">
        <f>Z1484+Z1497+Z1505+Z1508+Z1510+Z1512+Z1538+Z1545</f>
        <v>4771989926.75</v>
      </c>
      <c r="AA1483" s="2089"/>
      <c r="AB1483" s="3231">
        <f>AB1484+AB1497+AB1505+AB1508+AB1510+AB1512+AB1545</f>
        <v>18092359876.75</v>
      </c>
      <c r="AC1483" s="2089"/>
      <c r="AD1483" s="2089"/>
      <c r="AE1483" s="2090"/>
    </row>
    <row r="1484" spans="1:76" s="145" customFormat="1" ht="45.75" customHeight="1">
      <c r="A1484" s="2698">
        <v>1</v>
      </c>
      <c r="B1484" s="2513"/>
      <c r="C1484" s="2374">
        <v>3</v>
      </c>
      <c r="D1484" s="2374" t="s">
        <v>107</v>
      </c>
      <c r="E1484" s="2374" t="s">
        <v>196</v>
      </c>
      <c r="F1484" s="2374" t="s">
        <v>66</v>
      </c>
      <c r="G1484" s="2374"/>
      <c r="H1484" s="2374"/>
      <c r="I1484" s="2363" t="s">
        <v>221</v>
      </c>
      <c r="J1484" s="3162"/>
      <c r="K1484" s="2397">
        <v>72</v>
      </c>
      <c r="L1484" s="2568">
        <f>L1485+L1486+L1487+L1488+L1489+L1490+L1491+L1492+L1493+L1494+L1495</f>
        <v>9596926960</v>
      </c>
      <c r="M1484" s="2412">
        <v>24</v>
      </c>
      <c r="N1484" s="2361">
        <f>N1485+N1486+N1487+N1488+N1489+N1490+N1491+N1492+N1493+N1494+N1495+N1496</f>
        <v>2241606193</v>
      </c>
      <c r="O1484" s="2381">
        <v>12</v>
      </c>
      <c r="P1484" s="2568">
        <f>SUM(P1485:P1495)</f>
        <v>1529446674.8499999</v>
      </c>
      <c r="Q1484" s="2412">
        <v>3</v>
      </c>
      <c r="R1484" s="2442">
        <f>R1485+R1486+R1487+R1488+R1489+R1490+R1491+R1492+R1493+R1494+R1495+R1496</f>
        <v>161531792</v>
      </c>
      <c r="S1484" s="2442">
        <v>3</v>
      </c>
      <c r="T1484" s="2442">
        <f>SUM(T1485:T1496)</f>
        <v>717928717</v>
      </c>
      <c r="U1484" s="2442">
        <v>3</v>
      </c>
      <c r="V1484" s="2361">
        <f>SUM(V1485:V1496)</f>
        <v>418788603</v>
      </c>
      <c r="W1484" s="2442"/>
      <c r="X1484" s="2442"/>
      <c r="Y1484" s="2412">
        <f t="shared" ref="Y1484:Y1545" si="504">Q1484+S1484+U1484+W1484</f>
        <v>9</v>
      </c>
      <c r="Z1484" s="2361">
        <f>SUM(Z1485:Z1496)</f>
        <v>1298249112</v>
      </c>
      <c r="AA1484" s="3162">
        <f>+Y1484+M1484</f>
        <v>33</v>
      </c>
      <c r="AB1484" s="2361">
        <f>+N1484+Z1484</f>
        <v>3539855305</v>
      </c>
      <c r="AC1484" s="2505">
        <f>(AA1484/K1484)*100</f>
        <v>45.833333333333329</v>
      </c>
      <c r="AD1484" s="2505">
        <f>(AB1484/L1484)*100</f>
        <v>36.885300052340916</v>
      </c>
      <c r="AE1484" s="3138" t="s">
        <v>3421</v>
      </c>
    </row>
    <row r="1485" spans="1:76" s="63" customFormat="1" ht="70.5" customHeight="1">
      <c r="A1485" s="2283"/>
      <c r="B1485" s="2281"/>
      <c r="C1485" s="2448">
        <v>3</v>
      </c>
      <c r="D1485" s="2448" t="s">
        <v>107</v>
      </c>
      <c r="E1485" s="2448" t="s">
        <v>196</v>
      </c>
      <c r="F1485" s="2448" t="s">
        <v>66</v>
      </c>
      <c r="G1485" s="2448" t="s">
        <v>65</v>
      </c>
      <c r="H1485" s="2448"/>
      <c r="I1485" s="1762" t="s">
        <v>1521</v>
      </c>
      <c r="J1485" s="1380" t="s">
        <v>2822</v>
      </c>
      <c r="K1485" s="2285">
        <v>72</v>
      </c>
      <c r="L1485" s="2286">
        <v>1032900000</v>
      </c>
      <c r="M1485" s="2285">
        <v>24</v>
      </c>
      <c r="N1485" s="2287">
        <v>287896053</v>
      </c>
      <c r="O1485" s="2285">
        <v>12</v>
      </c>
      <c r="P1485" s="2286">
        <v>167400000</v>
      </c>
      <c r="Q1485" s="2285">
        <v>3</v>
      </c>
      <c r="R1485" s="2286">
        <v>42712654</v>
      </c>
      <c r="S1485" s="1387">
        <v>3</v>
      </c>
      <c r="T1485" s="3024">
        <v>95178867</v>
      </c>
      <c r="U1485" s="2286">
        <v>3</v>
      </c>
      <c r="V1485" s="2292">
        <v>48908713</v>
      </c>
      <c r="W1485" s="2286">
        <v>0</v>
      </c>
      <c r="X1485" s="2286">
        <v>0</v>
      </c>
      <c r="Y1485" s="2285">
        <f t="shared" si="504"/>
        <v>9</v>
      </c>
      <c r="Z1485" s="2292">
        <f t="shared" ref="Z1485:Z1544" si="505">R1485+T1485+V1485+X1485</f>
        <v>186800234</v>
      </c>
      <c r="AA1485" s="2285">
        <f t="shared" ref="AA1485:AB1496" si="506">M1485+Y1485</f>
        <v>33</v>
      </c>
      <c r="AB1485" s="2292">
        <f t="shared" si="506"/>
        <v>474696287</v>
      </c>
      <c r="AC1485" s="2288">
        <f t="shared" ref="AC1485:AD1495" si="507">AA1485/K1485*100%</f>
        <v>0.45833333333333331</v>
      </c>
      <c r="AD1485" s="2288">
        <f t="shared" si="507"/>
        <v>0.45957622906380097</v>
      </c>
      <c r="AE1485" s="2207"/>
    </row>
    <row r="1486" spans="1:76" s="475" customFormat="1" ht="84" customHeight="1">
      <c r="A1486" s="2283"/>
      <c r="B1486" s="2284"/>
      <c r="C1486" s="2448">
        <v>3</v>
      </c>
      <c r="D1486" s="2448" t="s">
        <v>107</v>
      </c>
      <c r="E1486" s="2448" t="s">
        <v>196</v>
      </c>
      <c r="F1486" s="2448" t="s">
        <v>66</v>
      </c>
      <c r="G1486" s="2448" t="s">
        <v>198</v>
      </c>
      <c r="H1486" s="2448"/>
      <c r="I1486" s="1762" t="s">
        <v>1287</v>
      </c>
      <c r="J1486" s="1380" t="s">
        <v>2823</v>
      </c>
      <c r="K1486" s="1396">
        <v>72</v>
      </c>
      <c r="L1486" s="2286">
        <v>4152757712</v>
      </c>
      <c r="M1486" s="2285">
        <v>24</v>
      </c>
      <c r="N1486" s="2287">
        <v>461759940</v>
      </c>
      <c r="O1486" s="2285">
        <v>12</v>
      </c>
      <c r="P1486" s="2295">
        <v>841996200.35000002</v>
      </c>
      <c r="Q1486" s="2285">
        <v>3</v>
      </c>
      <c r="R1486" s="2286">
        <v>30434566</v>
      </c>
      <c r="S1486" s="1387">
        <v>3</v>
      </c>
      <c r="T1486" s="3024">
        <v>372127357</v>
      </c>
      <c r="U1486" s="2286">
        <v>3</v>
      </c>
      <c r="V1486" s="2292">
        <v>243858962</v>
      </c>
      <c r="W1486" s="2286">
        <v>0</v>
      </c>
      <c r="X1486" s="2286">
        <v>0</v>
      </c>
      <c r="Y1486" s="2285">
        <f t="shared" si="504"/>
        <v>9</v>
      </c>
      <c r="Z1486" s="2292">
        <f t="shared" si="505"/>
        <v>646420885</v>
      </c>
      <c r="AA1486" s="2285">
        <f t="shared" si="506"/>
        <v>33</v>
      </c>
      <c r="AB1486" s="2292">
        <f t="shared" si="506"/>
        <v>1108180825</v>
      </c>
      <c r="AC1486" s="2288">
        <f t="shared" si="507"/>
        <v>0.45833333333333331</v>
      </c>
      <c r="AD1486" s="2288">
        <f t="shared" si="507"/>
        <v>0.26685419710322844</v>
      </c>
      <c r="AE1486" s="2207"/>
    </row>
    <row r="1487" spans="1:76" s="63" customFormat="1" ht="46.5" customHeight="1">
      <c r="A1487" s="2283"/>
      <c r="B1487" s="2284"/>
      <c r="C1487" s="2448">
        <v>3</v>
      </c>
      <c r="D1487" s="2448" t="s">
        <v>107</v>
      </c>
      <c r="E1487" s="2448" t="s">
        <v>196</v>
      </c>
      <c r="F1487" s="2448" t="s">
        <v>66</v>
      </c>
      <c r="G1487" s="2448" t="s">
        <v>93</v>
      </c>
      <c r="H1487" s="2448"/>
      <c r="I1487" s="1762" t="s">
        <v>149</v>
      </c>
      <c r="J1487" s="1380" t="s">
        <v>2824</v>
      </c>
      <c r="K1487" s="1396">
        <v>72</v>
      </c>
      <c r="L1487" s="2286">
        <v>957500000</v>
      </c>
      <c r="M1487" s="2285">
        <v>24</v>
      </c>
      <c r="N1487" s="2287">
        <v>287010570</v>
      </c>
      <c r="O1487" s="2285">
        <v>12</v>
      </c>
      <c r="P1487" s="2286">
        <v>152250000</v>
      </c>
      <c r="Q1487" s="2285">
        <v>3</v>
      </c>
      <c r="R1487" s="2286">
        <v>0</v>
      </c>
      <c r="S1487" s="1387">
        <v>3</v>
      </c>
      <c r="T1487" s="3024">
        <v>14343000</v>
      </c>
      <c r="U1487" s="2286">
        <v>3</v>
      </c>
      <c r="V1487" s="2292">
        <v>74650000</v>
      </c>
      <c r="W1487" s="2286">
        <v>0</v>
      </c>
      <c r="X1487" s="2286">
        <v>0</v>
      </c>
      <c r="Y1487" s="2285">
        <f t="shared" si="504"/>
        <v>9</v>
      </c>
      <c r="Z1487" s="2292">
        <f t="shared" si="505"/>
        <v>88993000</v>
      </c>
      <c r="AA1487" s="2285">
        <f t="shared" si="506"/>
        <v>33</v>
      </c>
      <c r="AB1487" s="2292">
        <f t="shared" si="506"/>
        <v>376003570</v>
      </c>
      <c r="AC1487" s="2288">
        <f t="shared" si="507"/>
        <v>0.45833333333333331</v>
      </c>
      <c r="AD1487" s="2288">
        <f t="shared" si="507"/>
        <v>0.3926930234986945</v>
      </c>
      <c r="AE1487" s="2207"/>
    </row>
    <row r="1488" spans="1:76" s="63" customFormat="1" ht="35.25" customHeight="1">
      <c r="A1488" s="2283"/>
      <c r="B1488" s="2284"/>
      <c r="C1488" s="2448">
        <v>3</v>
      </c>
      <c r="D1488" s="2448" t="s">
        <v>107</v>
      </c>
      <c r="E1488" s="2448" t="s">
        <v>196</v>
      </c>
      <c r="F1488" s="2448" t="s">
        <v>66</v>
      </c>
      <c r="G1488" s="2448">
        <v>10</v>
      </c>
      <c r="H1488" s="2448"/>
      <c r="I1488" s="1762" t="s">
        <v>1529</v>
      </c>
      <c r="J1488" s="1380" t="s">
        <v>2825</v>
      </c>
      <c r="K1488" s="1396">
        <v>72</v>
      </c>
      <c r="L1488" s="2286">
        <v>320908386</v>
      </c>
      <c r="M1488" s="2285">
        <v>24</v>
      </c>
      <c r="N1488" s="2286">
        <v>109499082</v>
      </c>
      <c r="O1488" s="2285">
        <v>12</v>
      </c>
      <c r="P1488" s="2286">
        <v>31898768</v>
      </c>
      <c r="Q1488" s="2285">
        <v>3</v>
      </c>
      <c r="R1488" s="2286">
        <v>1695300</v>
      </c>
      <c r="S1488" s="1387">
        <v>3</v>
      </c>
      <c r="T1488" s="3024">
        <v>14151548</v>
      </c>
      <c r="U1488" s="2286">
        <v>3</v>
      </c>
      <c r="V1488" s="2292">
        <v>8668928</v>
      </c>
      <c r="W1488" s="2286">
        <v>0</v>
      </c>
      <c r="X1488" s="2286">
        <v>0</v>
      </c>
      <c r="Y1488" s="2285">
        <f t="shared" si="504"/>
        <v>9</v>
      </c>
      <c r="Z1488" s="2292">
        <f t="shared" si="505"/>
        <v>24515776</v>
      </c>
      <c r="AA1488" s="2285">
        <f t="shared" si="506"/>
        <v>33</v>
      </c>
      <c r="AB1488" s="2292">
        <f t="shared" si="506"/>
        <v>134014858</v>
      </c>
      <c r="AC1488" s="2288">
        <f t="shared" si="507"/>
        <v>0.45833333333333331</v>
      </c>
      <c r="AD1488" s="2288">
        <f t="shared" si="507"/>
        <v>0.41761095641794788</v>
      </c>
      <c r="AE1488" s="2207"/>
    </row>
    <row r="1489" spans="1:31" s="63" customFormat="1" ht="59.25" customHeight="1">
      <c r="A1489" s="2283"/>
      <c r="B1489" s="2284"/>
      <c r="C1489" s="2448">
        <v>3</v>
      </c>
      <c r="D1489" s="2448" t="s">
        <v>107</v>
      </c>
      <c r="E1489" s="2448" t="s">
        <v>196</v>
      </c>
      <c r="F1489" s="2448" t="s">
        <v>66</v>
      </c>
      <c r="G1489" s="2448">
        <v>11</v>
      </c>
      <c r="H1489" s="2448"/>
      <c r="I1489" s="1762" t="s">
        <v>2826</v>
      </c>
      <c r="J1489" s="1380" t="s">
        <v>2827</v>
      </c>
      <c r="K1489" s="1396">
        <v>72</v>
      </c>
      <c r="L1489" s="2286">
        <v>243141229</v>
      </c>
      <c r="M1489" s="2285">
        <v>24</v>
      </c>
      <c r="N1489" s="2286">
        <v>79200836</v>
      </c>
      <c r="O1489" s="2285">
        <v>12</v>
      </c>
      <c r="P1489" s="2286">
        <v>34130529.5</v>
      </c>
      <c r="Q1489" s="2285">
        <v>3</v>
      </c>
      <c r="R1489" s="2286">
        <v>2475000</v>
      </c>
      <c r="S1489" s="1387">
        <v>3</v>
      </c>
      <c r="T1489" s="3024">
        <v>19240950</v>
      </c>
      <c r="U1489" s="2286">
        <v>3</v>
      </c>
      <c r="V1489" s="2292">
        <v>3901000</v>
      </c>
      <c r="W1489" s="2286">
        <v>0</v>
      </c>
      <c r="X1489" s="2286">
        <v>0</v>
      </c>
      <c r="Y1489" s="2285">
        <f t="shared" si="504"/>
        <v>9</v>
      </c>
      <c r="Z1489" s="2292">
        <f t="shared" si="505"/>
        <v>25616950</v>
      </c>
      <c r="AA1489" s="2285">
        <f t="shared" si="506"/>
        <v>33</v>
      </c>
      <c r="AB1489" s="2292">
        <f t="shared" si="506"/>
        <v>104817786</v>
      </c>
      <c r="AC1489" s="2288">
        <f t="shared" si="507"/>
        <v>0.45833333333333331</v>
      </c>
      <c r="AD1489" s="2288">
        <f t="shared" si="507"/>
        <v>0.43109836382376765</v>
      </c>
      <c r="AE1489" s="2207"/>
    </row>
    <row r="1490" spans="1:31" s="63" customFormat="1" ht="56.25" customHeight="1">
      <c r="A1490" s="2283"/>
      <c r="B1490" s="2284"/>
      <c r="C1490" s="2448">
        <v>3</v>
      </c>
      <c r="D1490" s="2448" t="s">
        <v>107</v>
      </c>
      <c r="E1490" s="2448" t="s">
        <v>196</v>
      </c>
      <c r="F1490" s="2448" t="s">
        <v>66</v>
      </c>
      <c r="G1490" s="2448">
        <v>12</v>
      </c>
      <c r="H1490" s="2448"/>
      <c r="I1490" s="1762" t="s">
        <v>2828</v>
      </c>
      <c r="J1490" s="1380" t="s">
        <v>2829</v>
      </c>
      <c r="K1490" s="1396">
        <v>72</v>
      </c>
      <c r="L1490" s="2286">
        <v>131754000</v>
      </c>
      <c r="M1490" s="2285">
        <v>24</v>
      </c>
      <c r="N1490" s="2286">
        <v>26495020</v>
      </c>
      <c r="O1490" s="2285">
        <v>12</v>
      </c>
      <c r="P1490" s="2286">
        <v>14850000</v>
      </c>
      <c r="Q1490" s="2285">
        <v>3</v>
      </c>
      <c r="R1490" s="2286">
        <v>7451000</v>
      </c>
      <c r="S1490" s="1387">
        <v>3</v>
      </c>
      <c r="T1490" s="3024">
        <v>10256000</v>
      </c>
      <c r="U1490" s="2286">
        <v>3</v>
      </c>
      <c r="V1490" s="2292">
        <v>2533000</v>
      </c>
      <c r="W1490" s="2286">
        <v>0</v>
      </c>
      <c r="X1490" s="2286">
        <v>0</v>
      </c>
      <c r="Y1490" s="2285">
        <f t="shared" si="504"/>
        <v>9</v>
      </c>
      <c r="Z1490" s="2292">
        <f t="shared" si="505"/>
        <v>20240000</v>
      </c>
      <c r="AA1490" s="2285">
        <f t="shared" si="506"/>
        <v>33</v>
      </c>
      <c r="AB1490" s="2292">
        <f t="shared" si="506"/>
        <v>46735020</v>
      </c>
      <c r="AC1490" s="2288">
        <f t="shared" si="507"/>
        <v>0.45833333333333331</v>
      </c>
      <c r="AD1490" s="2288">
        <f t="shared" si="507"/>
        <v>0.35471424017487135</v>
      </c>
      <c r="AE1490" s="2207"/>
    </row>
    <row r="1491" spans="1:31" s="63" customFormat="1" ht="51">
      <c r="A1491" s="2283"/>
      <c r="B1491" s="2284"/>
      <c r="C1491" s="2448">
        <v>3</v>
      </c>
      <c r="D1491" s="2448" t="s">
        <v>107</v>
      </c>
      <c r="E1491" s="2448" t="s">
        <v>196</v>
      </c>
      <c r="F1491" s="2448" t="s">
        <v>66</v>
      </c>
      <c r="G1491" s="2448">
        <v>15</v>
      </c>
      <c r="H1491" s="2448"/>
      <c r="I1491" s="1762" t="s">
        <v>2830</v>
      </c>
      <c r="J1491" s="1380" t="s">
        <v>2831</v>
      </c>
      <c r="K1491" s="1396">
        <v>72</v>
      </c>
      <c r="L1491" s="2286">
        <v>123740000</v>
      </c>
      <c r="M1491" s="2285">
        <v>24</v>
      </c>
      <c r="N1491" s="2286">
        <v>14390000</v>
      </c>
      <c r="O1491" s="2285">
        <v>12</v>
      </c>
      <c r="P1491" s="2286">
        <v>13900000</v>
      </c>
      <c r="Q1491" s="2285">
        <v>3</v>
      </c>
      <c r="R1491" s="2286">
        <v>680000</v>
      </c>
      <c r="S1491" s="1387">
        <v>3</v>
      </c>
      <c r="T1491" s="3024">
        <v>10080000</v>
      </c>
      <c r="U1491" s="2286">
        <v>3</v>
      </c>
      <c r="V1491" s="2292">
        <v>900000</v>
      </c>
      <c r="W1491" s="2286">
        <v>0</v>
      </c>
      <c r="X1491" s="2286">
        <v>0</v>
      </c>
      <c r="Y1491" s="2285">
        <f t="shared" si="504"/>
        <v>9</v>
      </c>
      <c r="Z1491" s="2292">
        <f t="shared" si="505"/>
        <v>11660000</v>
      </c>
      <c r="AA1491" s="2285">
        <f t="shared" si="506"/>
        <v>33</v>
      </c>
      <c r="AB1491" s="2292">
        <f t="shared" si="506"/>
        <v>26050000</v>
      </c>
      <c r="AC1491" s="2288">
        <f t="shared" si="507"/>
        <v>0.45833333333333331</v>
      </c>
      <c r="AD1491" s="2288">
        <f t="shared" si="507"/>
        <v>0.21052206238887991</v>
      </c>
      <c r="AE1491" s="2207"/>
    </row>
    <row r="1492" spans="1:31" s="63" customFormat="1" ht="56.25" customHeight="1">
      <c r="A1492" s="2283"/>
      <c r="B1492" s="2284"/>
      <c r="C1492" s="2448">
        <v>3</v>
      </c>
      <c r="D1492" s="2448" t="s">
        <v>107</v>
      </c>
      <c r="E1492" s="2448" t="s">
        <v>196</v>
      </c>
      <c r="F1492" s="2448" t="s">
        <v>66</v>
      </c>
      <c r="G1492" s="2448">
        <v>17</v>
      </c>
      <c r="H1492" s="2448"/>
      <c r="I1492" s="1762" t="s">
        <v>223</v>
      </c>
      <c r="J1492" s="1380" t="s">
        <v>2832</v>
      </c>
      <c r="K1492" s="1396">
        <v>72</v>
      </c>
      <c r="L1492" s="2286">
        <v>408485000</v>
      </c>
      <c r="M1492" s="2285">
        <v>24</v>
      </c>
      <c r="N1492" s="2286">
        <v>126600450</v>
      </c>
      <c r="O1492" s="2285">
        <v>12</v>
      </c>
      <c r="P1492" s="2286">
        <v>63475000</v>
      </c>
      <c r="Q1492" s="2285">
        <v>3</v>
      </c>
      <c r="R1492" s="2286">
        <v>8565200</v>
      </c>
      <c r="S1492" s="1387">
        <v>3</v>
      </c>
      <c r="T1492" s="3024">
        <v>33318200</v>
      </c>
      <c r="U1492" s="2286">
        <v>3</v>
      </c>
      <c r="V1492" s="2292">
        <v>13736500</v>
      </c>
      <c r="W1492" s="2286">
        <v>0</v>
      </c>
      <c r="X1492" s="2286">
        <v>0</v>
      </c>
      <c r="Y1492" s="2285">
        <f t="shared" si="504"/>
        <v>9</v>
      </c>
      <c r="Z1492" s="2292">
        <f t="shared" si="505"/>
        <v>55619900</v>
      </c>
      <c r="AA1492" s="2285">
        <f t="shared" si="506"/>
        <v>33</v>
      </c>
      <c r="AB1492" s="2292">
        <f t="shared" si="506"/>
        <v>182220350</v>
      </c>
      <c r="AC1492" s="2288">
        <f t="shared" si="507"/>
        <v>0.45833333333333331</v>
      </c>
      <c r="AD1492" s="2288">
        <f t="shared" si="507"/>
        <v>0.44608822845392121</v>
      </c>
      <c r="AE1492" s="2207"/>
    </row>
    <row r="1493" spans="1:31" s="63" customFormat="1" ht="69.75" customHeight="1">
      <c r="A1493" s="2283"/>
      <c r="B1493" s="2284"/>
      <c r="C1493" s="2448">
        <v>3</v>
      </c>
      <c r="D1493" s="2448" t="s">
        <v>107</v>
      </c>
      <c r="E1493" s="2448" t="s">
        <v>196</v>
      </c>
      <c r="F1493" s="2448" t="s">
        <v>66</v>
      </c>
      <c r="G1493" s="2448">
        <v>18</v>
      </c>
      <c r="H1493" s="2448"/>
      <c r="I1493" s="1762" t="s">
        <v>2833</v>
      </c>
      <c r="J1493" s="1380" t="s">
        <v>2834</v>
      </c>
      <c r="K1493" s="1396">
        <v>72</v>
      </c>
      <c r="L1493" s="2286">
        <v>1329898900</v>
      </c>
      <c r="M1493" s="2285">
        <v>24</v>
      </c>
      <c r="N1493" s="2286">
        <v>572719419</v>
      </c>
      <c r="O1493" s="2285">
        <v>12</v>
      </c>
      <c r="P1493" s="2286">
        <v>126594700</v>
      </c>
      <c r="Q1493" s="2285">
        <v>3</v>
      </c>
      <c r="R1493" s="2286">
        <v>48368792</v>
      </c>
      <c r="S1493" s="1387">
        <v>3</v>
      </c>
      <c r="T1493" s="3024">
        <v>94232672</v>
      </c>
      <c r="U1493" s="2286">
        <v>3</v>
      </c>
      <c r="V1493" s="2292">
        <v>9442500</v>
      </c>
      <c r="W1493" s="2286">
        <v>0</v>
      </c>
      <c r="X1493" s="2286">
        <v>0</v>
      </c>
      <c r="Y1493" s="2285">
        <f t="shared" si="504"/>
        <v>9</v>
      </c>
      <c r="Z1493" s="2292">
        <f t="shared" si="505"/>
        <v>152043964</v>
      </c>
      <c r="AA1493" s="2285">
        <f t="shared" si="506"/>
        <v>33</v>
      </c>
      <c r="AB1493" s="2292">
        <f t="shared" si="506"/>
        <v>724763383</v>
      </c>
      <c r="AC1493" s="2288">
        <f t="shared" si="507"/>
        <v>0.45833333333333331</v>
      </c>
      <c r="AD1493" s="2288">
        <f t="shared" si="507"/>
        <v>0.54497630083008564</v>
      </c>
      <c r="AE1493" s="2207"/>
    </row>
    <row r="1494" spans="1:31" s="63" customFormat="1" ht="56.25" customHeight="1">
      <c r="A1494" s="2283"/>
      <c r="B1494" s="2284"/>
      <c r="C1494" s="2448">
        <v>3</v>
      </c>
      <c r="D1494" s="2448" t="s">
        <v>107</v>
      </c>
      <c r="E1494" s="2448" t="s">
        <v>196</v>
      </c>
      <c r="F1494" s="2448" t="s">
        <v>66</v>
      </c>
      <c r="G1494" s="2448">
        <v>20</v>
      </c>
      <c r="H1494" s="2448"/>
      <c r="I1494" s="1762" t="s">
        <v>2835</v>
      </c>
      <c r="J1494" s="1380" t="s">
        <v>2836</v>
      </c>
      <c r="K1494" s="1396">
        <v>72</v>
      </c>
      <c r="L1494" s="2286">
        <v>313189600</v>
      </c>
      <c r="M1494" s="2285">
        <v>24</v>
      </c>
      <c r="N1494" s="2286">
        <v>134588874</v>
      </c>
      <c r="O1494" s="2285">
        <v>12</v>
      </c>
      <c r="P1494" s="2286">
        <v>47300000</v>
      </c>
      <c r="Q1494" s="2285">
        <v>3</v>
      </c>
      <c r="R1494" s="2286">
        <v>14347000</v>
      </c>
      <c r="S1494" s="1387">
        <v>3</v>
      </c>
      <c r="T1494" s="3024">
        <v>43964793</v>
      </c>
      <c r="U1494" s="2286">
        <v>0</v>
      </c>
      <c r="V1494" s="2292">
        <v>2032000</v>
      </c>
      <c r="W1494" s="2286">
        <v>0</v>
      </c>
      <c r="X1494" s="2286">
        <v>0</v>
      </c>
      <c r="Y1494" s="2285">
        <f t="shared" si="504"/>
        <v>6</v>
      </c>
      <c r="Z1494" s="2292">
        <f t="shared" si="505"/>
        <v>60343793</v>
      </c>
      <c r="AA1494" s="2285">
        <f t="shared" si="506"/>
        <v>30</v>
      </c>
      <c r="AB1494" s="2292">
        <f t="shared" si="506"/>
        <v>194932667</v>
      </c>
      <c r="AC1494" s="2288">
        <f t="shared" si="507"/>
        <v>0.41666666666666669</v>
      </c>
      <c r="AD1494" s="2288">
        <f t="shared" si="507"/>
        <v>0.62241104749327569</v>
      </c>
      <c r="AE1494" s="2207"/>
    </row>
    <row r="1495" spans="1:31" s="63" customFormat="1" ht="82.5" customHeight="1">
      <c r="A1495" s="2283"/>
      <c r="B1495" s="2284"/>
      <c r="C1495" s="2448">
        <v>3</v>
      </c>
      <c r="D1495" s="2448" t="s">
        <v>107</v>
      </c>
      <c r="E1495" s="2448" t="s">
        <v>196</v>
      </c>
      <c r="F1495" s="2448" t="s">
        <v>66</v>
      </c>
      <c r="G1495" s="2448">
        <v>22</v>
      </c>
      <c r="H1495" s="2448"/>
      <c r="I1495" s="1762" t="s">
        <v>168</v>
      </c>
      <c r="J1495" s="1380" t="s">
        <v>2837</v>
      </c>
      <c r="K1495" s="1396">
        <v>72</v>
      </c>
      <c r="L1495" s="2286">
        <v>582652133</v>
      </c>
      <c r="M1495" s="2285">
        <v>24</v>
      </c>
      <c r="N1495" s="2286">
        <v>120861449</v>
      </c>
      <c r="O1495" s="2285">
        <v>12</v>
      </c>
      <c r="P1495" s="2286">
        <v>35651477</v>
      </c>
      <c r="Q1495" s="2285">
        <v>3</v>
      </c>
      <c r="R1495" s="2286">
        <v>4802280</v>
      </c>
      <c r="S1495" s="1387">
        <v>3</v>
      </c>
      <c r="T1495" s="3024">
        <v>11035330</v>
      </c>
      <c r="U1495" s="2286">
        <v>3</v>
      </c>
      <c r="V1495" s="2292">
        <v>10157000</v>
      </c>
      <c r="W1495" s="2286">
        <v>0</v>
      </c>
      <c r="X1495" s="2286">
        <v>0</v>
      </c>
      <c r="Y1495" s="2285">
        <f t="shared" si="504"/>
        <v>9</v>
      </c>
      <c r="Z1495" s="2292">
        <f t="shared" si="505"/>
        <v>25994610</v>
      </c>
      <c r="AA1495" s="2285">
        <f t="shared" si="506"/>
        <v>33</v>
      </c>
      <c r="AB1495" s="2292">
        <f t="shared" si="506"/>
        <v>146856059</v>
      </c>
      <c r="AC1495" s="2288">
        <f t="shared" si="507"/>
        <v>0.45833333333333331</v>
      </c>
      <c r="AD1495" s="2288">
        <f t="shared" si="507"/>
        <v>0.25204757810437811</v>
      </c>
      <c r="AE1495" s="2207"/>
    </row>
    <row r="1496" spans="1:31" s="63" customFormat="1" ht="36" customHeight="1">
      <c r="A1496" s="2283"/>
      <c r="B1496" s="2284"/>
      <c r="C1496" s="2448"/>
      <c r="D1496" s="2448"/>
      <c r="E1496" s="2448"/>
      <c r="F1496" s="2448"/>
      <c r="G1496" s="2448"/>
      <c r="H1496" s="2448"/>
      <c r="I1496" s="1762" t="s">
        <v>2838</v>
      </c>
      <c r="J1496" s="1380" t="s">
        <v>2839</v>
      </c>
      <c r="K1496" s="1396"/>
      <c r="L1496" s="2286"/>
      <c r="M1496" s="2285">
        <v>1</v>
      </c>
      <c r="N1496" s="2286">
        <v>20584500</v>
      </c>
      <c r="O1496" s="2285">
        <v>1</v>
      </c>
      <c r="P1496" s="2286">
        <v>0</v>
      </c>
      <c r="Q1496" s="2285">
        <v>0</v>
      </c>
      <c r="R1496" s="2286">
        <v>0</v>
      </c>
      <c r="S1496" s="1387">
        <v>0</v>
      </c>
      <c r="T1496" s="3024">
        <v>0</v>
      </c>
      <c r="U1496" s="2286">
        <v>0</v>
      </c>
      <c r="V1496" s="2292">
        <v>0</v>
      </c>
      <c r="W1496" s="2286">
        <v>0</v>
      </c>
      <c r="X1496" s="2286">
        <v>0</v>
      </c>
      <c r="Y1496" s="2285">
        <f t="shared" si="504"/>
        <v>0</v>
      </c>
      <c r="Z1496" s="2292">
        <f t="shared" si="505"/>
        <v>0</v>
      </c>
      <c r="AA1496" s="2285">
        <f t="shared" si="506"/>
        <v>1</v>
      </c>
      <c r="AB1496" s="2292">
        <f t="shared" si="506"/>
        <v>20584500</v>
      </c>
      <c r="AC1496" s="2288"/>
      <c r="AD1496" s="2288"/>
      <c r="AE1496" s="2207"/>
    </row>
    <row r="1497" spans="1:31" s="63" customFormat="1" ht="37.5" customHeight="1">
      <c r="A1497" s="2698">
        <v>2</v>
      </c>
      <c r="B1497" s="3162"/>
      <c r="C1497" s="2374">
        <v>3</v>
      </c>
      <c r="D1497" s="2374" t="s">
        <v>107</v>
      </c>
      <c r="E1497" s="2374" t="s">
        <v>196</v>
      </c>
      <c r="F1497" s="2374" t="s">
        <v>65</v>
      </c>
      <c r="G1497" s="3795"/>
      <c r="H1497" s="3795"/>
      <c r="I1497" s="2363" t="s">
        <v>3422</v>
      </c>
      <c r="J1497" s="3153"/>
      <c r="K1497" s="2337">
        <v>72</v>
      </c>
      <c r="L1497" s="2568">
        <f>SUM(L1498:L1504)</f>
        <v>17905015886</v>
      </c>
      <c r="M1497" s="2412">
        <v>24</v>
      </c>
      <c r="N1497" s="2523">
        <f>SUM(N1498:N1504)</f>
        <v>5698867511</v>
      </c>
      <c r="O1497" s="2509">
        <v>12</v>
      </c>
      <c r="P1497" s="2568">
        <f>SUM(P1498:P1504)</f>
        <v>1824490750</v>
      </c>
      <c r="Q1497" s="2509">
        <v>3</v>
      </c>
      <c r="R1497" s="2568">
        <f>SUM(R1498:R1504)</f>
        <v>220256402</v>
      </c>
      <c r="S1497" s="2568">
        <v>3</v>
      </c>
      <c r="T1497" s="2568">
        <f>SUM(T1498:T1504)</f>
        <v>1477227251</v>
      </c>
      <c r="U1497" s="2568">
        <v>3</v>
      </c>
      <c r="V1497" s="2467">
        <f>SUM(V1498:V1504)</f>
        <v>78865405</v>
      </c>
      <c r="W1497" s="2568"/>
      <c r="X1497" s="2568"/>
      <c r="Y1497" s="2412">
        <f t="shared" si="504"/>
        <v>9</v>
      </c>
      <c r="Z1497" s="2361">
        <f>SUM(Z1498:Z1504)</f>
        <v>1776349058</v>
      </c>
      <c r="AA1497" s="2412">
        <f>+Y1497+M1497</f>
        <v>33</v>
      </c>
      <c r="AB1497" s="2361">
        <f>+N1497+Z1497</f>
        <v>7475216569</v>
      </c>
      <c r="AC1497" s="2505">
        <f>(AA1497/K1497)*100</f>
        <v>45.833333333333329</v>
      </c>
      <c r="AD1497" s="2505">
        <f>(AB1497/L1497)*100</f>
        <v>41.749287554918617</v>
      </c>
      <c r="AE1497" s="3138" t="s">
        <v>3421</v>
      </c>
    </row>
    <row r="1498" spans="1:31" s="63" customFormat="1" ht="57.75" customHeight="1">
      <c r="A1498" s="1396"/>
      <c r="B1498" s="1396"/>
      <c r="C1498" s="2448">
        <v>3</v>
      </c>
      <c r="D1498" s="2448" t="s">
        <v>107</v>
      </c>
      <c r="E1498" s="2448" t="s">
        <v>196</v>
      </c>
      <c r="F1498" s="2448" t="s">
        <v>65</v>
      </c>
      <c r="G1498" s="2448" t="s">
        <v>161</v>
      </c>
      <c r="H1498" s="2448"/>
      <c r="I1498" s="1762" t="s">
        <v>1421</v>
      </c>
      <c r="J1498" s="273" t="s">
        <v>2841</v>
      </c>
      <c r="K1498" s="1396">
        <v>35</v>
      </c>
      <c r="L1498" s="2286">
        <v>13655656840</v>
      </c>
      <c r="M1498" s="2285">
        <v>17</v>
      </c>
      <c r="N1498" s="2286">
        <v>4540713960</v>
      </c>
      <c r="O1498" s="2285">
        <v>3</v>
      </c>
      <c r="P1498" s="2286">
        <v>1400330000</v>
      </c>
      <c r="Q1498" s="2285">
        <v>0</v>
      </c>
      <c r="R1498" s="2286">
        <v>132407889</v>
      </c>
      <c r="S1498" s="2286">
        <v>0</v>
      </c>
      <c r="T1498" s="2286">
        <v>1254173389</v>
      </c>
      <c r="U1498" s="2286">
        <v>3</v>
      </c>
      <c r="V1498" s="2292">
        <v>27964123</v>
      </c>
      <c r="W1498" s="2286">
        <v>0</v>
      </c>
      <c r="X1498" s="2286">
        <v>0</v>
      </c>
      <c r="Y1498" s="2285">
        <f t="shared" si="504"/>
        <v>3</v>
      </c>
      <c r="Z1498" s="2292">
        <f t="shared" si="505"/>
        <v>1414545401</v>
      </c>
      <c r="AA1498" s="2285">
        <f t="shared" ref="AA1498:AB1504" si="508">M1498+Y1498</f>
        <v>20</v>
      </c>
      <c r="AB1498" s="2292">
        <f t="shared" si="508"/>
        <v>5955259361</v>
      </c>
      <c r="AC1498" s="2288">
        <f t="shared" ref="AC1498:AD1504" si="509">AA1498/K1498*100%</f>
        <v>0.5714285714285714</v>
      </c>
      <c r="AD1498" s="2288">
        <f t="shared" si="509"/>
        <v>0.43610200745202676</v>
      </c>
      <c r="AE1498" s="2207"/>
    </row>
    <row r="1499" spans="1:31" s="63" customFormat="1" ht="57.75" customHeight="1">
      <c r="A1499" s="1396"/>
      <c r="B1499" s="1396"/>
      <c r="C1499" s="2448">
        <v>3</v>
      </c>
      <c r="D1499" s="2448" t="s">
        <v>107</v>
      </c>
      <c r="E1499" s="2448" t="s">
        <v>196</v>
      </c>
      <c r="F1499" s="2448" t="s">
        <v>65</v>
      </c>
      <c r="G1499" s="2448" t="s">
        <v>198</v>
      </c>
      <c r="H1499" s="2448"/>
      <c r="I1499" s="1762" t="s">
        <v>2842</v>
      </c>
      <c r="J1499" s="273" t="s">
        <v>2843</v>
      </c>
      <c r="K1499" s="1396">
        <v>25</v>
      </c>
      <c r="L1499" s="2286">
        <v>448000000</v>
      </c>
      <c r="M1499" s="2285">
        <v>3</v>
      </c>
      <c r="N1499" s="2286">
        <v>128838700</v>
      </c>
      <c r="O1499" s="2285">
        <v>0</v>
      </c>
      <c r="P1499" s="2286">
        <v>0</v>
      </c>
      <c r="Q1499" s="2285">
        <v>0</v>
      </c>
      <c r="R1499" s="2286">
        <v>0</v>
      </c>
      <c r="S1499" s="2286">
        <v>0</v>
      </c>
      <c r="T1499" s="2286">
        <v>0</v>
      </c>
      <c r="U1499" s="2286">
        <v>0</v>
      </c>
      <c r="V1499" s="2292">
        <v>0</v>
      </c>
      <c r="W1499" s="2286">
        <v>0</v>
      </c>
      <c r="X1499" s="2286">
        <v>0</v>
      </c>
      <c r="Y1499" s="2285">
        <f t="shared" si="504"/>
        <v>0</v>
      </c>
      <c r="Z1499" s="2292">
        <f t="shared" si="505"/>
        <v>0</v>
      </c>
      <c r="AA1499" s="2285">
        <f t="shared" si="508"/>
        <v>3</v>
      </c>
      <c r="AB1499" s="2292">
        <f t="shared" si="508"/>
        <v>128838700</v>
      </c>
      <c r="AC1499" s="2288">
        <f t="shared" si="509"/>
        <v>0.12</v>
      </c>
      <c r="AD1499" s="2288">
        <f t="shared" si="509"/>
        <v>0.28758638392857144</v>
      </c>
      <c r="AE1499" s="2207"/>
    </row>
    <row r="1500" spans="1:31" s="63" customFormat="1" ht="57.75" customHeight="1">
      <c r="A1500" s="1396"/>
      <c r="B1500" s="1396"/>
      <c r="C1500" s="2448">
        <v>3</v>
      </c>
      <c r="D1500" s="2448" t="s">
        <v>107</v>
      </c>
      <c r="E1500" s="2448" t="s">
        <v>196</v>
      </c>
      <c r="F1500" s="2448" t="s">
        <v>65</v>
      </c>
      <c r="G1500" s="2448" t="s">
        <v>201</v>
      </c>
      <c r="H1500" s="2448"/>
      <c r="I1500" s="1762" t="s">
        <v>2844</v>
      </c>
      <c r="J1500" s="273" t="s">
        <v>2845</v>
      </c>
      <c r="K1500" s="1396">
        <v>33</v>
      </c>
      <c r="L1500" s="2286">
        <v>225043296</v>
      </c>
      <c r="M1500" s="2285">
        <v>7</v>
      </c>
      <c r="N1500" s="2286">
        <v>210539500</v>
      </c>
      <c r="O1500" s="2285">
        <v>0</v>
      </c>
      <c r="P1500" s="2286">
        <v>0</v>
      </c>
      <c r="Q1500" s="2285">
        <v>0</v>
      </c>
      <c r="R1500" s="2286">
        <v>0</v>
      </c>
      <c r="S1500" s="2286">
        <v>0</v>
      </c>
      <c r="T1500" s="2286">
        <v>0</v>
      </c>
      <c r="U1500" s="2286">
        <v>0</v>
      </c>
      <c r="V1500" s="2292">
        <v>0</v>
      </c>
      <c r="W1500" s="2286">
        <v>0</v>
      </c>
      <c r="X1500" s="2286">
        <v>0</v>
      </c>
      <c r="Y1500" s="2285">
        <f t="shared" si="504"/>
        <v>0</v>
      </c>
      <c r="Z1500" s="2292">
        <f t="shared" si="505"/>
        <v>0</v>
      </c>
      <c r="AA1500" s="2285">
        <f t="shared" si="508"/>
        <v>7</v>
      </c>
      <c r="AB1500" s="2292">
        <f t="shared" si="508"/>
        <v>210539500</v>
      </c>
      <c r="AC1500" s="2288">
        <f t="shared" si="509"/>
        <v>0.21212121212121213</v>
      </c>
      <c r="AD1500" s="2288">
        <f t="shared" si="509"/>
        <v>0.93555108613410998</v>
      </c>
      <c r="AE1500" s="2207"/>
    </row>
    <row r="1501" spans="1:31" s="63" customFormat="1" ht="31.5" customHeight="1">
      <c r="A1501" s="1396"/>
      <c r="B1501" s="1396"/>
      <c r="C1501" s="2448">
        <v>3</v>
      </c>
      <c r="D1501" s="2448" t="s">
        <v>107</v>
      </c>
      <c r="E1501" s="2448" t="s">
        <v>196</v>
      </c>
      <c r="F1501" s="2448" t="s">
        <v>65</v>
      </c>
      <c r="G1501" s="2448" t="s">
        <v>202</v>
      </c>
      <c r="H1501" s="2448"/>
      <c r="I1501" s="1762" t="s">
        <v>938</v>
      </c>
      <c r="J1501" s="273"/>
      <c r="K1501" s="1396">
        <v>50</v>
      </c>
      <c r="L1501" s="2286">
        <v>159000000</v>
      </c>
      <c r="M1501" s="2285">
        <v>8</v>
      </c>
      <c r="N1501" s="2286">
        <v>22930000</v>
      </c>
      <c r="O1501" s="2285">
        <v>0</v>
      </c>
      <c r="P1501" s="2286">
        <v>0</v>
      </c>
      <c r="Q1501" s="2285">
        <v>0</v>
      </c>
      <c r="R1501" s="2286">
        <v>0</v>
      </c>
      <c r="S1501" s="2286">
        <v>0</v>
      </c>
      <c r="T1501" s="2286">
        <v>0</v>
      </c>
      <c r="U1501" s="2286">
        <v>0</v>
      </c>
      <c r="V1501" s="2292">
        <v>0</v>
      </c>
      <c r="W1501" s="2286">
        <v>0</v>
      </c>
      <c r="X1501" s="2286">
        <v>0</v>
      </c>
      <c r="Y1501" s="2285">
        <f t="shared" si="504"/>
        <v>0</v>
      </c>
      <c r="Z1501" s="2292">
        <f t="shared" si="505"/>
        <v>0</v>
      </c>
      <c r="AA1501" s="2285">
        <f t="shared" si="508"/>
        <v>8</v>
      </c>
      <c r="AB1501" s="2292">
        <f t="shared" si="508"/>
        <v>22930000</v>
      </c>
      <c r="AC1501" s="2288">
        <f t="shared" si="509"/>
        <v>0.16</v>
      </c>
      <c r="AD1501" s="2288">
        <f t="shared" si="509"/>
        <v>0.14421383647798741</v>
      </c>
      <c r="AE1501" s="2207"/>
    </row>
    <row r="1502" spans="1:31" s="63" customFormat="1" ht="41.25" customHeight="1">
      <c r="A1502" s="1396"/>
      <c r="B1502" s="1396"/>
      <c r="C1502" s="2448">
        <v>3</v>
      </c>
      <c r="D1502" s="2448" t="s">
        <v>107</v>
      </c>
      <c r="E1502" s="2448" t="s">
        <v>196</v>
      </c>
      <c r="F1502" s="2448" t="s">
        <v>65</v>
      </c>
      <c r="G1502" s="2207">
        <v>22</v>
      </c>
      <c r="H1502" s="2207"/>
      <c r="I1502" s="1762" t="s">
        <v>2846</v>
      </c>
      <c r="J1502" s="1380" t="s">
        <v>2847</v>
      </c>
      <c r="K1502" s="1396">
        <v>6</v>
      </c>
      <c r="L1502" s="2286">
        <v>1244800000</v>
      </c>
      <c r="M1502" s="2285">
        <v>2</v>
      </c>
      <c r="N1502" s="2286">
        <v>484921280</v>
      </c>
      <c r="O1502" s="2285">
        <v>1</v>
      </c>
      <c r="P1502" s="2286">
        <v>185400000</v>
      </c>
      <c r="Q1502" s="2858" t="s">
        <v>2034</v>
      </c>
      <c r="R1502" s="2286">
        <v>35947000</v>
      </c>
      <c r="S1502" s="2298" t="s">
        <v>154</v>
      </c>
      <c r="T1502" s="2286">
        <v>129897000</v>
      </c>
      <c r="U1502" s="2286">
        <v>1</v>
      </c>
      <c r="V1502" s="2292">
        <v>18000000</v>
      </c>
      <c r="W1502" s="2286">
        <v>0</v>
      </c>
      <c r="X1502" s="2286">
        <v>0</v>
      </c>
      <c r="Y1502" s="2285">
        <v>0</v>
      </c>
      <c r="Z1502" s="2292">
        <f t="shared" si="505"/>
        <v>183844000</v>
      </c>
      <c r="AA1502" s="2285">
        <f t="shared" si="508"/>
        <v>2</v>
      </c>
      <c r="AB1502" s="2292">
        <f t="shared" si="508"/>
        <v>668765280</v>
      </c>
      <c r="AC1502" s="2288">
        <f t="shared" si="509"/>
        <v>0.33333333333333331</v>
      </c>
      <c r="AD1502" s="2288">
        <f t="shared" si="509"/>
        <v>0.53724717223650387</v>
      </c>
      <c r="AE1502" s="2207"/>
    </row>
    <row r="1503" spans="1:31" s="63" customFormat="1" ht="69" customHeight="1">
      <c r="A1503" s="1396"/>
      <c r="B1503" s="1396"/>
      <c r="C1503" s="2448">
        <v>3</v>
      </c>
      <c r="D1503" s="2448" t="s">
        <v>107</v>
      </c>
      <c r="E1503" s="2448" t="s">
        <v>196</v>
      </c>
      <c r="F1503" s="2448" t="s">
        <v>65</v>
      </c>
      <c r="G1503" s="2207">
        <v>24</v>
      </c>
      <c r="H1503" s="2207"/>
      <c r="I1503" s="1762" t="s">
        <v>224</v>
      </c>
      <c r="J1503" s="1380" t="s">
        <v>2848</v>
      </c>
      <c r="K1503" s="1396">
        <v>72</v>
      </c>
      <c r="L1503" s="2286">
        <v>1402115750</v>
      </c>
      <c r="M1503" s="2285">
        <v>24</v>
      </c>
      <c r="N1503" s="2286">
        <v>263493151</v>
      </c>
      <c r="O1503" s="2285">
        <v>12</v>
      </c>
      <c r="P1503" s="2286">
        <v>203760750</v>
      </c>
      <c r="Q1503" s="2285">
        <v>3</v>
      </c>
      <c r="R1503" s="2286">
        <v>36781786</v>
      </c>
      <c r="S1503" s="2286">
        <v>3</v>
      </c>
      <c r="T1503" s="2286">
        <v>69247135</v>
      </c>
      <c r="U1503" s="2286">
        <v>3</v>
      </c>
      <c r="V1503" s="2292">
        <v>24901282</v>
      </c>
      <c r="W1503" s="2286">
        <v>0</v>
      </c>
      <c r="X1503" s="2286">
        <v>0</v>
      </c>
      <c r="Y1503" s="2285">
        <f t="shared" si="504"/>
        <v>9</v>
      </c>
      <c r="Z1503" s="2292">
        <f t="shared" si="505"/>
        <v>130930203</v>
      </c>
      <c r="AA1503" s="2285">
        <f t="shared" si="508"/>
        <v>33</v>
      </c>
      <c r="AB1503" s="2292">
        <f t="shared" si="508"/>
        <v>394423354</v>
      </c>
      <c r="AC1503" s="2288">
        <f t="shared" si="509"/>
        <v>0.45833333333333331</v>
      </c>
      <c r="AD1503" s="2288">
        <f t="shared" si="509"/>
        <v>0.28130584368658579</v>
      </c>
      <c r="AE1503" s="2207"/>
    </row>
    <row r="1504" spans="1:31" s="63" customFormat="1" ht="52.5" customHeight="1">
      <c r="A1504" s="1396"/>
      <c r="B1504" s="1396"/>
      <c r="C1504" s="2448">
        <v>3</v>
      </c>
      <c r="D1504" s="2448" t="s">
        <v>107</v>
      </c>
      <c r="E1504" s="2448" t="s">
        <v>196</v>
      </c>
      <c r="F1504" s="2448" t="s">
        <v>65</v>
      </c>
      <c r="G1504" s="2207">
        <v>26</v>
      </c>
      <c r="H1504" s="2207"/>
      <c r="I1504" s="1762" t="s">
        <v>225</v>
      </c>
      <c r="J1504" s="1380" t="s">
        <v>2849</v>
      </c>
      <c r="K1504" s="1396">
        <v>72</v>
      </c>
      <c r="L1504" s="2286">
        <v>770400000</v>
      </c>
      <c r="M1504" s="2285">
        <v>24</v>
      </c>
      <c r="N1504" s="2286">
        <v>47430920</v>
      </c>
      <c r="O1504" s="2285">
        <v>12</v>
      </c>
      <c r="P1504" s="2286">
        <v>35000000</v>
      </c>
      <c r="Q1504" s="2285">
        <v>3</v>
      </c>
      <c r="R1504" s="2286">
        <v>15119727</v>
      </c>
      <c r="S1504" s="2286">
        <v>3</v>
      </c>
      <c r="T1504" s="2286">
        <v>23909727</v>
      </c>
      <c r="U1504" s="2286">
        <v>3</v>
      </c>
      <c r="V1504" s="2292">
        <v>8000000</v>
      </c>
      <c r="W1504" s="2286">
        <v>0</v>
      </c>
      <c r="X1504" s="2286">
        <v>0</v>
      </c>
      <c r="Y1504" s="2285">
        <f t="shared" si="504"/>
        <v>9</v>
      </c>
      <c r="Z1504" s="2292">
        <f t="shared" si="505"/>
        <v>47029454</v>
      </c>
      <c r="AA1504" s="2285">
        <f t="shared" si="508"/>
        <v>33</v>
      </c>
      <c r="AB1504" s="2292">
        <f t="shared" si="508"/>
        <v>94460374</v>
      </c>
      <c r="AC1504" s="2288">
        <f t="shared" si="509"/>
        <v>0.45833333333333331</v>
      </c>
      <c r="AD1504" s="2288">
        <f t="shared" si="509"/>
        <v>0.12261211578400831</v>
      </c>
      <c r="AE1504" s="2207"/>
    </row>
    <row r="1505" spans="1:31" s="63" customFormat="1" ht="76.5" customHeight="1">
      <c r="A1505" s="2698">
        <v>3</v>
      </c>
      <c r="B1505" s="3162"/>
      <c r="C1505" s="2374">
        <v>3</v>
      </c>
      <c r="D1505" s="2374" t="s">
        <v>107</v>
      </c>
      <c r="E1505" s="2374" t="s">
        <v>196</v>
      </c>
      <c r="F1505" s="2374" t="s">
        <v>197</v>
      </c>
      <c r="G1505" s="3795"/>
      <c r="H1505" s="3795"/>
      <c r="I1505" s="3153" t="s">
        <v>227</v>
      </c>
      <c r="J1505" s="3156" t="s">
        <v>2854</v>
      </c>
      <c r="K1505" s="2377">
        <v>0.9</v>
      </c>
      <c r="L1505" s="2699">
        <f>SUM(L1506:L1507)</f>
        <v>1106753905</v>
      </c>
      <c r="M1505" s="2700">
        <v>0.6</v>
      </c>
      <c r="N1505" s="2597">
        <f>SUM(N1506:N1507)</f>
        <v>295593761</v>
      </c>
      <c r="O1505" s="2377">
        <v>0.1</v>
      </c>
      <c r="P1505" s="2597">
        <f>SUM(P1506:P1507)</f>
        <v>179930626</v>
      </c>
      <c r="Q1505" s="2540">
        <v>2.5000000000000001E-2</v>
      </c>
      <c r="R1505" s="2442">
        <f>SUM(R1506:R1507)</f>
        <v>1409463</v>
      </c>
      <c r="S1505" s="2540">
        <v>2.5000000000000001E-2</v>
      </c>
      <c r="T1505" s="2442">
        <f>SUM(T1506:T1507)</f>
        <v>32554126</v>
      </c>
      <c r="U1505" s="2540">
        <v>2.5000000000000001E-2</v>
      </c>
      <c r="V1505" s="2361">
        <f>SUM(V1506:V1507)</f>
        <v>103536662</v>
      </c>
      <c r="W1505" s="2442"/>
      <c r="X1505" s="2442"/>
      <c r="Y1505" s="2540">
        <f t="shared" si="504"/>
        <v>7.5000000000000011E-2</v>
      </c>
      <c r="Z1505" s="2361">
        <f>SUM(Z1506:Z1507)</f>
        <v>137500251</v>
      </c>
      <c r="AA1505" s="2377">
        <f>+Y1505+M1505</f>
        <v>0.67500000000000004</v>
      </c>
      <c r="AB1505" s="2361">
        <f>+N1505+Z1505</f>
        <v>433094012</v>
      </c>
      <c r="AC1505" s="2490">
        <f>(AA1505/K1505)*100</f>
        <v>75</v>
      </c>
      <c r="AD1505" s="2490">
        <f>(AB1505/L1505)*100</f>
        <v>39.13191632244569</v>
      </c>
      <c r="AE1505" s="3138" t="s">
        <v>3421</v>
      </c>
    </row>
    <row r="1506" spans="1:31" s="63" customFormat="1" ht="52.5" customHeight="1">
      <c r="A1506" s="1396"/>
      <c r="B1506" s="1396"/>
      <c r="C1506" s="2448">
        <v>3</v>
      </c>
      <c r="D1506" s="2448" t="s">
        <v>107</v>
      </c>
      <c r="E1506" s="2448" t="s">
        <v>196</v>
      </c>
      <c r="F1506" s="2448" t="s">
        <v>197</v>
      </c>
      <c r="G1506" s="2448" t="s">
        <v>65</v>
      </c>
      <c r="H1506" s="2448"/>
      <c r="I1506" s="273" t="s">
        <v>2857</v>
      </c>
      <c r="J1506" s="1380" t="s">
        <v>2858</v>
      </c>
      <c r="K1506" s="1396">
        <v>1080</v>
      </c>
      <c r="L1506" s="2286">
        <v>452640035</v>
      </c>
      <c r="M1506" s="2285">
        <v>440</v>
      </c>
      <c r="N1506" s="2286">
        <v>115508498</v>
      </c>
      <c r="O1506" s="2285">
        <v>160</v>
      </c>
      <c r="P1506" s="2286">
        <v>58165001</v>
      </c>
      <c r="Q1506" s="2285">
        <v>0</v>
      </c>
      <c r="R1506" s="2286">
        <v>0</v>
      </c>
      <c r="S1506" s="2286">
        <v>0</v>
      </c>
      <c r="T1506" s="2286">
        <v>9140730</v>
      </c>
      <c r="U1506" s="2286">
        <v>80</v>
      </c>
      <c r="V1506" s="2292">
        <v>34455789</v>
      </c>
      <c r="W1506" s="2286">
        <v>0</v>
      </c>
      <c r="X1506" s="2286">
        <v>0</v>
      </c>
      <c r="Y1506" s="2285">
        <f t="shared" si="504"/>
        <v>80</v>
      </c>
      <c r="Z1506" s="2292">
        <f t="shared" si="505"/>
        <v>43596519</v>
      </c>
      <c r="AA1506" s="2285">
        <f>M1506+Y1506</f>
        <v>520</v>
      </c>
      <c r="AB1506" s="2292">
        <f>N1506+Z1506</f>
        <v>159105017</v>
      </c>
      <c r="AC1506" s="2288">
        <f>AA1506/K1506*100%</f>
        <v>0.48148148148148145</v>
      </c>
      <c r="AD1506" s="2288">
        <f>AB1506/L1506*100%</f>
        <v>0.35150451727055032</v>
      </c>
      <c r="AE1506" s="2207"/>
    </row>
    <row r="1507" spans="1:31" s="63" customFormat="1" ht="59.25" customHeight="1">
      <c r="A1507" s="1396"/>
      <c r="B1507" s="1396"/>
      <c r="C1507" s="2448">
        <v>3</v>
      </c>
      <c r="D1507" s="2448" t="s">
        <v>107</v>
      </c>
      <c r="E1507" s="2448" t="s">
        <v>196</v>
      </c>
      <c r="F1507" s="2448" t="s">
        <v>197</v>
      </c>
      <c r="G1507" s="2448" t="s">
        <v>95</v>
      </c>
      <c r="H1507" s="2448"/>
      <c r="I1507" s="273" t="s">
        <v>2859</v>
      </c>
      <c r="J1507" s="1380" t="s">
        <v>2860</v>
      </c>
      <c r="K1507" s="1396">
        <v>540</v>
      </c>
      <c r="L1507" s="2286">
        <v>654113870</v>
      </c>
      <c r="M1507" s="2285">
        <v>180</v>
      </c>
      <c r="N1507" s="2286">
        <v>180085263</v>
      </c>
      <c r="O1507" s="2285">
        <v>90</v>
      </c>
      <c r="P1507" s="2286">
        <v>121765625</v>
      </c>
      <c r="Q1507" s="2285">
        <v>0</v>
      </c>
      <c r="R1507" s="2286">
        <v>1409463</v>
      </c>
      <c r="S1507" s="2286">
        <v>0</v>
      </c>
      <c r="T1507" s="2286">
        <v>23413396</v>
      </c>
      <c r="U1507" s="2286">
        <v>90</v>
      </c>
      <c r="V1507" s="2292">
        <v>69080873</v>
      </c>
      <c r="W1507" s="2286">
        <v>0</v>
      </c>
      <c r="X1507" s="2286">
        <v>0</v>
      </c>
      <c r="Y1507" s="2285">
        <f t="shared" si="504"/>
        <v>90</v>
      </c>
      <c r="Z1507" s="2292">
        <f t="shared" si="505"/>
        <v>93903732</v>
      </c>
      <c r="AA1507" s="2285">
        <f>M1507+Y1507</f>
        <v>270</v>
      </c>
      <c r="AB1507" s="2292">
        <f>N1507+Z1507</f>
        <v>273988995</v>
      </c>
      <c r="AC1507" s="2288">
        <f>AA1507/K1507*100%</f>
        <v>0.5</v>
      </c>
      <c r="AD1507" s="2288">
        <f>AB1507/L1507*100%</f>
        <v>0.41887048657139775</v>
      </c>
      <c r="AE1507" s="2207"/>
    </row>
    <row r="1508" spans="1:31" s="63" customFormat="1" ht="48.75" customHeight="1">
      <c r="A1508" s="2698">
        <v>4</v>
      </c>
      <c r="B1508" s="3162"/>
      <c r="C1508" s="2447">
        <v>3</v>
      </c>
      <c r="D1508" s="2447" t="s">
        <v>107</v>
      </c>
      <c r="E1508" s="2447" t="s">
        <v>196</v>
      </c>
      <c r="F1508" s="2447">
        <v>15</v>
      </c>
      <c r="G1508" s="2874"/>
      <c r="H1508" s="2874"/>
      <c r="I1508" s="3153" t="s">
        <v>2867</v>
      </c>
      <c r="J1508" s="3156" t="s">
        <v>3423</v>
      </c>
      <c r="K1508" s="3162">
        <v>100</v>
      </c>
      <c r="L1508" s="2523">
        <f>L1509</f>
        <v>116000000</v>
      </c>
      <c r="M1508" s="3162">
        <v>80</v>
      </c>
      <c r="N1508" s="2442">
        <f>N1509</f>
        <v>14802291</v>
      </c>
      <c r="O1508" s="2419">
        <v>5</v>
      </c>
      <c r="P1508" s="2442">
        <f>P1509</f>
        <v>16000000</v>
      </c>
      <c r="Q1508" s="2419">
        <v>0</v>
      </c>
      <c r="R1508" s="2599">
        <f>R1509</f>
        <v>0</v>
      </c>
      <c r="S1508" s="2599">
        <v>4</v>
      </c>
      <c r="T1508" s="2442">
        <f>SUM(T1509)</f>
        <v>15541362</v>
      </c>
      <c r="U1508" s="2442">
        <v>1</v>
      </c>
      <c r="V1508" s="2361">
        <f>SUM(V1509)</f>
        <v>0</v>
      </c>
      <c r="W1508" s="2442"/>
      <c r="X1508" s="2442"/>
      <c r="Y1508" s="2412">
        <f t="shared" si="504"/>
        <v>5</v>
      </c>
      <c r="Z1508" s="2361">
        <f t="shared" si="505"/>
        <v>15541362</v>
      </c>
      <c r="AA1508" s="2412">
        <f>+Y1508+M1508</f>
        <v>85</v>
      </c>
      <c r="AB1508" s="2361">
        <f>+N1508+Z1508</f>
        <v>30343653</v>
      </c>
      <c r="AC1508" s="2505">
        <f>(AA1508/K1508)*100</f>
        <v>85</v>
      </c>
      <c r="AD1508" s="2505">
        <f>(AB1508/L1508)*100</f>
        <v>26.158321551724139</v>
      </c>
      <c r="AE1508" s="3138" t="s">
        <v>3421</v>
      </c>
    </row>
    <row r="1509" spans="1:31" s="63" customFormat="1" ht="59.25" customHeight="1">
      <c r="A1509" s="1396"/>
      <c r="B1509" s="1396"/>
      <c r="C1509" s="2448">
        <v>3</v>
      </c>
      <c r="D1509" s="2448" t="s">
        <v>107</v>
      </c>
      <c r="E1509" s="2448" t="s">
        <v>196</v>
      </c>
      <c r="F1509" s="2448">
        <v>15</v>
      </c>
      <c r="G1509" s="2207">
        <v>10</v>
      </c>
      <c r="H1509" s="2207"/>
      <c r="I1509" s="1936" t="s">
        <v>2869</v>
      </c>
      <c r="J1509" s="3140" t="s">
        <v>2870</v>
      </c>
      <c r="K1509" s="2285">
        <v>6</v>
      </c>
      <c r="L1509" s="2286">
        <v>116000000</v>
      </c>
      <c r="M1509" s="2285">
        <v>2</v>
      </c>
      <c r="N1509" s="2286">
        <v>14802291</v>
      </c>
      <c r="O1509" s="2487">
        <v>1</v>
      </c>
      <c r="P1509" s="2286">
        <v>16000000</v>
      </c>
      <c r="Q1509" s="2285">
        <v>0</v>
      </c>
      <c r="R1509" s="2286">
        <v>0</v>
      </c>
      <c r="S1509" s="2286">
        <v>1</v>
      </c>
      <c r="T1509" s="2286">
        <v>15541362</v>
      </c>
      <c r="U1509" s="2286">
        <v>0</v>
      </c>
      <c r="V1509" s="2292">
        <v>0</v>
      </c>
      <c r="W1509" s="2286">
        <v>0</v>
      </c>
      <c r="X1509" s="2286">
        <v>0</v>
      </c>
      <c r="Y1509" s="2590">
        <f>SUM(Q1509+S1509)</f>
        <v>1</v>
      </c>
      <c r="Z1509" s="2292">
        <f t="shared" si="505"/>
        <v>15541362</v>
      </c>
      <c r="AA1509" s="2290">
        <f>M1509+Y1509</f>
        <v>3</v>
      </c>
      <c r="AB1509" s="2292">
        <f>N1509+Z1509</f>
        <v>30343653</v>
      </c>
      <c r="AC1509" s="2288">
        <f>AA1509/K1509*100%</f>
        <v>0.5</v>
      </c>
      <c r="AD1509" s="2288">
        <f>AB1509/L1509*100%</f>
        <v>0.2615832155172414</v>
      </c>
      <c r="AE1509" s="2207"/>
    </row>
    <row r="1510" spans="1:31" s="63" customFormat="1" ht="58.5" customHeight="1">
      <c r="A1510" s="2698">
        <v>5</v>
      </c>
      <c r="B1510" s="3162"/>
      <c r="C1510" s="2374">
        <v>3</v>
      </c>
      <c r="D1510" s="2374" t="s">
        <v>107</v>
      </c>
      <c r="E1510" s="2374" t="s">
        <v>196</v>
      </c>
      <c r="F1510" s="2374">
        <v>20</v>
      </c>
      <c r="G1510" s="3795"/>
      <c r="H1510" s="3795"/>
      <c r="I1510" s="3153" t="s">
        <v>2872</v>
      </c>
      <c r="J1510" s="3156" t="s">
        <v>3424</v>
      </c>
      <c r="K1510" s="3162">
        <v>100</v>
      </c>
      <c r="L1510" s="2523">
        <f>L1511</f>
        <v>838611213</v>
      </c>
      <c r="M1510" s="3162">
        <v>95</v>
      </c>
      <c r="N1510" s="2442">
        <f>N1511</f>
        <v>257419968</v>
      </c>
      <c r="O1510" s="2412">
        <v>3</v>
      </c>
      <c r="P1510" s="2442">
        <f>P1511</f>
        <v>118893022</v>
      </c>
      <c r="Q1510" s="2412">
        <v>0</v>
      </c>
      <c r="R1510" s="2442"/>
      <c r="S1510" s="2442">
        <v>1</v>
      </c>
      <c r="T1510" s="2442">
        <f>T1511</f>
        <v>12786540</v>
      </c>
      <c r="U1510" s="2442">
        <v>3</v>
      </c>
      <c r="V1510" s="2361">
        <f>V1511</f>
        <v>39864080</v>
      </c>
      <c r="W1510" s="2442"/>
      <c r="X1510" s="2442"/>
      <c r="Y1510" s="2412">
        <f t="shared" si="504"/>
        <v>4</v>
      </c>
      <c r="Z1510" s="2361">
        <f t="shared" si="505"/>
        <v>52650620</v>
      </c>
      <c r="AA1510" s="2412">
        <f>+Y1510+M1510</f>
        <v>99</v>
      </c>
      <c r="AB1510" s="2361">
        <f>+N1510+Z1510</f>
        <v>310070588</v>
      </c>
      <c r="AC1510" s="2490">
        <f>(AA1510/K1510)*100</f>
        <v>99</v>
      </c>
      <c r="AD1510" s="2490">
        <f>(AB1510/L1510)*100</f>
        <v>36.974295501102489</v>
      </c>
      <c r="AE1510" s="3138" t="s">
        <v>3421</v>
      </c>
    </row>
    <row r="1511" spans="1:31" s="63" customFormat="1" ht="58.5" customHeight="1">
      <c r="A1511" s="1396"/>
      <c r="B1511" s="1396"/>
      <c r="C1511" s="2448">
        <v>3</v>
      </c>
      <c r="D1511" s="2448" t="s">
        <v>107</v>
      </c>
      <c r="E1511" s="2448" t="s">
        <v>196</v>
      </c>
      <c r="F1511" s="2448">
        <v>20</v>
      </c>
      <c r="G1511" s="2448">
        <v>33</v>
      </c>
      <c r="H1511" s="2448"/>
      <c r="I1511" s="1762" t="s">
        <v>2874</v>
      </c>
      <c r="J1511" s="1380" t="s">
        <v>2875</v>
      </c>
      <c r="K1511" s="2285">
        <v>6</v>
      </c>
      <c r="L1511" s="2286">
        <v>838611213</v>
      </c>
      <c r="M1511" s="2285">
        <v>2</v>
      </c>
      <c r="N1511" s="2286">
        <v>257419968</v>
      </c>
      <c r="O1511" s="2285">
        <v>1</v>
      </c>
      <c r="P1511" s="2286">
        <v>118893022</v>
      </c>
      <c r="Q1511" s="2285"/>
      <c r="R1511" s="2286"/>
      <c r="S1511" s="2286">
        <v>0</v>
      </c>
      <c r="T1511" s="2286">
        <v>12786540</v>
      </c>
      <c r="U1511" s="2286">
        <v>1</v>
      </c>
      <c r="V1511" s="2292">
        <v>39864080</v>
      </c>
      <c r="W1511" s="2286">
        <v>0</v>
      </c>
      <c r="X1511" s="2286">
        <v>0</v>
      </c>
      <c r="Y1511" s="2290">
        <f t="shared" si="504"/>
        <v>1</v>
      </c>
      <c r="Z1511" s="2292">
        <f t="shared" si="505"/>
        <v>52650620</v>
      </c>
      <c r="AA1511" s="2290">
        <f>M1511+Y1511</f>
        <v>3</v>
      </c>
      <c r="AB1511" s="2292">
        <f>N1511+Z1511</f>
        <v>310070588</v>
      </c>
      <c r="AC1511" s="2288">
        <f>AA1511/K1511*100%</f>
        <v>0.5</v>
      </c>
      <c r="AD1511" s="2288">
        <f>AB1511/L1511*100%</f>
        <v>0.36974295501102489</v>
      </c>
      <c r="AE1511" s="2207"/>
    </row>
    <row r="1512" spans="1:31" s="63" customFormat="1" ht="58.5" customHeight="1">
      <c r="A1512" s="2698">
        <v>6</v>
      </c>
      <c r="B1512" s="2335"/>
      <c r="C1512" s="2374">
        <v>3</v>
      </c>
      <c r="D1512" s="2374" t="s">
        <v>107</v>
      </c>
      <c r="E1512" s="2374" t="s">
        <v>196</v>
      </c>
      <c r="F1512" s="2374">
        <v>17</v>
      </c>
      <c r="G1512" s="3795"/>
      <c r="H1512" s="3795"/>
      <c r="I1512" s="2363" t="s">
        <v>2704</v>
      </c>
      <c r="J1512" s="3156" t="s">
        <v>2877</v>
      </c>
      <c r="K1512" s="2682">
        <v>12</v>
      </c>
      <c r="L1512" s="2589">
        <f>SUM(L1515:L1537)</f>
        <v>17868881298</v>
      </c>
      <c r="M1512" s="2702">
        <v>4</v>
      </c>
      <c r="N1512" s="2442">
        <f>SUM(N1515:N1537)</f>
        <v>4433625297</v>
      </c>
      <c r="O1512" s="2702">
        <v>2</v>
      </c>
      <c r="P1512" s="2361">
        <f>SUM(P1515:P1537)</f>
        <v>2505710841</v>
      </c>
      <c r="Q1512" s="2702">
        <v>0</v>
      </c>
      <c r="R1512" s="2442">
        <f>SUM(R1516:R1537)</f>
        <v>235502538</v>
      </c>
      <c r="S1512" s="2442">
        <v>0</v>
      </c>
      <c r="T1512" s="2442">
        <f>SUM(T1516:T1537)</f>
        <v>684555360</v>
      </c>
      <c r="U1512" s="2442">
        <v>1</v>
      </c>
      <c r="V1512" s="2361">
        <f>SUM(V1516:V1537)</f>
        <v>333038339</v>
      </c>
      <c r="W1512" s="2442"/>
      <c r="X1512" s="2442"/>
      <c r="Y1512" s="2412">
        <f t="shared" si="504"/>
        <v>1</v>
      </c>
      <c r="Z1512" s="2361">
        <f>SUM(Z1516:Z1537)</f>
        <v>1253096237</v>
      </c>
      <c r="AA1512" s="2412">
        <f>+Y1512+M1512</f>
        <v>5</v>
      </c>
      <c r="AB1512" s="2361">
        <f>+N1512+Z1512</f>
        <v>5686721534</v>
      </c>
      <c r="AC1512" s="2490">
        <f>(AA1512/K1512)*100</f>
        <v>41.666666666666671</v>
      </c>
      <c r="AD1512" s="2490">
        <f>(AB1512/L1512)*100</f>
        <v>31.824720524818161</v>
      </c>
      <c r="AE1512" s="3138" t="s">
        <v>3421</v>
      </c>
    </row>
    <row r="1513" spans="1:31" s="63" customFormat="1" ht="82.5" customHeight="1">
      <c r="A1513" s="3162"/>
      <c r="B1513" s="2335"/>
      <c r="C1513" s="2374"/>
      <c r="D1513" s="2374"/>
      <c r="E1513" s="2374"/>
      <c r="F1513" s="2374"/>
      <c r="G1513" s="3795"/>
      <c r="H1513" s="3795"/>
      <c r="I1513" s="2363"/>
      <c r="J1513" s="3156" t="s">
        <v>2878</v>
      </c>
      <c r="K1513" s="2703">
        <v>0.75</v>
      </c>
      <c r="L1513" s="2589"/>
      <c r="M1513" s="2703">
        <v>0.45</v>
      </c>
      <c r="N1513" s="2442"/>
      <c r="O1513" s="2703">
        <v>0.15</v>
      </c>
      <c r="P1513" s="2361"/>
      <c r="Q1513" s="2362">
        <v>0.03</v>
      </c>
      <c r="R1513" s="2442"/>
      <c r="S1513" s="2362">
        <v>0.03</v>
      </c>
      <c r="T1513" s="2442"/>
      <c r="U1513" s="2362">
        <v>0.03</v>
      </c>
      <c r="V1513" s="2361"/>
      <c r="W1513" s="2442"/>
      <c r="X1513" s="2442"/>
      <c r="Y1513" s="2362">
        <f t="shared" si="504"/>
        <v>0.09</v>
      </c>
      <c r="Z1513" s="2361">
        <f t="shared" si="505"/>
        <v>0</v>
      </c>
      <c r="AA1513" s="2377">
        <f>+Y1513+M1513</f>
        <v>0.54</v>
      </c>
      <c r="AB1513" s="2361">
        <f>+N1513+Z1513</f>
        <v>0</v>
      </c>
      <c r="AC1513" s="2490">
        <f>(AA1513/K1513)*100</f>
        <v>72.000000000000014</v>
      </c>
      <c r="AD1513" s="2490"/>
      <c r="AE1513" s="3138"/>
    </row>
    <row r="1514" spans="1:31" s="63" customFormat="1" ht="74.25" customHeight="1">
      <c r="A1514" s="3162"/>
      <c r="B1514" s="2335"/>
      <c r="C1514" s="2374"/>
      <c r="D1514" s="2374"/>
      <c r="E1514" s="2374"/>
      <c r="F1514" s="2374"/>
      <c r="G1514" s="3795"/>
      <c r="H1514" s="3795"/>
      <c r="I1514" s="2363"/>
      <c r="J1514" s="3153" t="s">
        <v>2879</v>
      </c>
      <c r="K1514" s="2703">
        <v>1</v>
      </c>
      <c r="L1514" s="2589"/>
      <c r="M1514" s="2703">
        <v>0.8</v>
      </c>
      <c r="N1514" s="2442"/>
      <c r="O1514" s="2703">
        <v>0.08</v>
      </c>
      <c r="P1514" s="2361"/>
      <c r="Q1514" s="2362">
        <v>0.02</v>
      </c>
      <c r="R1514" s="2442"/>
      <c r="S1514" s="2362">
        <v>0.02</v>
      </c>
      <c r="T1514" s="2442"/>
      <c r="U1514" s="2362">
        <v>0.02</v>
      </c>
      <c r="V1514" s="2361"/>
      <c r="W1514" s="2442"/>
      <c r="X1514" s="2442"/>
      <c r="Y1514" s="2362">
        <f t="shared" si="504"/>
        <v>0.06</v>
      </c>
      <c r="Z1514" s="2361">
        <f t="shared" si="505"/>
        <v>0</v>
      </c>
      <c r="AA1514" s="2377">
        <f>+Y1514+M1514</f>
        <v>0.8600000000000001</v>
      </c>
      <c r="AB1514" s="2361">
        <f>+N1514+Z1514</f>
        <v>0</v>
      </c>
      <c r="AC1514" s="2490">
        <f>(AA1514/K1514)*100</f>
        <v>86.000000000000014</v>
      </c>
      <c r="AD1514" s="2490"/>
      <c r="AE1514" s="3138"/>
    </row>
    <row r="1515" spans="1:31" s="63" customFormat="1" ht="42.75" customHeight="1">
      <c r="A1515" s="2316"/>
      <c r="B1515" s="2316"/>
      <c r="C1515" s="2448">
        <v>3</v>
      </c>
      <c r="D1515" s="2448" t="s">
        <v>107</v>
      </c>
      <c r="E1515" s="2448" t="s">
        <v>196</v>
      </c>
      <c r="F1515" s="2448">
        <v>17</v>
      </c>
      <c r="G1515" s="2448" t="s">
        <v>65</v>
      </c>
      <c r="H1515" s="2448"/>
      <c r="I1515" s="1762" t="s">
        <v>2880</v>
      </c>
      <c r="J1515" s="1380" t="s">
        <v>2881</v>
      </c>
      <c r="K1515" s="2294">
        <v>790</v>
      </c>
      <c r="L1515" s="2295">
        <v>486666048</v>
      </c>
      <c r="M1515" s="2285">
        <v>230</v>
      </c>
      <c r="N1515" s="2286">
        <v>160014900</v>
      </c>
      <c r="O1515" s="2285">
        <v>0</v>
      </c>
      <c r="P1515" s="2286">
        <v>0</v>
      </c>
      <c r="Q1515" s="2293">
        <v>0</v>
      </c>
      <c r="R1515" s="2286">
        <v>0</v>
      </c>
      <c r="S1515" s="2286">
        <v>0</v>
      </c>
      <c r="T1515" s="2286">
        <v>0</v>
      </c>
      <c r="U1515" s="2286">
        <v>0</v>
      </c>
      <c r="V1515" s="2292">
        <v>0</v>
      </c>
      <c r="W1515" s="2286">
        <v>0</v>
      </c>
      <c r="X1515" s="2286">
        <v>0</v>
      </c>
      <c r="Y1515" s="2285">
        <f t="shared" si="504"/>
        <v>0</v>
      </c>
      <c r="Z1515" s="2292">
        <f t="shared" si="505"/>
        <v>0</v>
      </c>
      <c r="AA1515" s="2285">
        <f t="shared" ref="AA1515:AB1537" si="510">M1515+Y1515</f>
        <v>230</v>
      </c>
      <c r="AB1515" s="2292">
        <f t="shared" si="510"/>
        <v>160014900</v>
      </c>
      <c r="AC1515" s="2288">
        <f t="shared" ref="AC1515:AD1537" si="511">AA1515/K1515*100%</f>
        <v>0.29113924050632911</v>
      </c>
      <c r="AD1515" s="2288">
        <f t="shared" si="511"/>
        <v>0.32879815770505527</v>
      </c>
      <c r="AE1515" s="2207"/>
    </row>
    <row r="1516" spans="1:31" s="63" customFormat="1" ht="51" customHeight="1">
      <c r="A1516" s="2316"/>
      <c r="B1516" s="2316"/>
      <c r="C1516" s="2448">
        <v>3</v>
      </c>
      <c r="D1516" s="2448" t="s">
        <v>107</v>
      </c>
      <c r="E1516" s="2448" t="s">
        <v>196</v>
      </c>
      <c r="F1516" s="2448">
        <v>17</v>
      </c>
      <c r="G1516" s="2448" t="s">
        <v>197</v>
      </c>
      <c r="H1516" s="2448"/>
      <c r="I1516" s="1762" t="s">
        <v>2882</v>
      </c>
      <c r="J1516" s="1380" t="s">
        <v>2883</v>
      </c>
      <c r="K1516" s="2248">
        <v>600</v>
      </c>
      <c r="L1516" s="2295">
        <v>1221430489</v>
      </c>
      <c r="M1516" s="2285">
        <v>200</v>
      </c>
      <c r="N1516" s="2286">
        <v>357334505</v>
      </c>
      <c r="O1516" s="2285">
        <v>100</v>
      </c>
      <c r="P1516" s="2286">
        <v>196890457</v>
      </c>
      <c r="Q1516" s="2296">
        <v>0</v>
      </c>
      <c r="R1516" s="2286">
        <v>42616407</v>
      </c>
      <c r="S1516" s="2286">
        <v>0</v>
      </c>
      <c r="T1516" s="2286">
        <v>57446067</v>
      </c>
      <c r="U1516" s="2286">
        <v>100</v>
      </c>
      <c r="V1516" s="2292">
        <v>22700000</v>
      </c>
      <c r="W1516" s="2286">
        <v>0</v>
      </c>
      <c r="X1516" s="2286">
        <v>0</v>
      </c>
      <c r="Y1516" s="2285">
        <f t="shared" si="504"/>
        <v>100</v>
      </c>
      <c r="Z1516" s="2292">
        <f t="shared" si="505"/>
        <v>122762474</v>
      </c>
      <c r="AA1516" s="2285">
        <f t="shared" si="510"/>
        <v>300</v>
      </c>
      <c r="AB1516" s="2292">
        <f t="shared" si="510"/>
        <v>480096979</v>
      </c>
      <c r="AC1516" s="2288">
        <f t="shared" si="511"/>
        <v>0.5</v>
      </c>
      <c r="AD1516" s="2288">
        <f t="shared" si="511"/>
        <v>0.39306123706889062</v>
      </c>
      <c r="AE1516" s="2207"/>
    </row>
    <row r="1517" spans="1:31" s="63" customFormat="1" ht="58.5" customHeight="1">
      <c r="A1517" s="2316"/>
      <c r="B1517" s="2316"/>
      <c r="C1517" s="2448">
        <v>3</v>
      </c>
      <c r="D1517" s="2448" t="s">
        <v>107</v>
      </c>
      <c r="E1517" s="2448" t="s">
        <v>196</v>
      </c>
      <c r="F1517" s="2448">
        <v>17</v>
      </c>
      <c r="G1517" s="2448" t="s">
        <v>198</v>
      </c>
      <c r="H1517" s="2448"/>
      <c r="I1517" s="1762" t="s">
        <v>2884</v>
      </c>
      <c r="J1517" s="1380" t="s">
        <v>2885</v>
      </c>
      <c r="K1517" s="2248">
        <v>600</v>
      </c>
      <c r="L1517" s="2295">
        <v>1058850607</v>
      </c>
      <c r="M1517" s="2285">
        <v>200</v>
      </c>
      <c r="N1517" s="2286">
        <v>281189370</v>
      </c>
      <c r="O1517" s="2285">
        <v>100</v>
      </c>
      <c r="P1517" s="2286">
        <v>167936775</v>
      </c>
      <c r="Q1517" s="2297">
        <v>0</v>
      </c>
      <c r="R1517" s="2286">
        <v>46548395</v>
      </c>
      <c r="S1517" s="2286">
        <v>0</v>
      </c>
      <c r="T1517" s="2286">
        <v>64926457</v>
      </c>
      <c r="U1517" s="2286">
        <v>100</v>
      </c>
      <c r="V1517" s="2292">
        <v>7243800</v>
      </c>
      <c r="W1517" s="2286">
        <v>0</v>
      </c>
      <c r="X1517" s="2286">
        <v>0</v>
      </c>
      <c r="Y1517" s="2285">
        <f t="shared" si="504"/>
        <v>100</v>
      </c>
      <c r="Z1517" s="2292">
        <f t="shared" si="505"/>
        <v>118718652</v>
      </c>
      <c r="AA1517" s="2285">
        <f t="shared" si="510"/>
        <v>300</v>
      </c>
      <c r="AB1517" s="2292">
        <f t="shared" si="510"/>
        <v>399908022</v>
      </c>
      <c r="AC1517" s="2288">
        <f t="shared" si="511"/>
        <v>0.5</v>
      </c>
      <c r="AD1517" s="2288">
        <f t="shared" si="511"/>
        <v>0.37768125111912032</v>
      </c>
      <c r="AE1517" s="2207"/>
    </row>
    <row r="1518" spans="1:31" s="63" customFormat="1" ht="64.5" customHeight="1">
      <c r="A1518" s="2316"/>
      <c r="B1518" s="2316"/>
      <c r="C1518" s="2448">
        <v>3</v>
      </c>
      <c r="D1518" s="2448" t="s">
        <v>107</v>
      </c>
      <c r="E1518" s="2448" t="s">
        <v>196</v>
      </c>
      <c r="F1518" s="2448">
        <v>17</v>
      </c>
      <c r="G1518" s="2448" t="s">
        <v>93</v>
      </c>
      <c r="H1518" s="2448"/>
      <c r="I1518" s="1762" t="s">
        <v>2886</v>
      </c>
      <c r="J1518" s="1380" t="s">
        <v>2887</v>
      </c>
      <c r="K1518" s="2248">
        <v>600</v>
      </c>
      <c r="L1518" s="2295">
        <v>1711872584</v>
      </c>
      <c r="M1518" s="2285">
        <v>200</v>
      </c>
      <c r="N1518" s="2286">
        <v>284256381</v>
      </c>
      <c r="O1518" s="2285">
        <v>100</v>
      </c>
      <c r="P1518" s="2286">
        <v>153557528</v>
      </c>
      <c r="Q1518" s="2297">
        <v>0</v>
      </c>
      <c r="R1518" s="2286">
        <v>0</v>
      </c>
      <c r="S1518" s="2286">
        <v>0</v>
      </c>
      <c r="T1518" s="2286">
        <v>2435000</v>
      </c>
      <c r="U1518" s="2286">
        <v>0</v>
      </c>
      <c r="V1518" s="2292">
        <v>29764500</v>
      </c>
      <c r="W1518" s="2286">
        <v>0</v>
      </c>
      <c r="X1518" s="2286">
        <v>0</v>
      </c>
      <c r="Y1518" s="2285">
        <f t="shared" si="504"/>
        <v>0</v>
      </c>
      <c r="Z1518" s="2292">
        <f t="shared" si="505"/>
        <v>32199500</v>
      </c>
      <c r="AA1518" s="2285">
        <f t="shared" si="510"/>
        <v>200</v>
      </c>
      <c r="AB1518" s="2292">
        <f t="shared" si="510"/>
        <v>316455881</v>
      </c>
      <c r="AC1518" s="2288">
        <f t="shared" si="511"/>
        <v>0.33333333333333331</v>
      </c>
      <c r="AD1518" s="2288">
        <f t="shared" si="511"/>
        <v>0.18485948309339825</v>
      </c>
      <c r="AE1518" s="2207"/>
    </row>
    <row r="1519" spans="1:31" s="63" customFormat="1" ht="74.25" customHeight="1">
      <c r="A1519" s="2316"/>
      <c r="B1519" s="2316"/>
      <c r="C1519" s="2448">
        <v>3</v>
      </c>
      <c r="D1519" s="2448" t="s">
        <v>107</v>
      </c>
      <c r="E1519" s="2448" t="s">
        <v>196</v>
      </c>
      <c r="F1519" s="2448">
        <v>17</v>
      </c>
      <c r="G1519" s="2448" t="s">
        <v>201</v>
      </c>
      <c r="H1519" s="2448"/>
      <c r="I1519" s="1762" t="s">
        <v>2888</v>
      </c>
      <c r="J1519" s="1380" t="s">
        <v>2889</v>
      </c>
      <c r="K1519" s="2248">
        <v>600</v>
      </c>
      <c r="L1519" s="2295">
        <v>1071506464</v>
      </c>
      <c r="M1519" s="2285">
        <v>200</v>
      </c>
      <c r="N1519" s="2286">
        <v>280639120</v>
      </c>
      <c r="O1519" s="2285">
        <v>100</v>
      </c>
      <c r="P1519" s="2286">
        <v>151435488</v>
      </c>
      <c r="Q1519" s="2297">
        <v>0</v>
      </c>
      <c r="R1519" s="2286">
        <v>0</v>
      </c>
      <c r="S1519" s="2286">
        <v>0</v>
      </c>
      <c r="T1519" s="2286">
        <v>0</v>
      </c>
      <c r="U1519" s="2286">
        <v>0</v>
      </c>
      <c r="V1519" s="2292">
        <v>17565000</v>
      </c>
      <c r="W1519" s="2286">
        <v>0</v>
      </c>
      <c r="X1519" s="2286">
        <v>0</v>
      </c>
      <c r="Y1519" s="2285">
        <f t="shared" si="504"/>
        <v>0</v>
      </c>
      <c r="Z1519" s="2292">
        <f t="shared" si="505"/>
        <v>17565000</v>
      </c>
      <c r="AA1519" s="2285">
        <f t="shared" si="510"/>
        <v>200</v>
      </c>
      <c r="AB1519" s="2292">
        <f t="shared" si="510"/>
        <v>298204120</v>
      </c>
      <c r="AC1519" s="2288">
        <f t="shared" si="511"/>
        <v>0.33333333333333331</v>
      </c>
      <c r="AD1519" s="2288">
        <f t="shared" si="511"/>
        <v>0.27830361273490178</v>
      </c>
      <c r="AE1519" s="2207"/>
    </row>
    <row r="1520" spans="1:31" s="63" customFormat="1" ht="82.5" customHeight="1">
      <c r="A1520" s="2316"/>
      <c r="B1520" s="2316"/>
      <c r="C1520" s="2448">
        <v>3</v>
      </c>
      <c r="D1520" s="2448" t="s">
        <v>107</v>
      </c>
      <c r="E1520" s="2448" t="s">
        <v>196</v>
      </c>
      <c r="F1520" s="2448">
        <v>17</v>
      </c>
      <c r="G1520" s="2207">
        <v>10</v>
      </c>
      <c r="H1520" s="2207"/>
      <c r="I1520" s="1762" t="s">
        <v>2890</v>
      </c>
      <c r="J1520" s="1380" t="s">
        <v>2891</v>
      </c>
      <c r="K1520" s="2248">
        <v>540</v>
      </c>
      <c r="L1520" s="2295">
        <v>850803806</v>
      </c>
      <c r="M1520" s="2285">
        <v>180</v>
      </c>
      <c r="N1520" s="2286">
        <v>204884903</v>
      </c>
      <c r="O1520" s="2285">
        <v>90</v>
      </c>
      <c r="P1520" s="2286">
        <v>110112302</v>
      </c>
      <c r="Q1520" s="2297">
        <v>0</v>
      </c>
      <c r="R1520" s="2286">
        <v>7112966</v>
      </c>
      <c r="S1520" s="2286">
        <v>45</v>
      </c>
      <c r="T1520" s="2286">
        <v>30362970</v>
      </c>
      <c r="U1520" s="2286">
        <v>45</v>
      </c>
      <c r="V1520" s="2292">
        <v>63547500</v>
      </c>
      <c r="W1520" s="2286">
        <v>0</v>
      </c>
      <c r="X1520" s="2286">
        <v>0</v>
      </c>
      <c r="Y1520" s="2285">
        <f t="shared" si="504"/>
        <v>90</v>
      </c>
      <c r="Z1520" s="2292">
        <f t="shared" si="505"/>
        <v>101023436</v>
      </c>
      <c r="AA1520" s="2285">
        <f t="shared" si="510"/>
        <v>270</v>
      </c>
      <c r="AB1520" s="2292">
        <f t="shared" si="510"/>
        <v>305908339</v>
      </c>
      <c r="AC1520" s="2288">
        <f t="shared" si="511"/>
        <v>0.5</v>
      </c>
      <c r="AD1520" s="2288">
        <f t="shared" si="511"/>
        <v>0.35955215155678322</v>
      </c>
      <c r="AE1520" s="2207"/>
    </row>
    <row r="1521" spans="1:76" s="63" customFormat="1" ht="86.25" customHeight="1">
      <c r="A1521" s="2316"/>
      <c r="B1521" s="2316"/>
      <c r="C1521" s="2448">
        <v>3</v>
      </c>
      <c r="D1521" s="2448" t="s">
        <v>107</v>
      </c>
      <c r="E1521" s="2448" t="s">
        <v>196</v>
      </c>
      <c r="F1521" s="2448">
        <v>17</v>
      </c>
      <c r="G1521" s="2207">
        <v>11</v>
      </c>
      <c r="H1521" s="2207"/>
      <c r="I1521" s="1762" t="s">
        <v>2892</v>
      </c>
      <c r="J1521" s="1380" t="s">
        <v>2891</v>
      </c>
      <c r="K1521" s="2248">
        <v>540</v>
      </c>
      <c r="L1521" s="2295">
        <v>841680012</v>
      </c>
      <c r="M1521" s="2285">
        <v>180</v>
      </c>
      <c r="N1521" s="2286">
        <v>194962670</v>
      </c>
      <c r="O1521" s="2285">
        <v>90</v>
      </c>
      <c r="P1521" s="2286">
        <v>113935421</v>
      </c>
      <c r="Q1521" s="2297">
        <v>0</v>
      </c>
      <c r="R1521" s="2286">
        <v>7139115</v>
      </c>
      <c r="S1521" s="2286">
        <v>45</v>
      </c>
      <c r="T1521" s="2286">
        <v>28899815</v>
      </c>
      <c r="U1521" s="2286">
        <v>45</v>
      </c>
      <c r="V1521" s="2292">
        <v>447500</v>
      </c>
      <c r="W1521" s="2286">
        <v>0</v>
      </c>
      <c r="X1521" s="2286">
        <v>0</v>
      </c>
      <c r="Y1521" s="2285">
        <f t="shared" si="504"/>
        <v>90</v>
      </c>
      <c r="Z1521" s="2292">
        <f t="shared" si="505"/>
        <v>36486430</v>
      </c>
      <c r="AA1521" s="2285">
        <f t="shared" si="510"/>
        <v>270</v>
      </c>
      <c r="AB1521" s="2292">
        <f t="shared" si="510"/>
        <v>231449100</v>
      </c>
      <c r="AC1521" s="2288">
        <f t="shared" si="511"/>
        <v>0.5</v>
      </c>
      <c r="AD1521" s="2288">
        <f t="shared" si="511"/>
        <v>0.27498466958961121</v>
      </c>
      <c r="AE1521" s="2207"/>
    </row>
    <row r="1522" spans="1:76" s="63" customFormat="1" ht="36" customHeight="1">
      <c r="A1522" s="2316"/>
      <c r="B1522" s="2316"/>
      <c r="C1522" s="2448">
        <v>3</v>
      </c>
      <c r="D1522" s="2448" t="s">
        <v>107</v>
      </c>
      <c r="E1522" s="2448" t="s">
        <v>196</v>
      </c>
      <c r="F1522" s="2448">
        <v>17</v>
      </c>
      <c r="G1522" s="2207">
        <v>20</v>
      </c>
      <c r="H1522" s="2207"/>
      <c r="I1522" s="1762" t="s">
        <v>2893</v>
      </c>
      <c r="J1522" s="1380" t="s">
        <v>2894</v>
      </c>
      <c r="K1522" s="2248">
        <v>3096</v>
      </c>
      <c r="L1522" s="2295">
        <v>818642648</v>
      </c>
      <c r="M1522" s="2285">
        <v>1032</v>
      </c>
      <c r="N1522" s="2286">
        <v>239956202</v>
      </c>
      <c r="O1522" s="2285">
        <v>516</v>
      </c>
      <c r="P1522" s="2286">
        <v>96454216</v>
      </c>
      <c r="Q1522" s="2297">
        <v>0</v>
      </c>
      <c r="R1522" s="2286">
        <v>12512102</v>
      </c>
      <c r="S1522" s="2286">
        <v>516</v>
      </c>
      <c r="T1522" s="2286">
        <v>57809932</v>
      </c>
      <c r="U1522" s="2286">
        <v>516</v>
      </c>
      <c r="V1522" s="2292">
        <v>12227600</v>
      </c>
      <c r="W1522" s="2286">
        <v>0</v>
      </c>
      <c r="X1522" s="2286">
        <v>0</v>
      </c>
      <c r="Y1522" s="2285">
        <f t="shared" si="504"/>
        <v>1032</v>
      </c>
      <c r="Z1522" s="2292">
        <f t="shared" si="505"/>
        <v>82549634</v>
      </c>
      <c r="AA1522" s="2285">
        <f t="shared" si="510"/>
        <v>2064</v>
      </c>
      <c r="AB1522" s="2292">
        <f t="shared" si="510"/>
        <v>322505836</v>
      </c>
      <c r="AC1522" s="2288">
        <f t="shared" si="511"/>
        <v>0.66666666666666663</v>
      </c>
      <c r="AD1522" s="2288">
        <f t="shared" si="511"/>
        <v>0.39395191148165054</v>
      </c>
      <c r="AE1522" s="2207"/>
    </row>
    <row r="1523" spans="1:76" s="63" customFormat="1" ht="71.25" customHeight="1">
      <c r="A1523" s="2316"/>
      <c r="B1523" s="2316"/>
      <c r="C1523" s="2448">
        <v>3</v>
      </c>
      <c r="D1523" s="2448" t="s">
        <v>107</v>
      </c>
      <c r="E1523" s="2448" t="s">
        <v>196</v>
      </c>
      <c r="F1523" s="2448">
        <v>17</v>
      </c>
      <c r="G1523" s="2207">
        <v>22</v>
      </c>
      <c r="H1523" s="2207"/>
      <c r="I1523" s="1762" t="s">
        <v>2895</v>
      </c>
      <c r="J1523" s="1380" t="s">
        <v>2896</v>
      </c>
      <c r="K1523" s="2248">
        <v>72</v>
      </c>
      <c r="L1523" s="2295">
        <v>492608279</v>
      </c>
      <c r="M1523" s="2285">
        <v>24</v>
      </c>
      <c r="N1523" s="2286">
        <v>138133012</v>
      </c>
      <c r="O1523" s="2285">
        <v>12</v>
      </c>
      <c r="P1523" s="2286">
        <v>50177192</v>
      </c>
      <c r="Q1523" s="2297">
        <v>3</v>
      </c>
      <c r="R1523" s="2286">
        <v>10391975</v>
      </c>
      <c r="S1523" s="2286">
        <v>3</v>
      </c>
      <c r="T1523" s="2286">
        <v>28700575</v>
      </c>
      <c r="U1523" s="2286">
        <v>3</v>
      </c>
      <c r="V1523" s="2292">
        <v>7784000</v>
      </c>
      <c r="W1523" s="2286">
        <v>0</v>
      </c>
      <c r="X1523" s="2286">
        <v>0</v>
      </c>
      <c r="Y1523" s="2285">
        <f t="shared" si="504"/>
        <v>9</v>
      </c>
      <c r="Z1523" s="2292">
        <f t="shared" si="505"/>
        <v>46876550</v>
      </c>
      <c r="AA1523" s="2285">
        <f t="shared" si="510"/>
        <v>33</v>
      </c>
      <c r="AB1523" s="2292">
        <f t="shared" si="510"/>
        <v>185009562</v>
      </c>
      <c r="AC1523" s="2288">
        <f t="shared" si="511"/>
        <v>0.45833333333333331</v>
      </c>
      <c r="AD1523" s="2288">
        <f t="shared" si="511"/>
        <v>0.37557136143868991</v>
      </c>
      <c r="AE1523" s="2207"/>
    </row>
    <row r="1524" spans="1:76" s="63" customFormat="1" ht="57.75" customHeight="1">
      <c r="A1524" s="2316"/>
      <c r="B1524" s="2316"/>
      <c r="C1524" s="2448">
        <v>3</v>
      </c>
      <c r="D1524" s="2448" t="s">
        <v>107</v>
      </c>
      <c r="E1524" s="2448" t="s">
        <v>196</v>
      </c>
      <c r="F1524" s="2448">
        <v>17</v>
      </c>
      <c r="G1524" s="2207">
        <v>28</v>
      </c>
      <c r="H1524" s="2207"/>
      <c r="I1524" s="1762" t="s">
        <v>2897</v>
      </c>
      <c r="J1524" s="1380" t="s">
        <v>2898</v>
      </c>
      <c r="K1524" s="2248">
        <v>3096</v>
      </c>
      <c r="L1524" s="2295">
        <v>690444044</v>
      </c>
      <c r="M1524" s="2285">
        <v>1032</v>
      </c>
      <c r="N1524" s="2286">
        <v>185302575</v>
      </c>
      <c r="O1524" s="2285">
        <v>516</v>
      </c>
      <c r="P1524" s="2286">
        <v>81031348</v>
      </c>
      <c r="Q1524" s="2297">
        <v>0</v>
      </c>
      <c r="R1524" s="2286">
        <v>0</v>
      </c>
      <c r="S1524" s="2286">
        <v>0</v>
      </c>
      <c r="T1524" s="2286">
        <v>0</v>
      </c>
      <c r="U1524" s="2286">
        <v>0</v>
      </c>
      <c r="V1524" s="2292">
        <v>0</v>
      </c>
      <c r="W1524" s="2286">
        <v>0</v>
      </c>
      <c r="X1524" s="2286">
        <v>0</v>
      </c>
      <c r="Y1524" s="2285">
        <f t="shared" si="504"/>
        <v>0</v>
      </c>
      <c r="Z1524" s="2292">
        <f t="shared" si="505"/>
        <v>0</v>
      </c>
      <c r="AA1524" s="2285">
        <f t="shared" si="510"/>
        <v>1032</v>
      </c>
      <c r="AB1524" s="2292">
        <f t="shared" si="510"/>
        <v>185302575</v>
      </c>
      <c r="AC1524" s="2288">
        <f t="shared" si="511"/>
        <v>0.33333333333333331</v>
      </c>
      <c r="AD1524" s="2288">
        <f t="shared" si="511"/>
        <v>0.26838174159121286</v>
      </c>
      <c r="AE1524" s="2207"/>
    </row>
    <row r="1525" spans="1:76" s="63" customFormat="1" ht="57.75" customHeight="1">
      <c r="A1525" s="2316"/>
      <c r="B1525" s="2316"/>
      <c r="C1525" s="2448">
        <v>3</v>
      </c>
      <c r="D1525" s="2448" t="s">
        <v>107</v>
      </c>
      <c r="E1525" s="2448" t="s">
        <v>196</v>
      </c>
      <c r="F1525" s="2448">
        <v>17</v>
      </c>
      <c r="G1525" s="2207">
        <v>29</v>
      </c>
      <c r="H1525" s="2207"/>
      <c r="I1525" s="1762" t="s">
        <v>2899</v>
      </c>
      <c r="J1525" s="273" t="s">
        <v>2900</v>
      </c>
      <c r="K1525" s="2248">
        <v>72</v>
      </c>
      <c r="L1525" s="2295">
        <v>2509900114</v>
      </c>
      <c r="M1525" s="2285">
        <v>24</v>
      </c>
      <c r="N1525" s="2298">
        <v>1009262760</v>
      </c>
      <c r="O1525" s="2285">
        <v>12</v>
      </c>
      <c r="P1525" s="2298">
        <v>403648070</v>
      </c>
      <c r="Q1525" s="2299">
        <v>3</v>
      </c>
      <c r="R1525" s="2298">
        <v>30030517</v>
      </c>
      <c r="S1525" s="2286">
        <v>3</v>
      </c>
      <c r="T1525" s="2286">
        <v>231747767</v>
      </c>
      <c r="U1525" s="2286">
        <v>3</v>
      </c>
      <c r="V1525" s="2292">
        <v>47069231</v>
      </c>
      <c r="W1525" s="2286">
        <v>0</v>
      </c>
      <c r="X1525" s="2286">
        <v>0</v>
      </c>
      <c r="Y1525" s="2285">
        <f t="shared" si="504"/>
        <v>9</v>
      </c>
      <c r="Z1525" s="2292">
        <f t="shared" si="505"/>
        <v>308847515</v>
      </c>
      <c r="AA1525" s="2285">
        <f t="shared" si="510"/>
        <v>33</v>
      </c>
      <c r="AB1525" s="2292">
        <f t="shared" si="510"/>
        <v>1318110275</v>
      </c>
      <c r="AC1525" s="2288">
        <f t="shared" si="511"/>
        <v>0.45833333333333331</v>
      </c>
      <c r="AD1525" s="2288">
        <f t="shared" si="511"/>
        <v>0.52516443489033604</v>
      </c>
      <c r="AE1525" s="2207"/>
    </row>
    <row r="1526" spans="1:76" s="63" customFormat="1" ht="57.75" customHeight="1">
      <c r="A1526" s="2316"/>
      <c r="B1526" s="2316"/>
      <c r="C1526" s="2448">
        <v>3</v>
      </c>
      <c r="D1526" s="2448" t="s">
        <v>107</v>
      </c>
      <c r="E1526" s="2448" t="s">
        <v>196</v>
      </c>
      <c r="F1526" s="2448">
        <v>17</v>
      </c>
      <c r="G1526" s="2207">
        <v>41</v>
      </c>
      <c r="H1526" s="2207"/>
      <c r="I1526" s="1762" t="s">
        <v>2913</v>
      </c>
      <c r="J1526" s="273" t="s">
        <v>2914</v>
      </c>
      <c r="K1526" s="2248">
        <v>72</v>
      </c>
      <c r="L1526" s="2295">
        <v>561795159</v>
      </c>
      <c r="M1526" s="2285">
        <v>24</v>
      </c>
      <c r="N1526" s="2298">
        <v>176112919</v>
      </c>
      <c r="O1526" s="2285">
        <v>12</v>
      </c>
      <c r="P1526" s="2298">
        <v>92062955</v>
      </c>
      <c r="Q1526" s="2299">
        <v>3</v>
      </c>
      <c r="R1526" s="2298">
        <v>30030517</v>
      </c>
      <c r="S1526" s="2286">
        <v>3</v>
      </c>
      <c r="T1526" s="2286">
        <v>51400857</v>
      </c>
      <c r="U1526" s="2286">
        <v>3</v>
      </c>
      <c r="V1526" s="2292">
        <v>9283330</v>
      </c>
      <c r="W1526" s="2286">
        <v>0</v>
      </c>
      <c r="X1526" s="2286">
        <v>0</v>
      </c>
      <c r="Y1526" s="2285">
        <f t="shared" si="504"/>
        <v>9</v>
      </c>
      <c r="Z1526" s="2292">
        <f t="shared" si="505"/>
        <v>90714704</v>
      </c>
      <c r="AA1526" s="2285">
        <f t="shared" si="510"/>
        <v>33</v>
      </c>
      <c r="AB1526" s="2292">
        <f t="shared" si="510"/>
        <v>266827623</v>
      </c>
      <c r="AC1526" s="2288">
        <f t="shared" si="511"/>
        <v>0.45833333333333331</v>
      </c>
      <c r="AD1526" s="2288">
        <f t="shared" si="511"/>
        <v>0.47495536179940634</v>
      </c>
      <c r="AE1526" s="2207"/>
    </row>
    <row r="1527" spans="1:76" s="2324" customFormat="1" ht="57.75" customHeight="1">
      <c r="A1527" s="2316"/>
      <c r="B1527" s="2316"/>
      <c r="C1527" s="2448">
        <v>3</v>
      </c>
      <c r="D1527" s="2448" t="s">
        <v>107</v>
      </c>
      <c r="E1527" s="2448" t="s">
        <v>196</v>
      </c>
      <c r="F1527" s="2448">
        <v>17</v>
      </c>
      <c r="G1527" s="2207">
        <v>42</v>
      </c>
      <c r="H1527" s="2207"/>
      <c r="I1527" s="1762" t="s">
        <v>2925</v>
      </c>
      <c r="J1527" s="273" t="s">
        <v>2926</v>
      </c>
      <c r="K1527" s="2248">
        <v>500</v>
      </c>
      <c r="L1527" s="2295">
        <v>276426716</v>
      </c>
      <c r="M1527" s="2285">
        <v>100</v>
      </c>
      <c r="N1527" s="2298">
        <v>48522501</v>
      </c>
      <c r="O1527" s="2285">
        <v>100</v>
      </c>
      <c r="P1527" s="2298">
        <v>51428705</v>
      </c>
      <c r="Q1527" s="2299">
        <v>25</v>
      </c>
      <c r="R1527" s="2298">
        <v>12988724</v>
      </c>
      <c r="S1527" s="2286">
        <v>25</v>
      </c>
      <c r="T1527" s="2286">
        <v>18932224</v>
      </c>
      <c r="U1527" s="2286">
        <v>3</v>
      </c>
      <c r="V1527" s="2292">
        <v>9727002</v>
      </c>
      <c r="W1527" s="2286">
        <v>0</v>
      </c>
      <c r="X1527" s="2286">
        <v>0</v>
      </c>
      <c r="Y1527" s="2285">
        <f t="shared" si="504"/>
        <v>53</v>
      </c>
      <c r="Z1527" s="2292">
        <f t="shared" si="505"/>
        <v>41647950</v>
      </c>
      <c r="AA1527" s="2285">
        <f t="shared" si="510"/>
        <v>153</v>
      </c>
      <c r="AB1527" s="2292">
        <f t="shared" si="510"/>
        <v>90170451</v>
      </c>
      <c r="AC1527" s="2288">
        <f t="shared" si="511"/>
        <v>0.30599999999999999</v>
      </c>
      <c r="AD1527" s="2288">
        <f t="shared" si="511"/>
        <v>0.32620020345645606</v>
      </c>
      <c r="AE1527" s="2207"/>
      <c r="AF1527" s="2705"/>
      <c r="AG1527" s="2705"/>
      <c r="AH1527" s="2705"/>
      <c r="AI1527" s="2705"/>
      <c r="AJ1527" s="2705"/>
      <c r="AK1527" s="2705"/>
      <c r="AL1527" s="2705"/>
      <c r="AM1527" s="2705"/>
      <c r="AN1527" s="2705"/>
      <c r="AO1527" s="2705"/>
      <c r="AP1527" s="2705"/>
      <c r="AQ1527" s="2705"/>
      <c r="AR1527" s="2705"/>
      <c r="AS1527" s="2705"/>
      <c r="AT1527" s="2705"/>
      <c r="AU1527" s="2705"/>
      <c r="AV1527" s="2705"/>
      <c r="AW1527" s="2705"/>
      <c r="AX1527" s="2705"/>
      <c r="AY1527" s="2705"/>
      <c r="AZ1527" s="2705"/>
      <c r="BA1527" s="2705"/>
      <c r="BB1527" s="2705"/>
      <c r="BC1527" s="2705"/>
      <c r="BD1527" s="2705"/>
      <c r="BE1527" s="2705"/>
      <c r="BF1527" s="2705"/>
      <c r="BG1527" s="2705"/>
      <c r="BH1527" s="2705"/>
      <c r="BI1527" s="2705"/>
      <c r="BJ1527" s="2705"/>
      <c r="BK1527" s="2705"/>
      <c r="BL1527" s="2705"/>
      <c r="BM1527" s="2705"/>
      <c r="BN1527" s="2705"/>
      <c r="BO1527" s="2705"/>
      <c r="BP1527" s="2705"/>
      <c r="BQ1527" s="2705"/>
      <c r="BR1527" s="2705"/>
      <c r="BS1527" s="2705"/>
      <c r="BT1527" s="2705"/>
      <c r="BU1527" s="2705"/>
      <c r="BV1527" s="2705"/>
      <c r="BW1527" s="2705"/>
      <c r="BX1527" s="2705"/>
    </row>
    <row r="1528" spans="1:76" s="2324" customFormat="1" ht="76.5" customHeight="1">
      <c r="A1528" s="2316"/>
      <c r="B1528" s="2316"/>
      <c r="C1528" s="2448">
        <v>3</v>
      </c>
      <c r="D1528" s="2448" t="s">
        <v>107</v>
      </c>
      <c r="E1528" s="2448" t="s">
        <v>196</v>
      </c>
      <c r="F1528" s="2448">
        <v>17</v>
      </c>
      <c r="G1528" s="2207">
        <v>57</v>
      </c>
      <c r="H1528" s="2207"/>
      <c r="I1528" s="1762" t="s">
        <v>2927</v>
      </c>
      <c r="J1528" s="273" t="s">
        <v>2928</v>
      </c>
      <c r="K1528" s="2248">
        <v>60</v>
      </c>
      <c r="L1528" s="2295">
        <v>350420624</v>
      </c>
      <c r="M1528" s="2285">
        <v>12</v>
      </c>
      <c r="N1528" s="2298">
        <v>46428710</v>
      </c>
      <c r="O1528" s="2285">
        <v>0</v>
      </c>
      <c r="P1528" s="2298">
        <v>0</v>
      </c>
      <c r="Q1528" s="2299">
        <v>0</v>
      </c>
      <c r="R1528" s="2298">
        <v>0</v>
      </c>
      <c r="S1528" s="2286">
        <v>0</v>
      </c>
      <c r="T1528" s="2286">
        <v>0</v>
      </c>
      <c r="U1528" s="2286">
        <v>0</v>
      </c>
      <c r="V1528" s="2292">
        <v>0</v>
      </c>
      <c r="W1528" s="2286">
        <v>0</v>
      </c>
      <c r="X1528" s="2286">
        <v>0</v>
      </c>
      <c r="Y1528" s="2285">
        <f t="shared" si="504"/>
        <v>0</v>
      </c>
      <c r="Z1528" s="2292">
        <f t="shared" si="505"/>
        <v>0</v>
      </c>
      <c r="AA1528" s="2285">
        <f t="shared" si="510"/>
        <v>12</v>
      </c>
      <c r="AB1528" s="2292">
        <f t="shared" si="510"/>
        <v>46428710</v>
      </c>
      <c r="AC1528" s="2288">
        <f t="shared" si="511"/>
        <v>0.2</v>
      </c>
      <c r="AD1528" s="2288">
        <f t="shared" si="511"/>
        <v>0.13249422785115525</v>
      </c>
      <c r="AE1528" s="2207"/>
      <c r="AF1528" s="2705"/>
      <c r="AG1528" s="2705"/>
      <c r="AH1528" s="2705"/>
      <c r="AI1528" s="2705"/>
      <c r="AJ1528" s="2705"/>
      <c r="AK1528" s="2705"/>
      <c r="AL1528" s="2705"/>
      <c r="AM1528" s="2705"/>
      <c r="AN1528" s="2705"/>
      <c r="AO1528" s="2705"/>
      <c r="AP1528" s="2705"/>
      <c r="AQ1528" s="2705"/>
      <c r="AR1528" s="2705"/>
      <c r="AS1528" s="2705"/>
      <c r="AT1528" s="2705"/>
      <c r="AU1528" s="2705"/>
      <c r="AV1528" s="2705"/>
      <c r="AW1528" s="2705"/>
      <c r="AX1528" s="2705"/>
      <c r="AY1528" s="2705"/>
      <c r="AZ1528" s="2705"/>
      <c r="BA1528" s="2705"/>
      <c r="BB1528" s="2705"/>
      <c r="BC1528" s="2705"/>
      <c r="BD1528" s="2705"/>
      <c r="BE1528" s="2705"/>
      <c r="BF1528" s="2705"/>
      <c r="BG1528" s="2705"/>
      <c r="BH1528" s="2705"/>
      <c r="BI1528" s="2705"/>
      <c r="BJ1528" s="2705"/>
      <c r="BK1528" s="2705"/>
      <c r="BL1528" s="2705"/>
      <c r="BM1528" s="2705"/>
      <c r="BN1528" s="2705"/>
      <c r="BO1528" s="2705"/>
      <c r="BP1528" s="2705"/>
      <c r="BQ1528" s="2705"/>
      <c r="BR1528" s="2705"/>
      <c r="BS1528" s="2705"/>
      <c r="BT1528" s="2705"/>
      <c r="BU1528" s="2705"/>
      <c r="BV1528" s="2705"/>
      <c r="BW1528" s="2705"/>
      <c r="BX1528" s="2705"/>
    </row>
    <row r="1529" spans="1:76" s="2324" customFormat="1" ht="58.5" customHeight="1">
      <c r="A1529" s="2316"/>
      <c r="B1529" s="2316"/>
      <c r="C1529" s="2448">
        <v>3</v>
      </c>
      <c r="D1529" s="2448" t="s">
        <v>107</v>
      </c>
      <c r="E1529" s="2448" t="s">
        <v>196</v>
      </c>
      <c r="F1529" s="2448">
        <v>17</v>
      </c>
      <c r="G1529" s="2207">
        <v>43</v>
      </c>
      <c r="H1529" s="2207"/>
      <c r="I1529" s="1762" t="s">
        <v>2929</v>
      </c>
      <c r="J1529" s="273" t="s">
        <v>2930</v>
      </c>
      <c r="K1529" s="2248">
        <v>3930</v>
      </c>
      <c r="L1529" s="2295">
        <v>1090793320</v>
      </c>
      <c r="M1529" s="2285">
        <v>1698</v>
      </c>
      <c r="N1529" s="2298">
        <v>826624769</v>
      </c>
      <c r="O1529" s="2285">
        <v>0</v>
      </c>
      <c r="P1529" s="2298">
        <v>0</v>
      </c>
      <c r="Q1529" s="2300">
        <v>0</v>
      </c>
      <c r="R1529" s="2298">
        <v>0</v>
      </c>
      <c r="S1529" s="2286">
        <v>0</v>
      </c>
      <c r="T1529" s="2286">
        <v>0</v>
      </c>
      <c r="U1529" s="2286">
        <v>0</v>
      </c>
      <c r="V1529" s="2292"/>
      <c r="W1529" s="2286">
        <v>0</v>
      </c>
      <c r="X1529" s="2286">
        <v>0</v>
      </c>
      <c r="Y1529" s="2285">
        <f t="shared" si="504"/>
        <v>0</v>
      </c>
      <c r="Z1529" s="2292">
        <f t="shared" si="505"/>
        <v>0</v>
      </c>
      <c r="AA1529" s="2285">
        <f t="shared" si="510"/>
        <v>1698</v>
      </c>
      <c r="AB1529" s="2292">
        <f t="shared" si="510"/>
        <v>826624769</v>
      </c>
      <c r="AC1529" s="2288">
        <f t="shared" si="511"/>
        <v>0.43206106870229005</v>
      </c>
      <c r="AD1529" s="2288">
        <f t="shared" si="511"/>
        <v>0.75781979394593291</v>
      </c>
      <c r="AE1529" s="2207"/>
      <c r="AF1529" s="2705"/>
      <c r="AG1529" s="2705"/>
      <c r="AH1529" s="2705"/>
      <c r="AI1529" s="2705"/>
      <c r="AJ1529" s="2705"/>
      <c r="AK1529" s="2705"/>
      <c r="AL1529" s="2705"/>
      <c r="AM1529" s="2705"/>
      <c r="AN1529" s="2705"/>
      <c r="AO1529" s="2705"/>
      <c r="AP1529" s="2705"/>
      <c r="AQ1529" s="2705"/>
      <c r="AR1529" s="2705"/>
      <c r="AS1529" s="2705"/>
      <c r="AT1529" s="2705"/>
      <c r="AU1529" s="2705"/>
      <c r="AV1529" s="2705"/>
      <c r="AW1529" s="2705"/>
      <c r="AX1529" s="2705"/>
      <c r="AY1529" s="2705"/>
      <c r="AZ1529" s="2705"/>
      <c r="BA1529" s="2705"/>
      <c r="BB1529" s="2705"/>
      <c r="BC1529" s="2705"/>
      <c r="BD1529" s="2705"/>
      <c r="BE1529" s="2705"/>
      <c r="BF1529" s="2705"/>
      <c r="BG1529" s="2705"/>
      <c r="BH1529" s="2705"/>
      <c r="BI1529" s="2705"/>
      <c r="BJ1529" s="2705"/>
      <c r="BK1529" s="2705"/>
      <c r="BL1529" s="2705"/>
      <c r="BM1529" s="2705"/>
      <c r="BN1529" s="2705"/>
      <c r="BO1529" s="2705"/>
      <c r="BP1529" s="2705"/>
      <c r="BQ1529" s="2705"/>
      <c r="BR1529" s="2705"/>
      <c r="BS1529" s="2705"/>
      <c r="BT1529" s="2705"/>
      <c r="BU1529" s="2705"/>
      <c r="BV1529" s="2705"/>
      <c r="BW1529" s="2705"/>
      <c r="BX1529" s="2705"/>
    </row>
    <row r="1530" spans="1:76" s="2324" customFormat="1" ht="83.25" customHeight="1">
      <c r="A1530" s="2316"/>
      <c r="B1530" s="2316"/>
      <c r="C1530" s="2448">
        <v>3</v>
      </c>
      <c r="D1530" s="2448" t="s">
        <v>107</v>
      </c>
      <c r="E1530" s="2448" t="s">
        <v>196</v>
      </c>
      <c r="F1530" s="2448">
        <v>17</v>
      </c>
      <c r="G1530" s="2207">
        <v>57</v>
      </c>
      <c r="H1530" s="2207"/>
      <c r="I1530" s="1762" t="s">
        <v>2931</v>
      </c>
      <c r="J1530" s="273" t="s">
        <v>2932</v>
      </c>
      <c r="K1530" s="2248">
        <v>48</v>
      </c>
      <c r="L1530" s="2295">
        <v>219592389</v>
      </c>
      <c r="M1530" s="2285">
        <v>0</v>
      </c>
      <c r="N1530" s="2301">
        <v>0</v>
      </c>
      <c r="O1530" s="2285">
        <v>12</v>
      </c>
      <c r="P1530" s="2298">
        <v>39592389</v>
      </c>
      <c r="Q1530" s="2300">
        <v>3</v>
      </c>
      <c r="R1530" s="2298">
        <v>1102000</v>
      </c>
      <c r="S1530" s="2286">
        <v>3</v>
      </c>
      <c r="T1530" s="2286">
        <v>1102000</v>
      </c>
      <c r="U1530" s="2286">
        <v>3</v>
      </c>
      <c r="V1530" s="2292">
        <v>6836913</v>
      </c>
      <c r="W1530" s="2286">
        <v>0</v>
      </c>
      <c r="X1530" s="2286">
        <v>0</v>
      </c>
      <c r="Y1530" s="2285">
        <f t="shared" si="504"/>
        <v>9</v>
      </c>
      <c r="Z1530" s="2292">
        <f t="shared" si="505"/>
        <v>9040913</v>
      </c>
      <c r="AA1530" s="2285">
        <f t="shared" si="510"/>
        <v>9</v>
      </c>
      <c r="AB1530" s="2292">
        <f t="shared" si="510"/>
        <v>9040913</v>
      </c>
      <c r="AC1530" s="2288">
        <f t="shared" si="511"/>
        <v>0.1875</v>
      </c>
      <c r="AD1530" s="2288">
        <f t="shared" si="511"/>
        <v>4.1171340414717199E-2</v>
      </c>
      <c r="AE1530" s="2207"/>
      <c r="AF1530" s="2705"/>
      <c r="AG1530" s="2705"/>
      <c r="AH1530" s="2705"/>
      <c r="AI1530" s="2705"/>
      <c r="AJ1530" s="2705"/>
      <c r="AK1530" s="2705"/>
      <c r="AL1530" s="2705"/>
      <c r="AM1530" s="2705"/>
      <c r="AN1530" s="2705"/>
      <c r="AO1530" s="2705"/>
      <c r="AP1530" s="2705"/>
      <c r="AQ1530" s="2705"/>
      <c r="AR1530" s="2705"/>
      <c r="AS1530" s="2705"/>
      <c r="AT1530" s="2705"/>
      <c r="AU1530" s="2705"/>
      <c r="AV1530" s="2705"/>
      <c r="AW1530" s="2705"/>
      <c r="AX1530" s="2705"/>
      <c r="AY1530" s="2705"/>
      <c r="AZ1530" s="2705"/>
      <c r="BA1530" s="2705"/>
      <c r="BB1530" s="2705"/>
      <c r="BC1530" s="2705"/>
      <c r="BD1530" s="2705"/>
      <c r="BE1530" s="2705"/>
      <c r="BF1530" s="2705"/>
      <c r="BG1530" s="2705"/>
      <c r="BH1530" s="2705"/>
      <c r="BI1530" s="2705"/>
      <c r="BJ1530" s="2705"/>
      <c r="BK1530" s="2705"/>
      <c r="BL1530" s="2705"/>
      <c r="BM1530" s="2705"/>
      <c r="BN1530" s="2705"/>
      <c r="BO1530" s="2705"/>
      <c r="BP1530" s="2705"/>
      <c r="BQ1530" s="2705"/>
      <c r="BR1530" s="2705"/>
      <c r="BS1530" s="2705"/>
      <c r="BT1530" s="2705"/>
      <c r="BU1530" s="2705"/>
      <c r="BV1530" s="2705"/>
      <c r="BW1530" s="2705"/>
      <c r="BX1530" s="2705"/>
    </row>
    <row r="1531" spans="1:76" s="2324" customFormat="1" ht="33" customHeight="1">
      <c r="A1531" s="1396"/>
      <c r="B1531" s="1396"/>
      <c r="C1531" s="2448">
        <v>3</v>
      </c>
      <c r="D1531" s="2448" t="s">
        <v>107</v>
      </c>
      <c r="E1531" s="2448" t="s">
        <v>196</v>
      </c>
      <c r="F1531" s="2207">
        <v>17</v>
      </c>
      <c r="G1531" s="2448">
        <v>75</v>
      </c>
      <c r="H1531" s="2448"/>
      <c r="I1531" s="1762" t="s">
        <v>2933</v>
      </c>
      <c r="J1531" s="1380" t="s">
        <v>4079</v>
      </c>
      <c r="K1531" s="2248">
        <v>2400</v>
      </c>
      <c r="L1531" s="2295">
        <v>922792510</v>
      </c>
      <c r="M1531" s="2302">
        <v>0</v>
      </c>
      <c r="N1531" s="2298">
        <v>0</v>
      </c>
      <c r="O1531" s="2285">
        <v>600</v>
      </c>
      <c r="P1531" s="2298">
        <v>205792510</v>
      </c>
      <c r="Q1531" s="2302">
        <v>0</v>
      </c>
      <c r="R1531" s="2298">
        <v>14022463</v>
      </c>
      <c r="S1531" s="2286">
        <v>90</v>
      </c>
      <c r="T1531" s="2286">
        <v>53663102</v>
      </c>
      <c r="U1531" s="2286">
        <v>18</v>
      </c>
      <c r="V1531" s="2292">
        <v>58106634</v>
      </c>
      <c r="W1531" s="2286">
        <v>0</v>
      </c>
      <c r="X1531" s="2286">
        <v>0</v>
      </c>
      <c r="Y1531" s="2285">
        <f t="shared" si="504"/>
        <v>108</v>
      </c>
      <c r="Z1531" s="2292">
        <f t="shared" si="505"/>
        <v>125792199</v>
      </c>
      <c r="AA1531" s="2285">
        <f t="shared" si="510"/>
        <v>108</v>
      </c>
      <c r="AB1531" s="2292">
        <f t="shared" si="510"/>
        <v>125792199</v>
      </c>
      <c r="AC1531" s="2288">
        <f t="shared" si="511"/>
        <v>4.4999999999999998E-2</v>
      </c>
      <c r="AD1531" s="2288">
        <f t="shared" si="511"/>
        <v>0.13631688341293538</v>
      </c>
      <c r="AE1531" s="2207"/>
      <c r="AF1531" s="2705"/>
      <c r="AG1531" s="2705"/>
      <c r="AH1531" s="2705"/>
      <c r="AI1531" s="2705"/>
      <c r="AJ1531" s="2705"/>
      <c r="AK1531" s="2705"/>
      <c r="AL1531" s="2705"/>
      <c r="AM1531" s="2705"/>
      <c r="AN1531" s="2705"/>
      <c r="AO1531" s="2705"/>
      <c r="AP1531" s="2705"/>
      <c r="AQ1531" s="2705"/>
      <c r="AR1531" s="2705"/>
      <c r="AS1531" s="2705"/>
      <c r="AT1531" s="2705"/>
      <c r="AU1531" s="2705"/>
      <c r="AV1531" s="2705"/>
      <c r="AW1531" s="2705"/>
      <c r="AX1531" s="2705"/>
      <c r="AY1531" s="2705"/>
      <c r="AZ1531" s="2705"/>
      <c r="BA1531" s="2705"/>
      <c r="BB1531" s="2705"/>
      <c r="BC1531" s="2705"/>
      <c r="BD1531" s="2705"/>
      <c r="BE1531" s="2705"/>
      <c r="BF1531" s="2705"/>
      <c r="BG1531" s="2705"/>
      <c r="BH1531" s="2705"/>
      <c r="BI1531" s="2705"/>
      <c r="BJ1531" s="2705"/>
      <c r="BK1531" s="2705"/>
      <c r="BL1531" s="2705"/>
      <c r="BM1531" s="2705"/>
      <c r="BN1531" s="2705"/>
      <c r="BO1531" s="2705"/>
      <c r="BP1531" s="2705"/>
      <c r="BQ1531" s="2705"/>
      <c r="BR1531" s="2705"/>
      <c r="BS1531" s="2705"/>
      <c r="BT1531" s="2705"/>
      <c r="BU1531" s="2705"/>
      <c r="BV1531" s="2705"/>
      <c r="BW1531" s="2705"/>
      <c r="BX1531" s="2705"/>
    </row>
    <row r="1532" spans="1:76" s="2324" customFormat="1" ht="45" customHeight="1">
      <c r="A1532" s="1396"/>
      <c r="B1532" s="1396"/>
      <c r="C1532" s="2448">
        <v>3</v>
      </c>
      <c r="D1532" s="2448" t="s">
        <v>107</v>
      </c>
      <c r="E1532" s="2448" t="s">
        <v>196</v>
      </c>
      <c r="F1532" s="2207">
        <v>17</v>
      </c>
      <c r="G1532" s="2448">
        <v>79</v>
      </c>
      <c r="H1532" s="2448"/>
      <c r="I1532" s="1762" t="s">
        <v>2935</v>
      </c>
      <c r="J1532" s="1380" t="s">
        <v>4080</v>
      </c>
      <c r="K1532" s="2248">
        <v>400</v>
      </c>
      <c r="L1532" s="2295">
        <v>663466849</v>
      </c>
      <c r="M1532" s="2302">
        <v>0</v>
      </c>
      <c r="N1532" s="2298">
        <v>0</v>
      </c>
      <c r="O1532" s="2285">
        <v>100</v>
      </c>
      <c r="P1532" s="2298">
        <v>153466849</v>
      </c>
      <c r="Q1532" s="2302">
        <v>25</v>
      </c>
      <c r="R1532" s="2298">
        <v>0</v>
      </c>
      <c r="S1532" s="2286">
        <v>0</v>
      </c>
      <c r="T1532" s="2286">
        <v>0</v>
      </c>
      <c r="U1532" s="2286">
        <v>0</v>
      </c>
      <c r="V1532" s="2292">
        <v>135000</v>
      </c>
      <c r="W1532" s="2286">
        <v>0</v>
      </c>
      <c r="X1532" s="2286">
        <v>0</v>
      </c>
      <c r="Y1532" s="2285">
        <f t="shared" si="504"/>
        <v>25</v>
      </c>
      <c r="Z1532" s="2292">
        <f t="shared" si="505"/>
        <v>135000</v>
      </c>
      <c r="AA1532" s="2285">
        <f t="shared" si="510"/>
        <v>25</v>
      </c>
      <c r="AB1532" s="2292">
        <f t="shared" si="510"/>
        <v>135000</v>
      </c>
      <c r="AC1532" s="2288">
        <f t="shared" si="511"/>
        <v>6.25E-2</v>
      </c>
      <c r="AD1532" s="2288">
        <f t="shared" si="511"/>
        <v>2.034766321836225E-4</v>
      </c>
      <c r="AE1532" s="2207"/>
      <c r="AF1532" s="2705"/>
      <c r="AG1532" s="2705"/>
      <c r="AH1532" s="2705"/>
      <c r="AI1532" s="2705"/>
      <c r="AJ1532" s="2705"/>
      <c r="AK1532" s="2705"/>
      <c r="AL1532" s="2705"/>
      <c r="AM1532" s="2705"/>
      <c r="AN1532" s="2705"/>
      <c r="AO1532" s="2705"/>
      <c r="AP1532" s="2705"/>
      <c r="AQ1532" s="2705"/>
      <c r="AR1532" s="2705"/>
      <c r="AS1532" s="2705"/>
      <c r="AT1532" s="2705"/>
      <c r="AU1532" s="2705"/>
      <c r="AV1532" s="2705"/>
      <c r="AW1532" s="2705"/>
      <c r="AX1532" s="2705"/>
      <c r="AY1532" s="2705"/>
      <c r="AZ1532" s="2705"/>
      <c r="BA1532" s="2705"/>
      <c r="BB1532" s="2705"/>
      <c r="BC1532" s="2705"/>
      <c r="BD1532" s="2705"/>
      <c r="BE1532" s="2705"/>
      <c r="BF1532" s="2705"/>
      <c r="BG1532" s="2705"/>
      <c r="BH1532" s="2705"/>
      <c r="BI1532" s="2705"/>
      <c r="BJ1532" s="2705"/>
      <c r="BK1532" s="2705"/>
      <c r="BL1532" s="2705"/>
      <c r="BM1532" s="2705"/>
      <c r="BN1532" s="2705"/>
      <c r="BO1532" s="2705"/>
      <c r="BP1532" s="2705"/>
      <c r="BQ1532" s="2705"/>
      <c r="BR1532" s="2705"/>
      <c r="BS1532" s="2705"/>
      <c r="BT1532" s="2705"/>
      <c r="BU1532" s="2705"/>
      <c r="BV1532" s="2705"/>
      <c r="BW1532" s="2705"/>
      <c r="BX1532" s="2705"/>
    </row>
    <row r="1533" spans="1:76" s="2324" customFormat="1" ht="33" customHeight="1">
      <c r="A1533" s="1396"/>
      <c r="B1533" s="1396"/>
      <c r="C1533" s="2448">
        <v>3</v>
      </c>
      <c r="D1533" s="2448" t="s">
        <v>107</v>
      </c>
      <c r="E1533" s="2448" t="s">
        <v>196</v>
      </c>
      <c r="F1533" s="2207">
        <v>17</v>
      </c>
      <c r="G1533" s="2448">
        <v>80</v>
      </c>
      <c r="H1533" s="2448"/>
      <c r="I1533" s="1762" t="s">
        <v>2936</v>
      </c>
      <c r="J1533" s="1380" t="s">
        <v>4081</v>
      </c>
      <c r="K1533" s="2248">
        <v>180</v>
      </c>
      <c r="L1533" s="2295">
        <v>319077313</v>
      </c>
      <c r="M1533" s="2302">
        <v>0</v>
      </c>
      <c r="N1533" s="2298">
        <v>0</v>
      </c>
      <c r="O1533" s="2285">
        <v>45</v>
      </c>
      <c r="P1533" s="2298">
        <v>96077313</v>
      </c>
      <c r="Q1533" s="2302">
        <v>0</v>
      </c>
      <c r="R1533" s="2298">
        <v>12627500</v>
      </c>
      <c r="S1533" s="2286">
        <v>25</v>
      </c>
      <c r="T1533" s="2286">
        <v>28902500</v>
      </c>
      <c r="U1533" s="2286">
        <v>3</v>
      </c>
      <c r="V1533" s="2292">
        <v>27525000</v>
      </c>
      <c r="W1533" s="2286">
        <v>0</v>
      </c>
      <c r="X1533" s="2286">
        <v>0</v>
      </c>
      <c r="Y1533" s="2285">
        <f t="shared" si="504"/>
        <v>28</v>
      </c>
      <c r="Z1533" s="2292">
        <f t="shared" si="505"/>
        <v>69055000</v>
      </c>
      <c r="AA1533" s="2285">
        <f t="shared" si="510"/>
        <v>28</v>
      </c>
      <c r="AB1533" s="2292">
        <f t="shared" si="510"/>
        <v>69055000</v>
      </c>
      <c r="AC1533" s="2288">
        <f t="shared" si="511"/>
        <v>0.15555555555555556</v>
      </c>
      <c r="AD1533" s="2288">
        <f t="shared" si="511"/>
        <v>0.21642090235353084</v>
      </c>
      <c r="AE1533" s="2207"/>
      <c r="AF1533" s="2705"/>
      <c r="AG1533" s="2705"/>
      <c r="AH1533" s="2705"/>
      <c r="AI1533" s="2705"/>
      <c r="AJ1533" s="2705"/>
      <c r="AK1533" s="2705"/>
      <c r="AL1533" s="2705"/>
      <c r="AM1533" s="2705"/>
      <c r="AN1533" s="2705"/>
      <c r="AO1533" s="2705"/>
      <c r="AP1533" s="2705"/>
      <c r="AQ1533" s="2705"/>
      <c r="AR1533" s="2705"/>
      <c r="AS1533" s="2705"/>
      <c r="AT1533" s="2705"/>
      <c r="AU1533" s="2705"/>
      <c r="AV1533" s="2705"/>
      <c r="AW1533" s="2705"/>
      <c r="AX1533" s="2705"/>
      <c r="AY1533" s="2705"/>
      <c r="AZ1533" s="2705"/>
      <c r="BA1533" s="2705"/>
      <c r="BB1533" s="2705"/>
      <c r="BC1533" s="2705"/>
      <c r="BD1533" s="2705"/>
      <c r="BE1533" s="2705"/>
      <c r="BF1533" s="2705"/>
      <c r="BG1533" s="2705"/>
      <c r="BH1533" s="2705"/>
      <c r="BI1533" s="2705"/>
      <c r="BJ1533" s="2705"/>
      <c r="BK1533" s="2705"/>
      <c r="BL1533" s="2705"/>
      <c r="BM1533" s="2705"/>
      <c r="BN1533" s="2705"/>
      <c r="BO1533" s="2705"/>
      <c r="BP1533" s="2705"/>
      <c r="BQ1533" s="2705"/>
      <c r="BR1533" s="2705"/>
      <c r="BS1533" s="2705"/>
      <c r="BT1533" s="2705"/>
      <c r="BU1533" s="2705"/>
      <c r="BV1533" s="2705"/>
      <c r="BW1533" s="2705"/>
      <c r="BX1533" s="2705"/>
    </row>
    <row r="1534" spans="1:76" s="2324" customFormat="1" ht="44.25" customHeight="1">
      <c r="A1534" s="1396"/>
      <c r="B1534" s="1396"/>
      <c r="C1534" s="2448">
        <v>3</v>
      </c>
      <c r="D1534" s="2448" t="s">
        <v>107</v>
      </c>
      <c r="E1534" s="2448" t="s">
        <v>196</v>
      </c>
      <c r="F1534" s="2207">
        <v>17</v>
      </c>
      <c r="G1534" s="2448">
        <v>82</v>
      </c>
      <c r="H1534" s="2448"/>
      <c r="I1534" s="1762" t="s">
        <v>2938</v>
      </c>
      <c r="J1534" s="1380" t="s">
        <v>4082</v>
      </c>
      <c r="K1534" s="2248">
        <v>360</v>
      </c>
      <c r="L1534" s="2295">
        <v>285087356</v>
      </c>
      <c r="M1534" s="2302">
        <v>0</v>
      </c>
      <c r="N1534" s="2298">
        <v>0</v>
      </c>
      <c r="O1534" s="2285">
        <v>90</v>
      </c>
      <c r="P1534" s="2298">
        <v>45087356</v>
      </c>
      <c r="Q1534" s="2302">
        <v>0</v>
      </c>
      <c r="R1534" s="2298">
        <v>0</v>
      </c>
      <c r="S1534" s="2286">
        <v>0</v>
      </c>
      <c r="T1534" s="2286">
        <v>0</v>
      </c>
      <c r="U1534" s="2286">
        <v>0</v>
      </c>
      <c r="V1534" s="2292">
        <v>3810829</v>
      </c>
      <c r="W1534" s="2286">
        <v>0</v>
      </c>
      <c r="X1534" s="2286">
        <v>0</v>
      </c>
      <c r="Y1534" s="2285">
        <f t="shared" si="504"/>
        <v>0</v>
      </c>
      <c r="Z1534" s="2292">
        <f t="shared" si="505"/>
        <v>3810829</v>
      </c>
      <c r="AA1534" s="2285">
        <f t="shared" si="510"/>
        <v>0</v>
      </c>
      <c r="AB1534" s="2292">
        <f t="shared" si="510"/>
        <v>3810829</v>
      </c>
      <c r="AC1534" s="2288">
        <f t="shared" si="511"/>
        <v>0</v>
      </c>
      <c r="AD1534" s="2288">
        <f t="shared" si="511"/>
        <v>1.33672326036094E-2</v>
      </c>
      <c r="AE1534" s="2207"/>
      <c r="AF1534" s="2705"/>
      <c r="AG1534" s="2705"/>
      <c r="AH1534" s="2705"/>
      <c r="AI1534" s="2705"/>
      <c r="AJ1534" s="2705"/>
      <c r="AK1534" s="2705"/>
      <c r="AL1534" s="2705"/>
      <c r="AM1534" s="2705"/>
      <c r="AN1534" s="2705"/>
      <c r="AO1534" s="2705"/>
      <c r="AP1534" s="2705"/>
      <c r="AQ1534" s="2705"/>
      <c r="AR1534" s="2705"/>
      <c r="AS1534" s="2705"/>
      <c r="AT1534" s="2705"/>
      <c r="AU1534" s="2705"/>
      <c r="AV1534" s="2705"/>
      <c r="AW1534" s="2705"/>
      <c r="AX1534" s="2705"/>
      <c r="AY1534" s="2705"/>
      <c r="AZ1534" s="2705"/>
      <c r="BA1534" s="2705"/>
      <c r="BB1534" s="2705"/>
      <c r="BC1534" s="2705"/>
      <c r="BD1534" s="2705"/>
      <c r="BE1534" s="2705"/>
      <c r="BF1534" s="2705"/>
      <c r="BG1534" s="2705"/>
      <c r="BH1534" s="2705"/>
      <c r="BI1534" s="2705"/>
      <c r="BJ1534" s="2705"/>
      <c r="BK1534" s="2705"/>
      <c r="BL1534" s="2705"/>
      <c r="BM1534" s="2705"/>
      <c r="BN1534" s="2705"/>
      <c r="BO1534" s="2705"/>
      <c r="BP1534" s="2705"/>
      <c r="BQ1534" s="2705"/>
      <c r="BR1534" s="2705"/>
      <c r="BS1534" s="2705"/>
      <c r="BT1534" s="2705"/>
      <c r="BU1534" s="2705"/>
      <c r="BV1534" s="2705"/>
      <c r="BW1534" s="2705"/>
      <c r="BX1534" s="2705"/>
    </row>
    <row r="1535" spans="1:76" s="2324" customFormat="1" ht="33" customHeight="1">
      <c r="A1535" s="1396"/>
      <c r="B1535" s="1396"/>
      <c r="C1535" s="2448">
        <v>3</v>
      </c>
      <c r="D1535" s="2448" t="s">
        <v>107</v>
      </c>
      <c r="E1535" s="2448" t="s">
        <v>196</v>
      </c>
      <c r="F1535" s="2207">
        <v>17</v>
      </c>
      <c r="G1535" s="2448">
        <v>83</v>
      </c>
      <c r="H1535" s="2448"/>
      <c r="I1535" s="1762" t="s">
        <v>2939</v>
      </c>
      <c r="J1535" s="1380" t="s">
        <v>4083</v>
      </c>
      <c r="K1535" s="2248">
        <v>400</v>
      </c>
      <c r="L1535" s="2295">
        <v>405789327</v>
      </c>
      <c r="M1535" s="2302">
        <v>0</v>
      </c>
      <c r="N1535" s="2298">
        <v>0</v>
      </c>
      <c r="O1535" s="2285">
        <v>100</v>
      </c>
      <c r="P1535" s="2298">
        <v>87789327</v>
      </c>
      <c r="Q1535" s="2302">
        <v>0</v>
      </c>
      <c r="R1535" s="2298">
        <v>8379857</v>
      </c>
      <c r="S1535" s="2286">
        <v>0</v>
      </c>
      <c r="T1535" s="2286">
        <v>28226094</v>
      </c>
      <c r="U1535" s="2286">
        <v>0</v>
      </c>
      <c r="V1535" s="2292">
        <v>8459500</v>
      </c>
      <c r="W1535" s="2286">
        <v>0</v>
      </c>
      <c r="X1535" s="2286">
        <v>0</v>
      </c>
      <c r="Y1535" s="2285">
        <f t="shared" si="504"/>
        <v>0</v>
      </c>
      <c r="Z1535" s="2292">
        <f t="shared" si="505"/>
        <v>45065451</v>
      </c>
      <c r="AA1535" s="2285">
        <f t="shared" si="510"/>
        <v>0</v>
      </c>
      <c r="AB1535" s="2292">
        <f t="shared" si="510"/>
        <v>45065451</v>
      </c>
      <c r="AC1535" s="2288">
        <f t="shared" si="511"/>
        <v>0</v>
      </c>
      <c r="AD1535" s="2288">
        <f t="shared" si="511"/>
        <v>0.11105627477481683</v>
      </c>
      <c r="AE1535" s="2207"/>
      <c r="AF1535" s="2705"/>
      <c r="AG1535" s="2705"/>
      <c r="AH1535" s="2705"/>
      <c r="AI1535" s="2705"/>
      <c r="AJ1535" s="2705"/>
      <c r="AK1535" s="2705"/>
      <c r="AL1535" s="2705"/>
      <c r="AM1535" s="2705"/>
      <c r="AN1535" s="2705"/>
      <c r="AO1535" s="2705"/>
      <c r="AP1535" s="2705"/>
      <c r="AQ1535" s="2705"/>
      <c r="AR1535" s="2705"/>
      <c r="AS1535" s="2705"/>
      <c r="AT1535" s="2705"/>
      <c r="AU1535" s="2705"/>
      <c r="AV1535" s="2705"/>
      <c r="AW1535" s="2705"/>
      <c r="AX1535" s="2705"/>
      <c r="AY1535" s="2705"/>
      <c r="AZ1535" s="2705"/>
      <c r="BA1535" s="2705"/>
      <c r="BB1535" s="2705"/>
      <c r="BC1535" s="2705"/>
      <c r="BD1535" s="2705"/>
      <c r="BE1535" s="2705"/>
      <c r="BF1535" s="2705"/>
      <c r="BG1535" s="2705"/>
      <c r="BH1535" s="2705"/>
      <c r="BI1535" s="2705"/>
      <c r="BJ1535" s="2705"/>
      <c r="BK1535" s="2705"/>
      <c r="BL1535" s="2705"/>
      <c r="BM1535" s="2705"/>
      <c r="BN1535" s="2705"/>
      <c r="BO1535" s="2705"/>
      <c r="BP1535" s="2705"/>
      <c r="BQ1535" s="2705"/>
      <c r="BR1535" s="2705"/>
      <c r="BS1535" s="2705"/>
      <c r="BT1535" s="2705"/>
      <c r="BU1535" s="2705"/>
      <c r="BV1535" s="2705"/>
      <c r="BW1535" s="2705"/>
      <c r="BX1535" s="2705"/>
    </row>
    <row r="1536" spans="1:76" s="2324" customFormat="1" ht="33" customHeight="1">
      <c r="A1536" s="1396"/>
      <c r="B1536" s="1396"/>
      <c r="C1536" s="2448">
        <v>3</v>
      </c>
      <c r="D1536" s="2448" t="s">
        <v>107</v>
      </c>
      <c r="E1536" s="2448" t="s">
        <v>196</v>
      </c>
      <c r="F1536" s="2207">
        <v>17</v>
      </c>
      <c r="G1536" s="2448">
        <v>84</v>
      </c>
      <c r="H1536" s="2448"/>
      <c r="I1536" s="1762" t="s">
        <v>2940</v>
      </c>
      <c r="J1536" s="1380" t="s">
        <v>4084</v>
      </c>
      <c r="K1536" s="2248">
        <f>45*6</f>
        <v>270</v>
      </c>
      <c r="L1536" s="2295">
        <v>253998705</v>
      </c>
      <c r="M1536" s="2302">
        <v>0</v>
      </c>
      <c r="N1536" s="2298">
        <v>0</v>
      </c>
      <c r="O1536" s="2285">
        <v>100</v>
      </c>
      <c r="P1536" s="2298">
        <v>43998705</v>
      </c>
      <c r="Q1536" s="2302">
        <v>25</v>
      </c>
      <c r="R1536" s="2298">
        <v>0</v>
      </c>
      <c r="S1536" s="2286">
        <v>0</v>
      </c>
      <c r="T1536" s="2286">
        <v>0</v>
      </c>
      <c r="U1536" s="2286">
        <v>0</v>
      </c>
      <c r="V1536" s="2292">
        <v>805000</v>
      </c>
      <c r="W1536" s="2286">
        <v>0</v>
      </c>
      <c r="X1536" s="2286">
        <v>0</v>
      </c>
      <c r="Y1536" s="2285">
        <f t="shared" si="504"/>
        <v>25</v>
      </c>
      <c r="Z1536" s="2292">
        <f t="shared" si="505"/>
        <v>805000</v>
      </c>
      <c r="AA1536" s="2285">
        <f t="shared" si="510"/>
        <v>25</v>
      </c>
      <c r="AB1536" s="2292">
        <f t="shared" si="510"/>
        <v>805000</v>
      </c>
      <c r="AC1536" s="2288">
        <f t="shared" si="511"/>
        <v>9.2592592592592587E-2</v>
      </c>
      <c r="AD1536" s="2288">
        <f t="shared" si="511"/>
        <v>3.1693074970598769E-3</v>
      </c>
      <c r="AE1536" s="2207"/>
      <c r="AF1536" s="2705"/>
      <c r="AG1536" s="2705"/>
      <c r="AH1536" s="2705"/>
      <c r="AI1536" s="2705"/>
      <c r="AJ1536" s="2705"/>
      <c r="AK1536" s="2705"/>
      <c r="AL1536" s="2705"/>
      <c r="AM1536" s="2705"/>
      <c r="AN1536" s="2705"/>
      <c r="AO1536" s="2705"/>
      <c r="AP1536" s="2705"/>
      <c r="AQ1536" s="2705"/>
      <c r="AR1536" s="2705"/>
      <c r="AS1536" s="2705"/>
      <c r="AT1536" s="2705"/>
      <c r="AU1536" s="2705"/>
      <c r="AV1536" s="2705"/>
      <c r="AW1536" s="2705"/>
      <c r="AX1536" s="2705"/>
      <c r="AY1536" s="2705"/>
      <c r="AZ1536" s="2705"/>
      <c r="BA1536" s="2705"/>
      <c r="BB1536" s="2705"/>
      <c r="BC1536" s="2705"/>
      <c r="BD1536" s="2705"/>
      <c r="BE1536" s="2705"/>
      <c r="BF1536" s="2705"/>
      <c r="BG1536" s="2705"/>
      <c r="BH1536" s="2705"/>
      <c r="BI1536" s="2705"/>
      <c r="BJ1536" s="2705"/>
      <c r="BK1536" s="2705"/>
      <c r="BL1536" s="2705"/>
      <c r="BM1536" s="2705"/>
      <c r="BN1536" s="2705"/>
      <c r="BO1536" s="2705"/>
      <c r="BP1536" s="2705"/>
      <c r="BQ1536" s="2705"/>
      <c r="BR1536" s="2705"/>
      <c r="BS1536" s="2705"/>
      <c r="BT1536" s="2705"/>
      <c r="BU1536" s="2705"/>
      <c r="BV1536" s="2705"/>
      <c r="BW1536" s="2705"/>
      <c r="BX1536" s="2705"/>
    </row>
    <row r="1537" spans="1:76" s="2324" customFormat="1" ht="33" customHeight="1">
      <c r="A1537" s="1396"/>
      <c r="B1537" s="1396"/>
      <c r="C1537" s="2448">
        <v>3</v>
      </c>
      <c r="D1537" s="2448" t="s">
        <v>107</v>
      </c>
      <c r="E1537" s="2448" t="s">
        <v>196</v>
      </c>
      <c r="F1537" s="2207">
        <v>17</v>
      </c>
      <c r="G1537" s="2448">
        <v>86</v>
      </c>
      <c r="H1537" s="2448"/>
      <c r="I1537" s="1762" t="s">
        <v>2941</v>
      </c>
      <c r="J1537" s="1380" t="s">
        <v>4080</v>
      </c>
      <c r="K1537" s="2248">
        <v>400</v>
      </c>
      <c r="L1537" s="2295">
        <v>765235935</v>
      </c>
      <c r="M1537" s="2302">
        <v>0</v>
      </c>
      <c r="N1537" s="2298">
        <v>0</v>
      </c>
      <c r="O1537" s="2285">
        <v>1</v>
      </c>
      <c r="P1537" s="2298">
        <v>165235935</v>
      </c>
      <c r="Q1537" s="2302">
        <v>25</v>
      </c>
      <c r="R1537" s="2298">
        <v>0</v>
      </c>
      <c r="S1537" s="2286">
        <v>0</v>
      </c>
      <c r="T1537" s="2286">
        <v>0</v>
      </c>
      <c r="U1537" s="2286">
        <v>0</v>
      </c>
      <c r="V1537" s="2292">
        <v>0</v>
      </c>
      <c r="W1537" s="2286">
        <v>0</v>
      </c>
      <c r="X1537" s="2286">
        <v>0</v>
      </c>
      <c r="Y1537" s="2285">
        <f t="shared" si="504"/>
        <v>25</v>
      </c>
      <c r="Z1537" s="2292">
        <f t="shared" si="505"/>
        <v>0</v>
      </c>
      <c r="AA1537" s="2285">
        <f t="shared" si="510"/>
        <v>25</v>
      </c>
      <c r="AB1537" s="2292">
        <f t="shared" si="510"/>
        <v>0</v>
      </c>
      <c r="AC1537" s="2288">
        <f t="shared" si="511"/>
        <v>6.25E-2</v>
      </c>
      <c r="AD1537" s="2288">
        <f t="shared" si="511"/>
        <v>0</v>
      </c>
      <c r="AE1537" s="2207"/>
      <c r="AF1537" s="2705"/>
      <c r="AG1537" s="2705"/>
      <c r="AH1537" s="2705"/>
      <c r="AI1537" s="2705"/>
      <c r="AJ1537" s="2705"/>
      <c r="AK1537" s="2705"/>
      <c r="AL1537" s="2705"/>
      <c r="AM1537" s="2705"/>
      <c r="AN1537" s="2705"/>
      <c r="AO1537" s="2705"/>
      <c r="AP1537" s="2705"/>
      <c r="AQ1537" s="2705"/>
      <c r="AR1537" s="2705"/>
      <c r="AS1537" s="2705"/>
      <c r="AT1537" s="2705"/>
      <c r="AU1537" s="2705"/>
      <c r="AV1537" s="2705"/>
      <c r="AW1537" s="2705"/>
      <c r="AX1537" s="2705"/>
      <c r="AY1537" s="2705"/>
      <c r="AZ1537" s="2705"/>
      <c r="BA1537" s="2705"/>
      <c r="BB1537" s="2705"/>
      <c r="BC1537" s="2705"/>
      <c r="BD1537" s="2705"/>
      <c r="BE1537" s="2705"/>
      <c r="BF1537" s="2705"/>
      <c r="BG1537" s="2705"/>
      <c r="BH1537" s="2705"/>
      <c r="BI1537" s="2705"/>
      <c r="BJ1537" s="2705"/>
      <c r="BK1537" s="2705"/>
      <c r="BL1537" s="2705"/>
      <c r="BM1537" s="2705"/>
      <c r="BN1537" s="2705"/>
      <c r="BO1537" s="2705"/>
      <c r="BP1537" s="2705"/>
      <c r="BQ1537" s="2705"/>
      <c r="BR1537" s="2705"/>
      <c r="BS1537" s="2705"/>
      <c r="BT1537" s="2705"/>
      <c r="BU1537" s="2705"/>
      <c r="BV1537" s="2705"/>
      <c r="BW1537" s="2705"/>
      <c r="BX1537" s="2705"/>
    </row>
    <row r="1538" spans="1:76" s="2324" customFormat="1" ht="72" customHeight="1">
      <c r="A1538" s="2698">
        <v>7</v>
      </c>
      <c r="B1538" s="2335"/>
      <c r="C1538" s="2374"/>
      <c r="D1538" s="2374"/>
      <c r="E1538" s="2374"/>
      <c r="F1538" s="3795"/>
      <c r="G1538" s="2374"/>
      <c r="H1538" s="2374"/>
      <c r="I1538" s="2363" t="s">
        <v>2943</v>
      </c>
      <c r="J1538" s="3156" t="s">
        <v>3425</v>
      </c>
      <c r="K1538" s="2369">
        <v>0.9</v>
      </c>
      <c r="L1538" s="2655">
        <f>SUM(L1539:L1544)</f>
        <v>3499812182</v>
      </c>
      <c r="M1538" s="2369">
        <v>0.7</v>
      </c>
      <c r="N1538" s="2704">
        <f>SUM(N1539:N1544)</f>
        <v>693664662</v>
      </c>
      <c r="O1538" s="2369">
        <v>0.1</v>
      </c>
      <c r="P1538" s="2704">
        <f>SUM(P1539:P1544)</f>
        <v>177026256</v>
      </c>
      <c r="Q1538" s="2336">
        <v>0.02</v>
      </c>
      <c r="R1538" s="2704">
        <f>SUM(R1539:R1544)</f>
        <v>36519222</v>
      </c>
      <c r="S1538" s="3245">
        <v>0.02</v>
      </c>
      <c r="T1538" s="2701">
        <f>SUM(T1541:T1544)</f>
        <v>75420873</v>
      </c>
      <c r="U1538" s="3245">
        <v>0.03</v>
      </c>
      <c r="V1538" s="3257">
        <f>SUM(V1541:V1544)</f>
        <v>7838315</v>
      </c>
      <c r="W1538" s="2701"/>
      <c r="X1538" s="2701"/>
      <c r="Y1538" s="2362">
        <f t="shared" si="504"/>
        <v>7.0000000000000007E-2</v>
      </c>
      <c r="Z1538" s="2361">
        <f>SUM(Z1541:Z1544)</f>
        <v>119778410</v>
      </c>
      <c r="AA1538" s="2377">
        <f>+Y1538+M1538</f>
        <v>0.77</v>
      </c>
      <c r="AB1538" s="2361">
        <f>+N1538+Z1538</f>
        <v>813443072</v>
      </c>
      <c r="AC1538" s="2490">
        <f>(AA1538/K1538)*100</f>
        <v>85.555555555555557</v>
      </c>
      <c r="AD1538" s="2490">
        <f>(AB1538/L1538)*100</f>
        <v>23.242477873059762</v>
      </c>
      <c r="AE1538" s="3138" t="s">
        <v>3421</v>
      </c>
      <c r="AF1538" s="2705"/>
      <c r="AG1538" s="2705"/>
      <c r="AH1538" s="2705"/>
      <c r="AI1538" s="2705"/>
      <c r="AJ1538" s="2705"/>
      <c r="AK1538" s="2705"/>
      <c r="AL1538" s="2705"/>
      <c r="AM1538" s="2705"/>
      <c r="AN1538" s="2705"/>
      <c r="AO1538" s="2705"/>
      <c r="AP1538" s="2705"/>
      <c r="AQ1538" s="2705"/>
      <c r="AR1538" s="2705"/>
      <c r="AS1538" s="2705"/>
      <c r="AT1538" s="2705"/>
      <c r="AU1538" s="2705"/>
      <c r="AV1538" s="2705"/>
      <c r="AW1538" s="2705"/>
      <c r="AX1538" s="2705"/>
      <c r="AY1538" s="2705"/>
      <c r="AZ1538" s="2705"/>
      <c r="BA1538" s="2705"/>
      <c r="BB1538" s="2705"/>
      <c r="BC1538" s="2705"/>
      <c r="BD1538" s="2705"/>
      <c r="BE1538" s="2705"/>
      <c r="BF1538" s="2705"/>
      <c r="BG1538" s="2705"/>
      <c r="BH1538" s="2705"/>
      <c r="BI1538" s="2705"/>
      <c r="BJ1538" s="2705"/>
      <c r="BK1538" s="2705"/>
      <c r="BL1538" s="2705"/>
      <c r="BM1538" s="2705"/>
      <c r="BN1538" s="2705"/>
      <c r="BO1538" s="2705"/>
      <c r="BP1538" s="2705"/>
      <c r="BQ1538" s="2705"/>
      <c r="BR1538" s="2705"/>
      <c r="BS1538" s="2705"/>
      <c r="BT1538" s="2705"/>
      <c r="BU1538" s="2705"/>
      <c r="BV1538" s="2705"/>
      <c r="BW1538" s="2705"/>
      <c r="BX1538" s="2705"/>
    </row>
    <row r="1539" spans="1:76" s="2324" customFormat="1" ht="39" customHeight="1">
      <c r="A1539" s="1396"/>
      <c r="B1539" s="1374"/>
      <c r="C1539" s="2448">
        <v>3</v>
      </c>
      <c r="D1539" s="2448" t="s">
        <v>107</v>
      </c>
      <c r="E1539" s="2448" t="s">
        <v>196</v>
      </c>
      <c r="F1539" s="2207">
        <v>18</v>
      </c>
      <c r="G1539" s="2448" t="s">
        <v>197</v>
      </c>
      <c r="H1539" s="2448"/>
      <c r="I1539" s="1762" t="s">
        <v>2944</v>
      </c>
      <c r="J1539" s="1380" t="s">
        <v>2945</v>
      </c>
      <c r="K1539" s="2248">
        <v>240</v>
      </c>
      <c r="L1539" s="2295">
        <v>380076292</v>
      </c>
      <c r="M1539" s="2302">
        <v>80</v>
      </c>
      <c r="N1539" s="2298">
        <v>69066135</v>
      </c>
      <c r="O1539" s="2285">
        <v>40</v>
      </c>
      <c r="P1539" s="2298">
        <v>55404764</v>
      </c>
      <c r="Q1539" s="2302">
        <v>0</v>
      </c>
      <c r="R1539" s="2298">
        <v>0</v>
      </c>
      <c r="S1539" s="2286">
        <v>0</v>
      </c>
      <c r="T1539" s="2286">
        <v>0</v>
      </c>
      <c r="U1539" s="2286">
        <v>0</v>
      </c>
      <c r="V1539" s="2292">
        <v>2125000</v>
      </c>
      <c r="W1539" s="2286">
        <v>0</v>
      </c>
      <c r="X1539" s="2286">
        <v>0</v>
      </c>
      <c r="Y1539" s="2285">
        <f t="shared" si="504"/>
        <v>0</v>
      </c>
      <c r="Z1539" s="2292">
        <f t="shared" si="505"/>
        <v>2125000</v>
      </c>
      <c r="AA1539" s="2285">
        <f t="shared" ref="AA1539:AA1544" si="512">M1539+Y1539</f>
        <v>80</v>
      </c>
      <c r="AB1539" s="2292">
        <f t="shared" ref="AB1539:AB1544" si="513">N1539+Z1539</f>
        <v>71191135</v>
      </c>
      <c r="AC1539" s="2288">
        <f t="shared" ref="AC1539:AC1544" si="514">AA1539/K1539*100%</f>
        <v>0.33333333333333331</v>
      </c>
      <c r="AD1539" s="2288">
        <f t="shared" ref="AD1539:AD1544" si="515">AB1539/L1539*100%</f>
        <v>0.18730748667691169</v>
      </c>
      <c r="AE1539" s="2207"/>
      <c r="AF1539" s="2705"/>
      <c r="AG1539" s="2705"/>
      <c r="AH1539" s="2705"/>
      <c r="AI1539" s="2705"/>
      <c r="AJ1539" s="2705"/>
      <c r="AK1539" s="2705"/>
      <c r="AL1539" s="2705"/>
      <c r="AM1539" s="2705"/>
      <c r="AN1539" s="2705"/>
      <c r="AO1539" s="2705"/>
      <c r="AP1539" s="2705"/>
      <c r="AQ1539" s="2705"/>
      <c r="AR1539" s="2705"/>
      <c r="AS1539" s="2705"/>
      <c r="AT1539" s="2705"/>
      <c r="AU1539" s="2705"/>
      <c r="AV1539" s="2705"/>
      <c r="AW1539" s="2705"/>
      <c r="AX1539" s="2705"/>
      <c r="AY1539" s="2705"/>
      <c r="AZ1539" s="2705"/>
      <c r="BA1539" s="2705"/>
      <c r="BB1539" s="2705"/>
      <c r="BC1539" s="2705"/>
      <c r="BD1539" s="2705"/>
      <c r="BE1539" s="2705"/>
      <c r="BF1539" s="2705"/>
      <c r="BG1539" s="2705"/>
      <c r="BH1539" s="2705"/>
      <c r="BI1539" s="2705"/>
      <c r="BJ1539" s="2705"/>
      <c r="BK1539" s="2705"/>
      <c r="BL1539" s="2705"/>
      <c r="BM1539" s="2705"/>
      <c r="BN1539" s="2705"/>
      <c r="BO1539" s="2705"/>
      <c r="BP1539" s="2705"/>
      <c r="BQ1539" s="2705"/>
      <c r="BR1539" s="2705"/>
      <c r="BS1539" s="2705"/>
      <c r="BT1539" s="2705"/>
      <c r="BU1539" s="2705"/>
      <c r="BV1539" s="2705"/>
      <c r="BW1539" s="2705"/>
      <c r="BX1539" s="2705"/>
    </row>
    <row r="1540" spans="1:76" s="2324" customFormat="1" ht="51" customHeight="1">
      <c r="A1540" s="1396"/>
      <c r="B1540" s="1396"/>
      <c r="C1540" s="2448"/>
      <c r="D1540" s="2448"/>
      <c r="E1540" s="2448"/>
      <c r="F1540" s="2207"/>
      <c r="G1540" s="2448"/>
      <c r="H1540" s="2448"/>
      <c r="I1540" s="1762" t="s">
        <v>2946</v>
      </c>
      <c r="J1540" s="1380" t="s">
        <v>2947</v>
      </c>
      <c r="K1540" s="2248">
        <v>72</v>
      </c>
      <c r="L1540" s="2295">
        <v>316212864</v>
      </c>
      <c r="M1540" s="2302">
        <v>24</v>
      </c>
      <c r="N1540" s="2298">
        <v>157746322</v>
      </c>
      <c r="O1540" s="2285">
        <v>0</v>
      </c>
      <c r="P1540" s="2298">
        <v>0</v>
      </c>
      <c r="Q1540" s="2302">
        <v>0</v>
      </c>
      <c r="R1540" s="2298">
        <v>0</v>
      </c>
      <c r="S1540" s="2286">
        <v>0</v>
      </c>
      <c r="T1540" s="2286">
        <v>0</v>
      </c>
      <c r="U1540" s="2286">
        <v>0</v>
      </c>
      <c r="V1540" s="2292">
        <v>0</v>
      </c>
      <c r="W1540" s="2286">
        <v>0</v>
      </c>
      <c r="X1540" s="2286">
        <v>0</v>
      </c>
      <c r="Y1540" s="2285">
        <f t="shared" si="504"/>
        <v>0</v>
      </c>
      <c r="Z1540" s="2292">
        <f t="shared" si="505"/>
        <v>0</v>
      </c>
      <c r="AA1540" s="2285">
        <f t="shared" si="512"/>
        <v>24</v>
      </c>
      <c r="AB1540" s="2292">
        <f t="shared" si="513"/>
        <v>157746322</v>
      </c>
      <c r="AC1540" s="2288">
        <f t="shared" si="514"/>
        <v>0.33333333333333331</v>
      </c>
      <c r="AD1540" s="2288">
        <f t="shared" si="515"/>
        <v>0.49886117852561496</v>
      </c>
      <c r="AE1540" s="2207"/>
      <c r="AF1540" s="2705"/>
      <c r="AG1540" s="2705"/>
      <c r="AH1540" s="2705"/>
      <c r="AI1540" s="2705"/>
      <c r="AJ1540" s="2705"/>
      <c r="AK1540" s="2705"/>
      <c r="AL1540" s="2705"/>
      <c r="AM1540" s="2705"/>
      <c r="AN1540" s="2705"/>
      <c r="AO1540" s="2705"/>
      <c r="AP1540" s="2705"/>
      <c r="AQ1540" s="2705"/>
      <c r="AR1540" s="2705"/>
      <c r="AS1540" s="2705"/>
      <c r="AT1540" s="2705"/>
      <c r="AU1540" s="2705"/>
      <c r="AV1540" s="2705"/>
      <c r="AW1540" s="2705"/>
      <c r="AX1540" s="2705"/>
      <c r="AY1540" s="2705"/>
      <c r="AZ1540" s="2705"/>
      <c r="BA1540" s="2705"/>
      <c r="BB1540" s="2705"/>
      <c r="BC1540" s="2705"/>
      <c r="BD1540" s="2705"/>
      <c r="BE1540" s="2705"/>
      <c r="BF1540" s="2705"/>
      <c r="BG1540" s="2705"/>
      <c r="BH1540" s="2705"/>
      <c r="BI1540" s="2705"/>
      <c r="BJ1540" s="2705"/>
      <c r="BK1540" s="2705"/>
      <c r="BL1540" s="2705"/>
      <c r="BM1540" s="2705"/>
      <c r="BN1540" s="2705"/>
      <c r="BO1540" s="2705"/>
      <c r="BP1540" s="2705"/>
      <c r="BQ1540" s="2705"/>
      <c r="BR1540" s="2705"/>
      <c r="BS1540" s="2705"/>
      <c r="BT1540" s="2705"/>
      <c r="BU1540" s="2705"/>
      <c r="BV1540" s="2705"/>
      <c r="BW1540" s="2705"/>
      <c r="BX1540" s="2705"/>
    </row>
    <row r="1541" spans="1:76" s="2324" customFormat="1" ht="51" customHeight="1">
      <c r="A1541" s="1396"/>
      <c r="B1541" s="1396"/>
      <c r="C1541" s="2448">
        <v>3</v>
      </c>
      <c r="D1541" s="2448" t="s">
        <v>107</v>
      </c>
      <c r="E1541" s="2448" t="s">
        <v>196</v>
      </c>
      <c r="F1541" s="2207">
        <v>18</v>
      </c>
      <c r="G1541" s="2448" t="s">
        <v>201</v>
      </c>
      <c r="H1541" s="2448"/>
      <c r="I1541" s="1762" t="s">
        <v>2948</v>
      </c>
      <c r="J1541" s="1380" t="s">
        <v>2947</v>
      </c>
      <c r="K1541" s="2248">
        <v>72</v>
      </c>
      <c r="L1541" s="2295">
        <v>456134330</v>
      </c>
      <c r="M1541" s="2302">
        <v>24</v>
      </c>
      <c r="N1541" s="2298">
        <v>126849549</v>
      </c>
      <c r="O1541" s="2285">
        <v>12</v>
      </c>
      <c r="P1541" s="2298">
        <v>66420690</v>
      </c>
      <c r="Q1541" s="2302">
        <v>3</v>
      </c>
      <c r="R1541" s="2298">
        <v>16781942</v>
      </c>
      <c r="S1541" s="2286">
        <v>3</v>
      </c>
      <c r="T1541" s="2286">
        <v>31789094</v>
      </c>
      <c r="U1541" s="2286">
        <v>3</v>
      </c>
      <c r="V1541" s="2292">
        <v>4868315</v>
      </c>
      <c r="W1541" s="2286">
        <v>0</v>
      </c>
      <c r="X1541" s="2286">
        <v>0</v>
      </c>
      <c r="Y1541" s="2285">
        <f t="shared" si="504"/>
        <v>9</v>
      </c>
      <c r="Z1541" s="2292">
        <f t="shared" si="505"/>
        <v>53439351</v>
      </c>
      <c r="AA1541" s="2285">
        <f t="shared" si="512"/>
        <v>33</v>
      </c>
      <c r="AB1541" s="2292">
        <f t="shared" si="513"/>
        <v>180288900</v>
      </c>
      <c r="AC1541" s="2288">
        <f t="shared" si="514"/>
        <v>0.45833333333333331</v>
      </c>
      <c r="AD1541" s="2288">
        <f t="shared" si="515"/>
        <v>0.39525395950793707</v>
      </c>
      <c r="AE1541" s="2207"/>
      <c r="AF1541" s="2705"/>
      <c r="AG1541" s="2705"/>
      <c r="AH1541" s="2705"/>
      <c r="AI1541" s="2705"/>
      <c r="AJ1541" s="2705"/>
      <c r="AK1541" s="2705"/>
      <c r="AL1541" s="2705"/>
      <c r="AM1541" s="2705"/>
      <c r="AN1541" s="2705"/>
      <c r="AO1541" s="2705"/>
      <c r="AP1541" s="2705"/>
      <c r="AQ1541" s="2705"/>
      <c r="AR1541" s="2705"/>
      <c r="AS1541" s="2705"/>
      <c r="AT1541" s="2705"/>
      <c r="AU1541" s="2705"/>
      <c r="AV1541" s="2705"/>
      <c r="AW1541" s="2705"/>
      <c r="AX1541" s="2705"/>
      <c r="AY1541" s="2705"/>
      <c r="AZ1541" s="2705"/>
      <c r="BA1541" s="2705"/>
      <c r="BB1541" s="2705"/>
      <c r="BC1541" s="2705"/>
      <c r="BD1541" s="2705"/>
      <c r="BE1541" s="2705"/>
      <c r="BF1541" s="2705"/>
      <c r="BG1541" s="2705"/>
      <c r="BH1541" s="2705"/>
      <c r="BI1541" s="2705"/>
      <c r="BJ1541" s="2705"/>
      <c r="BK1541" s="2705"/>
      <c r="BL1541" s="2705"/>
      <c r="BM1541" s="2705"/>
      <c r="BN1541" s="2705"/>
      <c r="BO1541" s="2705"/>
      <c r="BP1541" s="2705"/>
      <c r="BQ1541" s="2705"/>
      <c r="BR1541" s="2705"/>
      <c r="BS1541" s="2705"/>
      <c r="BT1541" s="2705"/>
      <c r="BU1541" s="2705"/>
      <c r="BV1541" s="2705"/>
      <c r="BW1541" s="2705"/>
      <c r="BX1541" s="2705"/>
    </row>
    <row r="1542" spans="1:76" s="2324" customFormat="1" ht="51" customHeight="1">
      <c r="A1542" s="1396"/>
      <c r="B1542" s="1396"/>
      <c r="C1542" s="2448">
        <v>1</v>
      </c>
      <c r="D1542" s="2448">
        <v>20</v>
      </c>
      <c r="E1542" s="2448">
        <v>28</v>
      </c>
      <c r="F1542" s="2207">
        <v>18</v>
      </c>
      <c r="G1542" s="2448" t="s">
        <v>417</v>
      </c>
      <c r="H1542" s="2448"/>
      <c r="I1542" s="1762" t="s">
        <v>2949</v>
      </c>
      <c r="J1542" s="1380" t="s">
        <v>2950</v>
      </c>
      <c r="K1542" s="2248">
        <v>1200</v>
      </c>
      <c r="L1542" s="2295">
        <v>962188806</v>
      </c>
      <c r="M1542" s="2302">
        <v>400</v>
      </c>
      <c r="N1542" s="2298">
        <v>165748260</v>
      </c>
      <c r="O1542" s="2285">
        <v>0</v>
      </c>
      <c r="P1542" s="2298">
        <v>0</v>
      </c>
      <c r="Q1542" s="2302">
        <v>0</v>
      </c>
      <c r="R1542" s="2298">
        <v>0</v>
      </c>
      <c r="S1542" s="2286">
        <v>0</v>
      </c>
      <c r="T1542" s="2286">
        <v>0</v>
      </c>
      <c r="U1542" s="2286">
        <v>0</v>
      </c>
      <c r="V1542" s="2292">
        <v>0</v>
      </c>
      <c r="W1542" s="2286">
        <v>0</v>
      </c>
      <c r="X1542" s="2286">
        <v>0</v>
      </c>
      <c r="Y1542" s="2285">
        <f t="shared" si="504"/>
        <v>0</v>
      </c>
      <c r="Z1542" s="2292">
        <f t="shared" si="505"/>
        <v>0</v>
      </c>
      <c r="AA1542" s="2285">
        <f t="shared" si="512"/>
        <v>400</v>
      </c>
      <c r="AB1542" s="2292">
        <f t="shared" si="513"/>
        <v>165748260</v>
      </c>
      <c r="AC1542" s="2288">
        <f t="shared" si="514"/>
        <v>0.33333333333333331</v>
      </c>
      <c r="AD1542" s="2288">
        <f t="shared" si="515"/>
        <v>0.17226167979343546</v>
      </c>
      <c r="AE1542" s="2207"/>
      <c r="AF1542" s="2705"/>
      <c r="AG1542" s="2705"/>
      <c r="AH1542" s="2705"/>
      <c r="AI1542" s="2705"/>
      <c r="AJ1542" s="2705"/>
      <c r="AK1542" s="2705"/>
      <c r="AL1542" s="2705"/>
      <c r="AM1542" s="2705"/>
      <c r="AN1542" s="2705"/>
      <c r="AO1542" s="2705"/>
      <c r="AP1542" s="2705"/>
      <c r="AQ1542" s="2705"/>
      <c r="AR1542" s="2705"/>
      <c r="AS1542" s="2705"/>
      <c r="AT1542" s="2705"/>
      <c r="AU1542" s="2705"/>
      <c r="AV1542" s="2705"/>
      <c r="AW1542" s="2705"/>
      <c r="AX1542" s="2705"/>
      <c r="AY1542" s="2705"/>
      <c r="AZ1542" s="2705"/>
      <c r="BA1542" s="2705"/>
      <c r="BB1542" s="2705"/>
      <c r="BC1542" s="2705"/>
      <c r="BD1542" s="2705"/>
      <c r="BE1542" s="2705"/>
      <c r="BF1542" s="2705"/>
      <c r="BG1542" s="2705"/>
      <c r="BH1542" s="2705"/>
      <c r="BI1542" s="2705"/>
      <c r="BJ1542" s="2705"/>
      <c r="BK1542" s="2705"/>
      <c r="BL1542" s="2705"/>
      <c r="BM1542" s="2705"/>
      <c r="BN1542" s="2705"/>
      <c r="BO1542" s="2705"/>
      <c r="BP1542" s="2705"/>
      <c r="BQ1542" s="2705"/>
      <c r="BR1542" s="2705"/>
      <c r="BS1542" s="2705"/>
      <c r="BT1542" s="2705"/>
      <c r="BU1542" s="2705"/>
      <c r="BV1542" s="2705"/>
      <c r="BW1542" s="2705"/>
      <c r="BX1542" s="2705"/>
    </row>
    <row r="1543" spans="1:76" s="2324" customFormat="1" ht="51" customHeight="1">
      <c r="A1543" s="1396"/>
      <c r="B1543" s="1396"/>
      <c r="C1543" s="2448">
        <v>3</v>
      </c>
      <c r="D1543" s="2448" t="s">
        <v>107</v>
      </c>
      <c r="E1543" s="2448" t="s">
        <v>196</v>
      </c>
      <c r="F1543" s="2207">
        <v>18</v>
      </c>
      <c r="G1543" s="2448">
        <v>12</v>
      </c>
      <c r="H1543" s="2448"/>
      <c r="I1543" s="1762" t="s">
        <v>2951</v>
      </c>
      <c r="J1543" s="1380" t="s">
        <v>2952</v>
      </c>
      <c r="K1543" s="2248">
        <v>500</v>
      </c>
      <c r="L1543" s="2295">
        <v>1059999088</v>
      </c>
      <c r="M1543" s="2302">
        <v>100</v>
      </c>
      <c r="N1543" s="2298">
        <v>174254396</v>
      </c>
      <c r="O1543" s="2285">
        <v>0</v>
      </c>
      <c r="P1543" s="2298">
        <v>0</v>
      </c>
      <c r="Q1543" s="2302">
        <v>0</v>
      </c>
      <c r="R1543" s="2298">
        <v>0</v>
      </c>
      <c r="S1543" s="2286">
        <v>0</v>
      </c>
      <c r="T1543" s="2286">
        <v>0</v>
      </c>
      <c r="U1543" s="2286">
        <v>0</v>
      </c>
      <c r="V1543" s="2292">
        <v>0</v>
      </c>
      <c r="W1543" s="2286">
        <v>0</v>
      </c>
      <c r="X1543" s="2286">
        <v>0</v>
      </c>
      <c r="Y1543" s="2285">
        <f t="shared" si="504"/>
        <v>0</v>
      </c>
      <c r="Z1543" s="2292">
        <f t="shared" si="505"/>
        <v>0</v>
      </c>
      <c r="AA1543" s="2285">
        <f t="shared" si="512"/>
        <v>100</v>
      </c>
      <c r="AB1543" s="2292">
        <f t="shared" si="513"/>
        <v>174254396</v>
      </c>
      <c r="AC1543" s="2288">
        <f t="shared" si="514"/>
        <v>0.2</v>
      </c>
      <c r="AD1543" s="2288">
        <f t="shared" si="515"/>
        <v>0.16439108106100558</v>
      </c>
      <c r="AE1543" s="2207"/>
      <c r="AF1543" s="2705"/>
      <c r="AG1543" s="2705"/>
      <c r="AH1543" s="2705"/>
      <c r="AI1543" s="2705"/>
      <c r="AJ1543" s="2705"/>
      <c r="AK1543" s="2705"/>
      <c r="AL1543" s="2705"/>
      <c r="AM1543" s="2705"/>
      <c r="AN1543" s="2705"/>
      <c r="AO1543" s="2705"/>
      <c r="AP1543" s="2705"/>
      <c r="AQ1543" s="2705"/>
      <c r="AR1543" s="2705"/>
      <c r="AS1543" s="2705"/>
      <c r="AT1543" s="2705"/>
      <c r="AU1543" s="2705"/>
      <c r="AV1543" s="2705"/>
      <c r="AW1543" s="2705"/>
      <c r="AX1543" s="2705"/>
      <c r="AY1543" s="2705"/>
      <c r="AZ1543" s="2705"/>
      <c r="BA1543" s="2705"/>
      <c r="BB1543" s="2705"/>
      <c r="BC1543" s="2705"/>
      <c r="BD1543" s="2705"/>
      <c r="BE1543" s="2705"/>
      <c r="BF1543" s="2705"/>
      <c r="BG1543" s="2705"/>
      <c r="BH1543" s="2705"/>
      <c r="BI1543" s="2705"/>
      <c r="BJ1543" s="2705"/>
      <c r="BK1543" s="2705"/>
      <c r="BL1543" s="2705"/>
      <c r="BM1543" s="2705"/>
      <c r="BN1543" s="2705"/>
      <c r="BO1543" s="2705"/>
      <c r="BP1543" s="2705"/>
      <c r="BQ1543" s="2705"/>
      <c r="BR1543" s="2705"/>
      <c r="BS1543" s="2705"/>
      <c r="BT1543" s="2705"/>
      <c r="BU1543" s="2705"/>
      <c r="BV1543" s="2705"/>
      <c r="BW1543" s="2705"/>
      <c r="BX1543" s="2705"/>
    </row>
    <row r="1544" spans="1:76" s="2324" customFormat="1" ht="28.5" customHeight="1">
      <c r="A1544" s="1396"/>
      <c r="B1544" s="1396"/>
      <c r="C1544" s="2448">
        <v>3</v>
      </c>
      <c r="D1544" s="2448" t="s">
        <v>107</v>
      </c>
      <c r="E1544" s="2448" t="s">
        <v>196</v>
      </c>
      <c r="F1544" s="2207">
        <v>18</v>
      </c>
      <c r="G1544" s="2448">
        <v>13</v>
      </c>
      <c r="H1544" s="2448"/>
      <c r="I1544" s="1762" t="s">
        <v>2953</v>
      </c>
      <c r="J1544" s="1380" t="s">
        <v>2908</v>
      </c>
      <c r="K1544" s="2248">
        <v>400</v>
      </c>
      <c r="L1544" s="2295">
        <v>325200802</v>
      </c>
      <c r="M1544" s="2302">
        <v>0</v>
      </c>
      <c r="N1544" s="2298">
        <v>0</v>
      </c>
      <c r="O1544" s="2285">
        <v>100</v>
      </c>
      <c r="P1544" s="2298">
        <v>55200802</v>
      </c>
      <c r="Q1544" s="2302">
        <v>25</v>
      </c>
      <c r="R1544" s="2298">
        <v>19737280</v>
      </c>
      <c r="S1544" s="2286">
        <v>25</v>
      </c>
      <c r="T1544" s="2286">
        <v>43631779</v>
      </c>
      <c r="U1544" s="2286">
        <v>25</v>
      </c>
      <c r="V1544" s="2292">
        <v>2970000</v>
      </c>
      <c r="W1544" s="2286">
        <v>0</v>
      </c>
      <c r="X1544" s="2286">
        <v>0</v>
      </c>
      <c r="Y1544" s="2285">
        <f t="shared" si="504"/>
        <v>75</v>
      </c>
      <c r="Z1544" s="2292">
        <f t="shared" si="505"/>
        <v>66339059</v>
      </c>
      <c r="AA1544" s="2285">
        <f t="shared" si="512"/>
        <v>75</v>
      </c>
      <c r="AB1544" s="2292">
        <f t="shared" si="513"/>
        <v>66339059</v>
      </c>
      <c r="AC1544" s="2288">
        <f t="shared" si="514"/>
        <v>0.1875</v>
      </c>
      <c r="AD1544" s="2288">
        <f t="shared" si="515"/>
        <v>0.20399414328627641</v>
      </c>
      <c r="AE1544" s="2207"/>
      <c r="AF1544" s="2705"/>
      <c r="AG1544" s="2705"/>
      <c r="AH1544" s="2705"/>
      <c r="AI1544" s="2705"/>
      <c r="AJ1544" s="2705"/>
      <c r="AK1544" s="2705"/>
      <c r="AL1544" s="2705"/>
      <c r="AM1544" s="2705"/>
      <c r="AN1544" s="2705"/>
      <c r="AO1544" s="2705"/>
      <c r="AP1544" s="2705"/>
      <c r="AQ1544" s="2705"/>
      <c r="AR1544" s="2705"/>
      <c r="AS1544" s="2705"/>
      <c r="AT1544" s="2705"/>
      <c r="AU1544" s="2705"/>
      <c r="AV1544" s="2705"/>
      <c r="AW1544" s="2705"/>
      <c r="AX1544" s="2705"/>
      <c r="AY1544" s="2705"/>
      <c r="AZ1544" s="2705"/>
      <c r="BA1544" s="2705"/>
      <c r="BB1544" s="2705"/>
      <c r="BC1544" s="2705"/>
      <c r="BD1544" s="2705"/>
      <c r="BE1544" s="2705"/>
      <c r="BF1544" s="2705"/>
      <c r="BG1544" s="2705"/>
      <c r="BH1544" s="2705"/>
      <c r="BI1544" s="2705"/>
      <c r="BJ1544" s="2705"/>
      <c r="BK1544" s="2705"/>
      <c r="BL1544" s="2705"/>
      <c r="BM1544" s="2705"/>
      <c r="BN1544" s="2705"/>
      <c r="BO1544" s="2705"/>
      <c r="BP1544" s="2705"/>
      <c r="BQ1544" s="2705"/>
      <c r="BR1544" s="2705"/>
      <c r="BS1544" s="2705"/>
      <c r="BT1544" s="2705"/>
      <c r="BU1544" s="2705"/>
      <c r="BV1544" s="2705"/>
      <c r="BW1544" s="2705"/>
      <c r="BX1544" s="2705"/>
    </row>
    <row r="1545" spans="1:76" s="2324" customFormat="1" ht="72" customHeight="1">
      <c r="A1545" s="2698">
        <v>8</v>
      </c>
      <c r="B1545" s="2335"/>
      <c r="C1545" s="3795">
        <v>3</v>
      </c>
      <c r="D1545" s="2374" t="s">
        <v>107</v>
      </c>
      <c r="E1545" s="2374" t="s">
        <v>196</v>
      </c>
      <c r="F1545" s="3795">
        <v>19</v>
      </c>
      <c r="G1545" s="3795"/>
      <c r="H1545" s="3795"/>
      <c r="I1545" s="2363" t="s">
        <v>2955</v>
      </c>
      <c r="J1545" s="3156" t="s">
        <v>2956</v>
      </c>
      <c r="K1545" s="2369">
        <v>0.9</v>
      </c>
      <c r="L1545" s="2655">
        <f>SUM(L1546:L1549)</f>
        <v>1779601815</v>
      </c>
      <c r="M1545" s="2369">
        <v>0.7</v>
      </c>
      <c r="N1545" s="2597">
        <f>SUM(N1546:N1549)</f>
        <v>498233339</v>
      </c>
      <c r="O1545" s="2369">
        <v>0.1</v>
      </c>
      <c r="P1545" s="2597">
        <f>SUM(P1546:P1549)</f>
        <v>139792862.75</v>
      </c>
      <c r="Q1545" s="2336">
        <v>0.02</v>
      </c>
      <c r="R1545" s="2442">
        <f>SUM(R1546:R1549)</f>
        <v>48013983</v>
      </c>
      <c r="S1545" s="2362">
        <v>0.02</v>
      </c>
      <c r="T1545" s="2442">
        <f>SUM(T1546:T1549)</f>
        <v>52735050.75</v>
      </c>
      <c r="U1545" s="2362">
        <v>0.02</v>
      </c>
      <c r="V1545" s="2361">
        <f>SUM(V1546:V1549)</f>
        <v>18075843</v>
      </c>
      <c r="W1545" s="2442"/>
      <c r="X1545" s="2442"/>
      <c r="Y1545" s="2362">
        <f t="shared" si="504"/>
        <v>0.06</v>
      </c>
      <c r="Z1545" s="2361">
        <f>SUM(Z1546:Z1548)</f>
        <v>118824876.75</v>
      </c>
      <c r="AA1545" s="2377">
        <f>+Y1545+M1545</f>
        <v>0.76</v>
      </c>
      <c r="AB1545" s="2361">
        <f>+N1545+Z1545</f>
        <v>617058215.75</v>
      </c>
      <c r="AC1545" s="2490">
        <f>(AA1545/K1545)*100</f>
        <v>84.444444444444443</v>
      </c>
      <c r="AD1545" s="2490">
        <f>(AB1545/L1545)*100</f>
        <v>34.673948438853444</v>
      </c>
      <c r="AE1545" s="3138" t="s">
        <v>3421</v>
      </c>
      <c r="AF1545" s="2705"/>
      <c r="AG1545" s="2705"/>
      <c r="AH1545" s="2705"/>
      <c r="AI1545" s="2705"/>
      <c r="AJ1545" s="2705"/>
      <c r="AK1545" s="2705"/>
      <c r="AL1545" s="2705"/>
      <c r="AM1545" s="2705"/>
      <c r="AN1545" s="2705"/>
      <c r="AO1545" s="2705"/>
      <c r="AP1545" s="2705"/>
      <c r="AQ1545" s="2705"/>
      <c r="AR1545" s="2705"/>
      <c r="AS1545" s="2705"/>
      <c r="AT1545" s="2705"/>
      <c r="AU1545" s="2705"/>
      <c r="AV1545" s="2705"/>
      <c r="AW1545" s="2705"/>
      <c r="AX1545" s="2705"/>
      <c r="AY1545" s="2705"/>
      <c r="AZ1545" s="2705"/>
      <c r="BA1545" s="2705"/>
      <c r="BB1545" s="2705"/>
      <c r="BC1545" s="2705"/>
      <c r="BD1545" s="2705"/>
      <c r="BE1545" s="2705"/>
      <c r="BF1545" s="2705"/>
      <c r="BG1545" s="2705"/>
      <c r="BH1545" s="2705"/>
      <c r="BI1545" s="2705"/>
      <c r="BJ1545" s="2705"/>
      <c r="BK1545" s="2705"/>
      <c r="BL1545" s="2705"/>
      <c r="BM1545" s="2705"/>
      <c r="BN1545" s="2705"/>
      <c r="BO1545" s="2705"/>
      <c r="BP1545" s="2705"/>
      <c r="BQ1545" s="2705"/>
      <c r="BR1545" s="2705"/>
      <c r="BS1545" s="2705"/>
      <c r="BT1545" s="2705"/>
      <c r="BU1545" s="2705"/>
      <c r="BV1545" s="2705"/>
      <c r="BW1545" s="2705"/>
      <c r="BX1545" s="2705"/>
    </row>
    <row r="1546" spans="1:76" s="2324" customFormat="1" ht="79.5" customHeight="1">
      <c r="A1546" s="2316"/>
      <c r="B1546" s="1374"/>
      <c r="C1546" s="2207">
        <v>3</v>
      </c>
      <c r="D1546" s="2448" t="s">
        <v>107</v>
      </c>
      <c r="E1546" s="2448" t="s">
        <v>196</v>
      </c>
      <c r="F1546" s="2207">
        <v>19</v>
      </c>
      <c r="G1546" s="2448" t="s">
        <v>201</v>
      </c>
      <c r="H1546" s="2448"/>
      <c r="I1546" s="1762" t="s">
        <v>2957</v>
      </c>
      <c r="J1546" s="1380" t="s">
        <v>2958</v>
      </c>
      <c r="K1546" s="2303">
        <v>1092</v>
      </c>
      <c r="L1546" s="2295">
        <v>373472746</v>
      </c>
      <c r="M1546" s="2302">
        <v>364</v>
      </c>
      <c r="N1546" s="2286">
        <v>96134892</v>
      </c>
      <c r="O1546" s="2285">
        <v>182</v>
      </c>
      <c r="P1546" s="739">
        <v>36642281.75</v>
      </c>
      <c r="Q1546" s="2302">
        <v>53</v>
      </c>
      <c r="R1546" s="2286">
        <v>20014368</v>
      </c>
      <c r="S1546" s="2286">
        <v>100</v>
      </c>
      <c r="T1546" s="2286">
        <f>P1546-R1546</f>
        <v>16627913.75</v>
      </c>
      <c r="U1546" s="2286">
        <v>3</v>
      </c>
      <c r="V1546" s="2292">
        <v>9114513</v>
      </c>
      <c r="W1546" s="2286">
        <v>0</v>
      </c>
      <c r="X1546" s="2286">
        <v>0</v>
      </c>
      <c r="Y1546" s="2285">
        <f t="shared" ref="Y1546:Z1549" si="516">Q1546+S1546+U1546+W1546</f>
        <v>156</v>
      </c>
      <c r="Z1546" s="2292">
        <f t="shared" si="516"/>
        <v>45756794.75</v>
      </c>
      <c r="AA1546" s="2285">
        <f t="shared" ref="AA1546:AB1549" si="517">M1546+Y1546</f>
        <v>520</v>
      </c>
      <c r="AB1546" s="2292">
        <f t="shared" si="517"/>
        <v>141891686.75</v>
      </c>
      <c r="AC1546" s="2288">
        <f t="shared" ref="AC1546:AD1549" si="518">AA1546/K1546*100%</f>
        <v>0.47619047619047616</v>
      </c>
      <c r="AD1546" s="2288">
        <f t="shared" si="518"/>
        <v>0.37992514385507531</v>
      </c>
      <c r="AE1546" s="2207"/>
      <c r="AF1546" s="2705"/>
      <c r="AG1546" s="2705"/>
      <c r="AH1546" s="2705"/>
      <c r="AI1546" s="2705"/>
      <c r="AJ1546" s="2705"/>
      <c r="AK1546" s="2705"/>
      <c r="AL1546" s="2705"/>
      <c r="AM1546" s="2705"/>
      <c r="AN1546" s="2705"/>
      <c r="AO1546" s="2705"/>
      <c r="AP1546" s="2705"/>
      <c r="AQ1546" s="2705"/>
      <c r="AR1546" s="2705"/>
      <c r="AS1546" s="2705"/>
      <c r="AT1546" s="2705"/>
      <c r="AU1546" s="2705"/>
      <c r="AV1546" s="2705"/>
      <c r="AW1546" s="2705"/>
      <c r="AX1546" s="2705"/>
      <c r="AY1546" s="2705"/>
      <c r="AZ1546" s="2705"/>
      <c r="BA1546" s="2705"/>
      <c r="BB1546" s="2705"/>
      <c r="BC1546" s="2705"/>
      <c r="BD1546" s="2705"/>
      <c r="BE1546" s="2705"/>
      <c r="BF1546" s="2705"/>
      <c r="BG1546" s="2705"/>
      <c r="BH1546" s="2705"/>
      <c r="BI1546" s="2705"/>
      <c r="BJ1546" s="2705"/>
      <c r="BK1546" s="2705"/>
      <c r="BL1546" s="2705"/>
      <c r="BM1546" s="2705"/>
      <c r="BN1546" s="2705"/>
      <c r="BO1546" s="2705"/>
      <c r="BP1546" s="2705"/>
      <c r="BQ1546" s="2705"/>
      <c r="BR1546" s="2705"/>
      <c r="BS1546" s="2705"/>
      <c r="BT1546" s="2705"/>
      <c r="BU1546" s="2705"/>
      <c r="BV1546" s="2705"/>
      <c r="BW1546" s="2705"/>
      <c r="BX1546" s="2705"/>
    </row>
    <row r="1547" spans="1:76" s="2324" customFormat="1" ht="42.75" customHeight="1">
      <c r="A1547" s="1396"/>
      <c r="B1547" s="1396"/>
      <c r="C1547" s="2207">
        <v>3</v>
      </c>
      <c r="D1547" s="2448" t="s">
        <v>107</v>
      </c>
      <c r="E1547" s="2448" t="s">
        <v>196</v>
      </c>
      <c r="F1547" s="2207">
        <v>19</v>
      </c>
      <c r="G1547" s="2207">
        <v>10</v>
      </c>
      <c r="H1547" s="2207"/>
      <c r="I1547" s="1762" t="s">
        <v>2959</v>
      </c>
      <c r="J1547" s="1380" t="s">
        <v>2960</v>
      </c>
      <c r="K1547" s="2248">
        <v>72</v>
      </c>
      <c r="L1547" s="2295">
        <v>351118231</v>
      </c>
      <c r="M1547" s="2285">
        <v>24</v>
      </c>
      <c r="N1547" s="2298">
        <v>199344635</v>
      </c>
      <c r="O1547" s="2285">
        <v>12</v>
      </c>
      <c r="P1547" s="2298">
        <v>42116855</v>
      </c>
      <c r="Q1547" s="2302">
        <v>3</v>
      </c>
      <c r="R1547" s="2298">
        <v>27999615</v>
      </c>
      <c r="S1547" s="2286">
        <v>3</v>
      </c>
      <c r="T1547" s="2286">
        <v>33345299</v>
      </c>
      <c r="U1547" s="2286">
        <v>3</v>
      </c>
      <c r="V1547" s="2292">
        <v>7791000</v>
      </c>
      <c r="W1547" s="2286">
        <v>0</v>
      </c>
      <c r="X1547" s="2286">
        <v>0</v>
      </c>
      <c r="Y1547" s="2285">
        <f t="shared" si="516"/>
        <v>9</v>
      </c>
      <c r="Z1547" s="2292">
        <f t="shared" si="516"/>
        <v>69135914</v>
      </c>
      <c r="AA1547" s="2285">
        <f t="shared" si="517"/>
        <v>33</v>
      </c>
      <c r="AB1547" s="2292">
        <f t="shared" si="517"/>
        <v>268480549</v>
      </c>
      <c r="AC1547" s="2288">
        <f t="shared" si="518"/>
        <v>0.45833333333333331</v>
      </c>
      <c r="AD1547" s="2288">
        <f t="shared" si="518"/>
        <v>0.76464428587303968</v>
      </c>
      <c r="AE1547" s="2207"/>
      <c r="AF1547" s="2705"/>
      <c r="AG1547" s="2705"/>
      <c r="AH1547" s="2705"/>
      <c r="AI1547" s="2705"/>
      <c r="AJ1547" s="2705"/>
      <c r="AK1547" s="2705"/>
      <c r="AL1547" s="2705"/>
      <c r="AM1547" s="2705"/>
      <c r="AN1547" s="2705"/>
      <c r="AO1547" s="2705"/>
      <c r="AP1547" s="2705"/>
      <c r="AQ1547" s="2705"/>
      <c r="AR1547" s="2705"/>
      <c r="AS1547" s="2705"/>
      <c r="AT1547" s="2705"/>
      <c r="AU1547" s="2705"/>
      <c r="AV1547" s="2705"/>
      <c r="AW1547" s="2705"/>
      <c r="AX1547" s="2705"/>
      <c r="AY1547" s="2705"/>
      <c r="AZ1547" s="2705"/>
      <c r="BA1547" s="2705"/>
      <c r="BB1547" s="2705"/>
      <c r="BC1547" s="2705"/>
      <c r="BD1547" s="2705"/>
      <c r="BE1547" s="2705"/>
      <c r="BF1547" s="2705"/>
      <c r="BG1547" s="2705"/>
      <c r="BH1547" s="2705"/>
      <c r="BI1547" s="2705"/>
      <c r="BJ1547" s="2705"/>
      <c r="BK1547" s="2705"/>
      <c r="BL1547" s="2705"/>
      <c r="BM1547" s="2705"/>
      <c r="BN1547" s="2705"/>
      <c r="BO1547" s="2705"/>
      <c r="BP1547" s="2705"/>
      <c r="BQ1547" s="2705"/>
      <c r="BR1547" s="2705"/>
      <c r="BS1547" s="2705"/>
      <c r="BT1547" s="2705"/>
      <c r="BU1547" s="2705"/>
      <c r="BV1547" s="2705"/>
      <c r="BW1547" s="2705"/>
      <c r="BX1547" s="2705"/>
    </row>
    <row r="1548" spans="1:76" s="2324" customFormat="1" ht="34.5" customHeight="1">
      <c r="A1548" s="1396"/>
      <c r="B1548" s="1396"/>
      <c r="C1548" s="2207">
        <v>3</v>
      </c>
      <c r="D1548" s="2448" t="s">
        <v>107</v>
      </c>
      <c r="E1548" s="2448" t="s">
        <v>196</v>
      </c>
      <c r="F1548" s="2207">
        <v>19</v>
      </c>
      <c r="G1548" s="2207">
        <v>16</v>
      </c>
      <c r="H1548" s="2207"/>
      <c r="I1548" s="1762" t="s">
        <v>2961</v>
      </c>
      <c r="J1548" s="1380" t="s">
        <v>2908</v>
      </c>
      <c r="K1548" s="2248">
        <v>400</v>
      </c>
      <c r="L1548" s="2295">
        <v>361033726</v>
      </c>
      <c r="M1548" s="2285">
        <v>0</v>
      </c>
      <c r="N1548" s="2298">
        <v>0</v>
      </c>
      <c r="O1548" s="2285">
        <v>100</v>
      </c>
      <c r="P1548" s="2298">
        <v>61033726</v>
      </c>
      <c r="Q1548" s="2302">
        <v>25</v>
      </c>
      <c r="R1548" s="2298">
        <v>0</v>
      </c>
      <c r="S1548" s="2286">
        <v>25</v>
      </c>
      <c r="T1548" s="2286">
        <v>2761838</v>
      </c>
      <c r="U1548" s="2286">
        <v>25</v>
      </c>
      <c r="V1548" s="2292">
        <v>1170330</v>
      </c>
      <c r="W1548" s="2286">
        <v>0</v>
      </c>
      <c r="X1548" s="2286">
        <v>0</v>
      </c>
      <c r="Y1548" s="2285">
        <f t="shared" si="516"/>
        <v>75</v>
      </c>
      <c r="Z1548" s="2292">
        <f t="shared" si="516"/>
        <v>3932168</v>
      </c>
      <c r="AA1548" s="2285">
        <f t="shared" si="517"/>
        <v>75</v>
      </c>
      <c r="AB1548" s="2292">
        <f t="shared" si="517"/>
        <v>3932168</v>
      </c>
      <c r="AC1548" s="2288">
        <f t="shared" si="518"/>
        <v>0.1875</v>
      </c>
      <c r="AD1548" s="2288">
        <f t="shared" si="518"/>
        <v>1.089141461537585E-2</v>
      </c>
      <c r="AE1548" s="2207"/>
      <c r="AF1548" s="2705"/>
      <c r="AG1548" s="2705"/>
      <c r="AH1548" s="2705"/>
      <c r="AI1548" s="2705"/>
      <c r="AJ1548" s="2705"/>
      <c r="AK1548" s="2705"/>
      <c r="AL1548" s="2705"/>
      <c r="AM1548" s="2705"/>
      <c r="AN1548" s="2705"/>
      <c r="AO1548" s="2705"/>
      <c r="AP1548" s="2705"/>
      <c r="AQ1548" s="2705"/>
      <c r="AR1548" s="2705"/>
      <c r="AS1548" s="2705"/>
      <c r="AT1548" s="2705"/>
      <c r="AU1548" s="2705"/>
      <c r="AV1548" s="2705"/>
      <c r="AW1548" s="2705"/>
      <c r="AX1548" s="2705"/>
      <c r="AY1548" s="2705"/>
      <c r="AZ1548" s="2705"/>
      <c r="BA1548" s="2705"/>
      <c r="BB1548" s="2705"/>
      <c r="BC1548" s="2705"/>
      <c r="BD1548" s="2705"/>
      <c r="BE1548" s="2705"/>
      <c r="BF1548" s="2705"/>
      <c r="BG1548" s="2705"/>
      <c r="BH1548" s="2705"/>
      <c r="BI1548" s="2705"/>
      <c r="BJ1548" s="2705"/>
      <c r="BK1548" s="2705"/>
      <c r="BL1548" s="2705"/>
      <c r="BM1548" s="2705"/>
      <c r="BN1548" s="2705"/>
      <c r="BO1548" s="2705"/>
      <c r="BP1548" s="2705"/>
      <c r="BQ1548" s="2705"/>
      <c r="BR1548" s="2705"/>
      <c r="BS1548" s="2705"/>
      <c r="BT1548" s="2705"/>
      <c r="BU1548" s="2705"/>
      <c r="BV1548" s="2705"/>
      <c r="BW1548" s="2705"/>
      <c r="BX1548" s="2705"/>
    </row>
    <row r="1549" spans="1:76" s="2324" customFormat="1" ht="39.75" customHeight="1">
      <c r="A1549" s="1396"/>
      <c r="B1549" s="1396"/>
      <c r="C1549" s="2207">
        <v>3</v>
      </c>
      <c r="D1549" s="2448" t="s">
        <v>107</v>
      </c>
      <c r="E1549" s="2448" t="s">
        <v>196</v>
      </c>
      <c r="F1549" s="2207">
        <v>19</v>
      </c>
      <c r="G1549" s="2207">
        <v>12</v>
      </c>
      <c r="H1549" s="2207"/>
      <c r="I1549" s="1762" t="s">
        <v>2962</v>
      </c>
      <c r="J1549" s="1380" t="s">
        <v>2963</v>
      </c>
      <c r="K1549" s="2294">
        <v>600</v>
      </c>
      <c r="L1549" s="2295">
        <v>693977112</v>
      </c>
      <c r="M1549" s="2285">
        <v>200</v>
      </c>
      <c r="N1549" s="2298">
        <v>202753812</v>
      </c>
      <c r="O1549" s="2285">
        <v>0</v>
      </c>
      <c r="P1549" s="2298">
        <v>0</v>
      </c>
      <c r="Q1549" s="2302">
        <v>0</v>
      </c>
      <c r="R1549" s="2298">
        <v>0</v>
      </c>
      <c r="S1549" s="2286">
        <v>0</v>
      </c>
      <c r="T1549" s="2286">
        <v>0</v>
      </c>
      <c r="U1549" s="2286">
        <v>0</v>
      </c>
      <c r="V1549" s="2292">
        <v>0</v>
      </c>
      <c r="W1549" s="2286">
        <v>0</v>
      </c>
      <c r="X1549" s="2286">
        <v>0</v>
      </c>
      <c r="Y1549" s="2285">
        <f t="shared" si="516"/>
        <v>0</v>
      </c>
      <c r="Z1549" s="2292">
        <f t="shared" si="516"/>
        <v>0</v>
      </c>
      <c r="AA1549" s="2285">
        <f t="shared" si="517"/>
        <v>200</v>
      </c>
      <c r="AB1549" s="2292">
        <f t="shared" si="517"/>
        <v>202753812</v>
      </c>
      <c r="AC1549" s="2288">
        <f t="shared" si="518"/>
        <v>0.33333333333333331</v>
      </c>
      <c r="AD1549" s="2288">
        <f t="shared" si="518"/>
        <v>0.29216210231440604</v>
      </c>
      <c r="AE1549" s="2207"/>
      <c r="AF1549" s="2705"/>
      <c r="AG1549" s="2705"/>
      <c r="AH1549" s="2705"/>
      <c r="AI1549" s="2705"/>
      <c r="AJ1549" s="2705"/>
      <c r="AK1549" s="2705"/>
      <c r="AL1549" s="2705"/>
      <c r="AM1549" s="2705"/>
      <c r="AN1549" s="2705"/>
      <c r="AO1549" s="2705"/>
      <c r="AP1549" s="2705"/>
      <c r="AQ1549" s="2705"/>
      <c r="AR1549" s="2705"/>
      <c r="AS1549" s="2705"/>
      <c r="AT1549" s="2705"/>
      <c r="AU1549" s="2705"/>
      <c r="AV1549" s="2705"/>
      <c r="AW1549" s="2705"/>
      <c r="AX1549" s="2705"/>
      <c r="AY1549" s="2705"/>
      <c r="AZ1549" s="2705"/>
      <c r="BA1549" s="2705"/>
      <c r="BB1549" s="2705"/>
      <c r="BC1549" s="2705"/>
      <c r="BD1549" s="2705"/>
      <c r="BE1549" s="2705"/>
      <c r="BF1549" s="2705"/>
      <c r="BG1549" s="2705"/>
      <c r="BH1549" s="2705"/>
      <c r="BI1549" s="2705"/>
      <c r="BJ1549" s="2705"/>
      <c r="BK1549" s="2705"/>
      <c r="BL1549" s="2705"/>
      <c r="BM1549" s="2705"/>
      <c r="BN1549" s="2705"/>
      <c r="BO1549" s="2705"/>
      <c r="BP1549" s="2705"/>
      <c r="BQ1549" s="2705"/>
      <c r="BR1549" s="2705"/>
      <c r="BS1549" s="2705"/>
      <c r="BT1549" s="2705"/>
      <c r="BU1549" s="2705"/>
      <c r="BV1549" s="2705"/>
      <c r="BW1549" s="2705"/>
      <c r="BX1549" s="2705"/>
    </row>
    <row r="1550" spans="1:76" s="114" customFormat="1" ht="18.75" customHeight="1">
      <c r="A1550" s="4244" t="s">
        <v>89</v>
      </c>
      <c r="B1550" s="4244"/>
      <c r="C1550" s="4244"/>
      <c r="D1550" s="4244"/>
      <c r="E1550" s="4244"/>
      <c r="F1550" s="4244"/>
      <c r="G1550" s="4244"/>
      <c r="H1550" s="4244"/>
      <c r="I1550" s="4244"/>
      <c r="J1550" s="4244"/>
      <c r="K1550" s="4244"/>
      <c r="L1550" s="4244"/>
      <c r="M1550" s="4244"/>
      <c r="N1550" s="4244"/>
      <c r="O1550" s="4244"/>
      <c r="P1550" s="4244"/>
      <c r="Q1550" s="4244"/>
      <c r="R1550" s="4244"/>
      <c r="S1550" s="4244"/>
      <c r="T1550" s="4244"/>
      <c r="U1550" s="4244"/>
      <c r="V1550" s="4244"/>
      <c r="W1550" s="4244"/>
      <c r="X1550" s="4244"/>
      <c r="Y1550" s="4244"/>
      <c r="Z1550" s="4244"/>
      <c r="AA1550" s="4244"/>
      <c r="AB1550" s="4244"/>
      <c r="AC1550" s="2030">
        <f>(AC1484+AC1497+AC1505+AC1508+AC1510+AC1512+AC1538+AC1545)/8</f>
        <v>70.291666666666657</v>
      </c>
      <c r="AD1550" s="2030">
        <f>(AD1484+AD1497+AD1505+AD1508+AD1510+AD1512+AD1538+AD1545)/8</f>
        <v>33.830033477407902</v>
      </c>
      <c r="AE1550" s="390"/>
    </row>
    <row r="1551" spans="1:76" s="475" customFormat="1" ht="15.75" customHeight="1">
      <c r="A1551" s="4244" t="s">
        <v>90</v>
      </c>
      <c r="B1551" s="4244"/>
      <c r="C1551" s="4244"/>
      <c r="D1551" s="4244"/>
      <c r="E1551" s="4244"/>
      <c r="F1551" s="4244"/>
      <c r="G1551" s="4244"/>
      <c r="H1551" s="4244"/>
      <c r="I1551" s="4244"/>
      <c r="J1551" s="4244"/>
      <c r="K1551" s="4244"/>
      <c r="L1551" s="4244"/>
      <c r="M1551" s="4244"/>
      <c r="N1551" s="4244"/>
      <c r="O1551" s="4244"/>
      <c r="P1551" s="4244"/>
      <c r="Q1551" s="4244"/>
      <c r="R1551" s="4244"/>
      <c r="S1551" s="4244"/>
      <c r="T1551" s="4244"/>
      <c r="U1551" s="4244"/>
      <c r="V1551" s="4244"/>
      <c r="W1551" s="4244"/>
      <c r="X1551" s="4244"/>
      <c r="Y1551" s="4244"/>
      <c r="Z1551" s="4244"/>
      <c r="AA1551" s="4244"/>
      <c r="AB1551" s="4244"/>
      <c r="AC1551" s="3152" t="s">
        <v>2714</v>
      </c>
      <c r="AD1551" s="3152" t="str">
        <f>IF(AD1550&gt;=91,"ST",IF(AD1550&gt;=76,"T",IF(AD1550&gt;=66,"S",IF(AD1550&gt;=51,"R","SR"))))</f>
        <v>SR</v>
      </c>
      <c r="AE1551" s="390"/>
    </row>
    <row r="1552" spans="1:76" s="2324" customFormat="1" ht="24" customHeight="1">
      <c r="A1552" s="2089" t="s">
        <v>911</v>
      </c>
      <c r="B1552" s="2089"/>
      <c r="C1552" s="3842"/>
      <c r="D1552" s="3842"/>
      <c r="E1552" s="3842"/>
      <c r="F1552" s="3842"/>
      <c r="G1552" s="3842"/>
      <c r="H1552" s="3842"/>
      <c r="I1552" s="2089"/>
      <c r="J1552" s="2089"/>
      <c r="K1552" s="2089"/>
      <c r="L1552" s="3234">
        <f>L1553+L1565+L1570+L1572</f>
        <v>14527652247.393801</v>
      </c>
      <c r="M1552" s="2089"/>
      <c r="N1552" s="3231">
        <f>N1553+N1565+N1570+N1572</f>
        <v>2097578870</v>
      </c>
      <c r="O1552" s="2089"/>
      <c r="P1552" s="3231">
        <f>SUM(P1553+P1565+P1570+P1572)</f>
        <v>2864762000</v>
      </c>
      <c r="Q1552" s="2089"/>
      <c r="R1552" s="3231">
        <f>R1553+R1565+R1570+R1572</f>
        <v>631339076</v>
      </c>
      <c r="S1552" s="2089"/>
      <c r="T1552" s="3231">
        <f>T1553+T1565+T1570+T1572</f>
        <v>744542049</v>
      </c>
      <c r="U1552" s="2089"/>
      <c r="V1552" s="3231">
        <f>V1553+V1565+V1570+V1572</f>
        <v>2110106822</v>
      </c>
      <c r="W1552" s="2089"/>
      <c r="X1552" s="2089"/>
      <c r="Y1552" s="2089"/>
      <c r="Z1552" s="3231">
        <f>SUM(Z1553+Z1565+Z1570+Z1572)</f>
        <v>3106431334</v>
      </c>
      <c r="AA1552" s="2089"/>
      <c r="AB1552" s="3231">
        <f>AB1553+AB1565+AB1570+AB1572</f>
        <v>5204010204</v>
      </c>
      <c r="AC1552" s="2089"/>
      <c r="AD1552" s="2089"/>
      <c r="AE1552" s="2090"/>
      <c r="AF1552" s="2705"/>
      <c r="AG1552" s="2705"/>
      <c r="AH1552" s="2705"/>
      <c r="AI1552" s="2705"/>
      <c r="AJ1552" s="2705"/>
      <c r="AK1552" s="2705"/>
      <c r="AL1552" s="2705"/>
      <c r="AM1552" s="2705"/>
      <c r="AN1552" s="2705"/>
      <c r="AO1552" s="2705"/>
      <c r="AP1552" s="2705"/>
      <c r="AQ1552" s="2705"/>
      <c r="AR1552" s="2705"/>
      <c r="AS1552" s="2705"/>
      <c r="AT1552" s="2705"/>
      <c r="AU1552" s="2705"/>
      <c r="AV1552" s="2705"/>
      <c r="AW1552" s="2705"/>
      <c r="AX1552" s="2705"/>
      <c r="AY1552" s="2705"/>
      <c r="AZ1552" s="2705"/>
      <c r="BA1552" s="2705"/>
      <c r="BB1552" s="2705"/>
      <c r="BC1552" s="2705"/>
      <c r="BD1552" s="2705"/>
      <c r="BE1552" s="2705"/>
      <c r="BF1552" s="2705"/>
      <c r="BG1552" s="2705"/>
      <c r="BH1552" s="2705"/>
      <c r="BI1552" s="2705"/>
      <c r="BJ1552" s="2705"/>
      <c r="BK1552" s="2705"/>
      <c r="BL1552" s="2705"/>
      <c r="BM1552" s="2705"/>
      <c r="BN1552" s="2705"/>
      <c r="BO1552" s="2705"/>
      <c r="BP1552" s="2705"/>
      <c r="BQ1552" s="2705"/>
      <c r="BR1552" s="2705"/>
      <c r="BS1552" s="2705"/>
      <c r="BT1552" s="2705"/>
      <c r="BU1552" s="2705"/>
      <c r="BV1552" s="2705"/>
      <c r="BW1552" s="2705"/>
      <c r="BX1552" s="2705"/>
    </row>
    <row r="1553" spans="1:76" s="2324" customFormat="1" ht="71.25" customHeight="1">
      <c r="A1553" s="3155">
        <v>1</v>
      </c>
      <c r="B1553" s="3156"/>
      <c r="C1553" s="3796">
        <v>3</v>
      </c>
      <c r="D1553" s="2567" t="s">
        <v>107</v>
      </c>
      <c r="E1553" s="2567" t="s">
        <v>196</v>
      </c>
      <c r="F1553" s="2567" t="s">
        <v>65</v>
      </c>
      <c r="G1553" s="2567" t="s">
        <v>66</v>
      </c>
      <c r="H1553" s="3796"/>
      <c r="I1553" s="3156" t="s">
        <v>221</v>
      </c>
      <c r="J1553" s="2501" t="s">
        <v>912</v>
      </c>
      <c r="K1553" s="2718">
        <v>100</v>
      </c>
      <c r="L1553" s="2718">
        <f>SUM(L1554:L1564)</f>
        <v>3527021382.4200001</v>
      </c>
      <c r="M1553" s="2718">
        <v>40</v>
      </c>
      <c r="N1553" s="2718">
        <f>SUM(N1554:N1564)</f>
        <v>726423971</v>
      </c>
      <c r="O1553" s="2718">
        <v>20</v>
      </c>
      <c r="P1553" s="2677">
        <f>SUM(P1554:P1564)</f>
        <v>571491411</v>
      </c>
      <c r="Q1553" s="2718">
        <v>5</v>
      </c>
      <c r="R1553" s="2587">
        <f>SUM(R1554:R1564)</f>
        <v>164870403</v>
      </c>
      <c r="S1553" s="3082">
        <v>5</v>
      </c>
      <c r="T1553" s="2545">
        <f>SUM(T1554:T1564)</f>
        <v>236161049</v>
      </c>
      <c r="U1553" s="2718">
        <v>5</v>
      </c>
      <c r="V1553" s="2545">
        <f>SUM(V1554:V1564)</f>
        <v>336984613</v>
      </c>
      <c r="W1553" s="2718">
        <f>SUM(W1554:W1564)</f>
        <v>0</v>
      </c>
      <c r="X1553" s="2587">
        <f>SUM(X1554:X1564)</f>
        <v>0</v>
      </c>
      <c r="Y1553" s="2718">
        <f t="shared" ref="Y1553:Y1586" si="519">Q1553+S1553+U1553+W1553</f>
        <v>15</v>
      </c>
      <c r="Z1553" s="2587">
        <f>SUM(R1553+T1553)</f>
        <v>401031452</v>
      </c>
      <c r="AA1553" s="2587">
        <f>+Y1553+M1553</f>
        <v>55</v>
      </c>
      <c r="AB1553" s="2587">
        <f>+N1553+Z1553</f>
        <v>1127455423</v>
      </c>
      <c r="AC1553" s="2720">
        <f>(AA1553/K1553)*100</f>
        <v>55.000000000000007</v>
      </c>
      <c r="AD1553" s="2675">
        <f>(AB1553/L1553)*100</f>
        <v>31.966220239538707</v>
      </c>
      <c r="AE1553" s="3138" t="s">
        <v>913</v>
      </c>
      <c r="AF1553" s="2705"/>
      <c r="AG1553" s="2705"/>
      <c r="AH1553" s="2705"/>
      <c r="AI1553" s="2705"/>
      <c r="AJ1553" s="2705"/>
      <c r="AK1553" s="2705"/>
      <c r="AL1553" s="2705"/>
      <c r="AM1553" s="2705"/>
      <c r="AN1553" s="2705"/>
      <c r="AO1553" s="2705"/>
      <c r="AP1553" s="2705"/>
      <c r="AQ1553" s="2705"/>
      <c r="AR1553" s="2705"/>
      <c r="AS1553" s="2705"/>
      <c r="AT1553" s="2705"/>
      <c r="AU1553" s="2705"/>
      <c r="AV1553" s="2705"/>
      <c r="AW1553" s="2705"/>
      <c r="AX1553" s="2705"/>
      <c r="AY1553" s="2705"/>
      <c r="AZ1553" s="2705"/>
      <c r="BA1553" s="2705"/>
      <c r="BB1553" s="2705"/>
      <c r="BC1553" s="2705"/>
      <c r="BD1553" s="2705"/>
      <c r="BE1553" s="2705"/>
      <c r="BF1553" s="2705"/>
      <c r="BG1553" s="2705"/>
      <c r="BH1553" s="2705"/>
      <c r="BI1553" s="2705"/>
      <c r="BJ1553" s="2705"/>
      <c r="BK1553" s="2705"/>
      <c r="BL1553" s="2705"/>
      <c r="BM1553" s="2705"/>
      <c r="BN1553" s="2705"/>
      <c r="BO1553" s="2705"/>
      <c r="BP1553" s="2705"/>
      <c r="BQ1553" s="2705"/>
      <c r="BR1553" s="2705"/>
      <c r="BS1553" s="2705"/>
      <c r="BT1553" s="2705"/>
      <c r="BU1553" s="2705"/>
      <c r="BV1553" s="2705"/>
      <c r="BW1553" s="2705"/>
      <c r="BX1553" s="2705"/>
    </row>
    <row r="1554" spans="1:76" s="2324" customFormat="1" ht="45.75" customHeight="1">
      <c r="A1554" s="385"/>
      <c r="B1554" s="385"/>
      <c r="C1554" s="3791">
        <v>3</v>
      </c>
      <c r="D1554" s="3792" t="s">
        <v>107</v>
      </c>
      <c r="E1554" s="3792" t="s">
        <v>196</v>
      </c>
      <c r="F1554" s="3792" t="s">
        <v>65</v>
      </c>
      <c r="G1554" s="3792" t="s">
        <v>66</v>
      </c>
      <c r="H1554" s="3792" t="s">
        <v>65</v>
      </c>
      <c r="I1554" s="384" t="s">
        <v>873</v>
      </c>
      <c r="J1554" s="3169" t="s">
        <v>4085</v>
      </c>
      <c r="K1554" s="384">
        <v>60</v>
      </c>
      <c r="L1554" s="2853">
        <f>[12]Sheet1!$T$14</f>
        <v>360676156.80000001</v>
      </c>
      <c r="M1554" s="3083">
        <v>12</v>
      </c>
      <c r="N1554" s="745">
        <v>57413580</v>
      </c>
      <c r="O1554" s="385">
        <v>12</v>
      </c>
      <c r="P1554" s="387">
        <f>52800000</f>
        <v>52800000</v>
      </c>
      <c r="Q1554" s="735">
        <v>3</v>
      </c>
      <c r="R1554" s="2676">
        <v>10935903</v>
      </c>
      <c r="S1554" s="3084" t="s">
        <v>602</v>
      </c>
      <c r="T1554" s="3085">
        <v>18596000</v>
      </c>
      <c r="U1554" s="385">
        <v>3</v>
      </c>
      <c r="V1554" s="597">
        <v>31940345</v>
      </c>
      <c r="W1554" s="385"/>
      <c r="X1554" s="385"/>
      <c r="Y1554" s="597">
        <f t="shared" si="519"/>
        <v>9</v>
      </c>
      <c r="Z1554" s="597">
        <f>SUM(R1554+T1554)</f>
        <v>29531903</v>
      </c>
      <c r="AA1554" s="389">
        <f t="shared" ref="AA1554:AA1564" si="520">+Y1554+M1554</f>
        <v>21</v>
      </c>
      <c r="AB1554" s="386">
        <f t="shared" ref="AB1554:AB1564" si="521">+N1554+Z1554</f>
        <v>86945483</v>
      </c>
      <c r="AC1554" s="737">
        <f t="shared" ref="AC1554:AC1564" si="522">(AA1554/K1554)*100</f>
        <v>35</v>
      </c>
      <c r="AD1554" s="389">
        <f t="shared" ref="AD1554:AD1564" si="523">(AB1554/L1554)*100</f>
        <v>24.106246382183919</v>
      </c>
      <c r="AE1554" s="390"/>
      <c r="AF1554" s="2705"/>
      <c r="AG1554" s="2705"/>
      <c r="AH1554" s="2705"/>
      <c r="AI1554" s="2705"/>
      <c r="AJ1554" s="2705"/>
      <c r="AK1554" s="2705"/>
      <c r="AL1554" s="2705"/>
      <c r="AM1554" s="2705"/>
      <c r="AN1554" s="2705"/>
      <c r="AO1554" s="2705"/>
      <c r="AP1554" s="2705"/>
      <c r="AQ1554" s="2705"/>
      <c r="AR1554" s="2705"/>
      <c r="AS1554" s="2705"/>
      <c r="AT1554" s="2705"/>
      <c r="AU1554" s="2705"/>
      <c r="AV1554" s="2705"/>
      <c r="AW1554" s="2705"/>
      <c r="AX1554" s="2705"/>
      <c r="AY1554" s="2705"/>
      <c r="AZ1554" s="2705"/>
      <c r="BA1554" s="2705"/>
      <c r="BB1554" s="2705"/>
      <c r="BC1554" s="2705"/>
      <c r="BD1554" s="2705"/>
      <c r="BE1554" s="2705"/>
      <c r="BF1554" s="2705"/>
      <c r="BG1554" s="2705"/>
      <c r="BH1554" s="2705"/>
      <c r="BI1554" s="2705"/>
      <c r="BJ1554" s="2705"/>
      <c r="BK1554" s="2705"/>
      <c r="BL1554" s="2705"/>
      <c r="BM1554" s="2705"/>
      <c r="BN1554" s="2705"/>
      <c r="BO1554" s="2705"/>
      <c r="BP1554" s="2705"/>
      <c r="BQ1554" s="2705"/>
      <c r="BR1554" s="2705"/>
      <c r="BS1554" s="2705"/>
      <c r="BT1554" s="2705"/>
      <c r="BU1554" s="2705"/>
      <c r="BV1554" s="2705"/>
      <c r="BW1554" s="2705"/>
      <c r="BX1554" s="2705"/>
    </row>
    <row r="1555" spans="1:76" s="2324" customFormat="1" ht="38.25">
      <c r="A1555" s="384"/>
      <c r="B1555" s="385"/>
      <c r="C1555" s="3791">
        <v>3</v>
      </c>
      <c r="D1555" s="3792" t="s">
        <v>107</v>
      </c>
      <c r="E1555" s="3792" t="s">
        <v>196</v>
      </c>
      <c r="F1555" s="3792" t="s">
        <v>65</v>
      </c>
      <c r="G1555" s="3792" t="s">
        <v>66</v>
      </c>
      <c r="H1555" s="3792" t="s">
        <v>198</v>
      </c>
      <c r="I1555" s="384" t="s">
        <v>148</v>
      </c>
      <c r="J1555" s="3169" t="s">
        <v>4086</v>
      </c>
      <c r="K1555" s="384">
        <v>60</v>
      </c>
      <c r="L1555" s="2648">
        <f>[12]Sheet1!$T$15</f>
        <v>916665187.79999995</v>
      </c>
      <c r="M1555" s="385">
        <v>12</v>
      </c>
      <c r="N1555" s="745">
        <v>111142150</v>
      </c>
      <c r="O1555" s="385">
        <v>12</v>
      </c>
      <c r="P1555" s="707">
        <f>210450000</f>
        <v>210450000</v>
      </c>
      <c r="Q1555" s="735">
        <v>3</v>
      </c>
      <c r="R1555" s="2706">
        <v>33000000</v>
      </c>
      <c r="S1555" s="3084" t="s">
        <v>602</v>
      </c>
      <c r="T1555" s="3085">
        <v>94550000</v>
      </c>
      <c r="U1555" s="385">
        <v>3</v>
      </c>
      <c r="V1555" s="1202">
        <v>153470000</v>
      </c>
      <c r="W1555" s="385"/>
      <c r="X1555" s="384"/>
      <c r="Y1555" s="597">
        <f t="shared" si="519"/>
        <v>9</v>
      </c>
      <c r="Z1555" s="597">
        <f>SUM(R1555+T1555)</f>
        <v>127550000</v>
      </c>
      <c r="AA1555" s="590">
        <f t="shared" si="520"/>
        <v>21</v>
      </c>
      <c r="AB1555" s="386">
        <f t="shared" si="521"/>
        <v>238692150</v>
      </c>
      <c r="AC1555" s="737">
        <f t="shared" si="522"/>
        <v>35</v>
      </c>
      <c r="AD1555" s="740">
        <f t="shared" si="523"/>
        <v>26.039185645618563</v>
      </c>
      <c r="AE1555" s="390"/>
      <c r="AF1555" s="2705"/>
      <c r="AG1555" s="2705"/>
      <c r="AH1555" s="2705"/>
      <c r="AI1555" s="2705"/>
      <c r="AJ1555" s="2705"/>
      <c r="AK1555" s="2705"/>
      <c r="AL1555" s="2705"/>
      <c r="AM1555" s="2705"/>
      <c r="AN1555" s="2705"/>
      <c r="AO1555" s="2705"/>
      <c r="AP1555" s="2705"/>
      <c r="AQ1555" s="2705"/>
      <c r="AR1555" s="2705"/>
      <c r="AS1555" s="2705"/>
      <c r="AT1555" s="2705"/>
      <c r="AU1555" s="2705"/>
      <c r="AV1555" s="2705"/>
      <c r="AW1555" s="2705"/>
      <c r="AX1555" s="2705"/>
      <c r="AY1555" s="2705"/>
      <c r="AZ1555" s="2705"/>
      <c r="BA1555" s="2705"/>
      <c r="BB1555" s="2705"/>
      <c r="BC1555" s="2705"/>
      <c r="BD1555" s="2705"/>
      <c r="BE1555" s="2705"/>
      <c r="BF1555" s="2705"/>
      <c r="BG1555" s="2705"/>
      <c r="BH1555" s="2705"/>
      <c r="BI1555" s="2705"/>
      <c r="BJ1555" s="2705"/>
      <c r="BK1555" s="2705"/>
      <c r="BL1555" s="2705"/>
      <c r="BM1555" s="2705"/>
      <c r="BN1555" s="2705"/>
      <c r="BO1555" s="2705"/>
      <c r="BP1555" s="2705"/>
      <c r="BQ1555" s="2705"/>
      <c r="BR1555" s="2705"/>
      <c r="BS1555" s="2705"/>
      <c r="BT1555" s="2705"/>
      <c r="BU1555" s="2705"/>
      <c r="BV1555" s="2705"/>
      <c r="BW1555" s="2705"/>
      <c r="BX1555" s="2705"/>
    </row>
    <row r="1556" spans="1:76" s="2324" customFormat="1" ht="63.75" customHeight="1">
      <c r="A1556" s="385"/>
      <c r="B1556" s="385"/>
      <c r="C1556" s="3791">
        <v>3</v>
      </c>
      <c r="D1556" s="3792" t="s">
        <v>107</v>
      </c>
      <c r="E1556" s="3792" t="s">
        <v>196</v>
      </c>
      <c r="F1556" s="3792" t="s">
        <v>65</v>
      </c>
      <c r="G1556" s="3792" t="s">
        <v>66</v>
      </c>
      <c r="H1556" s="3792" t="s">
        <v>93</v>
      </c>
      <c r="I1556" s="384" t="s">
        <v>876</v>
      </c>
      <c r="J1556" s="3169" t="s">
        <v>4087</v>
      </c>
      <c r="K1556" s="384">
        <v>60</v>
      </c>
      <c r="L1556" s="745">
        <f>[12]Sheet1!$T$16</f>
        <v>69912848.5</v>
      </c>
      <c r="M1556" s="385">
        <v>12</v>
      </c>
      <c r="N1556" s="745">
        <v>30104000</v>
      </c>
      <c r="O1556" s="385">
        <v>12</v>
      </c>
      <c r="P1556" s="707">
        <v>4758500</v>
      </c>
      <c r="Q1556" s="735">
        <v>3</v>
      </c>
      <c r="R1556" s="2706">
        <v>1000000</v>
      </c>
      <c r="S1556" s="3084" t="s">
        <v>602</v>
      </c>
      <c r="T1556" s="3085">
        <v>2100000</v>
      </c>
      <c r="U1556" s="385">
        <v>3</v>
      </c>
      <c r="V1556" s="1202">
        <v>4400000</v>
      </c>
      <c r="W1556" s="385"/>
      <c r="X1556" s="384"/>
      <c r="Y1556" s="597">
        <f t="shared" si="519"/>
        <v>9</v>
      </c>
      <c r="Z1556" s="597">
        <f>R1556+T1556</f>
        <v>3100000</v>
      </c>
      <c r="AA1556" s="590">
        <f t="shared" si="520"/>
        <v>21</v>
      </c>
      <c r="AB1556" s="386">
        <f t="shared" si="521"/>
        <v>33204000</v>
      </c>
      <c r="AC1556" s="737">
        <f t="shared" si="522"/>
        <v>35</v>
      </c>
      <c r="AD1556" s="737">
        <f t="shared" si="523"/>
        <v>47.4934160349653</v>
      </c>
      <c r="AE1556" s="390"/>
      <c r="AF1556" s="2705"/>
      <c r="AG1556" s="2705"/>
      <c r="AH1556" s="2705"/>
      <c r="AI1556" s="2705"/>
      <c r="AJ1556" s="2705"/>
      <c r="AK1556" s="2705"/>
      <c r="AL1556" s="2705"/>
      <c r="AM1556" s="2705"/>
      <c r="AN1556" s="2705"/>
      <c r="AO1556" s="2705"/>
      <c r="AP1556" s="2705"/>
      <c r="AQ1556" s="2705"/>
      <c r="AR1556" s="2705"/>
      <c r="AS1556" s="2705"/>
      <c r="AT1556" s="2705"/>
      <c r="AU1556" s="2705"/>
      <c r="AV1556" s="2705"/>
      <c r="AW1556" s="2705"/>
      <c r="AX1556" s="2705"/>
      <c r="AY1556" s="2705"/>
      <c r="AZ1556" s="2705"/>
      <c r="BA1556" s="2705"/>
      <c r="BB1556" s="2705"/>
      <c r="BC1556" s="2705"/>
      <c r="BD1556" s="2705"/>
      <c r="BE1556" s="2705"/>
      <c r="BF1556" s="2705"/>
      <c r="BG1556" s="2705"/>
      <c r="BH1556" s="2705"/>
      <c r="BI1556" s="2705"/>
      <c r="BJ1556" s="2705"/>
      <c r="BK1556" s="2705"/>
      <c r="BL1556" s="2705"/>
      <c r="BM1556" s="2705"/>
      <c r="BN1556" s="2705"/>
      <c r="BO1556" s="2705"/>
      <c r="BP1556" s="2705"/>
      <c r="BQ1556" s="2705"/>
      <c r="BR1556" s="2705"/>
      <c r="BS1556" s="2705"/>
      <c r="BT1556" s="2705"/>
      <c r="BU1556" s="2705"/>
      <c r="BV1556" s="2705"/>
      <c r="BW1556" s="2705"/>
      <c r="BX1556" s="2705"/>
    </row>
    <row r="1557" spans="1:76" s="2324" customFormat="1" ht="63" customHeight="1">
      <c r="A1557" s="385"/>
      <c r="B1557" s="385"/>
      <c r="C1557" s="3791">
        <v>3</v>
      </c>
      <c r="D1557" s="3792" t="s">
        <v>107</v>
      </c>
      <c r="E1557" s="3792" t="s">
        <v>196</v>
      </c>
      <c r="F1557" s="3792" t="s">
        <v>65</v>
      </c>
      <c r="G1557" s="3792" t="s">
        <v>66</v>
      </c>
      <c r="H1557" s="3791">
        <v>10</v>
      </c>
      <c r="I1557" s="384" t="s">
        <v>150</v>
      </c>
      <c r="J1557" s="3169" t="s">
        <v>4088</v>
      </c>
      <c r="K1557" s="384">
        <v>60</v>
      </c>
      <c r="L1557" s="745">
        <f>[12]Sheet1!$T$17</f>
        <v>191141155.22</v>
      </c>
      <c r="M1557" s="385">
        <v>12</v>
      </c>
      <c r="N1557" s="745">
        <v>43714000</v>
      </c>
      <c r="O1557" s="385">
        <v>12</v>
      </c>
      <c r="P1557" s="707">
        <f>28386711</f>
        <v>28386711</v>
      </c>
      <c r="Q1557" s="735">
        <v>3</v>
      </c>
      <c r="R1557" s="2706">
        <v>5850000</v>
      </c>
      <c r="S1557" s="3084" t="s">
        <v>602</v>
      </c>
      <c r="T1557" s="3085">
        <v>10874000</v>
      </c>
      <c r="U1557" s="385">
        <v>3</v>
      </c>
      <c r="V1557" s="1202">
        <v>16682810</v>
      </c>
      <c r="W1557" s="385"/>
      <c r="X1557" s="384"/>
      <c r="Y1557" s="597">
        <f t="shared" si="519"/>
        <v>9</v>
      </c>
      <c r="Z1557" s="597">
        <f>SUM(R1557+T1557)</f>
        <v>16724000</v>
      </c>
      <c r="AA1557" s="590">
        <f t="shared" si="520"/>
        <v>21</v>
      </c>
      <c r="AB1557" s="386">
        <f t="shared" si="521"/>
        <v>60438000</v>
      </c>
      <c r="AC1557" s="737">
        <f t="shared" si="522"/>
        <v>35</v>
      </c>
      <c r="AD1557" s="737">
        <f t="shared" si="523"/>
        <v>31.619564049634917</v>
      </c>
      <c r="AE1557" s="390"/>
      <c r="AF1557" s="2705"/>
      <c r="AG1557" s="2705"/>
      <c r="AH1557" s="2705"/>
      <c r="AI1557" s="2705"/>
      <c r="AJ1557" s="2705"/>
      <c r="AK1557" s="2705"/>
      <c r="AL1557" s="2705"/>
      <c r="AM1557" s="2705"/>
      <c r="AN1557" s="2705"/>
      <c r="AO1557" s="2705"/>
      <c r="AP1557" s="2705"/>
      <c r="AQ1557" s="2705"/>
      <c r="AR1557" s="2705"/>
      <c r="AS1557" s="2705"/>
      <c r="AT1557" s="2705"/>
      <c r="AU1557" s="2705"/>
      <c r="AV1557" s="2705"/>
      <c r="AW1557" s="2705"/>
      <c r="AX1557" s="2705"/>
      <c r="AY1557" s="2705"/>
      <c r="AZ1557" s="2705"/>
      <c r="BA1557" s="2705"/>
      <c r="BB1557" s="2705"/>
      <c r="BC1557" s="2705"/>
      <c r="BD1557" s="2705"/>
      <c r="BE1557" s="2705"/>
      <c r="BF1557" s="2705"/>
      <c r="BG1557" s="2705"/>
      <c r="BH1557" s="2705"/>
      <c r="BI1557" s="2705"/>
      <c r="BJ1557" s="2705"/>
      <c r="BK1557" s="2705"/>
      <c r="BL1557" s="2705"/>
      <c r="BM1557" s="2705"/>
      <c r="BN1557" s="2705"/>
      <c r="BO1557" s="2705"/>
      <c r="BP1557" s="2705"/>
      <c r="BQ1557" s="2705"/>
      <c r="BR1557" s="2705"/>
      <c r="BS1557" s="2705"/>
      <c r="BT1557" s="2705"/>
      <c r="BU1557" s="2705"/>
      <c r="BV1557" s="2705"/>
      <c r="BW1557" s="2705"/>
      <c r="BX1557" s="2705"/>
    </row>
    <row r="1558" spans="1:76" s="2324" customFormat="1" ht="56.25" customHeight="1">
      <c r="A1558" s="385"/>
      <c r="B1558" s="385"/>
      <c r="C1558" s="3791">
        <v>3</v>
      </c>
      <c r="D1558" s="3792" t="s">
        <v>107</v>
      </c>
      <c r="E1558" s="3792" t="s">
        <v>196</v>
      </c>
      <c r="F1558" s="3792" t="s">
        <v>65</v>
      </c>
      <c r="G1558" s="3792" t="s">
        <v>66</v>
      </c>
      <c r="H1558" s="3791">
        <v>11</v>
      </c>
      <c r="I1558" s="384" t="s">
        <v>972</v>
      </c>
      <c r="J1558" s="3169" t="s">
        <v>4089</v>
      </c>
      <c r="K1558" s="384">
        <v>60</v>
      </c>
      <c r="L1558" s="745">
        <f>[12]Sheet1!$T$18</f>
        <v>139854012</v>
      </c>
      <c r="M1558" s="385">
        <v>12</v>
      </c>
      <c r="N1558" s="745">
        <v>28675000</v>
      </c>
      <c r="O1558" s="385">
        <v>12</v>
      </c>
      <c r="P1558" s="707">
        <v>24000000</v>
      </c>
      <c r="Q1558" s="735">
        <v>3</v>
      </c>
      <c r="R1558" s="2706">
        <v>3553100</v>
      </c>
      <c r="S1558" s="3084" t="s">
        <v>602</v>
      </c>
      <c r="T1558" s="3085">
        <v>12364000</v>
      </c>
      <c r="U1558" s="385">
        <v>3</v>
      </c>
      <c r="V1558" s="1202">
        <v>13864100</v>
      </c>
      <c r="W1558" s="385"/>
      <c r="X1558" s="384"/>
      <c r="Y1558" s="597">
        <f t="shared" si="519"/>
        <v>9</v>
      </c>
      <c r="Z1558" s="597">
        <f>SUM(R1558+T1558)</f>
        <v>15917100</v>
      </c>
      <c r="AA1558" s="590">
        <f t="shared" si="520"/>
        <v>21</v>
      </c>
      <c r="AB1558" s="386">
        <f t="shared" si="521"/>
        <v>44592100</v>
      </c>
      <c r="AC1558" s="737">
        <f t="shared" si="522"/>
        <v>35</v>
      </c>
      <c r="AD1558" s="737">
        <f t="shared" si="523"/>
        <v>31.884748504747932</v>
      </c>
      <c r="AE1558" s="390"/>
      <c r="AF1558" s="2705"/>
      <c r="AG1558" s="2705"/>
      <c r="AH1558" s="2705"/>
      <c r="AI1558" s="2705"/>
      <c r="AJ1558" s="2705"/>
      <c r="AK1558" s="2705"/>
      <c r="AL1558" s="2705"/>
      <c r="AM1558" s="2705"/>
      <c r="AN1558" s="2705"/>
      <c r="AO1558" s="2705"/>
      <c r="AP1558" s="2705"/>
      <c r="AQ1558" s="2705"/>
      <c r="AR1558" s="2705"/>
      <c r="AS1558" s="2705"/>
      <c r="AT1558" s="2705"/>
      <c r="AU1558" s="2705"/>
      <c r="AV1558" s="2705"/>
      <c r="AW1558" s="2705"/>
      <c r="AX1558" s="2705"/>
      <c r="AY1558" s="2705"/>
      <c r="AZ1558" s="2705"/>
      <c r="BA1558" s="2705"/>
      <c r="BB1558" s="2705"/>
      <c r="BC1558" s="2705"/>
      <c r="BD1558" s="2705"/>
      <c r="BE1558" s="2705"/>
      <c r="BF1558" s="2705"/>
      <c r="BG1558" s="2705"/>
      <c r="BH1558" s="2705"/>
      <c r="BI1558" s="2705"/>
      <c r="BJ1558" s="2705"/>
      <c r="BK1558" s="2705"/>
      <c r="BL1558" s="2705"/>
      <c r="BM1558" s="2705"/>
      <c r="BN1558" s="2705"/>
      <c r="BO1558" s="2705"/>
      <c r="BP1558" s="2705"/>
      <c r="BQ1558" s="2705"/>
      <c r="BR1558" s="2705"/>
      <c r="BS1558" s="2705"/>
      <c r="BT1558" s="2705"/>
      <c r="BU1558" s="2705"/>
      <c r="BV1558" s="2705"/>
      <c r="BW1558" s="2705"/>
      <c r="BX1558" s="2705"/>
    </row>
    <row r="1559" spans="1:76" s="2324" customFormat="1" ht="63" customHeight="1">
      <c r="A1559" s="385"/>
      <c r="B1559" s="385"/>
      <c r="C1559" s="3791">
        <v>3</v>
      </c>
      <c r="D1559" s="3792" t="s">
        <v>107</v>
      </c>
      <c r="E1559" s="3792" t="s">
        <v>196</v>
      </c>
      <c r="F1559" s="3792" t="s">
        <v>65</v>
      </c>
      <c r="G1559" s="3792" t="s">
        <v>66</v>
      </c>
      <c r="H1559" s="3791">
        <v>12</v>
      </c>
      <c r="I1559" s="3140" t="s">
        <v>884</v>
      </c>
      <c r="J1559" s="3169" t="s">
        <v>4090</v>
      </c>
      <c r="K1559" s="384">
        <v>60</v>
      </c>
      <c r="L1559" s="745">
        <f>[12]Sheet1!$T$19</f>
        <v>88070025.640000001</v>
      </c>
      <c r="M1559" s="385">
        <v>12</v>
      </c>
      <c r="N1559" s="745">
        <v>13412500</v>
      </c>
      <c r="O1559" s="385">
        <v>12</v>
      </c>
      <c r="P1559" s="707">
        <v>16180040</v>
      </c>
      <c r="Q1559" s="735">
        <v>3</v>
      </c>
      <c r="R1559" s="2706">
        <v>0</v>
      </c>
      <c r="S1559" s="3084" t="s">
        <v>602</v>
      </c>
      <c r="T1559" s="3086">
        <f>2049</f>
        <v>2049</v>
      </c>
      <c r="U1559" s="385">
        <v>3</v>
      </c>
      <c r="V1559" s="1202">
        <v>5732000</v>
      </c>
      <c r="W1559" s="385"/>
      <c r="X1559" s="384"/>
      <c r="Y1559" s="597">
        <f t="shared" si="519"/>
        <v>9</v>
      </c>
      <c r="Z1559" s="597">
        <v>2049000</v>
      </c>
      <c r="AA1559" s="590">
        <f t="shared" si="520"/>
        <v>21</v>
      </c>
      <c r="AB1559" s="386">
        <f t="shared" si="521"/>
        <v>15461500</v>
      </c>
      <c r="AC1559" s="737">
        <f t="shared" si="522"/>
        <v>35</v>
      </c>
      <c r="AD1559" s="737">
        <f t="shared" si="523"/>
        <v>17.555916315048322</v>
      </c>
      <c r="AE1559" s="390"/>
      <c r="AF1559" s="2705"/>
      <c r="AG1559" s="2705"/>
      <c r="AH1559" s="2705"/>
      <c r="AI1559" s="2705"/>
      <c r="AJ1559" s="2705"/>
      <c r="AK1559" s="2705"/>
      <c r="AL1559" s="2705"/>
      <c r="AM1559" s="2705"/>
      <c r="AN1559" s="2705"/>
      <c r="AO1559" s="2705"/>
      <c r="AP1559" s="2705"/>
      <c r="AQ1559" s="2705"/>
      <c r="AR1559" s="2705"/>
      <c r="AS1559" s="2705"/>
      <c r="AT1559" s="2705"/>
      <c r="AU1559" s="2705"/>
      <c r="AV1559" s="2705"/>
      <c r="AW1559" s="2705"/>
      <c r="AX1559" s="2705"/>
      <c r="AY1559" s="2705"/>
      <c r="AZ1559" s="2705"/>
      <c r="BA1559" s="2705"/>
      <c r="BB1559" s="2705"/>
      <c r="BC1559" s="2705"/>
      <c r="BD1559" s="2705"/>
      <c r="BE1559" s="2705"/>
      <c r="BF1559" s="2705"/>
      <c r="BG1559" s="2705"/>
      <c r="BH1559" s="2705"/>
      <c r="BI1559" s="2705"/>
      <c r="BJ1559" s="2705"/>
      <c r="BK1559" s="2705"/>
      <c r="BL1559" s="2705"/>
      <c r="BM1559" s="2705"/>
      <c r="BN1559" s="2705"/>
      <c r="BO1559" s="2705"/>
      <c r="BP1559" s="2705"/>
      <c r="BQ1559" s="2705"/>
      <c r="BR1559" s="2705"/>
      <c r="BS1559" s="2705"/>
      <c r="BT1559" s="2705"/>
      <c r="BU1559" s="2705"/>
      <c r="BV1559" s="2705"/>
      <c r="BW1559" s="2705"/>
      <c r="BX1559" s="2705"/>
    </row>
    <row r="1560" spans="1:76" s="2324" customFormat="1" ht="65.25" customHeight="1">
      <c r="A1560" s="385"/>
      <c r="B1560" s="385"/>
      <c r="C1560" s="3791">
        <v>3</v>
      </c>
      <c r="D1560" s="3792" t="s">
        <v>107</v>
      </c>
      <c r="E1560" s="3792" t="s">
        <v>196</v>
      </c>
      <c r="F1560" s="3792" t="s">
        <v>65</v>
      </c>
      <c r="G1560" s="3792" t="s">
        <v>66</v>
      </c>
      <c r="H1560" s="3791">
        <v>15</v>
      </c>
      <c r="I1560" s="3140" t="s">
        <v>886</v>
      </c>
      <c r="J1560" s="3169" t="s">
        <v>4091</v>
      </c>
      <c r="K1560" s="384">
        <v>60</v>
      </c>
      <c r="L1560" s="745">
        <f>[12]Sheet1!$T$20</f>
        <v>43400000</v>
      </c>
      <c r="M1560" s="385">
        <v>12</v>
      </c>
      <c r="N1560" s="745">
        <v>4920000</v>
      </c>
      <c r="O1560" s="385">
        <v>12</v>
      </c>
      <c r="P1560" s="707">
        <v>5000000</v>
      </c>
      <c r="Q1560" s="735">
        <v>3</v>
      </c>
      <c r="R1560" s="2706">
        <v>4800000</v>
      </c>
      <c r="S1560" s="3084" t="s">
        <v>602</v>
      </c>
      <c r="T1560" s="3085"/>
      <c r="U1560" s="385">
        <v>3</v>
      </c>
      <c r="V1560" s="1202">
        <v>2040000</v>
      </c>
      <c r="W1560" s="385"/>
      <c r="X1560" s="384"/>
      <c r="Y1560" s="597">
        <f t="shared" si="519"/>
        <v>9</v>
      </c>
      <c r="Z1560" s="597">
        <f>R1560+T1560</f>
        <v>4800000</v>
      </c>
      <c r="AA1560" s="590">
        <f t="shared" si="520"/>
        <v>21</v>
      </c>
      <c r="AB1560" s="386">
        <f t="shared" si="521"/>
        <v>9720000</v>
      </c>
      <c r="AC1560" s="737">
        <f t="shared" si="522"/>
        <v>35</v>
      </c>
      <c r="AD1560" s="737">
        <f t="shared" si="523"/>
        <v>22.396313364055302</v>
      </c>
      <c r="AE1560" s="390"/>
      <c r="AF1560" s="2705"/>
      <c r="AG1560" s="2705"/>
      <c r="AH1560" s="2705"/>
      <c r="AI1560" s="2705"/>
      <c r="AJ1560" s="2705"/>
      <c r="AK1560" s="2705"/>
      <c r="AL1560" s="2705"/>
      <c r="AM1560" s="2705"/>
      <c r="AN1560" s="2705"/>
      <c r="AO1560" s="2705"/>
      <c r="AP1560" s="2705"/>
      <c r="AQ1560" s="2705"/>
      <c r="AR1560" s="2705"/>
      <c r="AS1560" s="2705"/>
      <c r="AT1560" s="2705"/>
      <c r="AU1560" s="2705"/>
      <c r="AV1560" s="2705"/>
      <c r="AW1560" s="2705"/>
      <c r="AX1560" s="2705"/>
      <c r="AY1560" s="2705"/>
      <c r="AZ1560" s="2705"/>
      <c r="BA1560" s="2705"/>
      <c r="BB1560" s="2705"/>
      <c r="BC1560" s="2705"/>
      <c r="BD1560" s="2705"/>
      <c r="BE1560" s="2705"/>
      <c r="BF1560" s="2705"/>
      <c r="BG1560" s="2705"/>
      <c r="BH1560" s="2705"/>
      <c r="BI1560" s="2705"/>
      <c r="BJ1560" s="2705"/>
      <c r="BK1560" s="2705"/>
      <c r="BL1560" s="2705"/>
      <c r="BM1560" s="2705"/>
      <c r="BN1560" s="2705"/>
      <c r="BO1560" s="2705"/>
      <c r="BP1560" s="2705"/>
      <c r="BQ1560" s="2705"/>
      <c r="BR1560" s="2705"/>
      <c r="BS1560" s="2705"/>
      <c r="BT1560" s="2705"/>
      <c r="BU1560" s="2705"/>
      <c r="BV1560" s="2705"/>
      <c r="BW1560" s="2705"/>
      <c r="BX1560" s="2705"/>
    </row>
    <row r="1561" spans="1:76" s="2324" customFormat="1" ht="42" customHeight="1">
      <c r="A1561" s="385"/>
      <c r="B1561" s="385"/>
      <c r="C1561" s="3791">
        <v>3</v>
      </c>
      <c r="D1561" s="3792" t="s">
        <v>107</v>
      </c>
      <c r="E1561" s="3792" t="s">
        <v>196</v>
      </c>
      <c r="F1561" s="3792" t="s">
        <v>65</v>
      </c>
      <c r="G1561" s="3792" t="s">
        <v>66</v>
      </c>
      <c r="H1561" s="3791">
        <v>17</v>
      </c>
      <c r="I1561" s="3140" t="s">
        <v>223</v>
      </c>
      <c r="J1561" s="3169" t="s">
        <v>4092</v>
      </c>
      <c r="K1561" s="384">
        <v>60</v>
      </c>
      <c r="L1561" s="745">
        <f>6*P1561</f>
        <v>264420000</v>
      </c>
      <c r="M1561" s="385">
        <v>12</v>
      </c>
      <c r="N1561" s="745">
        <v>57636000</v>
      </c>
      <c r="O1561" s="385">
        <v>12</v>
      </c>
      <c r="P1561" s="707">
        <v>44070000</v>
      </c>
      <c r="Q1561" s="735">
        <v>3</v>
      </c>
      <c r="R1561" s="2706">
        <v>15144400</v>
      </c>
      <c r="S1561" s="3084" t="s">
        <v>602</v>
      </c>
      <c r="T1561" s="3085">
        <v>29289000</v>
      </c>
      <c r="U1561" s="385">
        <v>6</v>
      </c>
      <c r="V1561" s="1202">
        <v>39525400</v>
      </c>
      <c r="W1561" s="385"/>
      <c r="X1561" s="384"/>
      <c r="Y1561" s="597">
        <f t="shared" si="519"/>
        <v>12</v>
      </c>
      <c r="Z1561" s="597">
        <f>R1561+T1561+V1561</f>
        <v>83958800</v>
      </c>
      <c r="AA1561" s="590">
        <f t="shared" si="520"/>
        <v>24</v>
      </c>
      <c r="AB1561" s="386">
        <f t="shared" si="521"/>
        <v>141594800</v>
      </c>
      <c r="AC1561" s="737">
        <f t="shared" si="522"/>
        <v>40</v>
      </c>
      <c r="AD1561" s="737">
        <f t="shared" si="523"/>
        <v>53.549202027078138</v>
      </c>
      <c r="AE1561" s="390"/>
      <c r="AF1561" s="3676"/>
      <c r="AG1561" s="2705"/>
      <c r="AH1561" s="2705"/>
      <c r="AI1561" s="2705"/>
      <c r="AJ1561" s="2705"/>
      <c r="AK1561" s="2705"/>
      <c r="AL1561" s="2705"/>
      <c r="AM1561" s="2705"/>
      <c r="AN1561" s="2705"/>
      <c r="AO1561" s="2705"/>
      <c r="AP1561" s="2705"/>
      <c r="AQ1561" s="2705"/>
      <c r="AR1561" s="2705"/>
      <c r="AS1561" s="2705"/>
      <c r="AT1561" s="2705"/>
      <c r="AU1561" s="2705"/>
      <c r="AV1561" s="2705"/>
      <c r="AW1561" s="2705"/>
      <c r="AX1561" s="2705"/>
      <c r="AY1561" s="2705"/>
      <c r="AZ1561" s="2705"/>
      <c r="BA1561" s="2705"/>
      <c r="BB1561" s="2705"/>
      <c r="BC1561" s="2705"/>
      <c r="BD1561" s="2705"/>
      <c r="BE1561" s="2705"/>
      <c r="BF1561" s="2705"/>
      <c r="BG1561" s="2705"/>
      <c r="BH1561" s="2705"/>
      <c r="BI1561" s="2705"/>
      <c r="BJ1561" s="2705"/>
      <c r="BK1561" s="2705"/>
      <c r="BL1561" s="2705"/>
      <c r="BM1561" s="2705"/>
      <c r="BN1561" s="2705"/>
      <c r="BO1561" s="2705"/>
      <c r="BP1561" s="2705"/>
      <c r="BQ1561" s="2705"/>
      <c r="BR1561" s="2705"/>
      <c r="BS1561" s="2705"/>
      <c r="BT1561" s="2705"/>
      <c r="BU1561" s="2705"/>
      <c r="BV1561" s="2705"/>
      <c r="BW1561" s="2705"/>
      <c r="BX1561" s="2705"/>
    </row>
    <row r="1562" spans="1:76" s="2324" customFormat="1" ht="77.25" customHeight="1">
      <c r="A1562" s="385"/>
      <c r="B1562" s="385"/>
      <c r="C1562" s="3791">
        <v>3</v>
      </c>
      <c r="D1562" s="3792" t="s">
        <v>107</v>
      </c>
      <c r="E1562" s="3792" t="s">
        <v>196</v>
      </c>
      <c r="F1562" s="3792" t="s">
        <v>65</v>
      </c>
      <c r="G1562" s="3792" t="s">
        <v>66</v>
      </c>
      <c r="H1562" s="3791">
        <v>18</v>
      </c>
      <c r="I1562" s="3140" t="s">
        <v>973</v>
      </c>
      <c r="J1562" s="3169" t="s">
        <v>4093</v>
      </c>
      <c r="K1562" s="384">
        <v>60</v>
      </c>
      <c r="L1562" s="745">
        <f>[12]Sheet1!$T$22</f>
        <v>812554925</v>
      </c>
      <c r="M1562" s="385">
        <v>12</v>
      </c>
      <c r="N1562" s="745">
        <v>220682041</v>
      </c>
      <c r="O1562" s="385">
        <v>12</v>
      </c>
      <c r="P1562" s="707">
        <v>102967500</v>
      </c>
      <c r="Q1562" s="735">
        <v>3</v>
      </c>
      <c r="R1562" s="2706">
        <v>56812000</v>
      </c>
      <c r="S1562" s="3084" t="s">
        <v>602</v>
      </c>
      <c r="T1562" s="1487">
        <v>8814000</v>
      </c>
      <c r="U1562" s="385">
        <v>3</v>
      </c>
      <c r="V1562" s="1202"/>
      <c r="W1562" s="385"/>
      <c r="X1562" s="384"/>
      <c r="Y1562" s="597">
        <f t="shared" si="519"/>
        <v>9</v>
      </c>
      <c r="Z1562" s="597">
        <f t="shared" ref="Z1562:Z1586" si="524">R1562+T1562+V1562+X1562</f>
        <v>65626000</v>
      </c>
      <c r="AA1562" s="590">
        <f t="shared" si="520"/>
        <v>21</v>
      </c>
      <c r="AB1562" s="386">
        <f t="shared" si="521"/>
        <v>286308041</v>
      </c>
      <c r="AC1562" s="737">
        <f t="shared" si="522"/>
        <v>35</v>
      </c>
      <c r="AD1562" s="737">
        <f t="shared" si="523"/>
        <v>35.23553081657834</v>
      </c>
      <c r="AE1562" s="390"/>
      <c r="AF1562" s="3676"/>
      <c r="AG1562" s="2705"/>
      <c r="AH1562" s="2705"/>
      <c r="AI1562" s="2705"/>
      <c r="AJ1562" s="2705"/>
      <c r="AK1562" s="2705"/>
      <c r="AL1562" s="2705"/>
      <c r="AM1562" s="2705"/>
      <c r="AN1562" s="2705"/>
      <c r="AO1562" s="2705"/>
      <c r="AP1562" s="2705"/>
      <c r="AQ1562" s="2705"/>
      <c r="AR1562" s="2705"/>
      <c r="AS1562" s="2705"/>
      <c r="AT1562" s="2705"/>
      <c r="AU1562" s="2705"/>
      <c r="AV1562" s="2705"/>
      <c r="AW1562" s="2705"/>
      <c r="AX1562" s="2705"/>
      <c r="AY1562" s="2705"/>
      <c r="AZ1562" s="2705"/>
      <c r="BA1562" s="2705"/>
      <c r="BB1562" s="2705"/>
      <c r="BC1562" s="2705"/>
      <c r="BD1562" s="2705"/>
      <c r="BE1562" s="2705"/>
      <c r="BF1562" s="2705"/>
      <c r="BG1562" s="2705"/>
      <c r="BH1562" s="2705"/>
      <c r="BI1562" s="2705"/>
      <c r="BJ1562" s="2705"/>
      <c r="BK1562" s="2705"/>
      <c r="BL1562" s="2705"/>
      <c r="BM1562" s="2705"/>
      <c r="BN1562" s="2705"/>
      <c r="BO1562" s="2705"/>
      <c r="BP1562" s="2705"/>
      <c r="BQ1562" s="2705"/>
      <c r="BR1562" s="2705"/>
      <c r="BS1562" s="2705"/>
      <c r="BT1562" s="2705"/>
      <c r="BU1562" s="2705"/>
      <c r="BV1562" s="2705"/>
      <c r="BW1562" s="2705"/>
      <c r="BX1562" s="2705"/>
    </row>
    <row r="1563" spans="1:76" s="2708" customFormat="1" ht="77.25" customHeight="1">
      <c r="A1563" s="385"/>
      <c r="B1563" s="385"/>
      <c r="C1563" s="3791">
        <v>3</v>
      </c>
      <c r="D1563" s="3792" t="s">
        <v>107</v>
      </c>
      <c r="E1563" s="3792" t="s">
        <v>196</v>
      </c>
      <c r="F1563" s="3792" t="s">
        <v>65</v>
      </c>
      <c r="G1563" s="3792" t="s">
        <v>66</v>
      </c>
      <c r="H1563" s="3791">
        <v>20</v>
      </c>
      <c r="I1563" s="3140" t="s">
        <v>630</v>
      </c>
      <c r="J1563" s="3169" t="s">
        <v>4094</v>
      </c>
      <c r="K1563" s="384">
        <v>60</v>
      </c>
      <c r="L1563" s="745">
        <f>[12]Sheet1!$T$23</f>
        <v>470861300</v>
      </c>
      <c r="M1563" s="385">
        <v>12</v>
      </c>
      <c r="N1563" s="2707">
        <v>112821500</v>
      </c>
      <c r="O1563" s="385">
        <v>12</v>
      </c>
      <c r="P1563" s="707">
        <v>58230000</v>
      </c>
      <c r="Q1563" s="735">
        <v>3</v>
      </c>
      <c r="R1563" s="2706">
        <v>33775000</v>
      </c>
      <c r="S1563" s="3084" t="s">
        <v>602</v>
      </c>
      <c r="T1563" s="1487">
        <v>54204000</v>
      </c>
      <c r="U1563" s="385">
        <v>3</v>
      </c>
      <c r="V1563" s="1202">
        <v>54204800</v>
      </c>
      <c r="W1563" s="385"/>
      <c r="X1563" s="384"/>
      <c r="Y1563" s="2723">
        <f t="shared" si="519"/>
        <v>9</v>
      </c>
      <c r="Z1563" s="597">
        <f t="shared" si="524"/>
        <v>142183800</v>
      </c>
      <c r="AA1563" s="590">
        <f t="shared" si="520"/>
        <v>21</v>
      </c>
      <c r="AB1563" s="386">
        <f t="shared" si="521"/>
        <v>255005300</v>
      </c>
      <c r="AC1563" s="737">
        <f t="shared" si="522"/>
        <v>35</v>
      </c>
      <c r="AD1563" s="737">
        <f t="shared" si="523"/>
        <v>54.157200857237576</v>
      </c>
      <c r="AE1563" s="390"/>
      <c r="AF1563" s="2815"/>
      <c r="AG1563" s="2815"/>
      <c r="AH1563" s="2815"/>
      <c r="AI1563" s="2815"/>
      <c r="AJ1563" s="2815"/>
      <c r="AK1563" s="2815"/>
      <c r="AL1563" s="2815"/>
      <c r="AM1563" s="2815"/>
      <c r="AN1563" s="2815"/>
      <c r="AO1563" s="2815"/>
      <c r="AP1563" s="2815"/>
      <c r="AQ1563" s="2815"/>
      <c r="AR1563" s="2815"/>
      <c r="AS1563" s="2815"/>
      <c r="AT1563" s="2815"/>
      <c r="AU1563" s="2815"/>
      <c r="AV1563" s="2815"/>
      <c r="AW1563" s="2815"/>
      <c r="AX1563" s="2815"/>
      <c r="AY1563" s="2815"/>
      <c r="AZ1563" s="2815"/>
      <c r="BA1563" s="2815"/>
      <c r="BB1563" s="2815"/>
      <c r="BC1563" s="2815"/>
      <c r="BD1563" s="2815"/>
      <c r="BE1563" s="2815"/>
      <c r="BF1563" s="2815"/>
      <c r="BG1563" s="2815"/>
      <c r="BH1563" s="2815"/>
      <c r="BI1563" s="2815"/>
      <c r="BJ1563" s="2815"/>
      <c r="BK1563" s="2815"/>
      <c r="BL1563" s="2815"/>
      <c r="BM1563" s="2815"/>
      <c r="BN1563" s="2815"/>
      <c r="BO1563" s="2815"/>
      <c r="BP1563" s="2815"/>
      <c r="BQ1563" s="2815"/>
      <c r="BR1563" s="2815"/>
      <c r="BS1563" s="2815"/>
      <c r="BT1563" s="2815"/>
      <c r="BU1563" s="2815"/>
      <c r="BV1563" s="2815"/>
      <c r="BW1563" s="2815"/>
      <c r="BX1563" s="2815"/>
    </row>
    <row r="1564" spans="1:76" s="2324" customFormat="1" ht="90.75" customHeight="1">
      <c r="A1564" s="385"/>
      <c r="B1564" s="385"/>
      <c r="C1564" s="3791">
        <v>3</v>
      </c>
      <c r="D1564" s="3792" t="s">
        <v>107</v>
      </c>
      <c r="E1564" s="3792" t="s">
        <v>196</v>
      </c>
      <c r="F1564" s="3792" t="s">
        <v>65</v>
      </c>
      <c r="G1564" s="3792" t="s">
        <v>66</v>
      </c>
      <c r="H1564" s="3791">
        <v>22</v>
      </c>
      <c r="I1564" s="3140" t="s">
        <v>974</v>
      </c>
      <c r="J1564" s="3169" t="s">
        <v>4095</v>
      </c>
      <c r="K1564" s="384">
        <v>60</v>
      </c>
      <c r="L1564" s="745">
        <f>[12]Sheet1!$T$24</f>
        <v>169465771.46000001</v>
      </c>
      <c r="M1564" s="385">
        <v>12</v>
      </c>
      <c r="N1564" s="2707">
        <v>45903200</v>
      </c>
      <c r="O1564" s="385">
        <v>12</v>
      </c>
      <c r="P1564" s="707">
        <v>24648660</v>
      </c>
      <c r="Q1564" s="735">
        <v>3</v>
      </c>
      <c r="R1564" s="2706">
        <v>0</v>
      </c>
      <c r="S1564" s="3084" t="s">
        <v>602</v>
      </c>
      <c r="T1564" s="3085">
        <v>5368000</v>
      </c>
      <c r="U1564" s="385">
        <v>3</v>
      </c>
      <c r="V1564" s="1202">
        <v>15125158</v>
      </c>
      <c r="W1564" s="385"/>
      <c r="X1564" s="384"/>
      <c r="Y1564" s="2723">
        <f t="shared" si="519"/>
        <v>9</v>
      </c>
      <c r="Z1564" s="597">
        <f>T1564</f>
        <v>5368000</v>
      </c>
      <c r="AA1564" s="590">
        <f t="shared" si="520"/>
        <v>21</v>
      </c>
      <c r="AB1564" s="386">
        <f t="shared" si="521"/>
        <v>51271200</v>
      </c>
      <c r="AC1564" s="737">
        <f t="shared" si="522"/>
        <v>35</v>
      </c>
      <c r="AD1564" s="737">
        <f t="shared" si="523"/>
        <v>30.254605138419848</v>
      </c>
      <c r="AE1564" s="390"/>
      <c r="AF1564" s="2705"/>
      <c r="AG1564" s="2705"/>
      <c r="AH1564" s="2705"/>
      <c r="AI1564" s="2705"/>
      <c r="AJ1564" s="2705"/>
      <c r="AK1564" s="2705"/>
      <c r="AL1564" s="2705"/>
      <c r="AM1564" s="2705"/>
      <c r="AN1564" s="2705"/>
      <c r="AO1564" s="2705"/>
      <c r="AP1564" s="2705"/>
      <c r="AQ1564" s="2705"/>
      <c r="AR1564" s="2705"/>
      <c r="AS1564" s="2705"/>
      <c r="AT1564" s="2705"/>
      <c r="AU1564" s="2705"/>
      <c r="AV1564" s="2705"/>
      <c r="AW1564" s="2705"/>
      <c r="AX1564" s="2705"/>
      <c r="AY1564" s="2705"/>
      <c r="AZ1564" s="2705"/>
      <c r="BA1564" s="2705"/>
      <c r="BB1564" s="2705"/>
      <c r="BC1564" s="2705"/>
      <c r="BD1564" s="2705"/>
      <c r="BE1564" s="2705"/>
      <c r="BF1564" s="2705"/>
      <c r="BG1564" s="2705"/>
      <c r="BH1564" s="2705"/>
      <c r="BI1564" s="2705"/>
      <c r="BJ1564" s="2705"/>
      <c r="BK1564" s="2705"/>
      <c r="BL1564" s="2705"/>
      <c r="BM1564" s="2705"/>
      <c r="BN1564" s="2705"/>
      <c r="BO1564" s="2705"/>
      <c r="BP1564" s="2705"/>
      <c r="BQ1564" s="2705"/>
      <c r="BR1564" s="2705"/>
      <c r="BS1564" s="2705"/>
      <c r="BT1564" s="2705"/>
      <c r="BU1564" s="2705"/>
      <c r="BV1564" s="2705"/>
      <c r="BW1564" s="2705"/>
      <c r="BX1564" s="2705"/>
    </row>
    <row r="1565" spans="1:76" s="2324" customFormat="1" ht="82.5" customHeight="1">
      <c r="A1565" s="2570">
        <v>2</v>
      </c>
      <c r="B1565" s="3156"/>
      <c r="C1565" s="3796">
        <v>3</v>
      </c>
      <c r="D1565" s="2567" t="s">
        <v>107</v>
      </c>
      <c r="E1565" s="2567" t="s">
        <v>196</v>
      </c>
      <c r="F1565" s="2567" t="s">
        <v>65</v>
      </c>
      <c r="G1565" s="2567" t="s">
        <v>65</v>
      </c>
      <c r="H1565" s="3796"/>
      <c r="I1565" s="2335" t="s">
        <v>257</v>
      </c>
      <c r="J1565" s="2501" t="s">
        <v>916</v>
      </c>
      <c r="K1565" s="2667">
        <v>100</v>
      </c>
      <c r="L1565" s="2667">
        <f>SUM(L1566:L1569)</f>
        <v>1092138300</v>
      </c>
      <c r="M1565" s="2667">
        <f>N1565/L1565*100</f>
        <v>5.4938097125611289</v>
      </c>
      <c r="N1565" s="2667">
        <f>SUM(N1566:N1569)</f>
        <v>60000000</v>
      </c>
      <c r="O1565" s="2667">
        <f>P1565/L1565*100</f>
        <v>34.791839092173582</v>
      </c>
      <c r="P1565" s="2677">
        <f>SUM(P1566:P1569)</f>
        <v>379975000</v>
      </c>
      <c r="Q1565" s="2667">
        <f t="shared" ref="Q1565:Q1571" si="525">R1565/P1565*100</f>
        <v>2.1751431015198368</v>
      </c>
      <c r="R1565" s="2587">
        <f>SUM(R1566:R1569)</f>
        <v>8265000</v>
      </c>
      <c r="S1565" s="2667"/>
      <c r="T1565" s="2569">
        <f>SUM(T1567)</f>
        <v>19900000</v>
      </c>
      <c r="U1565" s="2667"/>
      <c r="V1565" s="2569">
        <f>SUM(V1566:V1569)</f>
        <v>291406015</v>
      </c>
      <c r="W1565" s="2667"/>
      <c r="X1565" s="2570"/>
      <c r="Y1565" s="2667">
        <f t="shared" si="519"/>
        <v>2.1751431015198368</v>
      </c>
      <c r="Z1565" s="2569">
        <f>SUM(Z1566:Z1569)</f>
        <v>319571015</v>
      </c>
      <c r="AA1565" s="2667">
        <f t="shared" ref="AA1565:AA1571" si="526">+Y1565+M1565</f>
        <v>7.6689528140809653</v>
      </c>
      <c r="AB1565" s="2594">
        <f t="shared" ref="AB1565:AB1571" si="527">+N1565+Z1565</f>
        <v>379571015</v>
      </c>
      <c r="AC1565" s="2719">
        <f t="shared" ref="AC1565:AD1571" si="528">(AA1565/K1565)*100</f>
        <v>7.6689528140809653</v>
      </c>
      <c r="AD1565" s="2719">
        <f t="shared" si="528"/>
        <v>34.754848813561438</v>
      </c>
      <c r="AE1565" s="3138" t="s">
        <v>913</v>
      </c>
      <c r="AF1565" s="2705"/>
      <c r="AG1565" s="2705"/>
      <c r="AH1565" s="2705"/>
      <c r="AI1565" s="2705"/>
      <c r="AJ1565" s="2705"/>
      <c r="AK1565" s="2705"/>
      <c r="AL1565" s="2705"/>
      <c r="AM1565" s="2705"/>
      <c r="AN1565" s="2705"/>
      <c r="AO1565" s="2705"/>
      <c r="AP1565" s="2705"/>
      <c r="AQ1565" s="2705"/>
      <c r="AR1565" s="2705"/>
      <c r="AS1565" s="2705"/>
      <c r="AT1565" s="2705"/>
      <c r="AU1565" s="2705"/>
      <c r="AV1565" s="2705"/>
      <c r="AW1565" s="2705"/>
      <c r="AX1565" s="2705"/>
      <c r="AY1565" s="2705"/>
      <c r="AZ1565" s="2705"/>
      <c r="BA1565" s="2705"/>
      <c r="BB1565" s="2705"/>
      <c r="BC1565" s="2705"/>
      <c r="BD1565" s="2705"/>
      <c r="BE1565" s="2705"/>
      <c r="BF1565" s="2705"/>
      <c r="BG1565" s="2705"/>
      <c r="BH1565" s="2705"/>
      <c r="BI1565" s="2705"/>
      <c r="BJ1565" s="2705"/>
      <c r="BK1565" s="2705"/>
      <c r="BL1565" s="2705"/>
      <c r="BM1565" s="2705"/>
      <c r="BN1565" s="2705"/>
      <c r="BO1565" s="2705"/>
      <c r="BP1565" s="2705"/>
      <c r="BQ1565" s="2705"/>
      <c r="BR1565" s="2705"/>
      <c r="BS1565" s="2705"/>
      <c r="BT1565" s="2705"/>
      <c r="BU1565" s="2705"/>
      <c r="BV1565" s="2705"/>
      <c r="BW1565" s="2705"/>
      <c r="BX1565" s="2705"/>
    </row>
    <row r="1566" spans="1:76" s="2324" customFormat="1" ht="51.75" customHeight="1">
      <c r="A1566" s="385"/>
      <c r="B1566" s="385"/>
      <c r="C1566" s="3791">
        <v>3</v>
      </c>
      <c r="D1566" s="3792" t="s">
        <v>107</v>
      </c>
      <c r="E1566" s="3792" t="s">
        <v>196</v>
      </c>
      <c r="F1566" s="3792" t="s">
        <v>65</v>
      </c>
      <c r="G1566" s="3792" t="s">
        <v>65</v>
      </c>
      <c r="H1566" s="3792" t="s">
        <v>201</v>
      </c>
      <c r="I1566" s="384" t="s">
        <v>454</v>
      </c>
      <c r="J1566" s="384" t="s">
        <v>937</v>
      </c>
      <c r="K1566" s="384">
        <v>100</v>
      </c>
      <c r="L1566" s="745">
        <v>505403300</v>
      </c>
      <c r="M1566" s="742">
        <f>N1566/L1566*100</f>
        <v>11.871707208876554</v>
      </c>
      <c r="N1566" s="745">
        <v>60000000</v>
      </c>
      <c r="O1566" s="742">
        <f>P1566/L1566*100</f>
        <v>39.572357362921849</v>
      </c>
      <c r="P1566" s="707">
        <v>200000000</v>
      </c>
      <c r="Q1566" s="1202">
        <f t="shared" si="525"/>
        <v>0.6</v>
      </c>
      <c r="R1566" s="2706">
        <f>1200000</f>
        <v>1200000</v>
      </c>
      <c r="S1566" s="384"/>
      <c r="T1566" s="384"/>
      <c r="U1566" s="384">
        <v>9</v>
      </c>
      <c r="V1566" s="1202">
        <v>180184520</v>
      </c>
      <c r="W1566" s="384"/>
      <c r="X1566" s="384"/>
      <c r="Y1566" s="384">
        <f t="shared" si="519"/>
        <v>9.6</v>
      </c>
      <c r="Z1566" s="386">
        <f t="shared" si="524"/>
        <v>181384520</v>
      </c>
      <c r="AA1566" s="1207">
        <f t="shared" si="526"/>
        <v>21.471707208876552</v>
      </c>
      <c r="AB1566" s="386">
        <f t="shared" si="527"/>
        <v>241384520</v>
      </c>
      <c r="AC1566" s="389">
        <f t="shared" si="528"/>
        <v>21.471707208876552</v>
      </c>
      <c r="AD1566" s="737">
        <f t="shared" si="528"/>
        <v>47.760772436586777</v>
      </c>
      <c r="AE1566" s="390"/>
      <c r="AF1566" s="2705"/>
      <c r="AG1566" s="2705"/>
      <c r="AH1566" s="2705"/>
      <c r="AI1566" s="2705"/>
      <c r="AJ1566" s="2705"/>
      <c r="AK1566" s="2705"/>
      <c r="AL1566" s="2705"/>
      <c r="AM1566" s="2705"/>
      <c r="AN1566" s="2705"/>
      <c r="AO1566" s="2705"/>
      <c r="AP1566" s="2705"/>
      <c r="AQ1566" s="2705"/>
      <c r="AR1566" s="2705"/>
      <c r="AS1566" s="2705"/>
      <c r="AT1566" s="2705"/>
      <c r="AU1566" s="2705"/>
      <c r="AV1566" s="2705"/>
      <c r="AW1566" s="2705"/>
      <c r="AX1566" s="2705"/>
      <c r="AY1566" s="2705"/>
      <c r="AZ1566" s="2705"/>
      <c r="BA1566" s="2705"/>
      <c r="BB1566" s="2705"/>
      <c r="BC1566" s="2705"/>
      <c r="BD1566" s="2705"/>
      <c r="BE1566" s="2705"/>
      <c r="BF1566" s="2705"/>
      <c r="BG1566" s="2705"/>
      <c r="BH1566" s="2705"/>
      <c r="BI1566" s="2705"/>
      <c r="BJ1566" s="2705"/>
      <c r="BK1566" s="2705"/>
      <c r="BL1566" s="2705"/>
      <c r="BM1566" s="2705"/>
      <c r="BN1566" s="2705"/>
      <c r="BO1566" s="2705"/>
      <c r="BP1566" s="2705"/>
      <c r="BQ1566" s="2705"/>
      <c r="BR1566" s="2705"/>
      <c r="BS1566" s="2705"/>
      <c r="BT1566" s="2705"/>
      <c r="BU1566" s="2705"/>
      <c r="BV1566" s="2705"/>
      <c r="BW1566" s="2705"/>
      <c r="BX1566" s="2705"/>
    </row>
    <row r="1567" spans="1:76" s="2324" customFormat="1" ht="58.5" customHeight="1">
      <c r="A1567" s="385"/>
      <c r="B1567" s="385"/>
      <c r="C1567" s="3791">
        <v>3</v>
      </c>
      <c r="D1567" s="3792" t="s">
        <v>107</v>
      </c>
      <c r="E1567" s="3792" t="s">
        <v>196</v>
      </c>
      <c r="F1567" s="3792" t="s">
        <v>65</v>
      </c>
      <c r="G1567" s="3792" t="s">
        <v>65</v>
      </c>
      <c r="H1567" s="3791">
        <v>22</v>
      </c>
      <c r="I1567" s="384" t="s">
        <v>258</v>
      </c>
      <c r="J1567" s="384" t="s">
        <v>940</v>
      </c>
      <c r="K1567" s="384">
        <v>6</v>
      </c>
      <c r="L1567" s="745">
        <v>191331000</v>
      </c>
      <c r="M1567" s="742">
        <v>2</v>
      </c>
      <c r="N1567" s="745"/>
      <c r="O1567" s="742">
        <v>1</v>
      </c>
      <c r="P1567" s="707">
        <v>20000000</v>
      </c>
      <c r="Q1567" s="1202">
        <v>0</v>
      </c>
      <c r="R1567" s="2706">
        <v>0</v>
      </c>
      <c r="S1567" s="421" t="s">
        <v>154</v>
      </c>
      <c r="T1567" s="590">
        <v>19900000</v>
      </c>
      <c r="U1567" s="384"/>
      <c r="V1567" s="1202">
        <v>19900000</v>
      </c>
      <c r="W1567" s="384"/>
      <c r="X1567" s="384"/>
      <c r="Y1567" s="1207">
        <v>0</v>
      </c>
      <c r="Z1567" s="386">
        <f t="shared" si="524"/>
        <v>39800000</v>
      </c>
      <c r="AA1567" s="1207">
        <f t="shared" si="526"/>
        <v>2</v>
      </c>
      <c r="AB1567" s="386">
        <f t="shared" si="527"/>
        <v>39800000</v>
      </c>
      <c r="AC1567" s="389">
        <f t="shared" si="528"/>
        <v>33.333333333333329</v>
      </c>
      <c r="AD1567" s="737">
        <f t="shared" si="528"/>
        <v>20.801647406849909</v>
      </c>
      <c r="AE1567" s="390"/>
      <c r="AF1567" s="2705"/>
      <c r="AG1567" s="2705"/>
      <c r="AH1567" s="2705"/>
      <c r="AI1567" s="2705"/>
      <c r="AJ1567" s="2705"/>
      <c r="AK1567" s="2705"/>
      <c r="AL1567" s="2705"/>
      <c r="AM1567" s="2705"/>
      <c r="AN1567" s="2705"/>
      <c r="AO1567" s="2705"/>
      <c r="AP1567" s="2705"/>
      <c r="AQ1567" s="2705"/>
      <c r="AR1567" s="2705"/>
      <c r="AS1567" s="2705"/>
      <c r="AT1567" s="2705"/>
      <c r="AU1567" s="2705"/>
      <c r="AV1567" s="2705"/>
      <c r="AW1567" s="2705"/>
      <c r="AX1567" s="2705"/>
      <c r="AY1567" s="2705"/>
      <c r="AZ1567" s="2705"/>
      <c r="BA1567" s="2705"/>
      <c r="BB1567" s="2705"/>
      <c r="BC1567" s="2705"/>
      <c r="BD1567" s="2705"/>
      <c r="BE1567" s="2705"/>
      <c r="BF1567" s="2705"/>
      <c r="BG1567" s="2705"/>
      <c r="BH1567" s="2705"/>
      <c r="BI1567" s="2705"/>
      <c r="BJ1567" s="2705"/>
      <c r="BK1567" s="2705"/>
      <c r="BL1567" s="2705"/>
      <c r="BM1567" s="2705"/>
      <c r="BN1567" s="2705"/>
      <c r="BO1567" s="2705"/>
      <c r="BP1567" s="2705"/>
      <c r="BQ1567" s="2705"/>
      <c r="BR1567" s="2705"/>
      <c r="BS1567" s="2705"/>
      <c r="BT1567" s="2705"/>
      <c r="BU1567" s="2705"/>
      <c r="BV1567" s="2705"/>
      <c r="BW1567" s="2705"/>
      <c r="BX1567" s="2705"/>
    </row>
    <row r="1568" spans="1:76" s="2324" customFormat="1" ht="57" customHeight="1">
      <c r="A1568" s="385"/>
      <c r="B1568" s="385"/>
      <c r="C1568" s="3791">
        <v>3</v>
      </c>
      <c r="D1568" s="3792" t="s">
        <v>107</v>
      </c>
      <c r="E1568" s="3792" t="s">
        <v>196</v>
      </c>
      <c r="F1568" s="3792" t="s">
        <v>65</v>
      </c>
      <c r="G1568" s="3792" t="s">
        <v>65</v>
      </c>
      <c r="H1568" s="3791">
        <v>24</v>
      </c>
      <c r="I1568" s="384" t="s">
        <v>3625</v>
      </c>
      <c r="J1568" s="384" t="s">
        <v>942</v>
      </c>
      <c r="K1568" s="384">
        <v>72</v>
      </c>
      <c r="L1568" s="745">
        <v>120404000</v>
      </c>
      <c r="M1568" s="742">
        <v>24</v>
      </c>
      <c r="N1568" s="745"/>
      <c r="O1568" s="742">
        <v>12</v>
      </c>
      <c r="P1568" s="707">
        <v>104975000</v>
      </c>
      <c r="Q1568" s="1202"/>
      <c r="R1568" s="2706"/>
      <c r="S1568" s="384"/>
      <c r="T1568" s="590"/>
      <c r="U1568" s="384"/>
      <c r="V1568" s="1202">
        <v>76316495</v>
      </c>
      <c r="W1568" s="384"/>
      <c r="X1568" s="384"/>
      <c r="Y1568" s="1207">
        <f t="shared" si="519"/>
        <v>0</v>
      </c>
      <c r="Z1568" s="386">
        <f t="shared" si="524"/>
        <v>76316495</v>
      </c>
      <c r="AA1568" s="1207">
        <f t="shared" si="526"/>
        <v>24</v>
      </c>
      <c r="AB1568" s="386">
        <f t="shared" si="527"/>
        <v>76316495</v>
      </c>
      <c r="AC1568" s="389">
        <f t="shared" si="528"/>
        <v>33.333333333333329</v>
      </c>
      <c r="AD1568" s="737">
        <f t="shared" si="528"/>
        <v>63.383687419022628</v>
      </c>
      <c r="AE1568" s="390"/>
      <c r="AF1568" s="2705"/>
      <c r="AG1568" s="2705"/>
      <c r="AH1568" s="2705"/>
      <c r="AI1568" s="2705"/>
      <c r="AJ1568" s="2705"/>
      <c r="AK1568" s="2705"/>
      <c r="AL1568" s="2705"/>
      <c r="AM1568" s="2705"/>
      <c r="AN1568" s="2705"/>
      <c r="AO1568" s="2705"/>
      <c r="AP1568" s="2705"/>
      <c r="AQ1568" s="2705"/>
      <c r="AR1568" s="2705"/>
      <c r="AS1568" s="2705"/>
      <c r="AT1568" s="2705"/>
      <c r="AU1568" s="2705"/>
      <c r="AV1568" s="2705"/>
      <c r="AW1568" s="2705"/>
      <c r="AX1568" s="2705"/>
      <c r="AY1568" s="2705"/>
      <c r="AZ1568" s="2705"/>
      <c r="BA1568" s="2705"/>
      <c r="BB1568" s="2705"/>
      <c r="BC1568" s="2705"/>
      <c r="BD1568" s="2705"/>
      <c r="BE1568" s="2705"/>
      <c r="BF1568" s="2705"/>
      <c r="BG1568" s="2705"/>
      <c r="BH1568" s="2705"/>
      <c r="BI1568" s="2705"/>
      <c r="BJ1568" s="2705"/>
      <c r="BK1568" s="2705"/>
      <c r="BL1568" s="2705"/>
      <c r="BM1568" s="2705"/>
      <c r="BN1568" s="2705"/>
      <c r="BO1568" s="2705"/>
      <c r="BP1568" s="2705"/>
      <c r="BQ1568" s="2705"/>
      <c r="BR1568" s="2705"/>
      <c r="BS1568" s="2705"/>
      <c r="BT1568" s="2705"/>
      <c r="BU1568" s="2705"/>
      <c r="BV1568" s="2705"/>
      <c r="BW1568" s="2705"/>
      <c r="BX1568" s="2705"/>
    </row>
    <row r="1569" spans="1:76" s="2324" customFormat="1" ht="50.25" customHeight="1">
      <c r="A1569" s="385"/>
      <c r="B1569" s="385"/>
      <c r="C1569" s="3791">
        <v>3</v>
      </c>
      <c r="D1569" s="3792" t="s">
        <v>107</v>
      </c>
      <c r="E1569" s="3792" t="s">
        <v>196</v>
      </c>
      <c r="F1569" s="3792" t="s">
        <v>65</v>
      </c>
      <c r="G1569" s="3792" t="s">
        <v>65</v>
      </c>
      <c r="H1569" s="3791">
        <v>130</v>
      </c>
      <c r="I1569" s="384" t="s">
        <v>943</v>
      </c>
      <c r="J1569" s="384" t="s">
        <v>944</v>
      </c>
      <c r="K1569" s="384">
        <v>100</v>
      </c>
      <c r="L1569" s="745">
        <v>275000000</v>
      </c>
      <c r="M1569" s="742">
        <f>N1569/L1569*100</f>
        <v>0</v>
      </c>
      <c r="N1569" s="745">
        <v>0</v>
      </c>
      <c r="O1569" s="742">
        <f>P1569/L1569*100</f>
        <v>20</v>
      </c>
      <c r="P1569" s="707">
        <v>55000000</v>
      </c>
      <c r="Q1569" s="1202">
        <v>0</v>
      </c>
      <c r="R1569" s="2706">
        <v>7065000</v>
      </c>
      <c r="S1569" s="384"/>
      <c r="T1569" s="384"/>
      <c r="U1569" s="384"/>
      <c r="V1569" s="1202">
        <v>15005000</v>
      </c>
      <c r="W1569" s="384"/>
      <c r="X1569" s="384"/>
      <c r="Y1569" s="1207">
        <f t="shared" si="519"/>
        <v>0</v>
      </c>
      <c r="Z1569" s="386">
        <f t="shared" si="524"/>
        <v>22070000</v>
      </c>
      <c r="AA1569" s="1207">
        <f t="shared" si="526"/>
        <v>0</v>
      </c>
      <c r="AB1569" s="386">
        <f t="shared" si="527"/>
        <v>22070000</v>
      </c>
      <c r="AC1569" s="389">
        <f t="shared" si="528"/>
        <v>0</v>
      </c>
      <c r="AD1569" s="737">
        <f t="shared" si="528"/>
        <v>8.0254545454545454</v>
      </c>
      <c r="AE1569" s="390"/>
      <c r="AF1569" s="2705"/>
      <c r="AG1569" s="2705"/>
      <c r="AH1569" s="2705"/>
      <c r="AI1569" s="2705"/>
      <c r="AJ1569" s="2705"/>
      <c r="AK1569" s="2705"/>
      <c r="AL1569" s="2705"/>
      <c r="AM1569" s="2705"/>
      <c r="AN1569" s="2705"/>
      <c r="AO1569" s="2705"/>
      <c r="AP1569" s="2705"/>
      <c r="AQ1569" s="2705"/>
      <c r="AR1569" s="2705"/>
      <c r="AS1569" s="2705"/>
      <c r="AT1569" s="2705"/>
      <c r="AU1569" s="2705"/>
      <c r="AV1569" s="2705"/>
      <c r="AW1569" s="2705"/>
      <c r="AX1569" s="2705"/>
      <c r="AY1569" s="2705"/>
      <c r="AZ1569" s="2705"/>
      <c r="BA1569" s="2705"/>
      <c r="BB1569" s="2705"/>
      <c r="BC1569" s="2705"/>
      <c r="BD1569" s="2705"/>
      <c r="BE1569" s="2705"/>
      <c r="BF1569" s="2705"/>
      <c r="BG1569" s="2705"/>
      <c r="BH1569" s="2705"/>
      <c r="BI1569" s="2705"/>
      <c r="BJ1569" s="2705"/>
      <c r="BK1569" s="2705"/>
      <c r="BL1569" s="2705"/>
      <c r="BM1569" s="2705"/>
      <c r="BN1569" s="2705"/>
      <c r="BO1569" s="2705"/>
      <c r="BP1569" s="2705"/>
      <c r="BQ1569" s="2705"/>
      <c r="BR1569" s="2705"/>
      <c r="BS1569" s="2705"/>
      <c r="BT1569" s="2705"/>
      <c r="BU1569" s="2705"/>
      <c r="BV1569" s="2705"/>
      <c r="BW1569" s="2705"/>
      <c r="BX1569" s="2705"/>
    </row>
    <row r="1570" spans="1:76" s="2324" customFormat="1" ht="45" customHeight="1">
      <c r="A1570" s="2570">
        <v>3</v>
      </c>
      <c r="B1570" s="3156"/>
      <c r="C1570" s="3796">
        <v>3</v>
      </c>
      <c r="D1570" s="2567" t="s">
        <v>107</v>
      </c>
      <c r="E1570" s="2567" t="s">
        <v>196</v>
      </c>
      <c r="F1570" s="2567" t="s">
        <v>65</v>
      </c>
      <c r="G1570" s="3796">
        <v>15</v>
      </c>
      <c r="H1570" s="3796"/>
      <c r="I1570" s="2335" t="s">
        <v>985</v>
      </c>
      <c r="J1570" s="2501" t="s">
        <v>947</v>
      </c>
      <c r="K1570" s="2335">
        <v>100</v>
      </c>
      <c r="L1570" s="2667">
        <f>SUM(L1571)</f>
        <v>256245000</v>
      </c>
      <c r="M1570" s="2667">
        <f>N1570/L1570*100</f>
        <v>0</v>
      </c>
      <c r="N1570" s="2663">
        <f>SUM(N1571)</f>
        <v>0</v>
      </c>
      <c r="O1570" s="2667">
        <f>P1570/L1570*100</f>
        <v>17.561318269624774</v>
      </c>
      <c r="P1570" s="2667">
        <f>SUM(P1571)</f>
        <v>45000000</v>
      </c>
      <c r="Q1570" s="2445">
        <f t="shared" si="525"/>
        <v>0</v>
      </c>
      <c r="R1570" s="2677">
        <f>SUM(R1571)</f>
        <v>0</v>
      </c>
      <c r="S1570" s="2667"/>
      <c r="T1570" s="2594">
        <f>T1571</f>
        <v>28322000</v>
      </c>
      <c r="U1570" s="2667"/>
      <c r="V1570" s="2571">
        <f>SUM(V1571)</f>
        <v>29372390</v>
      </c>
      <c r="W1570" s="2667"/>
      <c r="X1570" s="2570"/>
      <c r="Y1570" s="2721">
        <f t="shared" si="519"/>
        <v>0</v>
      </c>
      <c r="Z1570" s="2569">
        <f t="shared" si="524"/>
        <v>57694390</v>
      </c>
      <c r="AA1570" s="2722">
        <f t="shared" si="526"/>
        <v>0</v>
      </c>
      <c r="AB1570" s="2594">
        <f t="shared" si="527"/>
        <v>57694390</v>
      </c>
      <c r="AC1570" s="2719">
        <f t="shared" si="528"/>
        <v>0</v>
      </c>
      <c r="AD1570" s="2719">
        <f t="shared" si="528"/>
        <v>22.515323225819039</v>
      </c>
      <c r="AE1570" s="3138" t="s">
        <v>913</v>
      </c>
      <c r="AF1570" s="2705"/>
      <c r="AG1570" s="2705"/>
      <c r="AH1570" s="2705"/>
      <c r="AI1570" s="2705"/>
      <c r="AJ1570" s="2705"/>
      <c r="AK1570" s="2705"/>
      <c r="AL1570" s="2705"/>
      <c r="AM1570" s="2705"/>
      <c r="AN1570" s="2705"/>
      <c r="AO1570" s="2705"/>
      <c r="AP1570" s="2705"/>
      <c r="AQ1570" s="2705"/>
      <c r="AR1570" s="2705"/>
      <c r="AS1570" s="2705"/>
      <c r="AT1570" s="2705"/>
      <c r="AU1570" s="2705"/>
      <c r="AV1570" s="2705"/>
      <c r="AW1570" s="2705"/>
      <c r="AX1570" s="2705"/>
      <c r="AY1570" s="2705"/>
      <c r="AZ1570" s="2705"/>
      <c r="BA1570" s="2705"/>
      <c r="BB1570" s="2705"/>
      <c r="BC1570" s="2705"/>
      <c r="BD1570" s="2705"/>
      <c r="BE1570" s="2705"/>
      <c r="BF1570" s="2705"/>
      <c r="BG1570" s="2705"/>
      <c r="BH1570" s="2705"/>
      <c r="BI1570" s="2705"/>
      <c r="BJ1570" s="2705"/>
      <c r="BK1570" s="2705"/>
      <c r="BL1570" s="2705"/>
      <c r="BM1570" s="2705"/>
      <c r="BN1570" s="2705"/>
      <c r="BO1570" s="2705"/>
      <c r="BP1570" s="2705"/>
      <c r="BQ1570" s="2705"/>
      <c r="BR1570" s="2705"/>
      <c r="BS1570" s="2705"/>
      <c r="BT1570" s="2705"/>
      <c r="BU1570" s="2705"/>
      <c r="BV1570" s="2705"/>
      <c r="BW1570" s="2705"/>
      <c r="BX1570" s="2705"/>
    </row>
    <row r="1571" spans="1:76" s="2324" customFormat="1" ht="48" customHeight="1">
      <c r="A1571" s="385"/>
      <c r="B1571" s="3140"/>
      <c r="C1571" s="3791">
        <v>3</v>
      </c>
      <c r="D1571" s="3792" t="s">
        <v>107</v>
      </c>
      <c r="E1571" s="3792" t="s">
        <v>196</v>
      </c>
      <c r="F1571" s="3792" t="s">
        <v>65</v>
      </c>
      <c r="G1571" s="3791">
        <v>15</v>
      </c>
      <c r="H1571" s="3791">
        <v>11</v>
      </c>
      <c r="I1571" s="384" t="s">
        <v>948</v>
      </c>
      <c r="J1571" s="3169" t="s">
        <v>4096</v>
      </c>
      <c r="K1571" s="384">
        <v>100</v>
      </c>
      <c r="L1571" s="745">
        <f>[12]Sheet1!$T$45</f>
        <v>256245000</v>
      </c>
      <c r="M1571" s="742">
        <f>N1571/L1571*100</f>
        <v>0</v>
      </c>
      <c r="N1571" s="738">
        <v>0</v>
      </c>
      <c r="O1571" s="742">
        <f>P1571/L1571*100</f>
        <v>17.561318269624774</v>
      </c>
      <c r="P1571" s="707">
        <v>45000000</v>
      </c>
      <c r="Q1571" s="2268">
        <f t="shared" si="525"/>
        <v>0</v>
      </c>
      <c r="R1571" s="707"/>
      <c r="S1571" s="2850"/>
      <c r="T1571" s="590">
        <v>28322000</v>
      </c>
      <c r="U1571" s="384"/>
      <c r="V1571" s="1202">
        <v>29372390</v>
      </c>
      <c r="W1571" s="384"/>
      <c r="X1571" s="384"/>
      <c r="Y1571" s="1207">
        <f t="shared" si="519"/>
        <v>0</v>
      </c>
      <c r="Z1571" s="590">
        <f t="shared" si="524"/>
        <v>57694390</v>
      </c>
      <c r="AA1571" s="1207">
        <f t="shared" si="526"/>
        <v>0</v>
      </c>
      <c r="AB1571" s="386">
        <f t="shared" si="527"/>
        <v>57694390</v>
      </c>
      <c r="AC1571" s="737">
        <f t="shared" si="528"/>
        <v>0</v>
      </c>
      <c r="AD1571" s="737">
        <f t="shared" si="528"/>
        <v>22.515323225819039</v>
      </c>
      <c r="AE1571" s="390"/>
      <c r="AF1571" s="2705"/>
      <c r="AG1571" s="2705"/>
      <c r="AH1571" s="2705"/>
      <c r="AI1571" s="2705"/>
      <c r="AJ1571" s="2705"/>
      <c r="AK1571" s="2705"/>
      <c r="AL1571" s="2705"/>
      <c r="AM1571" s="2705"/>
      <c r="AN1571" s="2705"/>
      <c r="AO1571" s="2705"/>
      <c r="AP1571" s="2705"/>
      <c r="AQ1571" s="2705"/>
      <c r="AR1571" s="2705"/>
      <c r="AS1571" s="2705"/>
      <c r="AT1571" s="2705"/>
      <c r="AU1571" s="2705"/>
      <c r="AV1571" s="2705"/>
      <c r="AW1571" s="2705"/>
      <c r="AX1571" s="2705"/>
      <c r="AY1571" s="2705"/>
      <c r="AZ1571" s="2705"/>
      <c r="BA1571" s="2705"/>
      <c r="BB1571" s="2705"/>
      <c r="BC1571" s="2705"/>
      <c r="BD1571" s="2705"/>
      <c r="BE1571" s="2705"/>
      <c r="BF1571" s="2705"/>
      <c r="BG1571" s="2705"/>
      <c r="BH1571" s="2705"/>
      <c r="BI1571" s="2705"/>
      <c r="BJ1571" s="2705"/>
      <c r="BK1571" s="2705"/>
      <c r="BL1571" s="2705"/>
      <c r="BM1571" s="2705"/>
      <c r="BN1571" s="2705"/>
      <c r="BO1571" s="2705"/>
      <c r="BP1571" s="2705"/>
      <c r="BQ1571" s="2705"/>
      <c r="BR1571" s="2705"/>
      <c r="BS1571" s="2705"/>
      <c r="BT1571" s="2705"/>
      <c r="BU1571" s="2705"/>
      <c r="BV1571" s="2705"/>
      <c r="BW1571" s="2705"/>
      <c r="BX1571" s="2705"/>
    </row>
    <row r="1572" spans="1:76" ht="74.25" customHeight="1">
      <c r="A1572" s="2570">
        <v>4</v>
      </c>
      <c r="B1572" s="2345"/>
      <c r="C1572" s="3796">
        <v>3</v>
      </c>
      <c r="D1572" s="2567" t="s">
        <v>107</v>
      </c>
      <c r="E1572" s="2567" t="s">
        <v>196</v>
      </c>
      <c r="F1572" s="2567" t="s">
        <v>65</v>
      </c>
      <c r="G1572" s="3796">
        <v>17</v>
      </c>
      <c r="H1572" s="3796"/>
      <c r="I1572" s="2335" t="s">
        <v>986</v>
      </c>
      <c r="J1572" s="2501" t="s">
        <v>951</v>
      </c>
      <c r="K1572" s="2667">
        <v>100</v>
      </c>
      <c r="L1572" s="2667">
        <f>SUM(L1573:L1586)</f>
        <v>9652247564.9738007</v>
      </c>
      <c r="M1572" s="2570">
        <v>85</v>
      </c>
      <c r="N1572" s="2667">
        <f>SUM(N1573:N1586)</f>
        <v>1311154899</v>
      </c>
      <c r="O1572" s="2570">
        <v>5</v>
      </c>
      <c r="P1572" s="2677">
        <f>SUM(P1573:P1586)</f>
        <v>1868295589</v>
      </c>
      <c r="Q1572" s="2570">
        <v>2</v>
      </c>
      <c r="R1572" s="2677">
        <f>SUM(R1573:R1586)</f>
        <v>458203673</v>
      </c>
      <c r="S1572" s="2570"/>
      <c r="T1572" s="2569">
        <f>SUM(T1573:T1586)</f>
        <v>460159000</v>
      </c>
      <c r="U1572" s="2570"/>
      <c r="V1572" s="2571">
        <f>SUM(V1573:V1586)</f>
        <v>1452343804</v>
      </c>
      <c r="W1572" s="2570"/>
      <c r="X1572" s="2570"/>
      <c r="Y1572" s="2722">
        <f t="shared" si="519"/>
        <v>2</v>
      </c>
      <c r="Z1572" s="2569">
        <f>SUM(Z1573:Z1586)</f>
        <v>2328134477</v>
      </c>
      <c r="AA1572" s="2722">
        <f t="shared" ref="AA1572:AA1586" si="529">+Y1572+M1572</f>
        <v>87</v>
      </c>
      <c r="AB1572" s="2594">
        <f t="shared" ref="AB1572:AB1586" si="530">+N1572+Z1572</f>
        <v>3639289376</v>
      </c>
      <c r="AC1572" s="2719">
        <f t="shared" ref="AC1572:AC1586" si="531">(AA1572/K1572)*100</f>
        <v>87</v>
      </c>
      <c r="AD1572" s="2719">
        <f t="shared" ref="AD1572:AD1586" si="532">(AB1572/L1572)*100</f>
        <v>37.704061686174519</v>
      </c>
      <c r="AE1572" s="3138" t="s">
        <v>913</v>
      </c>
    </row>
    <row r="1573" spans="1:76" ht="56.25" customHeight="1">
      <c r="A1573" s="385"/>
      <c r="B1573" s="384"/>
      <c r="C1573" s="3791">
        <v>3</v>
      </c>
      <c r="D1573" s="3792" t="s">
        <v>107</v>
      </c>
      <c r="E1573" s="3792" t="s">
        <v>196</v>
      </c>
      <c r="F1573" s="3792" t="s">
        <v>65</v>
      </c>
      <c r="G1573" s="3791">
        <v>17</v>
      </c>
      <c r="H1573" s="3791">
        <v>19</v>
      </c>
      <c r="I1573" s="384" t="s">
        <v>987</v>
      </c>
      <c r="J1573" s="3169" t="s">
        <v>4097</v>
      </c>
      <c r="K1573" s="745">
        <v>100</v>
      </c>
      <c r="L1573" s="745">
        <f>[12]Sheet1!$T$49</f>
        <v>761078432.92299998</v>
      </c>
      <c r="M1573" s="385">
        <v>85</v>
      </c>
      <c r="N1573" s="745">
        <v>128100160</v>
      </c>
      <c r="O1573" s="385">
        <v>6</v>
      </c>
      <c r="P1573" s="707">
        <v>50280297</v>
      </c>
      <c r="Q1573" s="737">
        <v>2</v>
      </c>
      <c r="R1573" s="707">
        <v>11599800</v>
      </c>
      <c r="S1573" s="384"/>
      <c r="T1573" s="590">
        <v>17718000</v>
      </c>
      <c r="U1573" s="384"/>
      <c r="V1573" s="1202">
        <v>38078790</v>
      </c>
      <c r="W1573" s="384"/>
      <c r="X1573" s="384"/>
      <c r="Y1573" s="1207">
        <f t="shared" si="519"/>
        <v>2</v>
      </c>
      <c r="Z1573" s="590">
        <f t="shared" si="524"/>
        <v>67396590</v>
      </c>
      <c r="AA1573" s="1207">
        <f t="shared" si="529"/>
        <v>87</v>
      </c>
      <c r="AB1573" s="386">
        <f t="shared" si="530"/>
        <v>195496750</v>
      </c>
      <c r="AC1573" s="737">
        <f t="shared" si="531"/>
        <v>87</v>
      </c>
      <c r="AD1573" s="737">
        <f t="shared" si="532"/>
        <v>25.686807238667193</v>
      </c>
      <c r="AE1573" s="390"/>
    </row>
    <row r="1574" spans="1:76" ht="70.5" customHeight="1">
      <c r="A1574" s="385"/>
      <c r="B1574" s="384"/>
      <c r="C1574" s="3791">
        <v>3</v>
      </c>
      <c r="D1574" s="3792" t="s">
        <v>107</v>
      </c>
      <c r="E1574" s="3792" t="s">
        <v>196</v>
      </c>
      <c r="F1574" s="3792" t="s">
        <v>65</v>
      </c>
      <c r="G1574" s="3791">
        <v>17</v>
      </c>
      <c r="H1574" s="3791">
        <v>30</v>
      </c>
      <c r="I1574" s="384" t="s">
        <v>989</v>
      </c>
      <c r="J1574" s="3169" t="s">
        <v>990</v>
      </c>
      <c r="K1574" s="745">
        <v>100</v>
      </c>
      <c r="L1574" s="745">
        <f>[12]Sheet1!$T$50</f>
        <v>340178662.88080001</v>
      </c>
      <c r="M1574" s="385">
        <v>85</v>
      </c>
      <c r="N1574" s="745">
        <v>68127750</v>
      </c>
      <c r="O1574" s="385">
        <v>13</v>
      </c>
      <c r="P1574" s="707">
        <v>46000000</v>
      </c>
      <c r="Q1574" s="737">
        <f>(R1574/L1574)*100</f>
        <v>5.6270725029886632</v>
      </c>
      <c r="R1574" s="707">
        <v>19142100</v>
      </c>
      <c r="S1574" s="384"/>
      <c r="T1574" s="590">
        <v>30337000</v>
      </c>
      <c r="U1574" s="384"/>
      <c r="V1574" s="1202">
        <v>38861800</v>
      </c>
      <c r="W1574" s="384"/>
      <c r="X1574" s="384"/>
      <c r="Y1574" s="1207">
        <f t="shared" si="519"/>
        <v>5.6270725029886632</v>
      </c>
      <c r="Z1574" s="590">
        <f t="shared" si="524"/>
        <v>88340900</v>
      </c>
      <c r="AA1574" s="1207">
        <f t="shared" si="529"/>
        <v>90.627072502988668</v>
      </c>
      <c r="AB1574" s="386">
        <f t="shared" si="530"/>
        <v>156468650</v>
      </c>
      <c r="AC1574" s="737">
        <f t="shared" si="531"/>
        <v>90.627072502988668</v>
      </c>
      <c r="AD1574" s="737">
        <f t="shared" si="532"/>
        <v>45.996021230416574</v>
      </c>
      <c r="AE1574" s="390"/>
    </row>
    <row r="1575" spans="1:76" ht="60" customHeight="1">
      <c r="A1575" s="385"/>
      <c r="B1575" s="3140"/>
      <c r="C1575" s="3791">
        <v>3</v>
      </c>
      <c r="D1575" s="3792" t="s">
        <v>107</v>
      </c>
      <c r="E1575" s="3792" t="s">
        <v>196</v>
      </c>
      <c r="F1575" s="3792" t="s">
        <v>65</v>
      </c>
      <c r="G1575" s="3791">
        <v>17</v>
      </c>
      <c r="H1575" s="3791">
        <v>31</v>
      </c>
      <c r="I1575" s="384" t="s">
        <v>991</v>
      </c>
      <c r="J1575" s="3169" t="s">
        <v>4098</v>
      </c>
      <c r="K1575" s="745">
        <v>100</v>
      </c>
      <c r="L1575" s="745">
        <f>[12]Sheet1!$T$51</f>
        <v>431617954.80000001</v>
      </c>
      <c r="M1575" s="385">
        <v>85</v>
      </c>
      <c r="N1575" s="745">
        <v>88487300</v>
      </c>
      <c r="O1575" s="385">
        <v>17</v>
      </c>
      <c r="P1575" s="707">
        <v>73999862</v>
      </c>
      <c r="Q1575" s="737">
        <f>(R1575/L1575)*100</f>
        <v>2.4280732262067608</v>
      </c>
      <c r="R1575" s="707">
        <v>10480000</v>
      </c>
      <c r="S1575" s="384"/>
      <c r="T1575" s="1232">
        <v>27179000</v>
      </c>
      <c r="U1575" s="384"/>
      <c r="V1575" s="1202">
        <v>42572000</v>
      </c>
      <c r="W1575" s="384"/>
      <c r="X1575" s="384"/>
      <c r="Y1575" s="2756">
        <f t="shared" si="519"/>
        <v>2.4280732262067608</v>
      </c>
      <c r="Z1575" s="590">
        <f>SUM(R1575+T1575)</f>
        <v>37659000</v>
      </c>
      <c r="AA1575" s="1207">
        <f t="shared" si="529"/>
        <v>87.428073226206763</v>
      </c>
      <c r="AB1575" s="386">
        <f t="shared" si="530"/>
        <v>126146300</v>
      </c>
      <c r="AC1575" s="737">
        <f t="shared" si="531"/>
        <v>87.428073226206763</v>
      </c>
      <c r="AD1575" s="737">
        <f t="shared" si="532"/>
        <v>29.226379161741022</v>
      </c>
      <c r="AE1575" s="390"/>
    </row>
    <row r="1576" spans="1:76" ht="57.75" customHeight="1">
      <c r="A1576" s="385"/>
      <c r="B1576" s="3140"/>
      <c r="C1576" s="3791">
        <v>3</v>
      </c>
      <c r="D1576" s="3792" t="s">
        <v>107</v>
      </c>
      <c r="E1576" s="3792" t="s">
        <v>196</v>
      </c>
      <c r="F1576" s="3792" t="s">
        <v>65</v>
      </c>
      <c r="G1576" s="3791">
        <v>17</v>
      </c>
      <c r="H1576" s="3791">
        <v>44</v>
      </c>
      <c r="I1576" s="384" t="s">
        <v>995</v>
      </c>
      <c r="J1576" s="3169" t="s">
        <v>4099</v>
      </c>
      <c r="K1576" s="745">
        <v>100</v>
      </c>
      <c r="L1576" s="745">
        <f>[12]Sheet1!$T$58</f>
        <v>662667556.00999999</v>
      </c>
      <c r="M1576" s="385">
        <v>85</v>
      </c>
      <c r="N1576" s="745">
        <v>103500000</v>
      </c>
      <c r="O1576" s="385">
        <v>14</v>
      </c>
      <c r="P1576" s="707">
        <v>94499830</v>
      </c>
      <c r="Q1576" s="737">
        <f>(R1576/L1576)*100</f>
        <v>2.3772100893018941</v>
      </c>
      <c r="R1576" s="707">
        <v>15753000</v>
      </c>
      <c r="S1576" s="384"/>
      <c r="T1576" s="590">
        <v>50178000</v>
      </c>
      <c r="U1576" s="384"/>
      <c r="V1576" s="1202">
        <v>73089000</v>
      </c>
      <c r="W1576" s="384"/>
      <c r="X1576" s="384"/>
      <c r="Y1576" s="2756">
        <f t="shared" si="519"/>
        <v>2.3772100893018941</v>
      </c>
      <c r="Z1576" s="590">
        <f t="shared" si="524"/>
        <v>139020000</v>
      </c>
      <c r="AA1576" s="1207">
        <f t="shared" si="529"/>
        <v>87.377210089301897</v>
      </c>
      <c r="AB1576" s="386">
        <f t="shared" si="530"/>
        <v>242520000</v>
      </c>
      <c r="AC1576" s="737">
        <f t="shared" si="531"/>
        <v>87.377210089301897</v>
      </c>
      <c r="AD1576" s="737">
        <f t="shared" si="532"/>
        <v>36.597536396717786</v>
      </c>
      <c r="AE1576" s="390"/>
    </row>
    <row r="1577" spans="1:76" ht="62.25" customHeight="1">
      <c r="A1577" s="385"/>
      <c r="B1577" s="3140" t="s">
        <v>953</v>
      </c>
      <c r="C1577" s="3791">
        <v>3</v>
      </c>
      <c r="D1577" s="3792" t="s">
        <v>107</v>
      </c>
      <c r="E1577" s="3792" t="s">
        <v>196</v>
      </c>
      <c r="F1577" s="3792" t="s">
        <v>65</v>
      </c>
      <c r="G1577" s="3791">
        <v>17</v>
      </c>
      <c r="H1577" s="3791">
        <v>32</v>
      </c>
      <c r="I1577" s="384" t="s">
        <v>997</v>
      </c>
      <c r="J1577" s="3169" t="s">
        <v>4100</v>
      </c>
      <c r="K1577" s="384">
        <v>100</v>
      </c>
      <c r="L1577" s="745">
        <f>[12]Sheet1!$T$52</f>
        <v>1780479098.8699999</v>
      </c>
      <c r="M1577" s="385">
        <v>85</v>
      </c>
      <c r="N1577" s="745">
        <v>371241400</v>
      </c>
      <c r="O1577" s="385">
        <f>P1577/L1577*100</f>
        <v>15.729804925974522</v>
      </c>
      <c r="P1577" s="707">
        <v>280065889</v>
      </c>
      <c r="Q1577" s="737">
        <f t="shared" ref="Q1577:Q1586" si="533">(R1577/L1577)*100</f>
        <v>12.67110072469727</v>
      </c>
      <c r="R1577" s="707">
        <v>225606300</v>
      </c>
      <c r="S1577" s="384"/>
      <c r="T1577" s="384"/>
      <c r="U1577" s="384"/>
      <c r="V1577" s="1202">
        <v>262683508</v>
      </c>
      <c r="W1577" s="384"/>
      <c r="X1577" s="384"/>
      <c r="Y1577" s="2756">
        <f t="shared" si="519"/>
        <v>12.67110072469727</v>
      </c>
      <c r="Z1577" s="590">
        <f t="shared" si="524"/>
        <v>488289808</v>
      </c>
      <c r="AA1577" s="1207">
        <f t="shared" si="529"/>
        <v>97.671100724697268</v>
      </c>
      <c r="AB1577" s="386">
        <f t="shared" si="530"/>
        <v>859531208</v>
      </c>
      <c r="AC1577" s="737">
        <f t="shared" si="531"/>
        <v>97.671100724697268</v>
      </c>
      <c r="AD1577" s="737">
        <f t="shared" si="532"/>
        <v>48.275276499764061</v>
      </c>
      <c r="AE1577" s="390"/>
    </row>
    <row r="1578" spans="1:76" ht="43.5" customHeight="1">
      <c r="A1578" s="385"/>
      <c r="B1578" s="3140"/>
      <c r="C1578" s="3791">
        <v>3</v>
      </c>
      <c r="D1578" s="3792" t="s">
        <v>107</v>
      </c>
      <c r="E1578" s="3792" t="s">
        <v>196</v>
      </c>
      <c r="F1578" s="3792" t="s">
        <v>65</v>
      </c>
      <c r="G1578" s="3791">
        <v>17</v>
      </c>
      <c r="H1578" s="3791">
        <v>33</v>
      </c>
      <c r="I1578" s="384" t="s">
        <v>999</v>
      </c>
      <c r="J1578" s="3169" t="s">
        <v>4101</v>
      </c>
      <c r="K1578" s="384">
        <v>100</v>
      </c>
      <c r="L1578" s="745">
        <f>[12]Sheet1!$T$53</f>
        <v>597638000</v>
      </c>
      <c r="M1578" s="385">
        <v>85</v>
      </c>
      <c r="N1578" s="745">
        <v>110789875</v>
      </c>
      <c r="O1578" s="385">
        <v>15</v>
      </c>
      <c r="P1578" s="707">
        <v>118000000</v>
      </c>
      <c r="Q1578" s="737">
        <f t="shared" si="533"/>
        <v>0.41028180938963049</v>
      </c>
      <c r="R1578" s="707">
        <v>2452000</v>
      </c>
      <c r="S1578" s="384"/>
      <c r="T1578" s="590">
        <v>5114000</v>
      </c>
      <c r="U1578" s="384"/>
      <c r="V1578" s="1202">
        <v>115351650</v>
      </c>
      <c r="W1578" s="384"/>
      <c r="X1578" s="384"/>
      <c r="Y1578" s="2756">
        <f t="shared" si="519"/>
        <v>0.41028180938963049</v>
      </c>
      <c r="Z1578" s="590">
        <f t="shared" si="524"/>
        <v>122917650</v>
      </c>
      <c r="AA1578" s="1207">
        <f t="shared" si="529"/>
        <v>85.41028180938963</v>
      </c>
      <c r="AB1578" s="386">
        <f t="shared" si="530"/>
        <v>233707525</v>
      </c>
      <c r="AC1578" s="737">
        <f t="shared" si="531"/>
        <v>85.41028180938963</v>
      </c>
      <c r="AD1578" s="737">
        <f t="shared" si="532"/>
        <v>39.105198297297029</v>
      </c>
      <c r="AE1578" s="390"/>
    </row>
    <row r="1579" spans="1:76" s="63" customFormat="1" ht="69.75" customHeight="1">
      <c r="A1579" s="385"/>
      <c r="B1579" s="3140"/>
      <c r="C1579" s="3791">
        <v>3</v>
      </c>
      <c r="D1579" s="3792" t="s">
        <v>107</v>
      </c>
      <c r="E1579" s="3792" t="s">
        <v>196</v>
      </c>
      <c r="F1579" s="3792" t="s">
        <v>65</v>
      </c>
      <c r="G1579" s="3791">
        <v>17</v>
      </c>
      <c r="H1579" s="3791">
        <v>66</v>
      </c>
      <c r="I1579" s="384" t="s">
        <v>1003</v>
      </c>
      <c r="J1579" s="3169" t="s">
        <v>4102</v>
      </c>
      <c r="K1579" s="384">
        <v>100</v>
      </c>
      <c r="L1579" s="745">
        <f>[12]Sheet1!$T$60</f>
        <v>1283069606.1099999</v>
      </c>
      <c r="M1579" s="597">
        <f t="shared" ref="M1579:M1586" si="534">N1579/L1579*100</f>
        <v>4.8339388373511722</v>
      </c>
      <c r="N1579" s="745">
        <v>62022800</v>
      </c>
      <c r="O1579" s="385">
        <v>21</v>
      </c>
      <c r="P1579" s="707">
        <v>269999892</v>
      </c>
      <c r="Q1579" s="737">
        <f>(R1579/L1579)*100</f>
        <v>4.080540350319187</v>
      </c>
      <c r="R1579" s="707">
        <v>52356173</v>
      </c>
      <c r="S1579" s="384"/>
      <c r="T1579" s="590">
        <v>118282000</v>
      </c>
      <c r="U1579" s="384"/>
      <c r="V1579" s="1202">
        <v>197079973</v>
      </c>
      <c r="W1579" s="384"/>
      <c r="X1579" s="384"/>
      <c r="Y1579" s="2756">
        <f t="shared" si="519"/>
        <v>4.080540350319187</v>
      </c>
      <c r="Z1579" s="590">
        <f t="shared" si="524"/>
        <v>367718146</v>
      </c>
      <c r="AA1579" s="1207">
        <f t="shared" si="529"/>
        <v>8.9144791876703593</v>
      </c>
      <c r="AB1579" s="386">
        <f t="shared" si="530"/>
        <v>429740946</v>
      </c>
      <c r="AC1579" s="737">
        <f t="shared" si="531"/>
        <v>8.9144791876703593</v>
      </c>
      <c r="AD1579" s="737">
        <f t="shared" si="532"/>
        <v>33.493190389170323</v>
      </c>
      <c r="AE1579" s="390"/>
    </row>
    <row r="1580" spans="1:76" ht="72" customHeight="1">
      <c r="A1580" s="385"/>
      <c r="B1580" s="3140"/>
      <c r="C1580" s="3791">
        <v>3</v>
      </c>
      <c r="D1580" s="3792" t="s">
        <v>107</v>
      </c>
      <c r="E1580" s="3792" t="s">
        <v>196</v>
      </c>
      <c r="F1580" s="3792" t="s">
        <v>65</v>
      </c>
      <c r="G1580" s="3791">
        <v>17</v>
      </c>
      <c r="H1580" s="3791">
        <v>67</v>
      </c>
      <c r="I1580" s="384" t="s">
        <v>1005</v>
      </c>
      <c r="J1580" s="3169" t="s">
        <v>4103</v>
      </c>
      <c r="K1580" s="384">
        <v>100</v>
      </c>
      <c r="L1580" s="745">
        <f>[12]Sheet1!$T$61</f>
        <v>928199725.26999998</v>
      </c>
      <c r="M1580" s="597">
        <f t="shared" si="534"/>
        <v>9.1079654193399495</v>
      </c>
      <c r="N1580" s="745">
        <v>84540110</v>
      </c>
      <c r="O1580" s="385">
        <v>21</v>
      </c>
      <c r="P1580" s="707">
        <v>199999925</v>
      </c>
      <c r="Q1580" s="737">
        <f>(R1580/L1580)*100</f>
        <v>3.1108391021771453</v>
      </c>
      <c r="R1580" s="707">
        <v>28874800</v>
      </c>
      <c r="S1580" s="384"/>
      <c r="T1580" s="590">
        <v>71808000</v>
      </c>
      <c r="U1580" s="384"/>
      <c r="V1580" s="1202">
        <v>143002888</v>
      </c>
      <c r="W1580" s="384"/>
      <c r="X1580" s="384"/>
      <c r="Y1580" s="2756">
        <f t="shared" si="519"/>
        <v>3.1108391021771453</v>
      </c>
      <c r="Z1580" s="590">
        <f t="shared" si="524"/>
        <v>243685688</v>
      </c>
      <c r="AA1580" s="1207">
        <f t="shared" si="529"/>
        <v>12.218804521517095</v>
      </c>
      <c r="AB1580" s="386">
        <f t="shared" si="530"/>
        <v>328225798</v>
      </c>
      <c r="AC1580" s="737">
        <f t="shared" si="531"/>
        <v>12.218804521517095</v>
      </c>
      <c r="AD1580" s="737">
        <f t="shared" si="532"/>
        <v>35.36154871243081</v>
      </c>
      <c r="AE1580" s="390"/>
    </row>
    <row r="1581" spans="1:76" ht="70.5" customHeight="1">
      <c r="A1581" s="385"/>
      <c r="B1581" s="3140"/>
      <c r="C1581" s="3791">
        <v>3</v>
      </c>
      <c r="D1581" s="3792" t="s">
        <v>107</v>
      </c>
      <c r="E1581" s="3792" t="s">
        <v>196</v>
      </c>
      <c r="F1581" s="3792" t="s">
        <v>65</v>
      </c>
      <c r="G1581" s="3791">
        <v>17</v>
      </c>
      <c r="H1581" s="3791">
        <v>68</v>
      </c>
      <c r="I1581" s="384" t="s">
        <v>1007</v>
      </c>
      <c r="J1581" s="3169" t="s">
        <v>4104</v>
      </c>
      <c r="K1581" s="384">
        <v>100</v>
      </c>
      <c r="L1581" s="745">
        <f>[12]Sheet1!$T$62</f>
        <v>1019224804.71</v>
      </c>
      <c r="M1581" s="597">
        <f t="shared" si="534"/>
        <v>7.2861403742160507</v>
      </c>
      <c r="N1581" s="745">
        <v>74262150</v>
      </c>
      <c r="O1581" s="385">
        <v>22</v>
      </c>
      <c r="P1581" s="707">
        <v>224999947</v>
      </c>
      <c r="Q1581" s="737">
        <f>(R1581/L1581)*100</f>
        <v>3.7629578698207387</v>
      </c>
      <c r="R1581" s="707">
        <v>38353000</v>
      </c>
      <c r="S1581" s="384"/>
      <c r="T1581" s="384"/>
      <c r="U1581" s="384"/>
      <c r="V1581" s="1202">
        <v>180242495</v>
      </c>
      <c r="W1581" s="384"/>
      <c r="X1581" s="384"/>
      <c r="Y1581" s="2756">
        <f t="shared" si="519"/>
        <v>3.7629578698207387</v>
      </c>
      <c r="Z1581" s="590">
        <f t="shared" si="524"/>
        <v>218595495</v>
      </c>
      <c r="AA1581" s="1207">
        <f t="shared" si="529"/>
        <v>11.04909824403679</v>
      </c>
      <c r="AB1581" s="386">
        <f t="shared" si="530"/>
        <v>292857645</v>
      </c>
      <c r="AC1581" s="737">
        <f t="shared" si="531"/>
        <v>11.04909824403679</v>
      </c>
      <c r="AD1581" s="737">
        <f t="shared" si="532"/>
        <v>28.733371052849009</v>
      </c>
      <c r="AE1581" s="390"/>
    </row>
    <row r="1582" spans="1:76" ht="89.25">
      <c r="A1582" s="385"/>
      <c r="B1582" s="3140" t="s">
        <v>956</v>
      </c>
      <c r="C1582" s="3791">
        <v>3</v>
      </c>
      <c r="D1582" s="3792" t="s">
        <v>107</v>
      </c>
      <c r="E1582" s="3792" t="s">
        <v>196</v>
      </c>
      <c r="F1582" s="3792" t="s">
        <v>65</v>
      </c>
      <c r="G1582" s="3791">
        <v>17</v>
      </c>
      <c r="H1582" s="3791">
        <v>36</v>
      </c>
      <c r="I1582" s="384" t="s">
        <v>1009</v>
      </c>
      <c r="J1582" s="3169" t="s">
        <v>4105</v>
      </c>
      <c r="K1582" s="384">
        <v>100</v>
      </c>
      <c r="L1582" s="745">
        <f>[12]Sheet1!$T$56</f>
        <v>863911760.39999998</v>
      </c>
      <c r="M1582" s="597">
        <f t="shared" si="534"/>
        <v>10.879392816285129</v>
      </c>
      <c r="N1582" s="745">
        <v>93988354</v>
      </c>
      <c r="O1582" s="385">
        <v>16</v>
      </c>
      <c r="P1582" s="707">
        <v>160480400</v>
      </c>
      <c r="Q1582" s="737">
        <f t="shared" si="533"/>
        <v>2.9996119034195754</v>
      </c>
      <c r="R1582" s="707">
        <v>25914000</v>
      </c>
      <c r="S1582" s="384"/>
      <c r="T1582" s="590">
        <v>92061000</v>
      </c>
      <c r="U1582" s="384"/>
      <c r="V1582" s="1202">
        <v>141128400</v>
      </c>
      <c r="W1582" s="384"/>
      <c r="X1582" s="384"/>
      <c r="Y1582" s="2756">
        <f t="shared" si="519"/>
        <v>2.9996119034195754</v>
      </c>
      <c r="Z1582" s="590">
        <f t="shared" si="524"/>
        <v>259103400</v>
      </c>
      <c r="AA1582" s="1207">
        <f t="shared" si="529"/>
        <v>13.879004719704705</v>
      </c>
      <c r="AB1582" s="386">
        <f t="shared" si="530"/>
        <v>353091754</v>
      </c>
      <c r="AC1582" s="737">
        <f t="shared" si="531"/>
        <v>13.879004719704705</v>
      </c>
      <c r="AD1582" s="737">
        <f t="shared" si="532"/>
        <v>40.87127530669509</v>
      </c>
      <c r="AE1582" s="390"/>
    </row>
    <row r="1583" spans="1:76" ht="38.25">
      <c r="A1583" s="385"/>
      <c r="B1583" s="3140"/>
      <c r="C1583" s="3791">
        <v>3</v>
      </c>
      <c r="D1583" s="3792" t="s">
        <v>107</v>
      </c>
      <c r="E1583" s="3792" t="s">
        <v>196</v>
      </c>
      <c r="F1583" s="3792" t="s">
        <v>65</v>
      </c>
      <c r="G1583" s="3791">
        <v>17</v>
      </c>
      <c r="H1583" s="3791">
        <v>53</v>
      </c>
      <c r="I1583" s="384" t="s">
        <v>1011</v>
      </c>
      <c r="J1583" s="3169" t="s">
        <v>4106</v>
      </c>
      <c r="K1583" s="384">
        <v>100</v>
      </c>
      <c r="L1583" s="745">
        <f>[12]Sheet1!$T$69</f>
        <v>710949800</v>
      </c>
      <c r="M1583" s="597">
        <f t="shared" si="534"/>
        <v>17.736132705853493</v>
      </c>
      <c r="N1583" s="745">
        <v>126095000</v>
      </c>
      <c r="O1583" s="385">
        <f>P1583/L1583*100</f>
        <v>16.87882885683349</v>
      </c>
      <c r="P1583" s="707">
        <v>120000000</v>
      </c>
      <c r="Q1583" s="737">
        <f t="shared" si="533"/>
        <v>0.15500391166858757</v>
      </c>
      <c r="R1583" s="707">
        <v>1102000</v>
      </c>
      <c r="S1583" s="384"/>
      <c r="T1583" s="590">
        <v>1102000</v>
      </c>
      <c r="U1583" s="384"/>
      <c r="V1583" s="1202">
        <v>96755000</v>
      </c>
      <c r="W1583" s="384"/>
      <c r="X1583" s="384"/>
      <c r="Y1583" s="2756">
        <f t="shared" si="519"/>
        <v>0.15500391166858757</v>
      </c>
      <c r="Z1583" s="590">
        <f t="shared" si="524"/>
        <v>98959000</v>
      </c>
      <c r="AA1583" s="1207">
        <f t="shared" si="529"/>
        <v>17.891136617522079</v>
      </c>
      <c r="AB1583" s="386">
        <f t="shared" si="530"/>
        <v>225054000</v>
      </c>
      <c r="AC1583" s="737">
        <f t="shared" si="531"/>
        <v>17.891136617522079</v>
      </c>
      <c r="AD1583" s="737">
        <f t="shared" si="532"/>
        <v>31.655399579548373</v>
      </c>
      <c r="AE1583" s="390"/>
    </row>
    <row r="1584" spans="1:76" ht="44.25" customHeight="1">
      <c r="A1584" s="385"/>
      <c r="B1584" s="3140"/>
      <c r="C1584" s="3791">
        <v>3</v>
      </c>
      <c r="D1584" s="3792" t="s">
        <v>107</v>
      </c>
      <c r="E1584" s="3792" t="s">
        <v>196</v>
      </c>
      <c r="F1584" s="3792" t="s">
        <v>65</v>
      </c>
      <c r="G1584" s="3791">
        <v>17</v>
      </c>
      <c r="H1584" s="3791">
        <v>87</v>
      </c>
      <c r="I1584" s="384" t="s">
        <v>1014</v>
      </c>
      <c r="J1584" s="3169" t="s">
        <v>4107</v>
      </c>
      <c r="K1584" s="384">
        <v>100</v>
      </c>
      <c r="L1584" s="745">
        <f>[12]Sheet1!$T$73</f>
        <v>79551516</v>
      </c>
      <c r="M1584" s="597">
        <f t="shared" si="534"/>
        <v>0</v>
      </c>
      <c r="N1584" s="745">
        <v>0</v>
      </c>
      <c r="O1584" s="385">
        <v>40</v>
      </c>
      <c r="P1584" s="707">
        <v>72319560</v>
      </c>
      <c r="Q1584" s="737">
        <f t="shared" si="533"/>
        <v>14.9758302531909</v>
      </c>
      <c r="R1584" s="707">
        <v>11913500</v>
      </c>
      <c r="S1584" s="384"/>
      <c r="T1584" s="384"/>
      <c r="U1584" s="384"/>
      <c r="V1584" s="1202">
        <v>58091300</v>
      </c>
      <c r="W1584" s="384"/>
      <c r="X1584" s="384"/>
      <c r="Y1584" s="2756">
        <f t="shared" si="519"/>
        <v>14.9758302531909</v>
      </c>
      <c r="Z1584" s="590">
        <f t="shared" si="524"/>
        <v>70004800</v>
      </c>
      <c r="AA1584" s="1207">
        <f t="shared" si="529"/>
        <v>14.9758302531909</v>
      </c>
      <c r="AB1584" s="386">
        <f t="shared" si="530"/>
        <v>70004800</v>
      </c>
      <c r="AC1584" s="737">
        <f t="shared" si="531"/>
        <v>14.9758302531909</v>
      </c>
      <c r="AD1584" s="737">
        <f t="shared" si="532"/>
        <v>87.999328636301541</v>
      </c>
      <c r="AE1584" s="390"/>
    </row>
    <row r="1585" spans="1:76" ht="49.5" customHeight="1">
      <c r="A1585" s="385"/>
      <c r="B1585" s="3140"/>
      <c r="C1585" s="3791">
        <v>3</v>
      </c>
      <c r="D1585" s="3792" t="s">
        <v>107</v>
      </c>
      <c r="E1585" s="3792" t="s">
        <v>196</v>
      </c>
      <c r="F1585" s="3792" t="s">
        <v>65</v>
      </c>
      <c r="G1585" s="3791">
        <v>17</v>
      </c>
      <c r="H1585" s="3791">
        <v>88</v>
      </c>
      <c r="I1585" s="384" t="s">
        <v>1015</v>
      </c>
      <c r="J1585" s="3169" t="s">
        <v>4108</v>
      </c>
      <c r="K1585" s="384">
        <v>100</v>
      </c>
      <c r="L1585" s="745">
        <f>[12]Sheet1!$T$74</f>
        <v>72640284</v>
      </c>
      <c r="M1585" s="597">
        <f t="shared" si="534"/>
        <v>0</v>
      </c>
      <c r="N1585" s="745">
        <v>0</v>
      </c>
      <c r="O1585" s="385">
        <v>82</v>
      </c>
      <c r="P1585" s="707">
        <v>60033293</v>
      </c>
      <c r="Q1585" s="737">
        <f t="shared" si="533"/>
        <v>11.002159628120395</v>
      </c>
      <c r="R1585" s="707">
        <v>7992000</v>
      </c>
      <c r="S1585" s="384"/>
      <c r="T1585" s="590">
        <v>32616000</v>
      </c>
      <c r="U1585" s="384"/>
      <c r="V1585" s="1202">
        <v>51643000</v>
      </c>
      <c r="W1585" s="384"/>
      <c r="X1585" s="384"/>
      <c r="Y1585" s="2756">
        <f t="shared" si="519"/>
        <v>11.002159628120395</v>
      </c>
      <c r="Z1585" s="590">
        <f t="shared" si="524"/>
        <v>92251000</v>
      </c>
      <c r="AA1585" s="1207">
        <f t="shared" si="529"/>
        <v>11.002159628120395</v>
      </c>
      <c r="AB1585" s="386">
        <f t="shared" si="530"/>
        <v>92251000</v>
      </c>
      <c r="AC1585" s="737">
        <f t="shared" si="531"/>
        <v>11.002159628120395</v>
      </c>
      <c r="AD1585" s="737">
        <f t="shared" si="532"/>
        <v>126.99702550722407</v>
      </c>
      <c r="AE1585" s="390"/>
    </row>
    <row r="1586" spans="1:76" ht="49.5" customHeight="1">
      <c r="A1586" s="385"/>
      <c r="B1586" s="3140"/>
      <c r="C1586" s="3791">
        <v>3</v>
      </c>
      <c r="D1586" s="3792" t="s">
        <v>107</v>
      </c>
      <c r="E1586" s="3792" t="s">
        <v>196</v>
      </c>
      <c r="F1586" s="3792" t="s">
        <v>65</v>
      </c>
      <c r="G1586" s="3791">
        <v>17</v>
      </c>
      <c r="H1586" s="3791">
        <v>89</v>
      </c>
      <c r="I1586" s="384" t="s">
        <v>1016</v>
      </c>
      <c r="J1586" s="384" t="s">
        <v>4109</v>
      </c>
      <c r="K1586" s="384">
        <v>100</v>
      </c>
      <c r="L1586" s="745">
        <f>[12]Sheet1!$T$75</f>
        <v>121040363</v>
      </c>
      <c r="M1586" s="597">
        <f t="shared" si="534"/>
        <v>0</v>
      </c>
      <c r="N1586" s="745">
        <v>0</v>
      </c>
      <c r="O1586" s="384">
        <v>80</v>
      </c>
      <c r="P1586" s="707">
        <v>97616694</v>
      </c>
      <c r="Q1586" s="737">
        <f t="shared" si="533"/>
        <v>5.5064276368701908</v>
      </c>
      <c r="R1586" s="707">
        <v>6665000</v>
      </c>
      <c r="S1586" s="384"/>
      <c r="T1586" s="590">
        <v>13764000</v>
      </c>
      <c r="U1586" s="384"/>
      <c r="V1586" s="1202">
        <v>13764000</v>
      </c>
      <c r="W1586" s="384"/>
      <c r="X1586" s="384"/>
      <c r="Y1586" s="2756">
        <f t="shared" si="519"/>
        <v>5.5064276368701908</v>
      </c>
      <c r="Z1586" s="590">
        <f t="shared" si="524"/>
        <v>34193000</v>
      </c>
      <c r="AA1586" s="1207">
        <f t="shared" si="529"/>
        <v>5.5064276368701908</v>
      </c>
      <c r="AB1586" s="386">
        <f t="shared" si="530"/>
        <v>34193000</v>
      </c>
      <c r="AC1586" s="737">
        <f t="shared" si="531"/>
        <v>5.5064276368701908</v>
      </c>
      <c r="AD1586" s="737">
        <f t="shared" si="532"/>
        <v>28.249254341710788</v>
      </c>
      <c r="AE1586" s="390"/>
    </row>
    <row r="1587" spans="1:76" s="114" customFormat="1" ht="18.75" customHeight="1">
      <c r="A1587" s="4244" t="s">
        <v>89</v>
      </c>
      <c r="B1587" s="4244"/>
      <c r="C1587" s="4244"/>
      <c r="D1587" s="4244"/>
      <c r="E1587" s="4244"/>
      <c r="F1587" s="4244"/>
      <c r="G1587" s="4244"/>
      <c r="H1587" s="4244"/>
      <c r="I1587" s="4244"/>
      <c r="J1587" s="4244"/>
      <c r="K1587" s="4244"/>
      <c r="L1587" s="4244"/>
      <c r="M1587" s="4244"/>
      <c r="N1587" s="4244"/>
      <c r="O1587" s="4244"/>
      <c r="P1587" s="4244"/>
      <c r="Q1587" s="4244"/>
      <c r="R1587" s="4244"/>
      <c r="S1587" s="4244"/>
      <c r="T1587" s="4244"/>
      <c r="U1587" s="4244"/>
      <c r="V1587" s="4244"/>
      <c r="W1587" s="4244"/>
      <c r="X1587" s="4244"/>
      <c r="Y1587" s="4244"/>
      <c r="Z1587" s="4244"/>
      <c r="AA1587" s="4244"/>
      <c r="AB1587" s="4244"/>
      <c r="AC1587" s="2030">
        <f>(AC1553+AC1565+AC1570+AC1572)/4</f>
        <v>37.417238203520242</v>
      </c>
      <c r="AD1587" s="2030">
        <f>(AD1553+AD1565+AD1570+AD1572)/4</f>
        <v>31.735113491273424</v>
      </c>
      <c r="AE1587" s="390"/>
    </row>
    <row r="1588" spans="1:76" s="475" customFormat="1" ht="15.75" customHeight="1">
      <c r="A1588" s="4244" t="s">
        <v>90</v>
      </c>
      <c r="B1588" s="4244"/>
      <c r="C1588" s="4244"/>
      <c r="D1588" s="4244"/>
      <c r="E1588" s="4244"/>
      <c r="F1588" s="4244"/>
      <c r="G1588" s="4244"/>
      <c r="H1588" s="4244"/>
      <c r="I1588" s="4244"/>
      <c r="J1588" s="4244"/>
      <c r="K1588" s="4244"/>
      <c r="L1588" s="4244"/>
      <c r="M1588" s="4244"/>
      <c r="N1588" s="4244"/>
      <c r="O1588" s="4244"/>
      <c r="P1588" s="4244"/>
      <c r="Q1588" s="4244"/>
      <c r="R1588" s="4244"/>
      <c r="S1588" s="4244"/>
      <c r="T1588" s="4244"/>
      <c r="U1588" s="4244"/>
      <c r="V1588" s="4244"/>
      <c r="W1588" s="4244"/>
      <c r="X1588" s="4244"/>
      <c r="Y1588" s="4244"/>
      <c r="Z1588" s="4244"/>
      <c r="AA1588" s="4244"/>
      <c r="AB1588" s="4244"/>
      <c r="AC1588" s="3152" t="str">
        <f>IF(AC1587&gt;=91,"ST",IF(AC1587&gt;=76,"T",IF(AC1587&gt;=66,"S",IF(AC1587&gt;=51,"R","SR"))))</f>
        <v>SR</v>
      </c>
      <c r="AD1588" s="3152" t="str">
        <f>IF(AD1587&gt;=91,"ST",IF(AD1587&gt;=76,"T",IF(AD1587&gt;=66,"S",IF(AD1587&gt;=51,"R","SR"))))</f>
        <v>SR</v>
      </c>
      <c r="AE1588" s="390"/>
    </row>
    <row r="1589" spans="1:76" s="145" customFormat="1" ht="27.75" customHeight="1">
      <c r="A1589" s="2546" t="s">
        <v>123</v>
      </c>
      <c r="B1589" s="2918"/>
      <c r="C1589" s="2546"/>
      <c r="D1589" s="2546"/>
      <c r="E1589" s="2546"/>
      <c r="F1589" s="2546"/>
      <c r="G1589" s="2546"/>
      <c r="H1589" s="2546"/>
      <c r="I1589" s="2515" t="s">
        <v>907</v>
      </c>
      <c r="J1589" s="2918"/>
      <c r="K1589" s="2918"/>
      <c r="L1589" s="3101">
        <f>L1590+L1603+L1609+L1612+L1630+L1632</f>
        <v>26393473000</v>
      </c>
      <c r="M1589" s="2918"/>
      <c r="N1589" s="2916">
        <f>N1590+N1603+N1609+N1612+N1630+N1632</f>
        <v>7850436307</v>
      </c>
      <c r="O1589" s="2918"/>
      <c r="P1589" s="2916">
        <f>P1590+P1603+P1609+P1612+P1630+P1632</f>
        <v>4342020900</v>
      </c>
      <c r="Q1589" s="2918"/>
      <c r="R1589" s="2916">
        <f>R1590+R1603+R1609+R1612+R1630+R1632</f>
        <v>732643053</v>
      </c>
      <c r="S1589" s="2918"/>
      <c r="T1589" s="2916">
        <f>T1590+T1603+T1609+T1612+T1630+T1632</f>
        <v>1374812392</v>
      </c>
      <c r="U1589" s="2918"/>
      <c r="V1589" s="2916">
        <f>V1590+V1603+V1609+V1612+V1630+V1632</f>
        <v>1300233367</v>
      </c>
      <c r="W1589" s="2918"/>
      <c r="X1589" s="2918"/>
      <c r="Y1589" s="2546"/>
      <c r="Z1589" s="2916">
        <f>R1589+T1589+V1589</f>
        <v>3407688812</v>
      </c>
      <c r="AA1589" s="2918"/>
      <c r="AB1589" s="2916">
        <f>AB1590+AB1603+AB1609+AB1612+AB1630+AB1632</f>
        <v>11258125119</v>
      </c>
      <c r="AC1589" s="2918"/>
      <c r="AD1589" s="2918"/>
      <c r="AE1589" s="3211"/>
    </row>
    <row r="1590" spans="1:76" s="63" customFormat="1" ht="66" customHeight="1">
      <c r="A1590" s="2543">
        <v>1</v>
      </c>
      <c r="B1590" s="3162"/>
      <c r="C1590" s="2575">
        <v>3</v>
      </c>
      <c r="D1590" s="2579" t="s">
        <v>107</v>
      </c>
      <c r="E1590" s="2579" t="s">
        <v>95</v>
      </c>
      <c r="F1590" s="2579" t="s">
        <v>66</v>
      </c>
      <c r="G1590" s="2579" t="s">
        <v>66</v>
      </c>
      <c r="H1590" s="2567" t="s">
        <v>66</v>
      </c>
      <c r="I1590" s="2501" t="s">
        <v>221</v>
      </c>
      <c r="J1590" s="2501" t="s">
        <v>3504</v>
      </c>
      <c r="K1590" s="2577">
        <v>72</v>
      </c>
      <c r="L1590" s="2709">
        <f>SUM(L1591:L1602)</f>
        <v>3694120000</v>
      </c>
      <c r="M1590" s="2577">
        <v>24</v>
      </c>
      <c r="N1590" s="2710">
        <f>SUM(N1591:N1602)</f>
        <v>1368084000</v>
      </c>
      <c r="O1590" s="2577">
        <v>12</v>
      </c>
      <c r="P1590" s="2709">
        <f>SUM(P1591:P1602)</f>
        <v>566197922</v>
      </c>
      <c r="Q1590" s="2577">
        <v>3</v>
      </c>
      <c r="R1590" s="2709">
        <f>SUM(R1591:R1602)</f>
        <v>108672777</v>
      </c>
      <c r="S1590" s="2880">
        <v>3</v>
      </c>
      <c r="T1590" s="2926">
        <f>SUM(T1591:T1602)</f>
        <v>191564223</v>
      </c>
      <c r="U1590" s="2577">
        <v>3</v>
      </c>
      <c r="V1590" s="2638">
        <f>SUM(V1591:V1602)</f>
        <v>139989890</v>
      </c>
      <c r="W1590" s="2577"/>
      <c r="X1590" s="2577"/>
      <c r="Y1590" s="2747">
        <f t="shared" ref="Y1590:Z1636" si="535">Q1590+S1590+U1590+W1590</f>
        <v>9</v>
      </c>
      <c r="Z1590" s="2709">
        <f>SUM(Z1591:Z1602)</f>
        <v>440226890</v>
      </c>
      <c r="AA1590" s="2577">
        <f t="shared" ref="AA1590:AA1636" si="536">+Y1590+M1590</f>
        <v>33</v>
      </c>
      <c r="AB1590" s="2709">
        <f>SUM(AB1591:AB1602)</f>
        <v>1808310890</v>
      </c>
      <c r="AC1590" s="2584">
        <f t="shared" ref="AC1590:AD1609" si="537">(AA1590/K1590)*100</f>
        <v>45.833333333333329</v>
      </c>
      <c r="AD1590" s="2584">
        <f t="shared" ref="AD1590:AD1629" si="538">(AB1590/L1590)*100</f>
        <v>48.951059792318603</v>
      </c>
      <c r="AE1590" s="3135" t="s">
        <v>1232</v>
      </c>
    </row>
    <row r="1591" spans="1:76" s="63" customFormat="1" ht="52.5" customHeight="1">
      <c r="A1591" s="3383"/>
      <c r="B1591" s="3383" t="s">
        <v>1247</v>
      </c>
      <c r="C1591" s="3384">
        <v>3</v>
      </c>
      <c r="D1591" s="3385" t="s">
        <v>107</v>
      </c>
      <c r="E1591" s="3385" t="s">
        <v>95</v>
      </c>
      <c r="F1591" s="3385" t="s">
        <v>66</v>
      </c>
      <c r="G1591" s="3385" t="s">
        <v>66</v>
      </c>
      <c r="H1591" s="3386" t="s">
        <v>65</v>
      </c>
      <c r="I1591" s="3380" t="s">
        <v>1283</v>
      </c>
      <c r="J1591" s="3380" t="s">
        <v>3505</v>
      </c>
      <c r="K1591" s="3387">
        <v>72</v>
      </c>
      <c r="L1591" s="3325">
        <v>442480000</v>
      </c>
      <c r="M1591" s="3313">
        <v>24</v>
      </c>
      <c r="N1591" s="3388">
        <v>198880000</v>
      </c>
      <c r="O1591" s="3313">
        <v>12</v>
      </c>
      <c r="P1591" s="3389">
        <v>60900000</v>
      </c>
      <c r="Q1591" s="3313">
        <v>3</v>
      </c>
      <c r="R1591" s="3325">
        <v>15227285</v>
      </c>
      <c r="S1591" s="3390">
        <v>3</v>
      </c>
      <c r="T1591" s="3391">
        <f>32369837-R1591</f>
        <v>17142552</v>
      </c>
      <c r="U1591" s="3313">
        <v>3</v>
      </c>
      <c r="V1591" s="3392">
        <f>48041499-R1591-T1591</f>
        <v>15671662</v>
      </c>
      <c r="W1591" s="3313"/>
      <c r="X1591" s="3313"/>
      <c r="Y1591" s="3393">
        <f t="shared" si="535"/>
        <v>9</v>
      </c>
      <c r="Z1591" s="3394">
        <f t="shared" si="535"/>
        <v>48041499</v>
      </c>
      <c r="AA1591" s="3393">
        <f t="shared" si="536"/>
        <v>33</v>
      </c>
      <c r="AB1591" s="3395">
        <f t="shared" ref="AB1591:AB1636" si="539">+N1591+Z1591</f>
        <v>246921499</v>
      </c>
      <c r="AC1591" s="3396">
        <f t="shared" si="537"/>
        <v>45.833333333333329</v>
      </c>
      <c r="AD1591" s="3396">
        <f t="shared" si="538"/>
        <v>55.803990914843602</v>
      </c>
      <c r="AE1591" s="3397"/>
    </row>
    <row r="1592" spans="1:76" s="63" customFormat="1" ht="67.5" customHeight="1">
      <c r="A1592" s="3383"/>
      <c r="B1592" s="3383"/>
      <c r="C1592" s="3384">
        <v>3</v>
      </c>
      <c r="D1592" s="3385" t="s">
        <v>107</v>
      </c>
      <c r="E1592" s="3385" t="s">
        <v>95</v>
      </c>
      <c r="F1592" s="3385" t="s">
        <v>66</v>
      </c>
      <c r="G1592" s="3385" t="s">
        <v>66</v>
      </c>
      <c r="H1592" s="3386" t="s">
        <v>196</v>
      </c>
      <c r="I1592" s="3380" t="s">
        <v>1285</v>
      </c>
      <c r="J1592" s="3380" t="s">
        <v>3516</v>
      </c>
      <c r="K1592" s="3387">
        <v>72</v>
      </c>
      <c r="L1592" s="3325">
        <v>53402000</v>
      </c>
      <c r="M1592" s="3313">
        <v>24</v>
      </c>
      <c r="N1592" s="3388">
        <v>15954000</v>
      </c>
      <c r="O1592" s="3313">
        <v>12</v>
      </c>
      <c r="P1592" s="3389">
        <v>9362784</v>
      </c>
      <c r="Q1592" s="3313">
        <v>3</v>
      </c>
      <c r="R1592" s="3325">
        <v>3693200</v>
      </c>
      <c r="S1592" s="3390">
        <v>3</v>
      </c>
      <c r="T1592" s="3391">
        <f>4187200-R1592</f>
        <v>494000</v>
      </c>
      <c r="U1592" s="3313">
        <v>3</v>
      </c>
      <c r="V1592" s="3392">
        <f>7432692-T1592-R1592</f>
        <v>3245492</v>
      </c>
      <c r="W1592" s="3313"/>
      <c r="X1592" s="3313"/>
      <c r="Y1592" s="3393">
        <f t="shared" si="535"/>
        <v>9</v>
      </c>
      <c r="Z1592" s="3394">
        <f t="shared" si="535"/>
        <v>7432692</v>
      </c>
      <c r="AA1592" s="3393">
        <f t="shared" si="536"/>
        <v>33</v>
      </c>
      <c r="AB1592" s="3395">
        <f t="shared" si="539"/>
        <v>23386692</v>
      </c>
      <c r="AC1592" s="3396">
        <f t="shared" si="537"/>
        <v>45.833333333333329</v>
      </c>
      <c r="AD1592" s="3396">
        <f t="shared" si="538"/>
        <v>43.793663158683195</v>
      </c>
      <c r="AE1592" s="3397"/>
    </row>
    <row r="1593" spans="1:76" s="63" customFormat="1" ht="67.5" customHeight="1">
      <c r="A1593" s="3383"/>
      <c r="B1593" s="3383"/>
      <c r="C1593" s="3384">
        <v>3</v>
      </c>
      <c r="D1593" s="3385" t="s">
        <v>107</v>
      </c>
      <c r="E1593" s="3385" t="s">
        <v>95</v>
      </c>
      <c r="F1593" s="3385" t="s">
        <v>66</v>
      </c>
      <c r="G1593" s="3385" t="s">
        <v>66</v>
      </c>
      <c r="H1593" s="3386" t="s">
        <v>198</v>
      </c>
      <c r="I1593" s="3380" t="s">
        <v>1287</v>
      </c>
      <c r="J1593" s="3380" t="s">
        <v>3506</v>
      </c>
      <c r="K1593" s="3387">
        <v>72</v>
      </c>
      <c r="L1593" s="3325">
        <v>631032000</v>
      </c>
      <c r="M1593" s="3313">
        <v>24</v>
      </c>
      <c r="N1593" s="3388">
        <v>250182000</v>
      </c>
      <c r="O1593" s="3313">
        <v>12</v>
      </c>
      <c r="P1593" s="3389">
        <v>64200000</v>
      </c>
      <c r="Q1593" s="3313">
        <v>3</v>
      </c>
      <c r="R1593" s="3325">
        <v>12450000</v>
      </c>
      <c r="S1593" s="3390">
        <v>3</v>
      </c>
      <c r="T1593" s="3391">
        <f>25500000-R1593</f>
        <v>13050000</v>
      </c>
      <c r="U1593" s="3313">
        <v>3</v>
      </c>
      <c r="V1593" s="3392">
        <f>46100000-R1593-T1593</f>
        <v>20600000</v>
      </c>
      <c r="W1593" s="3313"/>
      <c r="X1593" s="3313"/>
      <c r="Y1593" s="3393">
        <f t="shared" si="535"/>
        <v>9</v>
      </c>
      <c r="Z1593" s="3394">
        <f t="shared" si="535"/>
        <v>46100000</v>
      </c>
      <c r="AA1593" s="3393">
        <f t="shared" si="536"/>
        <v>33</v>
      </c>
      <c r="AB1593" s="3395">
        <f t="shared" si="539"/>
        <v>296282000</v>
      </c>
      <c r="AC1593" s="3396">
        <f t="shared" si="537"/>
        <v>45.833333333333329</v>
      </c>
      <c r="AD1593" s="3396">
        <f t="shared" si="538"/>
        <v>46.951977078816917</v>
      </c>
      <c r="AE1593" s="3397"/>
    </row>
    <row r="1594" spans="1:76" s="63" customFormat="1" ht="54" customHeight="1">
      <c r="A1594" s="3383"/>
      <c r="B1594" s="3383"/>
      <c r="C1594" s="3384">
        <v>3</v>
      </c>
      <c r="D1594" s="3385" t="s">
        <v>107</v>
      </c>
      <c r="E1594" s="3385" t="s">
        <v>95</v>
      </c>
      <c r="F1594" s="3385" t="s">
        <v>66</v>
      </c>
      <c r="G1594" s="3385" t="s">
        <v>66</v>
      </c>
      <c r="H1594" s="3386" t="s">
        <v>93</v>
      </c>
      <c r="I1594" s="3380" t="s">
        <v>149</v>
      </c>
      <c r="J1594" s="3380" t="s">
        <v>3507</v>
      </c>
      <c r="K1594" s="3387">
        <v>72</v>
      </c>
      <c r="L1594" s="3325">
        <v>255000000</v>
      </c>
      <c r="M1594" s="3313">
        <v>24</v>
      </c>
      <c r="N1594" s="3388">
        <v>47000000</v>
      </c>
      <c r="O1594" s="3313">
        <v>12</v>
      </c>
      <c r="P1594" s="3389">
        <v>52000000</v>
      </c>
      <c r="Q1594" s="3313">
        <v>3</v>
      </c>
      <c r="R1594" s="3325">
        <v>11000000</v>
      </c>
      <c r="S1594" s="3390">
        <v>3</v>
      </c>
      <c r="T1594" s="3391">
        <f>33000000-R1594</f>
        <v>22000000</v>
      </c>
      <c r="U1594" s="3313">
        <v>3</v>
      </c>
      <c r="V1594" s="3392">
        <f>49500000-R1594-T1594</f>
        <v>16500000</v>
      </c>
      <c r="W1594" s="3313"/>
      <c r="X1594" s="3313"/>
      <c r="Y1594" s="3393">
        <f t="shared" si="535"/>
        <v>9</v>
      </c>
      <c r="Z1594" s="3394">
        <f t="shared" si="535"/>
        <v>49500000</v>
      </c>
      <c r="AA1594" s="3393">
        <f t="shared" si="536"/>
        <v>33</v>
      </c>
      <c r="AB1594" s="3395">
        <f t="shared" si="539"/>
        <v>96500000</v>
      </c>
      <c r="AC1594" s="3396">
        <f t="shared" si="537"/>
        <v>45.833333333333329</v>
      </c>
      <c r="AD1594" s="3396">
        <f t="shared" si="538"/>
        <v>37.843137254901961</v>
      </c>
      <c r="AE1594" s="3397"/>
    </row>
    <row r="1595" spans="1:76" s="63" customFormat="1" ht="61.5" customHeight="1">
      <c r="A1595" s="3383"/>
      <c r="B1595" s="3383"/>
      <c r="C1595" s="3384">
        <v>3</v>
      </c>
      <c r="D1595" s="3385" t="s">
        <v>107</v>
      </c>
      <c r="E1595" s="3385" t="s">
        <v>95</v>
      </c>
      <c r="F1595" s="3385" t="s">
        <v>66</v>
      </c>
      <c r="G1595" s="3385" t="s">
        <v>66</v>
      </c>
      <c r="H1595" s="3390">
        <v>10</v>
      </c>
      <c r="I1595" s="3380" t="s">
        <v>150</v>
      </c>
      <c r="J1595" s="3380" t="s">
        <v>3508</v>
      </c>
      <c r="K1595" s="3387">
        <v>72</v>
      </c>
      <c r="L1595" s="3325">
        <v>221973000</v>
      </c>
      <c r="M1595" s="3313">
        <v>24</v>
      </c>
      <c r="N1595" s="3388">
        <v>82295000</v>
      </c>
      <c r="O1595" s="3313">
        <v>12</v>
      </c>
      <c r="P1595" s="3389">
        <v>34295038</v>
      </c>
      <c r="Q1595" s="3313">
        <v>3</v>
      </c>
      <c r="R1595" s="3325">
        <v>6729592</v>
      </c>
      <c r="S1595" s="3390">
        <v>3</v>
      </c>
      <c r="T1595" s="3391">
        <f>15458878-R1595</f>
        <v>8729286</v>
      </c>
      <c r="U1595" s="3313">
        <v>3</v>
      </c>
      <c r="V1595" s="3392">
        <f>24985414-R1595-T1595</f>
        <v>9526536</v>
      </c>
      <c r="W1595" s="3313"/>
      <c r="X1595" s="3313"/>
      <c r="Y1595" s="3393">
        <f t="shared" si="535"/>
        <v>9</v>
      </c>
      <c r="Z1595" s="3394">
        <f t="shared" si="535"/>
        <v>24985414</v>
      </c>
      <c r="AA1595" s="3393">
        <f t="shared" si="536"/>
        <v>33</v>
      </c>
      <c r="AB1595" s="3395">
        <f t="shared" si="539"/>
        <v>107280414</v>
      </c>
      <c r="AC1595" s="3396">
        <f t="shared" si="537"/>
        <v>45.833333333333329</v>
      </c>
      <c r="AD1595" s="3396">
        <f t="shared" si="538"/>
        <v>48.330388831074053</v>
      </c>
      <c r="AE1595" s="3397"/>
    </row>
    <row r="1596" spans="1:76" s="63" customFormat="1" ht="61.5" customHeight="1">
      <c r="A1596" s="3383"/>
      <c r="B1596" s="3383"/>
      <c r="C1596" s="3384">
        <v>3</v>
      </c>
      <c r="D1596" s="3385" t="s">
        <v>107</v>
      </c>
      <c r="E1596" s="3385" t="s">
        <v>95</v>
      </c>
      <c r="F1596" s="3385" t="s">
        <v>66</v>
      </c>
      <c r="G1596" s="3385" t="s">
        <v>66</v>
      </c>
      <c r="H1596" s="3390">
        <v>11</v>
      </c>
      <c r="I1596" s="3380" t="s">
        <v>151</v>
      </c>
      <c r="J1596" s="3380" t="s">
        <v>3509</v>
      </c>
      <c r="K1596" s="3387">
        <v>72</v>
      </c>
      <c r="L1596" s="3325">
        <v>302143000</v>
      </c>
      <c r="M1596" s="3313">
        <v>24</v>
      </c>
      <c r="N1596" s="3388">
        <v>112815000</v>
      </c>
      <c r="O1596" s="3313">
        <v>12</v>
      </c>
      <c r="P1596" s="3389">
        <v>47332000</v>
      </c>
      <c r="Q1596" s="3313">
        <v>3</v>
      </c>
      <c r="R1596" s="3325">
        <v>6713000</v>
      </c>
      <c r="S1596" s="3390">
        <v>3</v>
      </c>
      <c r="T1596" s="3391">
        <f>19089000-R1596</f>
        <v>12376000</v>
      </c>
      <c r="U1596" s="3313">
        <v>3</v>
      </c>
      <c r="V1596" s="3392">
        <f>26828000-R1596-T1596</f>
        <v>7739000</v>
      </c>
      <c r="W1596" s="3313"/>
      <c r="X1596" s="3313"/>
      <c r="Y1596" s="3393">
        <f t="shared" si="535"/>
        <v>9</v>
      </c>
      <c r="Z1596" s="3394">
        <f t="shared" si="535"/>
        <v>26828000</v>
      </c>
      <c r="AA1596" s="3393">
        <f t="shared" si="536"/>
        <v>33</v>
      </c>
      <c r="AB1596" s="3395">
        <f t="shared" si="539"/>
        <v>139643000</v>
      </c>
      <c r="AC1596" s="3396">
        <f t="shared" si="537"/>
        <v>45.833333333333329</v>
      </c>
      <c r="AD1596" s="3396">
        <f t="shared" si="538"/>
        <v>46.217519518903302</v>
      </c>
      <c r="AE1596" s="3397"/>
    </row>
    <row r="1597" spans="1:76" s="63" customFormat="1" ht="61.5" customHeight="1">
      <c r="A1597" s="3383"/>
      <c r="B1597" s="3383"/>
      <c r="C1597" s="3384">
        <v>3</v>
      </c>
      <c r="D1597" s="3385" t="s">
        <v>107</v>
      </c>
      <c r="E1597" s="3385" t="s">
        <v>95</v>
      </c>
      <c r="F1597" s="3385" t="s">
        <v>66</v>
      </c>
      <c r="G1597" s="3385" t="s">
        <v>66</v>
      </c>
      <c r="H1597" s="3390">
        <v>12</v>
      </c>
      <c r="I1597" s="3380" t="s">
        <v>152</v>
      </c>
      <c r="J1597" s="3380" t="s">
        <v>3510</v>
      </c>
      <c r="K1597" s="3387">
        <v>72</v>
      </c>
      <c r="L1597" s="3325">
        <v>75025000</v>
      </c>
      <c r="M1597" s="3313">
        <v>24</v>
      </c>
      <c r="N1597" s="3388">
        <v>44913000</v>
      </c>
      <c r="O1597" s="3313">
        <v>12</v>
      </c>
      <c r="P1597" s="3389">
        <v>7528100</v>
      </c>
      <c r="Q1597" s="3313">
        <v>3</v>
      </c>
      <c r="R1597" s="3325">
        <v>740300</v>
      </c>
      <c r="S1597" s="3390">
        <v>3</v>
      </c>
      <c r="T1597" s="3391">
        <f>4214500-R1597</f>
        <v>3474200</v>
      </c>
      <c r="U1597" s="3313">
        <v>3</v>
      </c>
      <c r="V1597" s="3392">
        <f>7526700-R1597-T1597</f>
        <v>3312200</v>
      </c>
      <c r="W1597" s="3313"/>
      <c r="X1597" s="3313"/>
      <c r="Y1597" s="3393">
        <f t="shared" si="535"/>
        <v>9</v>
      </c>
      <c r="Z1597" s="3394">
        <f t="shared" si="535"/>
        <v>7526700</v>
      </c>
      <c r="AA1597" s="3393">
        <f t="shared" si="536"/>
        <v>33</v>
      </c>
      <c r="AB1597" s="3395">
        <f t="shared" si="539"/>
        <v>52439700</v>
      </c>
      <c r="AC1597" s="3396">
        <f t="shared" si="537"/>
        <v>45.833333333333329</v>
      </c>
      <c r="AD1597" s="3396">
        <f t="shared" si="538"/>
        <v>69.896301232922369</v>
      </c>
      <c r="AE1597" s="3397"/>
    </row>
    <row r="1598" spans="1:76" s="63" customFormat="1" ht="61.5" customHeight="1">
      <c r="A1598" s="3383"/>
      <c r="B1598" s="3383"/>
      <c r="C1598" s="3384">
        <v>3</v>
      </c>
      <c r="D1598" s="3385" t="s">
        <v>107</v>
      </c>
      <c r="E1598" s="3385" t="s">
        <v>95</v>
      </c>
      <c r="F1598" s="3385" t="s">
        <v>66</v>
      </c>
      <c r="G1598" s="3385" t="s">
        <v>66</v>
      </c>
      <c r="H1598" s="3390">
        <v>15</v>
      </c>
      <c r="I1598" s="3380" t="s">
        <v>1293</v>
      </c>
      <c r="J1598" s="3380" t="s">
        <v>3511</v>
      </c>
      <c r="K1598" s="3387">
        <v>72</v>
      </c>
      <c r="L1598" s="3325">
        <v>77119000</v>
      </c>
      <c r="M1598" s="3313">
        <v>24</v>
      </c>
      <c r="N1598" s="3388">
        <v>24519000</v>
      </c>
      <c r="O1598" s="3313">
        <v>12</v>
      </c>
      <c r="P1598" s="3389">
        <v>25900000</v>
      </c>
      <c r="Q1598" s="3313">
        <v>3</v>
      </c>
      <c r="R1598" s="3325">
        <v>752000</v>
      </c>
      <c r="S1598" s="3390">
        <v>3</v>
      </c>
      <c r="T1598" s="3391">
        <f>4316000-R1598</f>
        <v>3564000</v>
      </c>
      <c r="U1598" s="3313">
        <v>3</v>
      </c>
      <c r="V1598" s="3392">
        <f>8142000-R1598-T1598</f>
        <v>3826000</v>
      </c>
      <c r="W1598" s="3313"/>
      <c r="X1598" s="3313"/>
      <c r="Y1598" s="3393">
        <f t="shared" si="535"/>
        <v>9</v>
      </c>
      <c r="Z1598" s="3394">
        <f t="shared" si="535"/>
        <v>8142000</v>
      </c>
      <c r="AA1598" s="3393">
        <f t="shared" si="536"/>
        <v>33</v>
      </c>
      <c r="AB1598" s="3395">
        <f t="shared" si="539"/>
        <v>32661000</v>
      </c>
      <c r="AC1598" s="3396">
        <f t="shared" si="537"/>
        <v>45.833333333333329</v>
      </c>
      <c r="AD1598" s="3396">
        <f t="shared" si="538"/>
        <v>42.351430905483731</v>
      </c>
      <c r="AE1598" s="3397"/>
    </row>
    <row r="1599" spans="1:76" s="55" customFormat="1" ht="51">
      <c r="A1599" s="3383"/>
      <c r="B1599" s="3383"/>
      <c r="C1599" s="3384">
        <v>3</v>
      </c>
      <c r="D1599" s="3385" t="s">
        <v>107</v>
      </c>
      <c r="E1599" s="3385" t="s">
        <v>95</v>
      </c>
      <c r="F1599" s="3385" t="s">
        <v>66</v>
      </c>
      <c r="G1599" s="3385" t="s">
        <v>66</v>
      </c>
      <c r="H1599" s="3390">
        <v>17</v>
      </c>
      <c r="I1599" s="3380" t="s">
        <v>157</v>
      </c>
      <c r="J1599" s="3380" t="s">
        <v>3512</v>
      </c>
      <c r="K1599" s="3387">
        <v>72</v>
      </c>
      <c r="L1599" s="3325">
        <v>240333000</v>
      </c>
      <c r="M1599" s="3313">
        <v>24</v>
      </c>
      <c r="N1599" s="3388">
        <v>69613000</v>
      </c>
      <c r="O1599" s="3313">
        <v>12</v>
      </c>
      <c r="P1599" s="3389">
        <v>42680000</v>
      </c>
      <c r="Q1599" s="3313">
        <v>3</v>
      </c>
      <c r="R1599" s="3325">
        <v>5367500</v>
      </c>
      <c r="S1599" s="3390">
        <v>3</v>
      </c>
      <c r="T1599" s="3391">
        <f>11472500-R1599</f>
        <v>6105000</v>
      </c>
      <c r="U1599" s="3313">
        <v>3</v>
      </c>
      <c r="V1599" s="3392">
        <f>19030000-R1599-T1599</f>
        <v>7557500</v>
      </c>
      <c r="W1599" s="3313"/>
      <c r="X1599" s="3313"/>
      <c r="Y1599" s="3393">
        <f t="shared" si="535"/>
        <v>9</v>
      </c>
      <c r="Z1599" s="3394">
        <f t="shared" si="535"/>
        <v>19030000</v>
      </c>
      <c r="AA1599" s="3393">
        <f t="shared" si="536"/>
        <v>33</v>
      </c>
      <c r="AB1599" s="3395">
        <f t="shared" si="539"/>
        <v>88643000</v>
      </c>
      <c r="AC1599" s="3396">
        <f t="shared" si="537"/>
        <v>45.833333333333329</v>
      </c>
      <c r="AD1599" s="3396">
        <f t="shared" si="538"/>
        <v>36.883407605281008</v>
      </c>
      <c r="AE1599" s="3397"/>
      <c r="AF1599" s="145"/>
      <c r="AG1599" s="145"/>
      <c r="AH1599" s="145"/>
      <c r="AI1599" s="145"/>
      <c r="AJ1599" s="145"/>
      <c r="AK1599" s="145"/>
      <c r="AL1599" s="145"/>
      <c r="AM1599" s="145"/>
      <c r="AN1599" s="145"/>
      <c r="AO1599" s="145"/>
      <c r="AP1599" s="145"/>
      <c r="AQ1599" s="145"/>
      <c r="AR1599" s="145"/>
      <c r="AS1599" s="145"/>
      <c r="AT1599" s="145"/>
      <c r="AU1599" s="145"/>
      <c r="AV1599" s="145"/>
      <c r="AW1599" s="145"/>
      <c r="AX1599" s="145"/>
      <c r="AY1599" s="145"/>
      <c r="AZ1599" s="145"/>
      <c r="BA1599" s="145"/>
      <c r="BB1599" s="145"/>
      <c r="BC1599" s="145"/>
      <c r="BD1599" s="145"/>
      <c r="BE1599" s="145"/>
      <c r="BF1599" s="145"/>
      <c r="BG1599" s="145"/>
      <c r="BH1599" s="145"/>
      <c r="BI1599" s="145"/>
      <c r="BJ1599" s="145"/>
      <c r="BK1599" s="145"/>
      <c r="BL1599" s="145"/>
      <c r="BM1599" s="145"/>
      <c r="BN1599" s="145"/>
      <c r="BO1599" s="145"/>
      <c r="BP1599" s="145"/>
      <c r="BQ1599" s="145"/>
      <c r="BR1599" s="145"/>
      <c r="BS1599" s="145"/>
      <c r="BT1599" s="145"/>
      <c r="BU1599" s="145"/>
      <c r="BV1599" s="145"/>
      <c r="BW1599" s="145"/>
      <c r="BX1599" s="145"/>
    </row>
    <row r="1600" spans="1:76" ht="75" customHeight="1">
      <c r="A1600" s="3383"/>
      <c r="B1600" s="3383"/>
      <c r="C1600" s="3384">
        <v>3</v>
      </c>
      <c r="D1600" s="3385" t="s">
        <v>107</v>
      </c>
      <c r="E1600" s="3385" t="s">
        <v>95</v>
      </c>
      <c r="F1600" s="3385" t="s">
        <v>66</v>
      </c>
      <c r="G1600" s="3385" t="s">
        <v>66</v>
      </c>
      <c r="H1600" s="3390">
        <v>18</v>
      </c>
      <c r="I1600" s="3380" t="s">
        <v>244</v>
      </c>
      <c r="J1600" s="3380" t="s">
        <v>3513</v>
      </c>
      <c r="K1600" s="3387">
        <v>72</v>
      </c>
      <c r="L1600" s="3325">
        <v>832905000</v>
      </c>
      <c r="M1600" s="3313">
        <v>24</v>
      </c>
      <c r="N1600" s="3388">
        <v>363705000</v>
      </c>
      <c r="O1600" s="3313">
        <v>12</v>
      </c>
      <c r="P1600" s="3389">
        <v>117300000</v>
      </c>
      <c r="Q1600" s="3313">
        <v>3</v>
      </c>
      <c r="R1600" s="3325">
        <v>28622700</v>
      </c>
      <c r="S1600" s="3390">
        <v>3</v>
      </c>
      <c r="T1600" s="3391">
        <f>81429685-R1600</f>
        <v>52806985</v>
      </c>
      <c r="U1600" s="3313">
        <v>3</v>
      </c>
      <c r="V1600" s="3392">
        <f>107158685-R1600-T1600</f>
        <v>25729000</v>
      </c>
      <c r="W1600" s="3313"/>
      <c r="X1600" s="3313"/>
      <c r="Y1600" s="3393">
        <f t="shared" si="535"/>
        <v>9</v>
      </c>
      <c r="Z1600" s="3394">
        <f t="shared" si="535"/>
        <v>107158685</v>
      </c>
      <c r="AA1600" s="3393">
        <f t="shared" si="536"/>
        <v>33</v>
      </c>
      <c r="AB1600" s="3395">
        <f t="shared" si="539"/>
        <v>470863685</v>
      </c>
      <c r="AC1600" s="3396">
        <f t="shared" si="537"/>
        <v>45.833333333333329</v>
      </c>
      <c r="AD1600" s="3396">
        <f t="shared" si="538"/>
        <v>56.532700007804017</v>
      </c>
      <c r="AE1600" s="3397"/>
    </row>
    <row r="1601" spans="1:76" s="63" customFormat="1" ht="72.75" customHeight="1">
      <c r="A1601" s="3383"/>
      <c r="B1601" s="3383"/>
      <c r="C1601" s="3384">
        <v>3</v>
      </c>
      <c r="D1601" s="3385" t="s">
        <v>107</v>
      </c>
      <c r="E1601" s="3385" t="s">
        <v>95</v>
      </c>
      <c r="F1601" s="3385" t="s">
        <v>66</v>
      </c>
      <c r="G1601" s="3385" t="s">
        <v>66</v>
      </c>
      <c r="H1601" s="3390">
        <v>20</v>
      </c>
      <c r="I1601" s="3380" t="s">
        <v>246</v>
      </c>
      <c r="J1601" s="3380" t="s">
        <v>3514</v>
      </c>
      <c r="K1601" s="3387">
        <v>72</v>
      </c>
      <c r="L1601" s="3325">
        <v>398565000</v>
      </c>
      <c r="M1601" s="3313">
        <v>24</v>
      </c>
      <c r="N1601" s="3388">
        <v>139065000</v>
      </c>
      <c r="O1601" s="3313">
        <v>12</v>
      </c>
      <c r="P1601" s="3389">
        <v>64700000</v>
      </c>
      <c r="Q1601" s="3313">
        <v>3</v>
      </c>
      <c r="R1601" s="3325">
        <v>17137200</v>
      </c>
      <c r="S1601" s="3390">
        <v>3</v>
      </c>
      <c r="T1601" s="3391">
        <f>51112200-R1601</f>
        <v>33975000</v>
      </c>
      <c r="U1601" s="3313">
        <v>3</v>
      </c>
      <c r="V1601" s="3392">
        <f>64337200-T1601-R1601</f>
        <v>13225000</v>
      </c>
      <c r="W1601" s="3313"/>
      <c r="X1601" s="3313"/>
      <c r="Y1601" s="3393">
        <f t="shared" si="535"/>
        <v>9</v>
      </c>
      <c r="Z1601" s="3394">
        <f t="shared" si="535"/>
        <v>64337200</v>
      </c>
      <c r="AA1601" s="3393">
        <f t="shared" si="536"/>
        <v>33</v>
      </c>
      <c r="AB1601" s="3395">
        <f t="shared" si="539"/>
        <v>203402200</v>
      </c>
      <c r="AC1601" s="3396">
        <f t="shared" si="537"/>
        <v>45.833333333333329</v>
      </c>
      <c r="AD1601" s="3396">
        <f t="shared" si="538"/>
        <v>51.033633158957755</v>
      </c>
      <c r="AE1601" s="3397"/>
    </row>
    <row r="1602" spans="1:76" s="63" customFormat="1" ht="87" customHeight="1">
      <c r="A1602" s="3383"/>
      <c r="B1602" s="3383"/>
      <c r="C1602" s="3384">
        <v>3</v>
      </c>
      <c r="D1602" s="3385" t="s">
        <v>107</v>
      </c>
      <c r="E1602" s="3385" t="s">
        <v>95</v>
      </c>
      <c r="F1602" s="3385" t="s">
        <v>66</v>
      </c>
      <c r="G1602" s="3385" t="s">
        <v>66</v>
      </c>
      <c r="H1602" s="3390">
        <v>40</v>
      </c>
      <c r="I1602" s="3380" t="s">
        <v>948</v>
      </c>
      <c r="J1602" s="3380" t="s">
        <v>3515</v>
      </c>
      <c r="K1602" s="3387">
        <v>72</v>
      </c>
      <c r="L1602" s="3325">
        <v>164143000</v>
      </c>
      <c r="M1602" s="3313">
        <v>24</v>
      </c>
      <c r="N1602" s="3388">
        <v>19143000</v>
      </c>
      <c r="O1602" s="3313">
        <v>12</v>
      </c>
      <c r="P1602" s="3389">
        <v>40000000</v>
      </c>
      <c r="Q1602" s="3313">
        <v>3</v>
      </c>
      <c r="R1602" s="3325">
        <v>240000</v>
      </c>
      <c r="S1602" s="3390">
        <v>3</v>
      </c>
      <c r="T1602" s="3391">
        <f>18087200-R1602</f>
        <v>17847200</v>
      </c>
      <c r="U1602" s="3313">
        <v>3</v>
      </c>
      <c r="V1602" s="3392">
        <f>31144700-R1602-T1602</f>
        <v>13057500</v>
      </c>
      <c r="W1602" s="3313"/>
      <c r="X1602" s="3313"/>
      <c r="Y1602" s="3393">
        <f t="shared" si="535"/>
        <v>9</v>
      </c>
      <c r="Z1602" s="3394">
        <f t="shared" si="535"/>
        <v>31144700</v>
      </c>
      <c r="AA1602" s="3393">
        <f t="shared" si="536"/>
        <v>33</v>
      </c>
      <c r="AB1602" s="3395">
        <f t="shared" si="539"/>
        <v>50287700</v>
      </c>
      <c r="AC1602" s="3396">
        <f t="shared" si="537"/>
        <v>45.833333333333329</v>
      </c>
      <c r="AD1602" s="3396">
        <f t="shared" si="538"/>
        <v>30.636518157947645</v>
      </c>
      <c r="AE1602" s="3397"/>
    </row>
    <row r="1603" spans="1:76" s="63" customFormat="1" ht="57.75" customHeight="1">
      <c r="A1603" s="3398">
        <v>2</v>
      </c>
      <c r="B1603" s="3301" t="s">
        <v>1247</v>
      </c>
      <c r="C1603" s="3399">
        <v>3</v>
      </c>
      <c r="D1603" s="3400" t="s">
        <v>107</v>
      </c>
      <c r="E1603" s="3400" t="s">
        <v>95</v>
      </c>
      <c r="F1603" s="3400" t="s">
        <v>66</v>
      </c>
      <c r="G1603" s="3400" t="s">
        <v>65</v>
      </c>
      <c r="H1603" s="3401"/>
      <c r="I1603" s="3402" t="s">
        <v>257</v>
      </c>
      <c r="J1603" s="3402" t="s">
        <v>3517</v>
      </c>
      <c r="K1603" s="3403">
        <v>72</v>
      </c>
      <c r="L1603" s="3404">
        <f>SUM(L1604:L1608)</f>
        <v>2899457000</v>
      </c>
      <c r="M1603" s="3403">
        <v>24</v>
      </c>
      <c r="N1603" s="3405">
        <f>SUM(N1604:N1608)</f>
        <v>966702000</v>
      </c>
      <c r="O1603" s="3403">
        <v>12</v>
      </c>
      <c r="P1603" s="3405">
        <f>SUM(P1604:P1608)</f>
        <v>576617000</v>
      </c>
      <c r="Q1603" s="3403">
        <v>3</v>
      </c>
      <c r="R1603" s="3404">
        <f>SUM(R1604:R1608)</f>
        <v>29234476</v>
      </c>
      <c r="S1603" s="3399">
        <v>3</v>
      </c>
      <c r="T1603" s="3406">
        <f>SUM(T1604:T1608)</f>
        <v>86802502</v>
      </c>
      <c r="U1603" s="3403">
        <v>3</v>
      </c>
      <c r="V1603" s="3406">
        <f>SUM(V1604:V1608)</f>
        <v>225612950</v>
      </c>
      <c r="W1603" s="3403"/>
      <c r="X1603" s="3403"/>
      <c r="Y1603" s="3407">
        <f t="shared" si="535"/>
        <v>9</v>
      </c>
      <c r="Z1603" s="3408">
        <f>SUM(Z1604:Z1608)</f>
        <v>341649928</v>
      </c>
      <c r="AA1603" s="3407">
        <f t="shared" si="536"/>
        <v>33</v>
      </c>
      <c r="AB1603" s="3408">
        <f>SUM(AB1604:AB1608)</f>
        <v>1308351928</v>
      </c>
      <c r="AC1603" s="3409">
        <f t="shared" si="537"/>
        <v>45.833333333333329</v>
      </c>
      <c r="AD1603" s="3409">
        <f t="shared" si="538"/>
        <v>45.124032810281371</v>
      </c>
      <c r="AE1603" s="3410" t="s">
        <v>1232</v>
      </c>
    </row>
    <row r="1604" spans="1:76" s="63" customFormat="1" ht="52.5" customHeight="1">
      <c r="A1604" s="3383"/>
      <c r="B1604" s="3393"/>
      <c r="C1604" s="3384">
        <v>3</v>
      </c>
      <c r="D1604" s="3385" t="s">
        <v>107</v>
      </c>
      <c r="E1604" s="3385" t="s">
        <v>95</v>
      </c>
      <c r="F1604" s="3385" t="s">
        <v>66</v>
      </c>
      <c r="G1604" s="3385" t="s">
        <v>65</v>
      </c>
      <c r="H1604" s="3390"/>
      <c r="I1604" s="3380" t="s">
        <v>935</v>
      </c>
      <c r="J1604" s="2678" t="s">
        <v>1299</v>
      </c>
      <c r="K1604" s="3341">
        <v>112</v>
      </c>
      <c r="L1604" s="3325">
        <v>783962000</v>
      </c>
      <c r="M1604" s="3313">
        <v>72</v>
      </c>
      <c r="N1604" s="3388">
        <v>314162000</v>
      </c>
      <c r="O1604" s="3335">
        <v>12</v>
      </c>
      <c r="P1604" s="3388">
        <v>224700000</v>
      </c>
      <c r="Q1604" s="3313">
        <v>0</v>
      </c>
      <c r="R1604" s="3325">
        <v>0</v>
      </c>
      <c r="S1604" s="3390">
        <v>0</v>
      </c>
      <c r="T1604" s="3391">
        <v>48950000</v>
      </c>
      <c r="U1604" s="3313">
        <v>8</v>
      </c>
      <c r="V1604" s="3392">
        <f>66150000-T1604</f>
        <v>17200000</v>
      </c>
      <c r="W1604" s="3313"/>
      <c r="X1604" s="3313"/>
      <c r="Y1604" s="3393">
        <f t="shared" si="535"/>
        <v>8</v>
      </c>
      <c r="Z1604" s="3394">
        <f t="shared" si="535"/>
        <v>66150000</v>
      </c>
      <c r="AA1604" s="3393">
        <f t="shared" si="536"/>
        <v>80</v>
      </c>
      <c r="AB1604" s="3395">
        <f t="shared" si="539"/>
        <v>380312000</v>
      </c>
      <c r="AC1604" s="3396">
        <f t="shared" si="537"/>
        <v>71.428571428571431</v>
      </c>
      <c r="AD1604" s="3396">
        <f t="shared" si="538"/>
        <v>48.511534997869795</v>
      </c>
      <c r="AE1604" s="3397"/>
    </row>
    <row r="1605" spans="1:76" s="63" customFormat="1" ht="56.25" customHeight="1">
      <c r="A1605" s="3383"/>
      <c r="B1605" s="3383"/>
      <c r="C1605" s="3384">
        <v>3</v>
      </c>
      <c r="D1605" s="3385" t="s">
        <v>107</v>
      </c>
      <c r="E1605" s="3385" t="s">
        <v>95</v>
      </c>
      <c r="F1605" s="3385" t="s">
        <v>66</v>
      </c>
      <c r="G1605" s="3385" t="s">
        <v>65</v>
      </c>
      <c r="H1605" s="3386" t="s">
        <v>201</v>
      </c>
      <c r="I1605" s="3380" t="s">
        <v>454</v>
      </c>
      <c r="J1605" s="2678" t="s">
        <v>1300</v>
      </c>
      <c r="K1605" s="3313">
        <v>27</v>
      </c>
      <c r="L1605" s="3325">
        <v>437880000</v>
      </c>
      <c r="M1605" s="3313">
        <v>11</v>
      </c>
      <c r="N1605" s="3388">
        <v>70260000</v>
      </c>
      <c r="O1605" s="3335">
        <v>2</v>
      </c>
      <c r="P1605" s="3388">
        <v>2500000</v>
      </c>
      <c r="Q1605" s="3313">
        <v>0</v>
      </c>
      <c r="R1605" s="3325">
        <v>0</v>
      </c>
      <c r="S1605" s="3390">
        <v>0</v>
      </c>
      <c r="T1605" s="3391">
        <v>0</v>
      </c>
      <c r="U1605" s="3313">
        <v>0</v>
      </c>
      <c r="V1605" s="3392">
        <v>0</v>
      </c>
      <c r="W1605" s="3313"/>
      <c r="X1605" s="3313"/>
      <c r="Y1605" s="3393">
        <f t="shared" si="535"/>
        <v>0</v>
      </c>
      <c r="Z1605" s="3394">
        <f t="shared" si="535"/>
        <v>0</v>
      </c>
      <c r="AA1605" s="3393">
        <f t="shared" si="536"/>
        <v>11</v>
      </c>
      <c r="AB1605" s="3395">
        <f t="shared" si="539"/>
        <v>70260000</v>
      </c>
      <c r="AC1605" s="3396">
        <f t="shared" si="537"/>
        <v>40.74074074074074</v>
      </c>
      <c r="AD1605" s="3396">
        <f t="shared" si="538"/>
        <v>16.045491915593313</v>
      </c>
      <c r="AE1605" s="3397"/>
    </row>
    <row r="1606" spans="1:76" s="63" customFormat="1" ht="51">
      <c r="A1606" s="3383"/>
      <c r="B1606" s="3383"/>
      <c r="C1606" s="3384">
        <v>3</v>
      </c>
      <c r="D1606" s="3385" t="s">
        <v>107</v>
      </c>
      <c r="E1606" s="3385" t="s">
        <v>95</v>
      </c>
      <c r="F1606" s="3385" t="s">
        <v>66</v>
      </c>
      <c r="G1606" s="3385" t="s">
        <v>65</v>
      </c>
      <c r="H1606" s="3390">
        <v>22</v>
      </c>
      <c r="I1606" s="3380" t="s">
        <v>1301</v>
      </c>
      <c r="J1606" s="2678" t="s">
        <v>1302</v>
      </c>
      <c r="K1606" s="3313">
        <v>10</v>
      </c>
      <c r="L1606" s="3325">
        <v>864819000</v>
      </c>
      <c r="M1606" s="3313">
        <v>4</v>
      </c>
      <c r="N1606" s="3388">
        <v>317885000</v>
      </c>
      <c r="O1606" s="3335">
        <v>2</v>
      </c>
      <c r="P1606" s="3388">
        <v>181800000</v>
      </c>
      <c r="Q1606" s="3313">
        <v>0</v>
      </c>
      <c r="R1606" s="3325">
        <v>0</v>
      </c>
      <c r="S1606" s="3390">
        <v>0</v>
      </c>
      <c r="T1606" s="3391">
        <v>0</v>
      </c>
      <c r="U1606" s="3313">
        <v>2</v>
      </c>
      <c r="V1606" s="3392">
        <v>175650000</v>
      </c>
      <c r="W1606" s="3313"/>
      <c r="X1606" s="3313"/>
      <c r="Y1606" s="3393">
        <f t="shared" si="535"/>
        <v>2</v>
      </c>
      <c r="Z1606" s="3394">
        <f t="shared" si="535"/>
        <v>175650000</v>
      </c>
      <c r="AA1606" s="3393">
        <f t="shared" si="536"/>
        <v>6</v>
      </c>
      <c r="AB1606" s="3395">
        <f t="shared" si="539"/>
        <v>493535000</v>
      </c>
      <c r="AC1606" s="3396">
        <f t="shared" si="537"/>
        <v>60</v>
      </c>
      <c r="AD1606" s="3396">
        <f t="shared" si="538"/>
        <v>57.068010762945775</v>
      </c>
      <c r="AE1606" s="3397"/>
    </row>
    <row r="1607" spans="1:76" s="145" customFormat="1" ht="63.75">
      <c r="A1607" s="3383"/>
      <c r="B1607" s="3383"/>
      <c r="C1607" s="3384">
        <v>3</v>
      </c>
      <c r="D1607" s="3385" t="s">
        <v>107</v>
      </c>
      <c r="E1607" s="3385" t="s">
        <v>95</v>
      </c>
      <c r="F1607" s="3385" t="s">
        <v>66</v>
      </c>
      <c r="G1607" s="3385" t="s">
        <v>65</v>
      </c>
      <c r="H1607" s="3390">
        <v>24</v>
      </c>
      <c r="I1607" s="3380" t="s">
        <v>1303</v>
      </c>
      <c r="J1607" s="2678" t="s">
        <v>1304</v>
      </c>
      <c r="K1607" s="3387">
        <v>500</v>
      </c>
      <c r="L1607" s="3325">
        <v>595731000</v>
      </c>
      <c r="M1607" s="3313">
        <v>200</v>
      </c>
      <c r="N1607" s="3388">
        <v>194286000</v>
      </c>
      <c r="O1607" s="3411">
        <v>1</v>
      </c>
      <c r="P1607" s="3388">
        <v>129825000</v>
      </c>
      <c r="Q1607" s="3313">
        <v>20</v>
      </c>
      <c r="R1607" s="3325">
        <v>23667476</v>
      </c>
      <c r="S1607" s="3390">
        <v>28</v>
      </c>
      <c r="T1607" s="3391">
        <f>54485978-R1607</f>
        <v>30818502</v>
      </c>
      <c r="U1607" s="3313">
        <v>10</v>
      </c>
      <c r="V1607" s="3392">
        <f>74920928-R1607-T1607</f>
        <v>20434950</v>
      </c>
      <c r="W1607" s="3313"/>
      <c r="X1607" s="3313"/>
      <c r="Y1607" s="3393">
        <f t="shared" si="535"/>
        <v>58</v>
      </c>
      <c r="Z1607" s="3394">
        <f t="shared" si="535"/>
        <v>74920928</v>
      </c>
      <c r="AA1607" s="3393">
        <f t="shared" si="536"/>
        <v>258</v>
      </c>
      <c r="AB1607" s="3395">
        <f t="shared" si="539"/>
        <v>269206928</v>
      </c>
      <c r="AC1607" s="3396">
        <f t="shared" si="537"/>
        <v>51.6</v>
      </c>
      <c r="AD1607" s="3396">
        <f t="shared" si="538"/>
        <v>45.18934351242423</v>
      </c>
      <c r="AE1607" s="3397"/>
    </row>
    <row r="1608" spans="1:76" s="63" customFormat="1" ht="51">
      <c r="A1608" s="3383"/>
      <c r="B1608" s="3383"/>
      <c r="C1608" s="3384">
        <v>3</v>
      </c>
      <c r="D1608" s="3385" t="s">
        <v>107</v>
      </c>
      <c r="E1608" s="3385" t="s">
        <v>95</v>
      </c>
      <c r="F1608" s="3385" t="s">
        <v>66</v>
      </c>
      <c r="G1608" s="3385" t="s">
        <v>65</v>
      </c>
      <c r="H1608" s="3390">
        <v>28</v>
      </c>
      <c r="I1608" s="3380" t="s">
        <v>1305</v>
      </c>
      <c r="J1608" s="2678" t="s">
        <v>1306</v>
      </c>
      <c r="K1608" s="3313">
        <v>342</v>
      </c>
      <c r="L1608" s="3325">
        <v>217065000</v>
      </c>
      <c r="M1608" s="3313">
        <v>137</v>
      </c>
      <c r="N1608" s="3388">
        <v>70109000</v>
      </c>
      <c r="O1608" s="3313">
        <v>77</v>
      </c>
      <c r="P1608" s="3388">
        <v>37792000</v>
      </c>
      <c r="Q1608" s="3313">
        <v>17</v>
      </c>
      <c r="R1608" s="3325">
        <v>5567000</v>
      </c>
      <c r="S1608" s="3390">
        <v>19</v>
      </c>
      <c r="T1608" s="3391">
        <f>12601000-R1608</f>
        <v>7034000</v>
      </c>
      <c r="U1608" s="3313">
        <v>30</v>
      </c>
      <c r="V1608" s="3392">
        <f>24929000-R1608-T1608</f>
        <v>12328000</v>
      </c>
      <c r="W1608" s="3313"/>
      <c r="X1608" s="3313"/>
      <c r="Y1608" s="3393">
        <f t="shared" si="535"/>
        <v>66</v>
      </c>
      <c r="Z1608" s="3394">
        <f t="shared" si="535"/>
        <v>24929000</v>
      </c>
      <c r="AA1608" s="3393">
        <f t="shared" si="536"/>
        <v>203</v>
      </c>
      <c r="AB1608" s="3395">
        <f t="shared" si="539"/>
        <v>95038000</v>
      </c>
      <c r="AC1608" s="3396">
        <f t="shared" si="537"/>
        <v>59.356725146198826</v>
      </c>
      <c r="AD1608" s="3396">
        <f t="shared" si="538"/>
        <v>43.783198581070188</v>
      </c>
      <c r="AE1608" s="3397"/>
    </row>
    <row r="1609" spans="1:76" s="145" customFormat="1" ht="66.75" customHeight="1">
      <c r="A1609" s="3301">
        <v>3</v>
      </c>
      <c r="B1609" s="3301"/>
      <c r="C1609" s="3399">
        <v>3</v>
      </c>
      <c r="D1609" s="3400" t="s">
        <v>107</v>
      </c>
      <c r="E1609" s="3400" t="s">
        <v>95</v>
      </c>
      <c r="F1609" s="3400" t="s">
        <v>66</v>
      </c>
      <c r="G1609" s="3400" t="s">
        <v>161</v>
      </c>
      <c r="H1609" s="3401"/>
      <c r="I1609" s="3402" t="s">
        <v>226</v>
      </c>
      <c r="J1609" s="3303" t="s">
        <v>3897</v>
      </c>
      <c r="K1609" s="3412">
        <v>600</v>
      </c>
      <c r="L1609" s="3413">
        <f>SUM(L1610:L1611)</f>
        <v>982223000</v>
      </c>
      <c r="M1609" s="3412">
        <v>200</v>
      </c>
      <c r="N1609" s="3414">
        <f>SUM(N1610:N1611)</f>
        <v>105707369</v>
      </c>
      <c r="O1609" s="3412">
        <v>100</v>
      </c>
      <c r="P1609" s="3414">
        <f>SUM(P1610:P1611)</f>
        <v>267846418</v>
      </c>
      <c r="Q1609" s="3412">
        <v>0</v>
      </c>
      <c r="R1609" s="3413">
        <f>SUM(R1610:R1611)</f>
        <v>0</v>
      </c>
      <c r="S1609" s="3401">
        <v>0</v>
      </c>
      <c r="T1609" s="3415">
        <f>SUM(T1610:T1611)</f>
        <v>13110450</v>
      </c>
      <c r="U1609" s="3412"/>
      <c r="V1609" s="3415">
        <f>SUM(V1610:V1611)</f>
        <v>233608050</v>
      </c>
      <c r="W1609" s="3412"/>
      <c r="X1609" s="3412"/>
      <c r="Y1609" s="3398">
        <f t="shared" si="535"/>
        <v>0</v>
      </c>
      <c r="Z1609" s="3416">
        <f t="shared" si="535"/>
        <v>246718500</v>
      </c>
      <c r="AA1609" s="3398">
        <f>+Y1609+M1609</f>
        <v>200</v>
      </c>
      <c r="AB1609" s="3417">
        <f>+N1609+Z1609</f>
        <v>352425869</v>
      </c>
      <c r="AC1609" s="3418">
        <f t="shared" si="537"/>
        <v>33.333333333333329</v>
      </c>
      <c r="AD1609" s="3418">
        <f t="shared" si="537"/>
        <v>35.880433363910228</v>
      </c>
      <c r="AE1609" s="3302"/>
    </row>
    <row r="1610" spans="1:76" s="63" customFormat="1" ht="51">
      <c r="A1610" s="3383"/>
      <c r="B1610" s="3383"/>
      <c r="C1610" s="3384">
        <v>3</v>
      </c>
      <c r="D1610" s="3385" t="s">
        <v>107</v>
      </c>
      <c r="E1610" s="3385" t="s">
        <v>95</v>
      </c>
      <c r="F1610" s="3385" t="s">
        <v>66</v>
      </c>
      <c r="G1610" s="3385" t="s">
        <v>161</v>
      </c>
      <c r="H1610" s="3390">
        <v>41</v>
      </c>
      <c r="I1610" s="3380" t="s">
        <v>3895</v>
      </c>
      <c r="J1610" s="2678" t="s">
        <v>3899</v>
      </c>
      <c r="K1610" s="3313">
        <v>160</v>
      </c>
      <c r="L1610" s="3325">
        <v>377322000</v>
      </c>
      <c r="M1610" s="3313">
        <v>0</v>
      </c>
      <c r="N1610" s="3388">
        <v>0</v>
      </c>
      <c r="O1610" s="3313">
        <v>40</v>
      </c>
      <c r="P1610" s="3388">
        <v>92322300</v>
      </c>
      <c r="Q1610" s="3313">
        <v>0</v>
      </c>
      <c r="R1610" s="3325">
        <v>0</v>
      </c>
      <c r="S1610" s="3390">
        <v>0</v>
      </c>
      <c r="T1610" s="3391">
        <v>13110450</v>
      </c>
      <c r="U1610" s="3313">
        <v>40</v>
      </c>
      <c r="V1610" s="3392">
        <f>82269300-T1610</f>
        <v>69158850</v>
      </c>
      <c r="W1610" s="3313"/>
      <c r="X1610" s="3313"/>
      <c r="Y1610" s="3393">
        <f t="shared" si="535"/>
        <v>40</v>
      </c>
      <c r="Z1610" s="3394">
        <f t="shared" si="535"/>
        <v>82269300</v>
      </c>
      <c r="AA1610" s="3393">
        <f>+Y1610+M1610</f>
        <v>40</v>
      </c>
      <c r="AB1610" s="3395">
        <f>+N1610+Z1610</f>
        <v>82269300</v>
      </c>
      <c r="AC1610" s="3396">
        <f t="shared" ref="AC1610:AD1625" si="540">(AA1610/K1610)*100</f>
        <v>25</v>
      </c>
      <c r="AD1610" s="3396">
        <f t="shared" si="540"/>
        <v>21.803472895829028</v>
      </c>
      <c r="AE1610" s="3397"/>
    </row>
    <row r="1611" spans="1:76" s="63" customFormat="1" ht="39.75" customHeight="1">
      <c r="A1611" s="3383"/>
      <c r="B1611" s="3383"/>
      <c r="C1611" s="3384">
        <v>3</v>
      </c>
      <c r="D1611" s="3385" t="s">
        <v>107</v>
      </c>
      <c r="E1611" s="3385" t="s">
        <v>95</v>
      </c>
      <c r="F1611" s="3385" t="s">
        <v>66</v>
      </c>
      <c r="G1611" s="3385" t="s">
        <v>161</v>
      </c>
      <c r="H1611" s="3386">
        <v>18</v>
      </c>
      <c r="I1611" s="3380" t="s">
        <v>3896</v>
      </c>
      <c r="J1611" s="2678" t="s">
        <v>3898</v>
      </c>
      <c r="K1611" s="3313">
        <v>500</v>
      </c>
      <c r="L1611" s="3325">
        <v>604901000</v>
      </c>
      <c r="M1611" s="3313">
        <v>100</v>
      </c>
      <c r="N1611" s="3388">
        <v>105707369</v>
      </c>
      <c r="O1611" s="3313">
        <v>100</v>
      </c>
      <c r="P1611" s="3388">
        <v>175524118</v>
      </c>
      <c r="Q1611" s="3313">
        <v>0</v>
      </c>
      <c r="R1611" s="3325">
        <v>0</v>
      </c>
      <c r="S1611" s="3390">
        <v>0</v>
      </c>
      <c r="T1611" s="3391"/>
      <c r="U1611" s="3313">
        <v>100</v>
      </c>
      <c r="V1611" s="3392">
        <v>164449200</v>
      </c>
      <c r="W1611" s="3313"/>
      <c r="X1611" s="3313"/>
      <c r="Y1611" s="3393">
        <f t="shared" si="535"/>
        <v>100</v>
      </c>
      <c r="Z1611" s="3394">
        <f t="shared" si="535"/>
        <v>164449200</v>
      </c>
      <c r="AA1611" s="3393">
        <f>+Y1611+M1611</f>
        <v>200</v>
      </c>
      <c r="AB1611" s="3395">
        <f>+N1611+Z1611</f>
        <v>270156569</v>
      </c>
      <c r="AC1611" s="3396">
        <f t="shared" si="540"/>
        <v>40</v>
      </c>
      <c r="AD1611" s="3396">
        <f t="shared" si="540"/>
        <v>44.661286557635052</v>
      </c>
      <c r="AE1611" s="3397"/>
    </row>
    <row r="1612" spans="1:76" s="63" customFormat="1" ht="53.25" customHeight="1">
      <c r="A1612" s="3398">
        <v>3</v>
      </c>
      <c r="B1612" s="3303"/>
      <c r="C1612" s="3399">
        <v>3</v>
      </c>
      <c r="D1612" s="3400" t="s">
        <v>107</v>
      </c>
      <c r="E1612" s="3400" t="s">
        <v>95</v>
      </c>
      <c r="F1612" s="3400" t="s">
        <v>66</v>
      </c>
      <c r="G1612" s="3400">
        <v>31</v>
      </c>
      <c r="H1612" s="3401"/>
      <c r="I1612" s="3402" t="s">
        <v>1246</v>
      </c>
      <c r="J1612" s="3402" t="s">
        <v>3518</v>
      </c>
      <c r="K1612" s="3403">
        <f>SUM(K1613:K1623)</f>
        <v>17750</v>
      </c>
      <c r="L1612" s="3419">
        <f>SUM(L1613:L1629)</f>
        <v>9643715000</v>
      </c>
      <c r="M1612" s="3403">
        <f>SUM(M1613:M1623)</f>
        <v>6059</v>
      </c>
      <c r="N1612" s="3419">
        <f>SUM(N1613:N1629)</f>
        <v>2849692092</v>
      </c>
      <c r="O1612" s="3403">
        <f>SUM(O1613:O1623)</f>
        <v>2551</v>
      </c>
      <c r="P1612" s="3419">
        <f>SUM(P1613:P1629)</f>
        <v>1340437898</v>
      </c>
      <c r="Q1612" s="3403">
        <f>SUM(Q1613:Q1623)</f>
        <v>1850</v>
      </c>
      <c r="R1612" s="3419">
        <f>SUM(R1613:R1629)</f>
        <v>319993969</v>
      </c>
      <c r="S1612" s="3403">
        <v>1024</v>
      </c>
      <c r="T1612" s="3404">
        <f>SUM(T1613:T1629)</f>
        <v>389284857</v>
      </c>
      <c r="U1612" s="3403"/>
      <c r="V1612" s="3404">
        <f>SUM(V1613:V1629)</f>
        <v>304937458</v>
      </c>
      <c r="W1612" s="3403"/>
      <c r="X1612" s="3403"/>
      <c r="Y1612" s="3407">
        <f t="shared" si="535"/>
        <v>2874</v>
      </c>
      <c r="Z1612" s="3420">
        <f>SUM(Z1613:Z1629)</f>
        <v>1014216284</v>
      </c>
      <c r="AA1612" s="3407">
        <f t="shared" si="536"/>
        <v>8933</v>
      </c>
      <c r="AB1612" s="3420">
        <f t="shared" si="539"/>
        <v>3863908376</v>
      </c>
      <c r="AC1612" s="3409">
        <f t="shared" si="540"/>
        <v>50.326760563380276</v>
      </c>
      <c r="AD1612" s="3409">
        <f t="shared" si="538"/>
        <v>40.066596493156425</v>
      </c>
      <c r="AE1612" s="3410" t="s">
        <v>1232</v>
      </c>
    </row>
    <row r="1613" spans="1:76" s="63" customFormat="1" ht="66" customHeight="1">
      <c r="A1613" s="3383"/>
      <c r="B1613" s="3383" t="s">
        <v>1247</v>
      </c>
      <c r="C1613" s="3384">
        <v>3</v>
      </c>
      <c r="D1613" s="3385" t="s">
        <v>107</v>
      </c>
      <c r="E1613" s="3385" t="s">
        <v>95</v>
      </c>
      <c r="F1613" s="3385" t="s">
        <v>66</v>
      </c>
      <c r="G1613" s="3385">
        <v>31</v>
      </c>
      <c r="H1613" s="3386" t="s">
        <v>65</v>
      </c>
      <c r="I1613" s="2678" t="s">
        <v>1248</v>
      </c>
      <c r="J1613" s="2678" t="s">
        <v>1249</v>
      </c>
      <c r="K1613" s="3335">
        <v>1004</v>
      </c>
      <c r="L1613" s="3421">
        <v>770850000</v>
      </c>
      <c r="M1613" s="3313">
        <v>204</v>
      </c>
      <c r="N1613" s="3388">
        <v>171113600</v>
      </c>
      <c r="O1613" s="3335">
        <v>200</v>
      </c>
      <c r="P1613" s="3388">
        <v>106218674</v>
      </c>
      <c r="Q1613" s="3313">
        <v>0</v>
      </c>
      <c r="R1613" s="3388">
        <v>1899669</v>
      </c>
      <c r="S1613" s="3390">
        <v>0</v>
      </c>
      <c r="T1613" s="3391">
        <f>17334050-R1613</f>
        <v>15434381</v>
      </c>
      <c r="U1613" s="3313">
        <v>0</v>
      </c>
      <c r="V1613" s="3392">
        <f>51979450-R1613-T1613</f>
        <v>34645400</v>
      </c>
      <c r="W1613" s="3313"/>
      <c r="X1613" s="3313"/>
      <c r="Y1613" s="3393">
        <f t="shared" si="535"/>
        <v>0</v>
      </c>
      <c r="Z1613" s="3422">
        <f t="shared" si="535"/>
        <v>51979450</v>
      </c>
      <c r="AA1613" s="3393">
        <f t="shared" si="536"/>
        <v>204</v>
      </c>
      <c r="AB1613" s="3395">
        <f t="shared" si="539"/>
        <v>223093050</v>
      </c>
      <c r="AC1613" s="3396">
        <f t="shared" si="540"/>
        <v>20.318725099601593</v>
      </c>
      <c r="AD1613" s="3396">
        <f t="shared" si="538"/>
        <v>28.9411753259389</v>
      </c>
      <c r="AE1613" s="3397"/>
    </row>
    <row r="1614" spans="1:76" s="63" customFormat="1" ht="63" customHeight="1">
      <c r="A1614" s="3383"/>
      <c r="B1614" s="3383"/>
      <c r="C1614" s="3384">
        <v>3</v>
      </c>
      <c r="D1614" s="3385" t="s">
        <v>107</v>
      </c>
      <c r="E1614" s="3385" t="s">
        <v>95</v>
      </c>
      <c r="F1614" s="3385" t="s">
        <v>66</v>
      </c>
      <c r="G1614" s="3385">
        <v>31</v>
      </c>
      <c r="H1614" s="3390">
        <v>11</v>
      </c>
      <c r="I1614" s="2678" t="s">
        <v>1250</v>
      </c>
      <c r="J1614" s="2678" t="s">
        <v>1251</v>
      </c>
      <c r="K1614" s="3423">
        <v>390</v>
      </c>
      <c r="L1614" s="3421">
        <v>2283364000</v>
      </c>
      <c r="M1614" s="3313">
        <v>173</v>
      </c>
      <c r="N1614" s="3388">
        <v>839987584</v>
      </c>
      <c r="O1614" s="3335">
        <v>20</v>
      </c>
      <c r="P1614" s="3424">
        <v>188593300</v>
      </c>
      <c r="Q1614" s="3335">
        <v>6</v>
      </c>
      <c r="R1614" s="3424">
        <v>22250000</v>
      </c>
      <c r="S1614" s="3390">
        <v>2</v>
      </c>
      <c r="T1614" s="3391">
        <f>87389900-R1614</f>
        <v>65139900</v>
      </c>
      <c r="U1614" s="3313">
        <v>1</v>
      </c>
      <c r="V1614" s="3392">
        <f>111689900-R1614-T1614</f>
        <v>24300000</v>
      </c>
      <c r="W1614" s="3313"/>
      <c r="X1614" s="3313"/>
      <c r="Y1614" s="3393">
        <f t="shared" si="535"/>
        <v>9</v>
      </c>
      <c r="Z1614" s="3422">
        <f t="shared" si="535"/>
        <v>111689900</v>
      </c>
      <c r="AA1614" s="3393">
        <f t="shared" si="536"/>
        <v>182</v>
      </c>
      <c r="AB1614" s="3395">
        <f t="shared" si="539"/>
        <v>951677484</v>
      </c>
      <c r="AC1614" s="3396">
        <f t="shared" si="540"/>
        <v>46.666666666666664</v>
      </c>
      <c r="AD1614" s="3396">
        <f t="shared" si="538"/>
        <v>41.678746095672878</v>
      </c>
      <c r="AE1614" s="3397"/>
    </row>
    <row r="1615" spans="1:76" s="63" customFormat="1" ht="76.5" customHeight="1">
      <c r="A1615" s="3383"/>
      <c r="B1615" s="3383"/>
      <c r="C1615" s="3384">
        <v>3</v>
      </c>
      <c r="D1615" s="3385" t="s">
        <v>107</v>
      </c>
      <c r="E1615" s="3385" t="s">
        <v>95</v>
      </c>
      <c r="F1615" s="3385" t="s">
        <v>66</v>
      </c>
      <c r="G1615" s="3385">
        <v>31</v>
      </c>
      <c r="H1615" s="3390">
        <v>26</v>
      </c>
      <c r="I1615" s="2678" t="s">
        <v>1252</v>
      </c>
      <c r="J1615" s="2678" t="s">
        <v>1253</v>
      </c>
      <c r="K1615" s="3425">
        <v>137</v>
      </c>
      <c r="L1615" s="3421">
        <v>313969000</v>
      </c>
      <c r="M1615" s="3313">
        <v>56</v>
      </c>
      <c r="N1615" s="3388">
        <v>111369144</v>
      </c>
      <c r="O1615" s="3335">
        <v>15</v>
      </c>
      <c r="P1615" s="3424">
        <v>74830900</v>
      </c>
      <c r="Q1615" s="3313">
        <v>8</v>
      </c>
      <c r="R1615" s="3388">
        <v>21405200</v>
      </c>
      <c r="S1615" s="3390">
        <v>2</v>
      </c>
      <c r="T1615" s="3391">
        <f>38720900-R1615</f>
        <v>17315700</v>
      </c>
      <c r="U1615" s="3313">
        <v>2</v>
      </c>
      <c r="V1615" s="3392">
        <f>47360900-R1615-T1615</f>
        <v>8640000</v>
      </c>
      <c r="W1615" s="3313"/>
      <c r="X1615" s="3313"/>
      <c r="Y1615" s="3393">
        <f t="shared" si="535"/>
        <v>12</v>
      </c>
      <c r="Z1615" s="3422">
        <f t="shared" si="535"/>
        <v>47360900</v>
      </c>
      <c r="AA1615" s="3393">
        <f t="shared" si="536"/>
        <v>68</v>
      </c>
      <c r="AB1615" s="3395">
        <f t="shared" si="539"/>
        <v>158730044</v>
      </c>
      <c r="AC1615" s="3396">
        <f t="shared" si="540"/>
        <v>49.635036496350367</v>
      </c>
      <c r="AD1615" s="3396">
        <f t="shared" si="538"/>
        <v>50.555960620316021</v>
      </c>
      <c r="AE1615" s="3397"/>
    </row>
    <row r="1616" spans="1:76" s="244" customFormat="1" ht="69" customHeight="1">
      <c r="A1616" s="3383"/>
      <c r="B1616" s="3383"/>
      <c r="C1616" s="3384">
        <v>3</v>
      </c>
      <c r="D1616" s="3385" t="s">
        <v>107</v>
      </c>
      <c r="E1616" s="3385" t="s">
        <v>95</v>
      </c>
      <c r="F1616" s="3385" t="s">
        <v>66</v>
      </c>
      <c r="G1616" s="3385">
        <v>31</v>
      </c>
      <c r="H1616" s="3390">
        <v>49</v>
      </c>
      <c r="I1616" s="2678" t="s">
        <v>1254</v>
      </c>
      <c r="J1616" s="2678" t="s">
        <v>1255</v>
      </c>
      <c r="K1616" s="3335">
        <v>53</v>
      </c>
      <c r="L1616" s="3325">
        <v>176623000</v>
      </c>
      <c r="M1616" s="3313">
        <v>5</v>
      </c>
      <c r="N1616" s="3388">
        <v>31189500</v>
      </c>
      <c r="O1616" s="3335">
        <v>12</v>
      </c>
      <c r="P1616" s="3424">
        <v>36358150</v>
      </c>
      <c r="Q1616" s="3313">
        <v>5</v>
      </c>
      <c r="R1616" s="3388">
        <v>10477100</v>
      </c>
      <c r="S1616" s="3390">
        <v>11</v>
      </c>
      <c r="T1616" s="3391">
        <f>22632650-R1616</f>
        <v>12155550</v>
      </c>
      <c r="U1616" s="3313">
        <v>1</v>
      </c>
      <c r="V1616" s="3392">
        <f>26175150-R1616-T1616</f>
        <v>3542500</v>
      </c>
      <c r="W1616" s="3313"/>
      <c r="X1616" s="3313"/>
      <c r="Y1616" s="3393">
        <f t="shared" si="535"/>
        <v>17</v>
      </c>
      <c r="Z1616" s="3422">
        <f t="shared" si="535"/>
        <v>26175150</v>
      </c>
      <c r="AA1616" s="3393">
        <f t="shared" si="536"/>
        <v>22</v>
      </c>
      <c r="AB1616" s="3395">
        <f t="shared" si="539"/>
        <v>57364650</v>
      </c>
      <c r="AC1616" s="3396">
        <f t="shared" si="540"/>
        <v>41.509433962264154</v>
      </c>
      <c r="AD1616" s="3396">
        <f t="shared" si="538"/>
        <v>32.478584329334232</v>
      </c>
      <c r="AE1616" s="3397"/>
      <c r="AF1616" s="2266"/>
      <c r="AG1616" s="2266"/>
      <c r="AH1616" s="2266"/>
      <c r="AI1616" s="2266"/>
      <c r="AJ1616" s="2266"/>
      <c r="AK1616" s="2266"/>
      <c r="AL1616" s="2266"/>
      <c r="AM1616" s="2266"/>
      <c r="AN1616" s="2266"/>
      <c r="AO1616" s="2266"/>
      <c r="AP1616" s="2266"/>
      <c r="AQ1616" s="2266"/>
      <c r="AR1616" s="2266"/>
      <c r="AS1616" s="2266"/>
      <c r="AT1616" s="2266"/>
      <c r="AU1616" s="2266"/>
      <c r="AV1616" s="2266"/>
      <c r="AW1616" s="2266"/>
      <c r="AX1616" s="2266"/>
      <c r="AY1616" s="2266"/>
      <c r="AZ1616" s="2266"/>
      <c r="BA1616" s="2266"/>
      <c r="BB1616" s="2266"/>
      <c r="BC1616" s="2266"/>
      <c r="BD1616" s="2266"/>
      <c r="BE1616" s="2266"/>
      <c r="BF1616" s="2266"/>
      <c r="BG1616" s="2266"/>
      <c r="BH1616" s="2266"/>
      <c r="BI1616" s="2266"/>
      <c r="BJ1616" s="2266"/>
      <c r="BK1616" s="2266"/>
      <c r="BL1616" s="2266"/>
      <c r="BM1616" s="2266"/>
      <c r="BN1616" s="2266"/>
      <c r="BO1616" s="2266"/>
      <c r="BP1616" s="2266"/>
      <c r="BQ1616" s="2266"/>
      <c r="BR1616" s="2266"/>
      <c r="BS1616" s="2266"/>
      <c r="BT1616" s="2266"/>
      <c r="BU1616" s="2266"/>
      <c r="BV1616" s="2266"/>
      <c r="BW1616" s="2266"/>
      <c r="BX1616" s="2266"/>
    </row>
    <row r="1617" spans="1:31" ht="59.25" customHeight="1">
      <c r="A1617" s="3383"/>
      <c r="B1617" s="3383"/>
      <c r="C1617" s="3384">
        <v>3</v>
      </c>
      <c r="D1617" s="3385" t="s">
        <v>107</v>
      </c>
      <c r="E1617" s="3385" t="s">
        <v>95</v>
      </c>
      <c r="F1617" s="3385" t="s">
        <v>66</v>
      </c>
      <c r="G1617" s="3385">
        <v>31</v>
      </c>
      <c r="H1617" s="3390">
        <v>35</v>
      </c>
      <c r="I1617" s="2678" t="s">
        <v>1256</v>
      </c>
      <c r="J1617" s="2678" t="s">
        <v>1257</v>
      </c>
      <c r="K1617" s="3335">
        <v>235</v>
      </c>
      <c r="L1617" s="3325">
        <v>1131798000</v>
      </c>
      <c r="M1617" s="3313">
        <v>73</v>
      </c>
      <c r="N1617" s="3388">
        <v>258321000</v>
      </c>
      <c r="O1617" s="3335">
        <v>27</v>
      </c>
      <c r="P1617" s="3424">
        <v>213476300</v>
      </c>
      <c r="Q1617" s="3313">
        <v>27</v>
      </c>
      <c r="R1617" s="3388">
        <v>116042840</v>
      </c>
      <c r="S1617" s="3390">
        <v>0</v>
      </c>
      <c r="T1617" s="3391">
        <f>182592778-R1617</f>
        <v>66549938</v>
      </c>
      <c r="U1617" s="3313">
        <v>0</v>
      </c>
      <c r="V1617" s="3392">
        <f>183586778-R1617-T1617</f>
        <v>994000</v>
      </c>
      <c r="W1617" s="3313"/>
      <c r="X1617" s="3313"/>
      <c r="Y1617" s="3393">
        <f t="shared" si="535"/>
        <v>27</v>
      </c>
      <c r="Z1617" s="3422">
        <f t="shared" si="535"/>
        <v>183586778</v>
      </c>
      <c r="AA1617" s="3393">
        <f t="shared" si="536"/>
        <v>100</v>
      </c>
      <c r="AB1617" s="3395">
        <f t="shared" si="539"/>
        <v>441907778</v>
      </c>
      <c r="AC1617" s="3396">
        <f t="shared" si="540"/>
        <v>42.553191489361701</v>
      </c>
      <c r="AD1617" s="3396">
        <f t="shared" si="538"/>
        <v>39.044756926589372</v>
      </c>
      <c r="AE1617" s="3397"/>
    </row>
    <row r="1618" spans="1:31" ht="59.25" customHeight="1">
      <c r="A1618" s="3383"/>
      <c r="B1618" s="3383"/>
      <c r="C1618" s="3384">
        <v>3</v>
      </c>
      <c r="D1618" s="3385" t="s">
        <v>107</v>
      </c>
      <c r="E1618" s="3385" t="s">
        <v>95</v>
      </c>
      <c r="F1618" s="3385" t="s">
        <v>66</v>
      </c>
      <c r="G1618" s="3385">
        <v>31</v>
      </c>
      <c r="H1618" s="3390">
        <v>25</v>
      </c>
      <c r="I1618" s="2678" t="s">
        <v>1258</v>
      </c>
      <c r="J1618" s="2678" t="s">
        <v>1259</v>
      </c>
      <c r="K1618" s="3335">
        <v>34</v>
      </c>
      <c r="L1618" s="3426">
        <v>231324000</v>
      </c>
      <c r="M1618" s="3313">
        <v>10</v>
      </c>
      <c r="N1618" s="3388">
        <v>76602682</v>
      </c>
      <c r="O1618" s="3313">
        <v>6</v>
      </c>
      <c r="P1618" s="3388">
        <v>39717850</v>
      </c>
      <c r="Q1618" s="3313">
        <v>2</v>
      </c>
      <c r="R1618" s="3424">
        <v>10200000</v>
      </c>
      <c r="S1618" s="3390">
        <v>1</v>
      </c>
      <c r="T1618" s="3391">
        <f>12923550-R1618</f>
        <v>2723550</v>
      </c>
      <c r="U1618" s="3313">
        <v>0</v>
      </c>
      <c r="V1618" s="3392">
        <f>17273550-R1618-T1618</f>
        <v>4350000</v>
      </c>
      <c r="W1618" s="3313"/>
      <c r="X1618" s="3313"/>
      <c r="Y1618" s="3393">
        <f t="shared" si="535"/>
        <v>3</v>
      </c>
      <c r="Z1618" s="3422">
        <f t="shared" si="535"/>
        <v>17273550</v>
      </c>
      <c r="AA1618" s="3393">
        <f t="shared" si="536"/>
        <v>13</v>
      </c>
      <c r="AB1618" s="3395">
        <f t="shared" si="539"/>
        <v>93876232</v>
      </c>
      <c r="AC1618" s="3396">
        <f t="shared" si="540"/>
        <v>38.235294117647058</v>
      </c>
      <c r="AD1618" s="3396">
        <f t="shared" si="538"/>
        <v>40.582141066210163</v>
      </c>
      <c r="AE1618" s="3397"/>
    </row>
    <row r="1619" spans="1:31" ht="76.5">
      <c r="A1619" s="3383"/>
      <c r="B1619" s="3383"/>
      <c r="C1619" s="3384">
        <v>3</v>
      </c>
      <c r="D1619" s="3385" t="s">
        <v>107</v>
      </c>
      <c r="E1619" s="3385" t="s">
        <v>95</v>
      </c>
      <c r="F1619" s="3385" t="s">
        <v>66</v>
      </c>
      <c r="G1619" s="3385">
        <v>31</v>
      </c>
      <c r="H1619" s="3390">
        <v>40</v>
      </c>
      <c r="I1619" s="2678" t="s">
        <v>1260</v>
      </c>
      <c r="J1619" s="2678" t="s">
        <v>1261</v>
      </c>
      <c r="K1619" s="3335">
        <v>1050</v>
      </c>
      <c r="L1619" s="3426">
        <v>135000000</v>
      </c>
      <c r="M1619" s="3313">
        <v>297</v>
      </c>
      <c r="N1619" s="3388">
        <v>81807412</v>
      </c>
      <c r="O1619" s="3335">
        <v>150</v>
      </c>
      <c r="P1619" s="3424">
        <v>41228168</v>
      </c>
      <c r="Q1619" s="3313">
        <v>127</v>
      </c>
      <c r="R1619" s="3388">
        <v>1500000</v>
      </c>
      <c r="S1619" s="3390">
        <f>148-Q1619</f>
        <v>21</v>
      </c>
      <c r="T1619" s="3391">
        <f>19725804-R1619</f>
        <v>18225804</v>
      </c>
      <c r="U1619" s="3313">
        <v>0</v>
      </c>
      <c r="V1619" s="3392">
        <f>36944939-R1619-T1619</f>
        <v>17219135</v>
      </c>
      <c r="W1619" s="3313"/>
      <c r="X1619" s="3313"/>
      <c r="Y1619" s="3393">
        <f t="shared" si="535"/>
        <v>148</v>
      </c>
      <c r="Z1619" s="3422">
        <f t="shared" si="535"/>
        <v>36944939</v>
      </c>
      <c r="AA1619" s="3393">
        <f t="shared" si="536"/>
        <v>445</v>
      </c>
      <c r="AB1619" s="3395">
        <f t="shared" si="539"/>
        <v>118752351</v>
      </c>
      <c r="AC1619" s="3396">
        <f t="shared" si="540"/>
        <v>42.38095238095238</v>
      </c>
      <c r="AD1619" s="3396">
        <f t="shared" si="538"/>
        <v>87.964704444444436</v>
      </c>
      <c r="AE1619" s="3397"/>
    </row>
    <row r="1620" spans="1:31" ht="53.25" customHeight="1">
      <c r="A1620" s="3383"/>
      <c r="B1620" s="3383"/>
      <c r="C1620" s="3384">
        <v>3</v>
      </c>
      <c r="D1620" s="3385" t="s">
        <v>107</v>
      </c>
      <c r="E1620" s="3385" t="s">
        <v>95</v>
      </c>
      <c r="F1620" s="3385" t="s">
        <v>66</v>
      </c>
      <c r="G1620" s="3385">
        <v>31</v>
      </c>
      <c r="H1620" s="3390">
        <v>16</v>
      </c>
      <c r="I1620" s="2678" t="s">
        <v>1262</v>
      </c>
      <c r="J1620" s="2678" t="s">
        <v>1263</v>
      </c>
      <c r="K1620" s="3425">
        <v>12216</v>
      </c>
      <c r="L1620" s="3325">
        <v>518711000</v>
      </c>
      <c r="M1620" s="3313">
        <v>4220</v>
      </c>
      <c r="N1620" s="3388">
        <v>210269559</v>
      </c>
      <c r="O1620" s="3335">
        <v>1666</v>
      </c>
      <c r="P1620" s="3424">
        <v>77149870</v>
      </c>
      <c r="Q1620" s="3313">
        <v>1666</v>
      </c>
      <c r="R1620" s="3424">
        <v>29852910</v>
      </c>
      <c r="S1620" s="3390">
        <v>0</v>
      </c>
      <c r="T1620" s="3391">
        <f>43770879-R1620</f>
        <v>13917969</v>
      </c>
      <c r="U1620" s="3313">
        <v>0</v>
      </c>
      <c r="V1620" s="3392">
        <f>57014280-R1620-T1620</f>
        <v>13243401</v>
      </c>
      <c r="W1620" s="3313"/>
      <c r="X1620" s="3313"/>
      <c r="Y1620" s="3393">
        <f t="shared" si="535"/>
        <v>1666</v>
      </c>
      <c r="Z1620" s="3422">
        <f t="shared" si="535"/>
        <v>57014280</v>
      </c>
      <c r="AA1620" s="3393">
        <f t="shared" si="536"/>
        <v>5886</v>
      </c>
      <c r="AB1620" s="3395">
        <f t="shared" si="539"/>
        <v>267283839</v>
      </c>
      <c r="AC1620" s="3396">
        <f t="shared" si="540"/>
        <v>48.182711198428294</v>
      </c>
      <c r="AD1620" s="3396">
        <f t="shared" si="538"/>
        <v>51.528469417459824</v>
      </c>
      <c r="AE1620" s="3397"/>
    </row>
    <row r="1621" spans="1:31" ht="69.75" customHeight="1">
      <c r="A1621" s="3383"/>
      <c r="B1621" s="3383"/>
      <c r="C1621" s="3384">
        <v>3</v>
      </c>
      <c r="D1621" s="3385" t="s">
        <v>107</v>
      </c>
      <c r="E1621" s="3385" t="s">
        <v>95</v>
      </c>
      <c r="F1621" s="3385" t="s">
        <v>66</v>
      </c>
      <c r="G1621" s="3385">
        <v>31</v>
      </c>
      <c r="H1621" s="3390">
        <v>36</v>
      </c>
      <c r="I1621" s="2678" t="s">
        <v>1264</v>
      </c>
      <c r="J1621" s="2678" t="s">
        <v>1265</v>
      </c>
      <c r="K1621" s="3335">
        <v>766</v>
      </c>
      <c r="L1621" s="3325">
        <v>210735000</v>
      </c>
      <c r="M1621" s="3313">
        <v>161</v>
      </c>
      <c r="N1621" s="3388">
        <v>45402090</v>
      </c>
      <c r="O1621" s="3335">
        <v>200</v>
      </c>
      <c r="P1621" s="3424">
        <v>30072500</v>
      </c>
      <c r="Q1621" s="3313">
        <v>0</v>
      </c>
      <c r="R1621" s="3388">
        <v>3290750</v>
      </c>
      <c r="S1621" s="3390">
        <v>150</v>
      </c>
      <c r="T1621" s="3391">
        <f>10321200-R1621</f>
        <v>7030450</v>
      </c>
      <c r="U1621" s="3313">
        <f>263-S1621</f>
        <v>113</v>
      </c>
      <c r="V1621" s="3392">
        <f>22797200-R1621-T1621</f>
        <v>12476000</v>
      </c>
      <c r="W1621" s="3313"/>
      <c r="X1621" s="3313"/>
      <c r="Y1621" s="3393">
        <f t="shared" si="535"/>
        <v>263</v>
      </c>
      <c r="Z1621" s="3422">
        <f t="shared" si="535"/>
        <v>22797200</v>
      </c>
      <c r="AA1621" s="3393">
        <f t="shared" si="536"/>
        <v>424</v>
      </c>
      <c r="AB1621" s="3395">
        <f t="shared" si="539"/>
        <v>68199290</v>
      </c>
      <c r="AC1621" s="3396">
        <f t="shared" si="540"/>
        <v>55.35248041775457</v>
      </c>
      <c r="AD1621" s="3396">
        <f t="shared" si="538"/>
        <v>32.362583339264958</v>
      </c>
      <c r="AE1621" s="3397"/>
    </row>
    <row r="1622" spans="1:31" ht="87" customHeight="1">
      <c r="A1622" s="3383"/>
      <c r="B1622" s="3383"/>
      <c r="C1622" s="3384">
        <v>3</v>
      </c>
      <c r="D1622" s="3385" t="s">
        <v>107</v>
      </c>
      <c r="E1622" s="3385" t="s">
        <v>95</v>
      </c>
      <c r="F1622" s="3385" t="s">
        <v>66</v>
      </c>
      <c r="G1622" s="3385">
        <v>31</v>
      </c>
      <c r="H1622" s="3390">
        <v>39</v>
      </c>
      <c r="I1622" s="2678" t="s">
        <v>1266</v>
      </c>
      <c r="J1622" s="2678" t="s">
        <v>1267</v>
      </c>
      <c r="K1622" s="3335">
        <v>237</v>
      </c>
      <c r="L1622" s="3325">
        <v>213661000</v>
      </c>
      <c r="M1622" s="3313">
        <v>57</v>
      </c>
      <c r="N1622" s="3388">
        <v>44699340</v>
      </c>
      <c r="O1622" s="3335">
        <v>30</v>
      </c>
      <c r="P1622" s="3424">
        <v>18962800</v>
      </c>
      <c r="Q1622" s="3313">
        <v>9</v>
      </c>
      <c r="R1622" s="3388">
        <v>3399500</v>
      </c>
      <c r="S1622" s="3390">
        <v>6</v>
      </c>
      <c r="T1622" s="3391">
        <f>3987000-R1622</f>
        <v>587500</v>
      </c>
      <c r="U1622" s="3313">
        <v>16</v>
      </c>
      <c r="V1622" s="3392">
        <f>4582000-R1622-T1622</f>
        <v>595000</v>
      </c>
      <c r="W1622" s="3313"/>
      <c r="X1622" s="3313"/>
      <c r="Y1622" s="3393">
        <f t="shared" si="535"/>
        <v>31</v>
      </c>
      <c r="Z1622" s="3422">
        <f t="shared" si="535"/>
        <v>4582000</v>
      </c>
      <c r="AA1622" s="3393">
        <f t="shared" si="536"/>
        <v>88</v>
      </c>
      <c r="AB1622" s="3395">
        <f t="shared" si="539"/>
        <v>49281340</v>
      </c>
      <c r="AC1622" s="3396">
        <f t="shared" si="540"/>
        <v>37.130801687763714</v>
      </c>
      <c r="AD1622" s="3396">
        <f t="shared" si="538"/>
        <v>23.065201417198271</v>
      </c>
      <c r="AE1622" s="3397"/>
    </row>
    <row r="1623" spans="1:31" ht="69" customHeight="1">
      <c r="A1623" s="3383"/>
      <c r="B1623" s="3383"/>
      <c r="C1623" s="3384">
        <v>3</v>
      </c>
      <c r="D1623" s="3385" t="s">
        <v>107</v>
      </c>
      <c r="E1623" s="3385" t="s">
        <v>95</v>
      </c>
      <c r="F1623" s="3385" t="s">
        <v>66</v>
      </c>
      <c r="G1623" s="3385">
        <v>31</v>
      </c>
      <c r="H1623" s="3390">
        <v>42</v>
      </c>
      <c r="I1623" s="2678" t="s">
        <v>1268</v>
      </c>
      <c r="J1623" s="2678" t="s">
        <v>1269</v>
      </c>
      <c r="K1623" s="3335">
        <v>1628</v>
      </c>
      <c r="L1623" s="3325">
        <v>1067334000</v>
      </c>
      <c r="M1623" s="3313">
        <v>803</v>
      </c>
      <c r="N1623" s="3388">
        <v>463487181</v>
      </c>
      <c r="O1623" s="3335">
        <v>225</v>
      </c>
      <c r="P1623" s="3424">
        <v>153846550</v>
      </c>
      <c r="Q1623" s="3313">
        <v>0</v>
      </c>
      <c r="R1623" s="3325">
        <v>0</v>
      </c>
      <c r="S1623" s="3390">
        <v>225</v>
      </c>
      <c r="T1623" s="3391">
        <v>41464115</v>
      </c>
      <c r="U1623" s="3313">
        <v>0</v>
      </c>
      <c r="V1623" s="3392">
        <f>136426115-T1623</f>
        <v>94962000</v>
      </c>
      <c r="W1623" s="3313"/>
      <c r="X1623" s="3313"/>
      <c r="Y1623" s="3393">
        <f t="shared" si="535"/>
        <v>225</v>
      </c>
      <c r="Z1623" s="3422">
        <f t="shared" si="535"/>
        <v>136426115</v>
      </c>
      <c r="AA1623" s="3393">
        <f t="shared" si="536"/>
        <v>1028</v>
      </c>
      <c r="AB1623" s="3395">
        <f t="shared" si="539"/>
        <v>599913296</v>
      </c>
      <c r="AC1623" s="3396">
        <f t="shared" si="540"/>
        <v>63.144963144963143</v>
      </c>
      <c r="AD1623" s="3396">
        <f t="shared" si="538"/>
        <v>56.206707178821247</v>
      </c>
      <c r="AE1623" s="3397"/>
    </row>
    <row r="1624" spans="1:31" s="63" customFormat="1" ht="54.75" customHeight="1">
      <c r="A1624" s="3383"/>
      <c r="B1624" s="3383" t="s">
        <v>1233</v>
      </c>
      <c r="C1624" s="1484">
        <v>3</v>
      </c>
      <c r="D1624" s="1416" t="s">
        <v>107</v>
      </c>
      <c r="E1624" s="1416" t="s">
        <v>95</v>
      </c>
      <c r="F1624" s="1416" t="s">
        <v>66</v>
      </c>
      <c r="G1624" s="1416">
        <v>31</v>
      </c>
      <c r="H1624" s="3390">
        <v>38</v>
      </c>
      <c r="I1624" s="3383" t="s">
        <v>1234</v>
      </c>
      <c r="J1624" s="3383" t="s">
        <v>1235</v>
      </c>
      <c r="K1624" s="3335">
        <v>35778</v>
      </c>
      <c r="L1624" s="3325">
        <v>324996000</v>
      </c>
      <c r="M1624" s="3313">
        <v>7178</v>
      </c>
      <c r="N1624" s="3388">
        <v>158533000</v>
      </c>
      <c r="O1624" s="3335">
        <v>2700</v>
      </c>
      <c r="P1624" s="3424">
        <v>40449100</v>
      </c>
      <c r="Q1624" s="3313">
        <v>606</v>
      </c>
      <c r="R1624" s="3325">
        <v>6623000</v>
      </c>
      <c r="S1624" s="3390">
        <f>2700-Q1624</f>
        <v>2094</v>
      </c>
      <c r="T1624" s="3391">
        <f>25603300-R1624</f>
        <v>18980300</v>
      </c>
      <c r="U1624" s="3313">
        <f>5000-Q1624-S1624</f>
        <v>2300</v>
      </c>
      <c r="V1624" s="3392">
        <f>31664300-R1624-T1624</f>
        <v>6061000</v>
      </c>
      <c r="W1624" s="3313"/>
      <c r="X1624" s="3313"/>
      <c r="Y1624" s="3393">
        <f t="shared" si="535"/>
        <v>5000</v>
      </c>
      <c r="Z1624" s="3422">
        <f t="shared" si="535"/>
        <v>31664300</v>
      </c>
      <c r="AA1624" s="3393">
        <f t="shared" si="536"/>
        <v>12178</v>
      </c>
      <c r="AB1624" s="3395">
        <f t="shared" si="539"/>
        <v>190197300</v>
      </c>
      <c r="AC1624" s="3427">
        <f t="shared" si="540"/>
        <v>34.037676784616245</v>
      </c>
      <c r="AD1624" s="3396">
        <f t="shared" si="538"/>
        <v>58.522966436509996</v>
      </c>
      <c r="AE1624" s="3397"/>
    </row>
    <row r="1625" spans="1:31" s="63" customFormat="1" ht="81.75" customHeight="1">
      <c r="A1625" s="3383"/>
      <c r="B1625" s="3383"/>
      <c r="C1625" s="3384">
        <v>3</v>
      </c>
      <c r="D1625" s="3385" t="s">
        <v>107</v>
      </c>
      <c r="E1625" s="3385" t="s">
        <v>95</v>
      </c>
      <c r="F1625" s="3385" t="s">
        <v>66</v>
      </c>
      <c r="G1625" s="3385">
        <v>31</v>
      </c>
      <c r="H1625" s="3390">
        <v>56</v>
      </c>
      <c r="I1625" s="3383" t="s">
        <v>1236</v>
      </c>
      <c r="J1625" s="3383" t="s">
        <v>1237</v>
      </c>
      <c r="K1625" s="3335">
        <v>8340</v>
      </c>
      <c r="L1625" s="3325">
        <v>1057125000</v>
      </c>
      <c r="M1625" s="3313">
        <v>1240</v>
      </c>
      <c r="N1625" s="3388">
        <v>195259000</v>
      </c>
      <c r="O1625" s="3335">
        <v>1600</v>
      </c>
      <c r="P1625" s="3424">
        <v>151704986</v>
      </c>
      <c r="Q1625" s="3313">
        <v>1056</v>
      </c>
      <c r="R1625" s="3428">
        <v>56963000</v>
      </c>
      <c r="S1625" s="3390">
        <v>0</v>
      </c>
      <c r="T1625" s="3391">
        <f>83185850-R1625</f>
        <v>26222850</v>
      </c>
      <c r="U1625" s="3313">
        <f>1600-Q1625</f>
        <v>544</v>
      </c>
      <c r="V1625" s="3392">
        <f>135643850-R1625-T1625</f>
        <v>52458000</v>
      </c>
      <c r="W1625" s="3313"/>
      <c r="X1625" s="3313"/>
      <c r="Y1625" s="3393">
        <f t="shared" si="535"/>
        <v>1600</v>
      </c>
      <c r="Z1625" s="3422">
        <f t="shared" si="535"/>
        <v>135643850</v>
      </c>
      <c r="AA1625" s="3393">
        <f t="shared" si="536"/>
        <v>2840</v>
      </c>
      <c r="AB1625" s="3395">
        <f t="shared" si="539"/>
        <v>330902850</v>
      </c>
      <c r="AC1625" s="3427">
        <f t="shared" si="540"/>
        <v>34.052757793764989</v>
      </c>
      <c r="AD1625" s="3396">
        <f t="shared" si="538"/>
        <v>31.302149698474636</v>
      </c>
      <c r="AE1625" s="3397"/>
    </row>
    <row r="1626" spans="1:31" s="63" customFormat="1" ht="81.75" customHeight="1">
      <c r="A1626" s="3383"/>
      <c r="B1626" s="3383"/>
      <c r="C1626" s="3384">
        <v>3</v>
      </c>
      <c r="D1626" s="3385" t="s">
        <v>107</v>
      </c>
      <c r="E1626" s="3385" t="s">
        <v>95</v>
      </c>
      <c r="F1626" s="3385" t="s">
        <v>66</v>
      </c>
      <c r="G1626" s="3385">
        <v>31</v>
      </c>
      <c r="H1626" s="3390">
        <v>37</v>
      </c>
      <c r="I1626" s="3383" t="s">
        <v>1238</v>
      </c>
      <c r="J1626" s="3383" t="s">
        <v>1239</v>
      </c>
      <c r="K1626" s="3335">
        <v>1257</v>
      </c>
      <c r="L1626" s="3325">
        <v>473851000</v>
      </c>
      <c r="M1626" s="3335">
        <v>208</v>
      </c>
      <c r="N1626" s="3388">
        <v>83148000</v>
      </c>
      <c r="O1626" s="3335">
        <v>200</v>
      </c>
      <c r="P1626" s="3424">
        <v>43401950</v>
      </c>
      <c r="Q1626" s="3335">
        <v>49</v>
      </c>
      <c r="R1626" s="3325">
        <v>1554000</v>
      </c>
      <c r="S1626" s="3390">
        <f>135-Q1626</f>
        <v>86</v>
      </c>
      <c r="T1626" s="3391">
        <f>21297450-R1626</f>
        <v>19743450</v>
      </c>
      <c r="U1626" s="3313">
        <f>180-Q1626-S1626</f>
        <v>45</v>
      </c>
      <c r="V1626" s="3392">
        <f>34313372-R1626-T1626</f>
        <v>13015922</v>
      </c>
      <c r="W1626" s="3313"/>
      <c r="X1626" s="3313"/>
      <c r="Y1626" s="3393">
        <f t="shared" si="535"/>
        <v>180</v>
      </c>
      <c r="Z1626" s="3422">
        <f t="shared" si="535"/>
        <v>34313372</v>
      </c>
      <c r="AA1626" s="3393">
        <f t="shared" si="536"/>
        <v>388</v>
      </c>
      <c r="AB1626" s="3395">
        <f t="shared" si="539"/>
        <v>117461372</v>
      </c>
      <c r="AC1626" s="3396">
        <f t="shared" ref="AC1626:AD1636" si="541">(AA1626/K1626)*100</f>
        <v>30.867143993635644</v>
      </c>
      <c r="AD1626" s="3396">
        <f t="shared" si="538"/>
        <v>24.788672388577844</v>
      </c>
      <c r="AE1626" s="3397"/>
    </row>
    <row r="1627" spans="1:31" s="63" customFormat="1" ht="69" customHeight="1">
      <c r="A1627" s="3383"/>
      <c r="B1627" s="3383"/>
      <c r="C1627" s="3384">
        <v>3</v>
      </c>
      <c r="D1627" s="3385" t="s">
        <v>107</v>
      </c>
      <c r="E1627" s="3385" t="s">
        <v>95</v>
      </c>
      <c r="F1627" s="3385" t="s">
        <v>66</v>
      </c>
      <c r="G1627" s="3385">
        <v>31</v>
      </c>
      <c r="H1627" s="3390">
        <v>53</v>
      </c>
      <c r="I1627" s="3383" t="s">
        <v>1240</v>
      </c>
      <c r="J1627" s="3383" t="s">
        <v>1241</v>
      </c>
      <c r="K1627" s="3313">
        <v>405</v>
      </c>
      <c r="L1627" s="3325">
        <v>297969000</v>
      </c>
      <c r="M1627" s="3313">
        <v>0</v>
      </c>
      <c r="N1627" s="3429">
        <v>0</v>
      </c>
      <c r="O1627" s="3335">
        <v>105</v>
      </c>
      <c r="P1627" s="3424">
        <v>72969600</v>
      </c>
      <c r="Q1627" s="3313">
        <v>86</v>
      </c>
      <c r="R1627" s="3428">
        <v>21790000</v>
      </c>
      <c r="S1627" s="3390">
        <v>0</v>
      </c>
      <c r="T1627" s="3391">
        <f>69557400-R1627</f>
        <v>47767400</v>
      </c>
      <c r="U1627" s="3313">
        <f>105-Q1627-S1627</f>
        <v>19</v>
      </c>
      <c r="V1627" s="3392">
        <f>69557400-R1627-T1627</f>
        <v>0</v>
      </c>
      <c r="W1627" s="3313"/>
      <c r="X1627" s="3313"/>
      <c r="Y1627" s="3393">
        <f t="shared" si="535"/>
        <v>105</v>
      </c>
      <c r="Z1627" s="3422">
        <f t="shared" si="535"/>
        <v>69557400</v>
      </c>
      <c r="AA1627" s="3393">
        <f t="shared" si="536"/>
        <v>105</v>
      </c>
      <c r="AB1627" s="3395">
        <f t="shared" si="539"/>
        <v>69557400</v>
      </c>
      <c r="AC1627" s="3396">
        <f t="shared" si="541"/>
        <v>25.925925925925924</v>
      </c>
      <c r="AD1627" s="3396">
        <f t="shared" si="538"/>
        <v>23.343837781782671</v>
      </c>
      <c r="AE1627" s="3397"/>
    </row>
    <row r="1628" spans="1:31" s="63" customFormat="1" ht="54" customHeight="1">
      <c r="A1628" s="3383"/>
      <c r="B1628" s="3383"/>
      <c r="C1628" s="3384">
        <v>3</v>
      </c>
      <c r="D1628" s="3385" t="s">
        <v>107</v>
      </c>
      <c r="E1628" s="3385" t="s">
        <v>95</v>
      </c>
      <c r="F1628" s="3385" t="s">
        <v>66</v>
      </c>
      <c r="G1628" s="3385">
        <v>31</v>
      </c>
      <c r="H1628" s="3386">
        <v>22</v>
      </c>
      <c r="I1628" s="3383" t="s">
        <v>1242</v>
      </c>
      <c r="J1628" s="3383" t="s">
        <v>1243</v>
      </c>
      <c r="K1628" s="3313">
        <f>462+448+300+300+300+300</f>
        <v>2110</v>
      </c>
      <c r="L1628" s="3325">
        <v>225596000</v>
      </c>
      <c r="M1628" s="3313">
        <v>448</v>
      </c>
      <c r="N1628" s="3388">
        <v>48135000</v>
      </c>
      <c r="O1628" s="3335">
        <v>200</v>
      </c>
      <c r="P1628" s="3424">
        <v>34168100</v>
      </c>
      <c r="Q1628" s="3313">
        <v>244</v>
      </c>
      <c r="R1628" s="3325">
        <v>11883000</v>
      </c>
      <c r="S1628" s="3390">
        <f>515-Q1628</f>
        <v>271</v>
      </c>
      <c r="T1628" s="3391">
        <f>15733000-R1628</f>
        <v>3850000</v>
      </c>
      <c r="U1628" s="3313">
        <f>535-Q1628-S1628</f>
        <v>20</v>
      </c>
      <c r="V1628" s="3392">
        <f>34168100-R1628-T1628</f>
        <v>18435100</v>
      </c>
      <c r="W1628" s="3313"/>
      <c r="X1628" s="3313"/>
      <c r="Y1628" s="3393">
        <f t="shared" si="535"/>
        <v>535</v>
      </c>
      <c r="Z1628" s="3422">
        <f t="shared" si="535"/>
        <v>34168100</v>
      </c>
      <c r="AA1628" s="3393">
        <f t="shared" si="536"/>
        <v>983</v>
      </c>
      <c r="AB1628" s="3395">
        <f t="shared" si="539"/>
        <v>82303100</v>
      </c>
      <c r="AC1628" s="3396">
        <f t="shared" si="541"/>
        <v>46.587677725118482</v>
      </c>
      <c r="AD1628" s="3396">
        <f t="shared" si="538"/>
        <v>36.482517420521646</v>
      </c>
      <c r="AE1628" s="3397"/>
    </row>
    <row r="1629" spans="1:31" s="63" customFormat="1" ht="81.75" customHeight="1">
      <c r="A1629" s="3338"/>
      <c r="B1629" s="3338"/>
      <c r="C1629" s="1484">
        <v>3</v>
      </c>
      <c r="D1629" s="1416" t="s">
        <v>107</v>
      </c>
      <c r="E1629" s="1416" t="s">
        <v>95</v>
      </c>
      <c r="F1629" s="1416" t="s">
        <v>66</v>
      </c>
      <c r="G1629" s="1416">
        <v>31</v>
      </c>
      <c r="H1629" s="3430">
        <v>28</v>
      </c>
      <c r="I1629" s="3338" t="s">
        <v>1244</v>
      </c>
      <c r="J1629" s="3338" t="s">
        <v>1245</v>
      </c>
      <c r="K1629" s="2122">
        <f>875+946+950+950+950+950</f>
        <v>5621</v>
      </c>
      <c r="L1629" s="3343">
        <v>210809000</v>
      </c>
      <c r="M1629" s="2122">
        <v>946</v>
      </c>
      <c r="N1629" s="3431">
        <v>30368000</v>
      </c>
      <c r="O1629" s="3341">
        <v>1050</v>
      </c>
      <c r="P1629" s="3432">
        <v>17289100</v>
      </c>
      <c r="Q1629" s="2122">
        <v>493</v>
      </c>
      <c r="R1629" s="3343">
        <v>863000</v>
      </c>
      <c r="S1629" s="3390">
        <v>0</v>
      </c>
      <c r="T1629" s="3391">
        <f>13039000-R1629</f>
        <v>12176000</v>
      </c>
      <c r="U1629" s="2122">
        <f>1050-Q1629</f>
        <v>557</v>
      </c>
      <c r="V1629" s="3433">
        <f>13039000-R1629-T1629</f>
        <v>0</v>
      </c>
      <c r="W1629" s="2122"/>
      <c r="X1629" s="2122"/>
      <c r="Y1629" s="3434">
        <f t="shared" si="535"/>
        <v>1050</v>
      </c>
      <c r="Z1629" s="3435">
        <f t="shared" si="535"/>
        <v>13039000</v>
      </c>
      <c r="AA1629" s="3434">
        <f t="shared" si="536"/>
        <v>1996</v>
      </c>
      <c r="AB1629" s="3436">
        <f t="shared" si="539"/>
        <v>43407000</v>
      </c>
      <c r="AC1629" s="3437">
        <f t="shared" si="541"/>
        <v>35.509695783668391</v>
      </c>
      <c r="AD1629" s="3437">
        <f t="shared" si="538"/>
        <v>20.590676868634642</v>
      </c>
      <c r="AE1629" s="3340"/>
    </row>
    <row r="1630" spans="1:31" s="63" customFormat="1" ht="69" customHeight="1">
      <c r="A1630" s="3398">
        <v>4</v>
      </c>
      <c r="B1630" s="3301"/>
      <c r="C1630" s="3399">
        <v>3</v>
      </c>
      <c r="D1630" s="3400" t="s">
        <v>107</v>
      </c>
      <c r="E1630" s="3400" t="s">
        <v>95</v>
      </c>
      <c r="F1630" s="3400" t="s">
        <v>66</v>
      </c>
      <c r="G1630" s="3400" t="s">
        <v>197</v>
      </c>
      <c r="H1630" s="3401"/>
      <c r="I1630" s="3402" t="s">
        <v>227</v>
      </c>
      <c r="J1630" s="3402" t="s">
        <v>3519</v>
      </c>
      <c r="K1630" s="3412">
        <v>72</v>
      </c>
      <c r="L1630" s="3413">
        <f t="shared" ref="L1630:R1630" si="542">L1631</f>
        <v>113071000</v>
      </c>
      <c r="M1630" s="3412">
        <v>24</v>
      </c>
      <c r="N1630" s="3413">
        <f t="shared" si="542"/>
        <v>21953000</v>
      </c>
      <c r="O1630" s="3412">
        <v>12</v>
      </c>
      <c r="P1630" s="3413">
        <f t="shared" si="542"/>
        <v>14918220</v>
      </c>
      <c r="Q1630" s="3412">
        <v>3</v>
      </c>
      <c r="R1630" s="3413">
        <f t="shared" si="542"/>
        <v>0</v>
      </c>
      <c r="S1630" s="3413">
        <v>3</v>
      </c>
      <c r="T1630" s="3438">
        <f>T1631</f>
        <v>7470110</v>
      </c>
      <c r="U1630" s="3412">
        <v>3</v>
      </c>
      <c r="V1630" s="3439">
        <f>V1631</f>
        <v>1500000</v>
      </c>
      <c r="W1630" s="3412"/>
      <c r="X1630" s="3412"/>
      <c r="Y1630" s="3440">
        <f t="shared" si="535"/>
        <v>9</v>
      </c>
      <c r="Z1630" s="3413">
        <f>SUM(Z1631)</f>
        <v>8970110</v>
      </c>
      <c r="AA1630" s="3412">
        <f t="shared" si="536"/>
        <v>33</v>
      </c>
      <c r="AB1630" s="3413">
        <f t="shared" si="539"/>
        <v>30923110</v>
      </c>
      <c r="AC1630" s="3418">
        <f t="shared" si="541"/>
        <v>45.833333333333329</v>
      </c>
      <c r="AD1630" s="3418">
        <f t="shared" si="541"/>
        <v>27.348400562478442</v>
      </c>
      <c r="AE1630" s="3410" t="s">
        <v>1232</v>
      </c>
    </row>
    <row r="1631" spans="1:31" s="63" customFormat="1" ht="62.25" customHeight="1">
      <c r="A1631" s="3383"/>
      <c r="B1631" s="3383" t="s">
        <v>1247</v>
      </c>
      <c r="C1631" s="3384">
        <v>3</v>
      </c>
      <c r="D1631" s="3385" t="s">
        <v>107</v>
      </c>
      <c r="E1631" s="3385" t="s">
        <v>95</v>
      </c>
      <c r="F1631" s="3385" t="s">
        <v>66</v>
      </c>
      <c r="G1631" s="3385" t="s">
        <v>197</v>
      </c>
      <c r="H1631" s="3386" t="s">
        <v>66</v>
      </c>
      <c r="I1631" s="3380" t="s">
        <v>950</v>
      </c>
      <c r="J1631" s="3380" t="s">
        <v>1307</v>
      </c>
      <c r="K1631" s="3425">
        <v>66</v>
      </c>
      <c r="L1631" s="3325">
        <v>113071000</v>
      </c>
      <c r="M1631" s="3313">
        <v>22</v>
      </c>
      <c r="N1631" s="3388">
        <v>21953000</v>
      </c>
      <c r="O1631" s="3335">
        <v>11</v>
      </c>
      <c r="P1631" s="3388">
        <v>14918220</v>
      </c>
      <c r="Q1631" s="3313">
        <v>0</v>
      </c>
      <c r="R1631" s="3428">
        <v>0</v>
      </c>
      <c r="S1631" s="3325">
        <v>5</v>
      </c>
      <c r="T1631" s="3325">
        <f>7470110-R1631</f>
        <v>7470110</v>
      </c>
      <c r="U1631" s="3313">
        <v>3</v>
      </c>
      <c r="V1631" s="3392">
        <f>8970110-R1631-T1631</f>
        <v>1500000</v>
      </c>
      <c r="W1631" s="3313"/>
      <c r="X1631" s="3313"/>
      <c r="Y1631" s="3313">
        <f t="shared" si="535"/>
        <v>8</v>
      </c>
      <c r="Z1631" s="3325">
        <f t="shared" si="535"/>
        <v>8970110</v>
      </c>
      <c r="AA1631" s="3313">
        <f t="shared" si="536"/>
        <v>30</v>
      </c>
      <c r="AB1631" s="3428">
        <f t="shared" si="539"/>
        <v>30923110</v>
      </c>
      <c r="AC1631" s="3427">
        <f t="shared" si="541"/>
        <v>45.454545454545453</v>
      </c>
      <c r="AD1631" s="3396">
        <f t="shared" si="541"/>
        <v>27.348400562478442</v>
      </c>
      <c r="AE1631" s="3397"/>
    </row>
    <row r="1632" spans="1:31" s="63" customFormat="1" ht="61.5" customHeight="1">
      <c r="A1632" s="3398">
        <v>5</v>
      </c>
      <c r="B1632" s="3301"/>
      <c r="C1632" s="3399">
        <v>3</v>
      </c>
      <c r="D1632" s="3400" t="s">
        <v>107</v>
      </c>
      <c r="E1632" s="3400" t="s">
        <v>95</v>
      </c>
      <c r="F1632" s="3400" t="s">
        <v>66</v>
      </c>
      <c r="G1632" s="3399">
        <v>29</v>
      </c>
      <c r="H1632" s="3401"/>
      <c r="I1632" s="3402" t="s">
        <v>1270</v>
      </c>
      <c r="J1632" s="3402" t="s">
        <v>3520</v>
      </c>
      <c r="K1632" s="3403">
        <v>600</v>
      </c>
      <c r="L1632" s="3419">
        <f>SUM(L1633:L1636)</f>
        <v>9060887000</v>
      </c>
      <c r="M1632" s="3403">
        <v>200</v>
      </c>
      <c r="N1632" s="3419">
        <f>SUM(N1633:N1636)</f>
        <v>2538297846</v>
      </c>
      <c r="O1632" s="3403">
        <v>100</v>
      </c>
      <c r="P1632" s="3419">
        <f>SUM(P1633:P1636)</f>
        <v>1576003442</v>
      </c>
      <c r="Q1632" s="3403">
        <v>17.43</v>
      </c>
      <c r="R1632" s="3419">
        <f>SUM(R1633:R1636)</f>
        <v>274741831</v>
      </c>
      <c r="S1632" s="3441">
        <f>T1632/P1632*100</f>
        <v>43.564641529507526</v>
      </c>
      <c r="T1632" s="3442">
        <f>SUM(T1633:T1636)</f>
        <v>686580250</v>
      </c>
      <c r="U1632" s="3403"/>
      <c r="V1632" s="3443">
        <f>SUM(V1633:V1636)</f>
        <v>394585019</v>
      </c>
      <c r="W1632" s="3403"/>
      <c r="X1632" s="3403"/>
      <c r="Y1632" s="3409">
        <f t="shared" si="535"/>
        <v>60.994641529507525</v>
      </c>
      <c r="Z1632" s="3420">
        <f>SUM(Z1633:Z1636)</f>
        <v>1355907100</v>
      </c>
      <c r="AA1632" s="3409">
        <f t="shared" si="536"/>
        <v>260.99464152950753</v>
      </c>
      <c r="AB1632" s="3420">
        <f t="shared" si="539"/>
        <v>3894204946</v>
      </c>
      <c r="AC1632" s="3409">
        <f t="shared" si="541"/>
        <v>43.499106921584591</v>
      </c>
      <c r="AD1632" s="3409">
        <f t="shared" si="541"/>
        <v>42.978186859630853</v>
      </c>
      <c r="AE1632" s="3410" t="s">
        <v>1232</v>
      </c>
    </row>
    <row r="1633" spans="1:76" s="63" customFormat="1" ht="63.75" customHeight="1">
      <c r="A1633" s="3383"/>
      <c r="B1633" s="3383" t="s">
        <v>1247</v>
      </c>
      <c r="C1633" s="3384">
        <v>3</v>
      </c>
      <c r="D1633" s="3385" t="s">
        <v>107</v>
      </c>
      <c r="E1633" s="3385" t="s">
        <v>95</v>
      </c>
      <c r="F1633" s="3385" t="s">
        <v>66</v>
      </c>
      <c r="G1633" s="3384">
        <v>29</v>
      </c>
      <c r="H1633" s="3386" t="s">
        <v>197</v>
      </c>
      <c r="I1633" s="3380" t="s">
        <v>1271</v>
      </c>
      <c r="J1633" s="2678" t="s">
        <v>1272</v>
      </c>
      <c r="K1633" s="3335">
        <v>56</v>
      </c>
      <c r="L1633" s="3325">
        <v>3490679000</v>
      </c>
      <c r="M1633" s="3313">
        <v>20</v>
      </c>
      <c r="N1633" s="3388">
        <v>1175626246</v>
      </c>
      <c r="O1633" s="3313">
        <v>12</v>
      </c>
      <c r="P1633" s="3424">
        <v>562932950</v>
      </c>
      <c r="Q1633" s="3313">
        <v>6</v>
      </c>
      <c r="R1633" s="3424">
        <v>10733000</v>
      </c>
      <c r="S1633" s="3390">
        <v>0</v>
      </c>
      <c r="T1633" s="3391">
        <f>242473927-R1633</f>
        <v>231740927</v>
      </c>
      <c r="U1633" s="3313">
        <v>0</v>
      </c>
      <c r="V1633" s="3392">
        <f>367741972-R1633-T1633</f>
        <v>125268045</v>
      </c>
      <c r="W1633" s="3313"/>
      <c r="X1633" s="3313"/>
      <c r="Y1633" s="3393">
        <f t="shared" si="535"/>
        <v>6</v>
      </c>
      <c r="Z1633" s="3444">
        <f t="shared" si="535"/>
        <v>367741972</v>
      </c>
      <c r="AA1633" s="3393">
        <f t="shared" si="536"/>
        <v>26</v>
      </c>
      <c r="AB1633" s="3395">
        <f t="shared" si="539"/>
        <v>1543368218</v>
      </c>
      <c r="AC1633" s="3396">
        <f t="shared" si="541"/>
        <v>46.428571428571431</v>
      </c>
      <c r="AD1633" s="3396">
        <f t="shared" si="541"/>
        <v>44.213982952886816</v>
      </c>
      <c r="AE1633" s="3397"/>
    </row>
    <row r="1634" spans="1:76" s="63" customFormat="1" ht="57" customHeight="1">
      <c r="A1634" s="3383"/>
      <c r="B1634" s="3383"/>
      <c r="C1634" s="3384">
        <v>3</v>
      </c>
      <c r="D1634" s="3385" t="s">
        <v>107</v>
      </c>
      <c r="E1634" s="3385" t="s">
        <v>95</v>
      </c>
      <c r="F1634" s="3385" t="s">
        <v>66</v>
      </c>
      <c r="G1634" s="3384">
        <v>29</v>
      </c>
      <c r="H1634" s="3386" t="s">
        <v>93</v>
      </c>
      <c r="I1634" s="3380" t="s">
        <v>1273</v>
      </c>
      <c r="J1634" s="3380" t="s">
        <v>1274</v>
      </c>
      <c r="K1634" s="3335">
        <v>180</v>
      </c>
      <c r="L1634" s="3325">
        <v>3346888000</v>
      </c>
      <c r="M1634" s="3313">
        <v>60</v>
      </c>
      <c r="N1634" s="3388">
        <v>998233000</v>
      </c>
      <c r="O1634" s="3313">
        <v>30</v>
      </c>
      <c r="P1634" s="3388">
        <v>703005450</v>
      </c>
      <c r="Q1634" s="3313">
        <v>30</v>
      </c>
      <c r="R1634" s="3388">
        <v>135472729</v>
      </c>
      <c r="S1634" s="3390">
        <v>0</v>
      </c>
      <c r="T1634" s="3391">
        <f>429624452-R1634</f>
        <v>294151723</v>
      </c>
      <c r="U1634" s="3313">
        <v>0</v>
      </c>
      <c r="V1634" s="3392">
        <f>694090426-R1634-T1634</f>
        <v>264465974</v>
      </c>
      <c r="W1634" s="3313"/>
      <c r="X1634" s="3313"/>
      <c r="Y1634" s="3393">
        <f t="shared" si="535"/>
        <v>30</v>
      </c>
      <c r="Z1634" s="3444">
        <f t="shared" si="535"/>
        <v>694090426</v>
      </c>
      <c r="AA1634" s="3393">
        <f t="shared" si="536"/>
        <v>90</v>
      </c>
      <c r="AB1634" s="3395">
        <f t="shared" si="539"/>
        <v>1692323426</v>
      </c>
      <c r="AC1634" s="3396">
        <f t="shared" si="541"/>
        <v>50</v>
      </c>
      <c r="AD1634" s="3396">
        <f t="shared" si="541"/>
        <v>50.564088968618016</v>
      </c>
      <c r="AE1634" s="3397"/>
    </row>
    <row r="1635" spans="1:76" ht="48.75" customHeight="1">
      <c r="A1635" s="3383"/>
      <c r="B1635" s="3383"/>
      <c r="C1635" s="3384">
        <v>3</v>
      </c>
      <c r="D1635" s="3385" t="s">
        <v>107</v>
      </c>
      <c r="E1635" s="3385" t="s">
        <v>95</v>
      </c>
      <c r="F1635" s="3385" t="s">
        <v>66</v>
      </c>
      <c r="G1635" s="3384">
        <v>29</v>
      </c>
      <c r="H1635" s="3386" t="s">
        <v>198</v>
      </c>
      <c r="I1635" s="3380" t="s">
        <v>1275</v>
      </c>
      <c r="J1635" s="2678" t="s">
        <v>1276</v>
      </c>
      <c r="K1635" s="3335">
        <v>646</v>
      </c>
      <c r="L1635" s="3325">
        <v>1705162000</v>
      </c>
      <c r="M1635" s="3313">
        <v>140</v>
      </c>
      <c r="N1635" s="3388">
        <v>364438600</v>
      </c>
      <c r="O1635" s="3313">
        <v>66</v>
      </c>
      <c r="P1635" s="3388">
        <v>166907302</v>
      </c>
      <c r="Q1635" s="3313">
        <v>66</v>
      </c>
      <c r="R1635" s="3388">
        <v>126232102</v>
      </c>
      <c r="S1635" s="3390">
        <v>0</v>
      </c>
      <c r="T1635" s="3391">
        <f>157432102-R1635</f>
        <v>31200000</v>
      </c>
      <c r="U1635" s="3313">
        <v>0</v>
      </c>
      <c r="V1635" s="3392">
        <f>157432102-R1635-T1635</f>
        <v>0</v>
      </c>
      <c r="W1635" s="3313"/>
      <c r="X1635" s="3313"/>
      <c r="Y1635" s="3393">
        <f t="shared" si="535"/>
        <v>66</v>
      </c>
      <c r="Z1635" s="3444">
        <f t="shared" si="535"/>
        <v>157432102</v>
      </c>
      <c r="AA1635" s="3393">
        <f t="shared" si="536"/>
        <v>206</v>
      </c>
      <c r="AB1635" s="3395">
        <f t="shared" si="539"/>
        <v>521870702</v>
      </c>
      <c r="AC1635" s="3396">
        <f t="shared" si="541"/>
        <v>31.888544891640869</v>
      </c>
      <c r="AD1635" s="3396">
        <f t="shared" si="541"/>
        <v>30.605344360242604</v>
      </c>
      <c r="AE1635" s="3397"/>
    </row>
    <row r="1636" spans="1:76" ht="86.25" customHeight="1">
      <c r="A1636" s="3397"/>
      <c r="B1636" s="3383"/>
      <c r="C1636" s="3384">
        <v>3</v>
      </c>
      <c r="D1636" s="3385" t="s">
        <v>107</v>
      </c>
      <c r="E1636" s="3385" t="s">
        <v>95</v>
      </c>
      <c r="F1636" s="3385" t="s">
        <v>66</v>
      </c>
      <c r="G1636" s="3385">
        <v>29</v>
      </c>
      <c r="H1636" s="3353" t="s">
        <v>201</v>
      </c>
      <c r="I1636" s="3380" t="s">
        <v>1277</v>
      </c>
      <c r="J1636" s="3380" t="s">
        <v>1278</v>
      </c>
      <c r="K1636" s="3335">
        <v>150</v>
      </c>
      <c r="L1636" s="3325">
        <v>518158000</v>
      </c>
      <c r="M1636" s="3313">
        <v>0</v>
      </c>
      <c r="N1636" s="3429">
        <v>0</v>
      </c>
      <c r="O1636" s="3313">
        <v>30</v>
      </c>
      <c r="P1636" s="3388">
        <v>143157740</v>
      </c>
      <c r="Q1636" s="3313">
        <v>0</v>
      </c>
      <c r="R1636" s="3388">
        <v>2304000</v>
      </c>
      <c r="S1636" s="3390">
        <v>30</v>
      </c>
      <c r="T1636" s="3391">
        <f>131791600-R1636</f>
        <v>129487600</v>
      </c>
      <c r="U1636" s="3313">
        <v>0</v>
      </c>
      <c r="V1636" s="3392">
        <f>136642600-R1636-T1636</f>
        <v>4851000</v>
      </c>
      <c r="W1636" s="3313"/>
      <c r="X1636" s="3313"/>
      <c r="Y1636" s="3393">
        <f t="shared" si="535"/>
        <v>30</v>
      </c>
      <c r="Z1636" s="3444">
        <f t="shared" si="535"/>
        <v>136642600</v>
      </c>
      <c r="AA1636" s="3393">
        <f t="shared" si="536"/>
        <v>30</v>
      </c>
      <c r="AB1636" s="3395">
        <f t="shared" si="539"/>
        <v>136642600</v>
      </c>
      <c r="AC1636" s="3396">
        <f t="shared" si="541"/>
        <v>20</v>
      </c>
      <c r="AD1636" s="3396">
        <f t="shared" si="541"/>
        <v>26.370836694598943</v>
      </c>
      <c r="AE1636" s="3397"/>
    </row>
    <row r="1637" spans="1:76" s="114" customFormat="1" ht="18.75" customHeight="1">
      <c r="A1637" s="4244" t="s">
        <v>89</v>
      </c>
      <c r="B1637" s="4244"/>
      <c r="C1637" s="4244"/>
      <c r="D1637" s="4244"/>
      <c r="E1637" s="4244"/>
      <c r="F1637" s="4244"/>
      <c r="G1637" s="4244"/>
      <c r="H1637" s="4244"/>
      <c r="I1637" s="4244"/>
      <c r="J1637" s="4244"/>
      <c r="K1637" s="4244"/>
      <c r="L1637" s="4244"/>
      <c r="M1637" s="4244"/>
      <c r="N1637" s="4244"/>
      <c r="O1637" s="4244"/>
      <c r="P1637" s="4244"/>
      <c r="Q1637" s="4244"/>
      <c r="R1637" s="4244"/>
      <c r="S1637" s="4244"/>
      <c r="T1637" s="4244"/>
      <c r="U1637" s="4244"/>
      <c r="V1637" s="4244"/>
      <c r="W1637" s="4244"/>
      <c r="X1637" s="4244"/>
      <c r="Y1637" s="4244"/>
      <c r="Z1637" s="4244"/>
      <c r="AA1637" s="4244"/>
      <c r="AB1637" s="4244"/>
      <c r="AC1637" s="4236">
        <f>(AC1590+AC1603+AC1609+AC1612+AC1630+AC1632)/5</f>
        <v>52.931840163659636</v>
      </c>
      <c r="AD1637" s="2030">
        <f>(AD1590+AD1603+AD1612+AD1630+AD1632)/5</f>
        <v>40.893655303573141</v>
      </c>
      <c r="AE1637" s="390"/>
    </row>
    <row r="1638" spans="1:76" s="475" customFormat="1" ht="15.75" customHeight="1">
      <c r="A1638" s="4244" t="s">
        <v>90</v>
      </c>
      <c r="B1638" s="4244"/>
      <c r="C1638" s="4244"/>
      <c r="D1638" s="4244"/>
      <c r="E1638" s="4244"/>
      <c r="F1638" s="4244"/>
      <c r="G1638" s="4244"/>
      <c r="H1638" s="4244"/>
      <c r="I1638" s="4244"/>
      <c r="J1638" s="4244"/>
      <c r="K1638" s="4244"/>
      <c r="L1638" s="4244"/>
      <c r="M1638" s="4244"/>
      <c r="N1638" s="4244"/>
      <c r="O1638" s="4244"/>
      <c r="P1638" s="4244"/>
      <c r="Q1638" s="4244"/>
      <c r="R1638" s="4244"/>
      <c r="S1638" s="4244"/>
      <c r="T1638" s="4244"/>
      <c r="U1638" s="4244"/>
      <c r="V1638" s="4244"/>
      <c r="W1638" s="4244"/>
      <c r="X1638" s="4244"/>
      <c r="Y1638" s="4244"/>
      <c r="Z1638" s="4244"/>
      <c r="AA1638" s="4244"/>
      <c r="AB1638" s="4244"/>
      <c r="AC1638" s="3152" t="str">
        <f>IF(AC1637&gt;=91,"ST",IF(AC1637&gt;=76,"T",IF(AC1637&gt;=66,"S",IF(AC1637&gt;=51,"R","SR"))))</f>
        <v>R</v>
      </c>
      <c r="AD1638" s="3152" t="str">
        <f>IF(AD1637&gt;=91,"ST",IF(AD1637&gt;=76,"T",IF(AD1637&gt;=66,"S",IF(AD1637&gt;=51,"R","SR"))))</f>
        <v>SR</v>
      </c>
      <c r="AE1638" s="390"/>
    </row>
    <row r="1639" spans="1:76" s="55" customFormat="1" ht="33" customHeight="1">
      <c r="A1639" s="2546" t="s">
        <v>3252</v>
      </c>
      <c r="B1639" s="2918"/>
      <c r="C1639" s="2546"/>
      <c r="D1639" s="2546"/>
      <c r="E1639" s="2546"/>
      <c r="F1639" s="2546"/>
      <c r="G1639" s="2546"/>
      <c r="H1639" s="2546"/>
      <c r="I1639" s="2515" t="s">
        <v>908</v>
      </c>
      <c r="J1639" s="2918"/>
      <c r="K1639" s="2918"/>
      <c r="L1639" s="3238">
        <f>L1640+L1643</f>
        <v>3514608139</v>
      </c>
      <c r="M1639" s="2918"/>
      <c r="N1639" s="2916">
        <f>N1640+N1643</f>
        <v>365234000</v>
      </c>
      <c r="O1639" s="2918"/>
      <c r="P1639" s="2916">
        <f>SUM(P1640+P1643)</f>
        <v>600645486</v>
      </c>
      <c r="Q1639" s="2918"/>
      <c r="R1639" s="2916">
        <f>SUM(R1640+R1643)</f>
        <v>52586000</v>
      </c>
      <c r="S1639" s="2918"/>
      <c r="T1639" s="2916">
        <f>SUM(T1640+T1643)</f>
        <v>166511738</v>
      </c>
      <c r="U1639" s="2918"/>
      <c r="V1639" s="2916"/>
      <c r="W1639" s="2918"/>
      <c r="X1639" s="2918"/>
      <c r="Y1639" s="2546"/>
      <c r="Z1639" s="2916">
        <f>SUM(R1639+T1639)</f>
        <v>219097738</v>
      </c>
      <c r="AA1639" s="2918"/>
      <c r="AB1639" s="2916">
        <f>AB1640+AB1643</f>
        <v>584331738</v>
      </c>
      <c r="AC1639" s="2918"/>
      <c r="AD1639" s="2918"/>
      <c r="AE1639" s="3211"/>
      <c r="AF1639" s="145"/>
      <c r="AG1639" s="145"/>
      <c r="AH1639" s="145"/>
      <c r="AI1639" s="145"/>
      <c r="AJ1639" s="145"/>
      <c r="AK1639" s="145"/>
      <c r="AL1639" s="145"/>
      <c r="AM1639" s="145"/>
      <c r="AN1639" s="145"/>
      <c r="AO1639" s="145"/>
      <c r="AP1639" s="145"/>
      <c r="AQ1639" s="145"/>
      <c r="AR1639" s="145"/>
      <c r="AS1639" s="145"/>
      <c r="AT1639" s="145"/>
      <c r="AU1639" s="145"/>
      <c r="AV1639" s="145"/>
      <c r="AW1639" s="145"/>
      <c r="AX1639" s="145"/>
      <c r="AY1639" s="145"/>
      <c r="AZ1639" s="145"/>
      <c r="BA1639" s="145"/>
      <c r="BB1639" s="145"/>
      <c r="BC1639" s="145"/>
      <c r="BD1639" s="145"/>
      <c r="BE1639" s="145"/>
      <c r="BF1639" s="145"/>
      <c r="BG1639" s="145"/>
      <c r="BH1639" s="145"/>
      <c r="BI1639" s="145"/>
      <c r="BJ1639" s="145"/>
      <c r="BK1639" s="145"/>
      <c r="BL1639" s="145"/>
      <c r="BM1639" s="145"/>
      <c r="BN1639" s="145"/>
      <c r="BO1639" s="145"/>
      <c r="BP1639" s="145"/>
      <c r="BQ1639" s="145"/>
      <c r="BR1639" s="145"/>
      <c r="BS1639" s="145"/>
      <c r="BT1639" s="145"/>
      <c r="BU1639" s="145"/>
      <c r="BV1639" s="145"/>
      <c r="BW1639" s="145"/>
      <c r="BX1639" s="145"/>
    </row>
    <row r="1640" spans="1:76" s="2728" customFormat="1" ht="38.25">
      <c r="A1640" s="2578">
        <v>1</v>
      </c>
      <c r="B1640" s="2578"/>
      <c r="C1640" s="2575"/>
      <c r="D1640" s="2575"/>
      <c r="E1640" s="2575"/>
      <c r="F1640" s="2575"/>
      <c r="G1640" s="2575"/>
      <c r="H1640" s="2575"/>
      <c r="I1640" s="2501" t="s">
        <v>3475</v>
      </c>
      <c r="J1640" s="2501" t="s">
        <v>3521</v>
      </c>
      <c r="K1640" s="2577">
        <f>+(K1641+K1642)/2</f>
        <v>11.5</v>
      </c>
      <c r="L1640" s="2754">
        <f>SUM(L1641:L1642)</f>
        <v>892976000</v>
      </c>
      <c r="M1640" s="2577">
        <f>+(M1641+M1642)/2</f>
        <v>3.5</v>
      </c>
      <c r="N1640" s="2754">
        <f>SUM(N1641:N1642)</f>
        <v>160434000</v>
      </c>
      <c r="O1640" s="2577">
        <f>+(O1641+O1642)/2</f>
        <v>5</v>
      </c>
      <c r="P1640" s="2754">
        <f>SUM(P1641:P1642)</f>
        <v>89825115</v>
      </c>
      <c r="Q1640" s="2577">
        <f>+(Q1641+Q1642)/2</f>
        <v>0</v>
      </c>
      <c r="R1640" s="2754">
        <f>SUM(R1641:R1642)</f>
        <v>4627000</v>
      </c>
      <c r="S1640" s="2638">
        <v>0</v>
      </c>
      <c r="T1640" s="2638">
        <f>SUM(T1641)</f>
        <v>7966650</v>
      </c>
      <c r="U1640" s="2638">
        <v>0</v>
      </c>
      <c r="V1640" s="2638">
        <f>SUM(V1641)</f>
        <v>0</v>
      </c>
      <c r="W1640" s="2638">
        <v>0</v>
      </c>
      <c r="X1640" s="2638">
        <f>SUM(X1641)</f>
        <v>0</v>
      </c>
      <c r="Y1640" s="2747">
        <f t="shared" ref="Y1640:Y1648" si="543">Q1640+S1640+U1640+W1640</f>
        <v>0</v>
      </c>
      <c r="Z1640" s="2754">
        <f t="shared" ref="Z1640:Z1648" si="544">R1640+T1640+V1640+X1640</f>
        <v>12593650</v>
      </c>
      <c r="AA1640" s="2584">
        <f>+Y1640+M1640</f>
        <v>3.5</v>
      </c>
      <c r="AB1640" s="2638">
        <f>+N1640+Z1640</f>
        <v>173027650</v>
      </c>
      <c r="AC1640" s="2584">
        <f t="shared" ref="AC1640:AD1642" si="545">(AA1640/K1640)*100</f>
        <v>30.434782608695656</v>
      </c>
      <c r="AD1640" s="2584">
        <f t="shared" si="545"/>
        <v>19.37651739800398</v>
      </c>
      <c r="AE1640" s="3135" t="s">
        <v>82</v>
      </c>
      <c r="AF1640" s="353"/>
      <c r="AG1640" s="353"/>
      <c r="AH1640" s="353"/>
      <c r="AI1640" s="353"/>
      <c r="AJ1640" s="353"/>
      <c r="AK1640" s="353"/>
      <c r="AL1640" s="353"/>
      <c r="AM1640" s="353"/>
      <c r="AN1640" s="353"/>
      <c r="AO1640" s="353"/>
      <c r="AP1640" s="353"/>
      <c r="AQ1640" s="353"/>
      <c r="AR1640" s="353"/>
      <c r="AS1640" s="353"/>
      <c r="AT1640" s="353"/>
      <c r="AU1640" s="353"/>
      <c r="AV1640" s="353"/>
      <c r="AW1640" s="353"/>
      <c r="AX1640" s="353"/>
      <c r="AY1640" s="353"/>
      <c r="AZ1640" s="353"/>
      <c r="BA1640" s="353"/>
      <c r="BB1640" s="353"/>
      <c r="BC1640" s="353"/>
      <c r="BD1640" s="353"/>
      <c r="BE1640" s="353"/>
      <c r="BF1640" s="353"/>
      <c r="BG1640" s="353"/>
      <c r="BH1640" s="353"/>
      <c r="BI1640" s="353"/>
      <c r="BJ1640" s="353"/>
      <c r="BK1640" s="353"/>
      <c r="BL1640" s="353"/>
      <c r="BM1640" s="353"/>
      <c r="BN1640" s="353"/>
      <c r="BO1640" s="353"/>
      <c r="BP1640" s="353"/>
      <c r="BQ1640" s="353"/>
      <c r="BR1640" s="353"/>
      <c r="BS1640" s="353"/>
      <c r="BT1640" s="353"/>
      <c r="BU1640" s="353"/>
      <c r="BV1640" s="353"/>
      <c r="BW1640" s="353"/>
      <c r="BX1640" s="353"/>
    </row>
    <row r="1641" spans="1:76" s="2263" customFormat="1" ht="38.25">
      <c r="A1641" s="1486"/>
      <c r="B1641" s="1486"/>
      <c r="C1641" s="1484"/>
      <c r="D1641" s="1484"/>
      <c r="E1641" s="1484"/>
      <c r="F1641" s="1484"/>
      <c r="G1641" s="1484"/>
      <c r="H1641" s="1484"/>
      <c r="I1641" s="1936" t="s">
        <v>3476</v>
      </c>
      <c r="J1641" s="1936" t="s">
        <v>3477</v>
      </c>
      <c r="K1641" s="2334">
        <v>18</v>
      </c>
      <c r="L1641" s="2402">
        <v>492976000</v>
      </c>
      <c r="M1641" s="2736">
        <v>6</v>
      </c>
      <c r="N1641" s="2402">
        <v>72170000</v>
      </c>
      <c r="O1641" s="2334">
        <v>9</v>
      </c>
      <c r="P1641" s="2402">
        <v>89825115</v>
      </c>
      <c r="Q1641" s="2585">
        <v>0</v>
      </c>
      <c r="R1641" s="2402">
        <v>4627000</v>
      </c>
      <c r="S1641" s="2402">
        <v>0</v>
      </c>
      <c r="T1641" s="2402">
        <v>7966650</v>
      </c>
      <c r="U1641" s="2402">
        <v>0</v>
      </c>
      <c r="V1641" s="2402">
        <v>0</v>
      </c>
      <c r="W1641" s="2402">
        <v>0</v>
      </c>
      <c r="X1641" s="2402">
        <v>0</v>
      </c>
      <c r="Y1641" s="2748">
        <f t="shared" si="543"/>
        <v>0</v>
      </c>
      <c r="Z1641" s="2739">
        <f t="shared" si="544"/>
        <v>12593650</v>
      </c>
      <c r="AA1641" s="2585">
        <f>+Y1641+M1641</f>
        <v>6</v>
      </c>
      <c r="AB1641" s="2402">
        <f>+N1641+Z1641</f>
        <v>84763650</v>
      </c>
      <c r="AC1641" s="2586">
        <f t="shared" si="545"/>
        <v>33.333333333333329</v>
      </c>
      <c r="AD1641" s="2586">
        <f t="shared" si="545"/>
        <v>17.194275177696277</v>
      </c>
      <c r="AE1641" s="2736"/>
      <c r="AF1641" s="2266"/>
      <c r="AG1641" s="2266"/>
      <c r="AH1641" s="2266"/>
      <c r="AI1641" s="2266"/>
      <c r="AJ1641" s="2266"/>
      <c r="AK1641" s="2266"/>
      <c r="AL1641" s="2266"/>
      <c r="AM1641" s="2266"/>
      <c r="AN1641" s="2266"/>
      <c r="AO1641" s="2266"/>
      <c r="AP1641" s="2266"/>
      <c r="AQ1641" s="2266"/>
      <c r="AR1641" s="2266"/>
      <c r="AS1641" s="2266"/>
      <c r="AT1641" s="2266"/>
      <c r="AU1641" s="2266"/>
      <c r="AV1641" s="2266"/>
      <c r="AW1641" s="2266"/>
      <c r="AX1641" s="2266"/>
      <c r="AY1641" s="2266"/>
      <c r="AZ1641" s="2266"/>
      <c r="BA1641" s="2266"/>
      <c r="BB1641" s="2266"/>
      <c r="BC1641" s="2266"/>
      <c r="BD1641" s="2266"/>
      <c r="BE1641" s="2266"/>
      <c r="BF1641" s="2266"/>
      <c r="BG1641" s="2266"/>
      <c r="BH1641" s="2266"/>
      <c r="BI1641" s="2266"/>
      <c r="BJ1641" s="2266"/>
      <c r="BK1641" s="2266"/>
      <c r="BL1641" s="2266"/>
      <c r="BM1641" s="2266"/>
      <c r="BN1641" s="2266"/>
      <c r="BO1641" s="2266"/>
      <c r="BP1641" s="2266"/>
      <c r="BQ1641" s="2266"/>
      <c r="BR1641" s="2266"/>
      <c r="BS1641" s="2266"/>
      <c r="BT1641" s="2266"/>
      <c r="BU1641" s="2266"/>
      <c r="BV1641" s="2266"/>
      <c r="BW1641" s="2266"/>
      <c r="BX1641" s="2266"/>
    </row>
    <row r="1642" spans="1:76" s="2263" customFormat="1" ht="25.5">
      <c r="A1642" s="1486"/>
      <c r="B1642" s="1486"/>
      <c r="C1642" s="1484"/>
      <c r="D1642" s="1484"/>
      <c r="E1642" s="1484"/>
      <c r="F1642" s="1484"/>
      <c r="G1642" s="1484"/>
      <c r="H1642" s="1484"/>
      <c r="I1642" s="1936" t="s">
        <v>3478</v>
      </c>
      <c r="J1642" s="1936" t="s">
        <v>3479</v>
      </c>
      <c r="K1642" s="2334">
        <v>5</v>
      </c>
      <c r="L1642" s="2402">
        <v>400000000</v>
      </c>
      <c r="M1642" s="2736">
        <v>1</v>
      </c>
      <c r="N1642" s="2402">
        <v>88264000</v>
      </c>
      <c r="O1642" s="2733">
        <v>1</v>
      </c>
      <c r="P1642" s="2402"/>
      <c r="Q1642" s="2733">
        <v>0</v>
      </c>
      <c r="R1642" s="2402">
        <v>0</v>
      </c>
      <c r="S1642" s="2402">
        <v>0</v>
      </c>
      <c r="T1642" s="2402">
        <v>0</v>
      </c>
      <c r="U1642" s="2402">
        <v>0</v>
      </c>
      <c r="V1642" s="2402">
        <v>0</v>
      </c>
      <c r="W1642" s="2402">
        <v>0</v>
      </c>
      <c r="X1642" s="2402">
        <v>0</v>
      </c>
      <c r="Y1642" s="2748">
        <f t="shared" si="543"/>
        <v>0</v>
      </c>
      <c r="Z1642" s="2739">
        <f t="shared" si="544"/>
        <v>0</v>
      </c>
      <c r="AA1642" s="2585">
        <f>+Y1642+M1642</f>
        <v>1</v>
      </c>
      <c r="AB1642" s="2402">
        <f>+N1642+Z1642</f>
        <v>88264000</v>
      </c>
      <c r="AC1642" s="2586">
        <f t="shared" si="545"/>
        <v>20</v>
      </c>
      <c r="AD1642" s="2586">
        <f t="shared" si="545"/>
        <v>22.065999999999999</v>
      </c>
      <c r="AE1642" s="2736"/>
      <c r="AF1642" s="2266"/>
      <c r="AG1642" s="2266"/>
      <c r="AH1642" s="2266"/>
      <c r="AI1642" s="2266"/>
      <c r="AJ1642" s="2266"/>
      <c r="AK1642" s="2266"/>
      <c r="AL1642" s="2266"/>
      <c r="AM1642" s="2266"/>
      <c r="AN1642" s="2266"/>
      <c r="AO1642" s="2266"/>
      <c r="AP1642" s="2266"/>
      <c r="AQ1642" s="2266"/>
      <c r="AR1642" s="2266"/>
      <c r="AS1642" s="2266"/>
      <c r="AT1642" s="2266"/>
      <c r="AU1642" s="2266"/>
      <c r="AV1642" s="2266"/>
      <c r="AW1642" s="2266"/>
      <c r="AX1642" s="2266"/>
      <c r="AY1642" s="2266"/>
      <c r="AZ1642" s="2266"/>
      <c r="BA1642" s="2266"/>
      <c r="BB1642" s="2266"/>
      <c r="BC1642" s="2266"/>
      <c r="BD1642" s="2266"/>
      <c r="BE1642" s="2266"/>
      <c r="BF1642" s="2266"/>
      <c r="BG1642" s="2266"/>
      <c r="BH1642" s="2266"/>
      <c r="BI1642" s="2266"/>
      <c r="BJ1642" s="2266"/>
      <c r="BK1642" s="2266"/>
      <c r="BL1642" s="2266"/>
      <c r="BM1642" s="2266"/>
      <c r="BN1642" s="2266"/>
      <c r="BO1642" s="2266"/>
      <c r="BP1642" s="2266"/>
      <c r="BQ1642" s="2266"/>
      <c r="BR1642" s="2266"/>
      <c r="BS1642" s="2266"/>
      <c r="BT1642" s="2266"/>
      <c r="BU1642" s="2266"/>
      <c r="BV1642" s="2266"/>
      <c r="BW1642" s="2266"/>
      <c r="BX1642" s="2266"/>
    </row>
    <row r="1643" spans="1:76" s="2728" customFormat="1" ht="75.75" customHeight="1">
      <c r="A1643" s="2578">
        <v>2</v>
      </c>
      <c r="B1643" s="2578"/>
      <c r="C1643" s="2575"/>
      <c r="D1643" s="2575"/>
      <c r="E1643" s="2575"/>
      <c r="F1643" s="2575"/>
      <c r="G1643" s="2575"/>
      <c r="H1643" s="2575"/>
      <c r="I1643" s="2501" t="s">
        <v>3480</v>
      </c>
      <c r="J1643" s="2501" t="s">
        <v>3522</v>
      </c>
      <c r="K1643" s="2577">
        <v>20</v>
      </c>
      <c r="L1643" s="2754">
        <f>SUM(L1644:L1648)</f>
        <v>2621632139</v>
      </c>
      <c r="M1643" s="2577">
        <v>2</v>
      </c>
      <c r="N1643" s="2754">
        <f>SUM(N1644:N1648)</f>
        <v>204800000</v>
      </c>
      <c r="O1643" s="2577">
        <v>3</v>
      </c>
      <c r="P1643" s="2754">
        <f>SUM(P1644:P1647)</f>
        <v>510820371</v>
      </c>
      <c r="Q1643" s="2577">
        <v>0</v>
      </c>
      <c r="R1643" s="2638">
        <f>SUM(R1644:R1648)</f>
        <v>47959000</v>
      </c>
      <c r="S1643" s="2638">
        <v>0</v>
      </c>
      <c r="T1643" s="2638">
        <f>SUM(T1644:T1648)</f>
        <v>158545088</v>
      </c>
      <c r="U1643" s="2638">
        <v>0</v>
      </c>
      <c r="V1643" s="2638">
        <f>SUM(V1644:V1647)</f>
        <v>0</v>
      </c>
      <c r="W1643" s="2638">
        <v>0</v>
      </c>
      <c r="X1643" s="2638">
        <f>SUM(X1644:X1647)</f>
        <v>0</v>
      </c>
      <c r="Y1643" s="2584">
        <f t="shared" si="543"/>
        <v>0</v>
      </c>
      <c r="Z1643" s="2754">
        <f>SUM(R1643+T1643)</f>
        <v>206504088</v>
      </c>
      <c r="AA1643" s="2577">
        <f t="shared" ref="AA1643:AA1648" si="546">+Y1643+M1643</f>
        <v>2</v>
      </c>
      <c r="AB1643" s="2638">
        <f t="shared" ref="AB1643:AB1648" si="547">+N1643+Z1643</f>
        <v>411304088</v>
      </c>
      <c r="AC1643" s="2584">
        <f t="shared" ref="AC1643:AC1648" si="548">(AA1643/K1643)*100</f>
        <v>10</v>
      </c>
      <c r="AD1643" s="2584">
        <f t="shared" ref="AD1643:AD1648" si="549">(AB1643/L1643)*100</f>
        <v>15.688855880325322</v>
      </c>
      <c r="AE1643" s="3135" t="s">
        <v>82</v>
      </c>
      <c r="AF1643" s="353"/>
      <c r="AG1643" s="353"/>
      <c r="AH1643" s="353"/>
      <c r="AI1643" s="353"/>
      <c r="AJ1643" s="353"/>
      <c r="AK1643" s="353"/>
      <c r="AL1643" s="353"/>
      <c r="AM1643" s="353"/>
      <c r="AN1643" s="353"/>
      <c r="AO1643" s="353"/>
      <c r="AP1643" s="353"/>
      <c r="AQ1643" s="353"/>
      <c r="AR1643" s="353"/>
      <c r="AS1643" s="353"/>
      <c r="AT1643" s="353"/>
      <c r="AU1643" s="353"/>
      <c r="AV1643" s="353"/>
      <c r="AW1643" s="353"/>
      <c r="AX1643" s="353"/>
      <c r="AY1643" s="353"/>
      <c r="AZ1643" s="353"/>
      <c r="BA1643" s="353"/>
      <c r="BB1643" s="353"/>
      <c r="BC1643" s="353"/>
      <c r="BD1643" s="353"/>
      <c r="BE1643" s="353"/>
      <c r="BF1643" s="353"/>
      <c r="BG1643" s="353"/>
      <c r="BH1643" s="353"/>
      <c r="BI1643" s="353"/>
      <c r="BJ1643" s="353"/>
      <c r="BK1643" s="353"/>
      <c r="BL1643" s="353"/>
      <c r="BM1643" s="353"/>
      <c r="BN1643" s="353"/>
      <c r="BO1643" s="353"/>
      <c r="BP1643" s="353"/>
      <c r="BQ1643" s="353"/>
      <c r="BR1643" s="353"/>
      <c r="BS1643" s="353"/>
      <c r="BT1643" s="353"/>
      <c r="BU1643" s="353"/>
      <c r="BV1643" s="353"/>
      <c r="BW1643" s="353"/>
      <c r="BX1643" s="353"/>
    </row>
    <row r="1644" spans="1:76" s="2263" customFormat="1" ht="87.75" customHeight="1">
      <c r="A1644" s="1486"/>
      <c r="B1644" s="1486"/>
      <c r="C1644" s="1484"/>
      <c r="D1644" s="1484"/>
      <c r="E1644" s="1484"/>
      <c r="F1644" s="1484"/>
      <c r="G1644" s="1484"/>
      <c r="H1644" s="1484"/>
      <c r="I1644" s="1936" t="s">
        <v>3481</v>
      </c>
      <c r="J1644" s="1936" t="s">
        <v>3482</v>
      </c>
      <c r="K1644" s="2334">
        <v>5</v>
      </c>
      <c r="L1644" s="2402">
        <v>690000000</v>
      </c>
      <c r="M1644" s="2402">
        <v>1</v>
      </c>
      <c r="N1644" s="2402">
        <v>0</v>
      </c>
      <c r="O1644" s="2334">
        <v>1</v>
      </c>
      <c r="P1644" s="2402">
        <v>146708239</v>
      </c>
      <c r="Q1644" s="2748">
        <v>0</v>
      </c>
      <c r="R1644" s="2853">
        <v>18333000</v>
      </c>
      <c r="S1644" s="2853">
        <v>1</v>
      </c>
      <c r="T1644" s="2853">
        <v>58290620</v>
      </c>
      <c r="U1644" s="2402">
        <v>0</v>
      </c>
      <c r="V1644" s="2402">
        <v>0</v>
      </c>
      <c r="W1644" s="2402">
        <v>0</v>
      </c>
      <c r="X1644" s="2402">
        <v>0</v>
      </c>
      <c r="Y1644" s="2585">
        <f t="shared" si="543"/>
        <v>1</v>
      </c>
      <c r="Z1644" s="2739">
        <f>R1644+T1644</f>
        <v>76623620</v>
      </c>
      <c r="AA1644" s="2334">
        <f t="shared" si="546"/>
        <v>2</v>
      </c>
      <c r="AB1644" s="2402">
        <f t="shared" si="547"/>
        <v>76623620</v>
      </c>
      <c r="AC1644" s="2735">
        <f t="shared" si="548"/>
        <v>40</v>
      </c>
      <c r="AD1644" s="2586">
        <f t="shared" si="549"/>
        <v>11.104872463768116</v>
      </c>
      <c r="AE1644" s="2736"/>
      <c r="AF1644" s="2266"/>
      <c r="AG1644" s="2266"/>
      <c r="AH1644" s="2266"/>
      <c r="AI1644" s="2266"/>
      <c r="AJ1644" s="2266"/>
      <c r="AK1644" s="2266"/>
      <c r="AL1644" s="2266"/>
      <c r="AM1644" s="2266"/>
      <c r="AN1644" s="2266"/>
      <c r="AO1644" s="2266"/>
      <c r="AP1644" s="2266"/>
      <c r="AQ1644" s="2266"/>
      <c r="AR1644" s="2266"/>
      <c r="AS1644" s="2266"/>
      <c r="AT1644" s="2266"/>
      <c r="AU1644" s="2266"/>
      <c r="AV1644" s="2266"/>
      <c r="AW1644" s="2266"/>
      <c r="AX1644" s="2266"/>
      <c r="AY1644" s="2266"/>
      <c r="AZ1644" s="2266"/>
      <c r="BA1644" s="2266"/>
      <c r="BB1644" s="2266"/>
      <c r="BC1644" s="2266"/>
      <c r="BD1644" s="2266"/>
      <c r="BE1644" s="2266"/>
      <c r="BF1644" s="2266"/>
      <c r="BG1644" s="2266"/>
      <c r="BH1644" s="2266"/>
      <c r="BI1644" s="2266"/>
      <c r="BJ1644" s="2266"/>
      <c r="BK1644" s="2266"/>
      <c r="BL1644" s="2266"/>
      <c r="BM1644" s="2266"/>
      <c r="BN1644" s="2266"/>
      <c r="BO1644" s="2266"/>
      <c r="BP1644" s="2266"/>
      <c r="BQ1644" s="2266"/>
      <c r="BR1644" s="2266"/>
      <c r="BS1644" s="2266"/>
      <c r="BT1644" s="2266"/>
      <c r="BU1644" s="2266"/>
      <c r="BV1644" s="2266"/>
      <c r="BW1644" s="2266"/>
      <c r="BX1644" s="2266"/>
    </row>
    <row r="1645" spans="1:76" s="2263" customFormat="1" ht="73.5" customHeight="1">
      <c r="A1645" s="1486"/>
      <c r="B1645" s="1486"/>
      <c r="C1645" s="1484"/>
      <c r="D1645" s="1484"/>
      <c r="E1645" s="1484"/>
      <c r="F1645" s="1484"/>
      <c r="G1645" s="1484"/>
      <c r="H1645" s="1484"/>
      <c r="I1645" s="1936" t="s">
        <v>3483</v>
      </c>
      <c r="J1645" s="1936" t="s">
        <v>3484</v>
      </c>
      <c r="K1645" s="2334">
        <v>1</v>
      </c>
      <c r="L1645" s="2402">
        <v>141632139</v>
      </c>
      <c r="M1645" s="2733">
        <v>0</v>
      </c>
      <c r="N1645" s="2402"/>
      <c r="O1645" s="2334">
        <v>1</v>
      </c>
      <c r="P1645" s="2402">
        <v>141642139</v>
      </c>
      <c r="Q1645" s="2585">
        <v>1</v>
      </c>
      <c r="R1645" s="2853">
        <v>1390000</v>
      </c>
      <c r="S1645" s="3103">
        <v>0</v>
      </c>
      <c r="T1645" s="2853">
        <v>5752500</v>
      </c>
      <c r="U1645" s="2402">
        <v>0</v>
      </c>
      <c r="V1645" s="2402">
        <v>0</v>
      </c>
      <c r="W1645" s="2402">
        <v>0</v>
      </c>
      <c r="X1645" s="2402">
        <v>0</v>
      </c>
      <c r="Y1645" s="2585">
        <f>SUM(Q1645+S1645)</f>
        <v>1</v>
      </c>
      <c r="Z1645" s="2739">
        <f>SUM(R1645+T1645)</f>
        <v>7142500</v>
      </c>
      <c r="AA1645" s="2334">
        <f t="shared" si="546"/>
        <v>1</v>
      </c>
      <c r="AB1645" s="2402">
        <f t="shared" si="547"/>
        <v>7142500</v>
      </c>
      <c r="AC1645" s="2586">
        <f t="shared" si="548"/>
        <v>100</v>
      </c>
      <c r="AD1645" s="2586">
        <f t="shared" si="549"/>
        <v>5.0429938080649901</v>
      </c>
      <c r="AE1645" s="2736"/>
      <c r="AF1645" s="2266"/>
      <c r="AG1645" s="2266"/>
      <c r="AH1645" s="2266"/>
      <c r="AI1645" s="2266"/>
      <c r="AJ1645" s="2266"/>
      <c r="AK1645" s="2266"/>
      <c r="AL1645" s="2266"/>
      <c r="AM1645" s="2266"/>
      <c r="AN1645" s="2266"/>
      <c r="AO1645" s="2266"/>
      <c r="AP1645" s="2266"/>
      <c r="AQ1645" s="2266"/>
      <c r="AR1645" s="2266"/>
      <c r="AS1645" s="2266"/>
      <c r="AT1645" s="2266"/>
      <c r="AU1645" s="2266"/>
      <c r="AV1645" s="2266"/>
      <c r="AW1645" s="2266"/>
      <c r="AX1645" s="2266"/>
      <c r="AY1645" s="2266"/>
      <c r="AZ1645" s="2266"/>
      <c r="BA1645" s="2266"/>
      <c r="BB1645" s="2266"/>
      <c r="BC1645" s="2266"/>
      <c r="BD1645" s="2266"/>
      <c r="BE1645" s="2266"/>
      <c r="BF1645" s="2266"/>
      <c r="BG1645" s="2266"/>
      <c r="BH1645" s="2266"/>
      <c r="BI1645" s="2266"/>
      <c r="BJ1645" s="2266"/>
      <c r="BK1645" s="2266"/>
      <c r="BL1645" s="2266"/>
      <c r="BM1645" s="2266"/>
      <c r="BN1645" s="2266"/>
      <c r="BO1645" s="2266"/>
      <c r="BP1645" s="2266"/>
      <c r="BQ1645" s="2266"/>
      <c r="BR1645" s="2266"/>
      <c r="BS1645" s="2266"/>
      <c r="BT1645" s="2266"/>
      <c r="BU1645" s="2266"/>
      <c r="BV1645" s="2266"/>
      <c r="BW1645" s="2266"/>
      <c r="BX1645" s="2266"/>
    </row>
    <row r="1646" spans="1:76" s="2263" customFormat="1" ht="99" customHeight="1">
      <c r="A1646" s="1486"/>
      <c r="B1646" s="1486"/>
      <c r="C1646" s="1484"/>
      <c r="D1646" s="1484"/>
      <c r="E1646" s="1484"/>
      <c r="F1646" s="1484"/>
      <c r="G1646" s="1484"/>
      <c r="H1646" s="1484"/>
      <c r="I1646" s="1936" t="s">
        <v>3485</v>
      </c>
      <c r="J1646" s="1936" t="s">
        <v>3486</v>
      </c>
      <c r="K1646" s="2736">
        <v>4</v>
      </c>
      <c r="L1646" s="2402">
        <v>1000000000</v>
      </c>
      <c r="M1646" s="2402">
        <v>0</v>
      </c>
      <c r="N1646" s="2402">
        <v>15784000</v>
      </c>
      <c r="O1646" s="2736">
        <v>1</v>
      </c>
      <c r="P1646" s="2402">
        <v>140283300</v>
      </c>
      <c r="Q1646" s="2585">
        <v>0</v>
      </c>
      <c r="R1646" s="2853">
        <v>19400000</v>
      </c>
      <c r="S1646" s="3103">
        <v>1</v>
      </c>
      <c r="T1646" s="2853">
        <v>46711100</v>
      </c>
      <c r="U1646" s="2402">
        <v>0</v>
      </c>
      <c r="V1646" s="2402">
        <v>0</v>
      </c>
      <c r="W1646" s="2402">
        <v>0</v>
      </c>
      <c r="X1646" s="2402">
        <v>0</v>
      </c>
      <c r="Y1646" s="2585">
        <f t="shared" si="543"/>
        <v>1</v>
      </c>
      <c r="Z1646" s="2739">
        <f>SUM(R1646+T1646)</f>
        <v>66111100</v>
      </c>
      <c r="AA1646" s="2334">
        <f t="shared" si="546"/>
        <v>1</v>
      </c>
      <c r="AB1646" s="2402">
        <f t="shared" si="547"/>
        <v>81895100</v>
      </c>
      <c r="AC1646" s="2735">
        <f t="shared" si="548"/>
        <v>25</v>
      </c>
      <c r="AD1646" s="2586">
        <f t="shared" si="549"/>
        <v>8.1895100000000003</v>
      </c>
      <c r="AE1646" s="2736"/>
      <c r="AF1646" s="2266"/>
      <c r="AG1646" s="2266"/>
      <c r="AH1646" s="2266"/>
      <c r="AI1646" s="2266"/>
      <c r="AJ1646" s="2266"/>
      <c r="AK1646" s="2266"/>
      <c r="AL1646" s="2266"/>
      <c r="AM1646" s="2266"/>
      <c r="AN1646" s="2266"/>
      <c r="AO1646" s="2266"/>
      <c r="AP1646" s="2266"/>
      <c r="AQ1646" s="2266"/>
      <c r="AR1646" s="2266"/>
      <c r="AS1646" s="2266"/>
      <c r="AT1646" s="2266"/>
      <c r="AU1646" s="2266"/>
      <c r="AV1646" s="2266"/>
      <c r="AW1646" s="2266"/>
      <c r="AX1646" s="2266"/>
      <c r="AY1646" s="2266"/>
      <c r="AZ1646" s="2266"/>
      <c r="BA1646" s="2266"/>
      <c r="BB1646" s="2266"/>
      <c r="BC1646" s="2266"/>
      <c r="BD1646" s="2266"/>
      <c r="BE1646" s="2266"/>
      <c r="BF1646" s="2266"/>
      <c r="BG1646" s="2266"/>
      <c r="BH1646" s="2266"/>
      <c r="BI1646" s="2266"/>
      <c r="BJ1646" s="2266"/>
      <c r="BK1646" s="2266"/>
      <c r="BL1646" s="2266"/>
      <c r="BM1646" s="2266"/>
      <c r="BN1646" s="2266"/>
      <c r="BO1646" s="2266"/>
      <c r="BP1646" s="2266"/>
      <c r="BQ1646" s="2266"/>
      <c r="BR1646" s="2266"/>
      <c r="BS1646" s="2266"/>
      <c r="BT1646" s="2266"/>
      <c r="BU1646" s="2266"/>
      <c r="BV1646" s="2266"/>
      <c r="BW1646" s="2266"/>
      <c r="BX1646" s="2266"/>
    </row>
    <row r="1647" spans="1:76" s="2263" customFormat="1" ht="57.75" customHeight="1">
      <c r="A1647" s="1486"/>
      <c r="B1647" s="1486"/>
      <c r="C1647" s="1484"/>
      <c r="D1647" s="1484"/>
      <c r="E1647" s="1484"/>
      <c r="F1647" s="1484"/>
      <c r="G1647" s="1484"/>
      <c r="H1647" s="1484"/>
      <c r="I1647" s="1936" t="s">
        <v>3487</v>
      </c>
      <c r="J1647" s="1936" t="s">
        <v>3488</v>
      </c>
      <c r="K1647" s="2334">
        <v>4</v>
      </c>
      <c r="L1647" s="2402">
        <v>600000000</v>
      </c>
      <c r="M1647" s="2733">
        <v>0</v>
      </c>
      <c r="N1647" s="2402">
        <v>0</v>
      </c>
      <c r="O1647" s="2334">
        <v>1</v>
      </c>
      <c r="P1647" s="2402">
        <v>82186693</v>
      </c>
      <c r="Q1647" s="2585">
        <v>0</v>
      </c>
      <c r="R1647" s="2853">
        <v>4418000</v>
      </c>
      <c r="S1647" s="3103">
        <v>1</v>
      </c>
      <c r="T1647" s="2853">
        <v>47790868</v>
      </c>
      <c r="U1647" s="2402">
        <v>0</v>
      </c>
      <c r="V1647" s="2402">
        <v>0</v>
      </c>
      <c r="W1647" s="2402">
        <v>0</v>
      </c>
      <c r="X1647" s="2402">
        <v>0</v>
      </c>
      <c r="Y1647" s="2585">
        <f t="shared" si="543"/>
        <v>1</v>
      </c>
      <c r="Z1647" s="2739">
        <f>SUM(R1647+T1647)</f>
        <v>52208868</v>
      </c>
      <c r="AA1647" s="2334">
        <f t="shared" si="546"/>
        <v>1</v>
      </c>
      <c r="AB1647" s="2402">
        <f t="shared" si="547"/>
        <v>52208868</v>
      </c>
      <c r="AC1647" s="2735">
        <f t="shared" si="548"/>
        <v>25</v>
      </c>
      <c r="AD1647" s="2586">
        <f t="shared" si="549"/>
        <v>8.7014779999999998</v>
      </c>
      <c r="AE1647" s="2736"/>
      <c r="AF1647" s="2266"/>
      <c r="AG1647" s="2266"/>
      <c r="AH1647" s="2266"/>
      <c r="AI1647" s="2266"/>
      <c r="AJ1647" s="2266"/>
      <c r="AK1647" s="2266"/>
      <c r="AL1647" s="2266"/>
      <c r="AM1647" s="2266"/>
      <c r="AN1647" s="2266"/>
      <c r="AO1647" s="2266"/>
      <c r="AP1647" s="2266"/>
      <c r="AQ1647" s="2266"/>
      <c r="AR1647" s="2266"/>
      <c r="AS1647" s="2266"/>
      <c r="AT1647" s="2266"/>
      <c r="AU1647" s="2266"/>
      <c r="AV1647" s="2266"/>
      <c r="AW1647" s="2266"/>
      <c r="AX1647" s="2266"/>
      <c r="AY1647" s="2266"/>
      <c r="AZ1647" s="2266"/>
      <c r="BA1647" s="2266"/>
      <c r="BB1647" s="2266"/>
      <c r="BC1647" s="2266"/>
      <c r="BD1647" s="2266"/>
      <c r="BE1647" s="2266"/>
      <c r="BF1647" s="2266"/>
      <c r="BG1647" s="2266"/>
      <c r="BH1647" s="2266"/>
      <c r="BI1647" s="2266"/>
      <c r="BJ1647" s="2266"/>
      <c r="BK1647" s="2266"/>
      <c r="BL1647" s="2266"/>
      <c r="BM1647" s="2266"/>
      <c r="BN1647" s="2266"/>
      <c r="BO1647" s="2266"/>
      <c r="BP1647" s="2266"/>
      <c r="BQ1647" s="2266"/>
      <c r="BR1647" s="2266"/>
      <c r="BS1647" s="2266"/>
      <c r="BT1647" s="2266"/>
      <c r="BU1647" s="2266"/>
      <c r="BV1647" s="2266"/>
      <c r="BW1647" s="2266"/>
      <c r="BX1647" s="2266"/>
    </row>
    <row r="1648" spans="1:76" s="2263" customFormat="1" ht="71.25" customHeight="1">
      <c r="A1648" s="1486"/>
      <c r="B1648" s="1486"/>
      <c r="C1648" s="1484"/>
      <c r="D1648" s="1484"/>
      <c r="E1648" s="1484"/>
      <c r="F1648" s="1484"/>
      <c r="G1648" s="1484"/>
      <c r="H1648" s="1484"/>
      <c r="I1648" s="1936" t="s">
        <v>3489</v>
      </c>
      <c r="J1648" s="1936" t="s">
        <v>3490</v>
      </c>
      <c r="K1648" s="2334">
        <v>1</v>
      </c>
      <c r="L1648" s="2402">
        <v>190000000</v>
      </c>
      <c r="M1648" s="2334">
        <v>1</v>
      </c>
      <c r="N1648" s="2402">
        <v>189016000</v>
      </c>
      <c r="O1648" s="2402">
        <v>0</v>
      </c>
      <c r="P1648" s="2402">
        <v>0</v>
      </c>
      <c r="Q1648" s="2585">
        <v>0</v>
      </c>
      <c r="R1648" s="2853">
        <v>4418000</v>
      </c>
      <c r="S1648" s="3103">
        <v>0</v>
      </c>
      <c r="T1648" s="3103">
        <v>0</v>
      </c>
      <c r="U1648" s="2402">
        <v>0</v>
      </c>
      <c r="V1648" s="2402">
        <v>0</v>
      </c>
      <c r="W1648" s="2402">
        <v>0</v>
      </c>
      <c r="X1648" s="2402">
        <v>0</v>
      </c>
      <c r="Y1648" s="2585">
        <f t="shared" si="543"/>
        <v>0</v>
      </c>
      <c r="Z1648" s="2739">
        <f t="shared" si="544"/>
        <v>4418000</v>
      </c>
      <c r="AA1648" s="2334">
        <f t="shared" si="546"/>
        <v>1</v>
      </c>
      <c r="AB1648" s="2402">
        <f t="shared" si="547"/>
        <v>193434000</v>
      </c>
      <c r="AC1648" s="2741">
        <f t="shared" si="548"/>
        <v>100</v>
      </c>
      <c r="AD1648" s="2586">
        <f t="shared" si="549"/>
        <v>101.80736842105263</v>
      </c>
      <c r="AE1648" s="2736"/>
      <c r="AF1648" s="2266"/>
      <c r="AG1648" s="2266"/>
      <c r="AH1648" s="2266"/>
      <c r="AI1648" s="2266"/>
      <c r="AJ1648" s="2266"/>
      <c r="AK1648" s="2266"/>
      <c r="AL1648" s="2266"/>
      <c r="AM1648" s="2266"/>
      <c r="AN1648" s="2266"/>
      <c r="AO1648" s="2266"/>
      <c r="AP1648" s="2266"/>
      <c r="AQ1648" s="2266"/>
      <c r="AR1648" s="2266"/>
      <c r="AS1648" s="2266"/>
      <c r="AT1648" s="2266"/>
      <c r="AU1648" s="2266"/>
      <c r="AV1648" s="2266"/>
      <c r="AW1648" s="2266"/>
      <c r="AX1648" s="2266"/>
      <c r="AY1648" s="2266"/>
      <c r="AZ1648" s="2266"/>
      <c r="BA1648" s="2266"/>
      <c r="BB1648" s="2266"/>
      <c r="BC1648" s="2266"/>
      <c r="BD1648" s="2266"/>
      <c r="BE1648" s="2266"/>
      <c r="BF1648" s="2266"/>
      <c r="BG1648" s="2266"/>
      <c r="BH1648" s="2266"/>
      <c r="BI1648" s="2266"/>
      <c r="BJ1648" s="2266"/>
      <c r="BK1648" s="2266"/>
      <c r="BL1648" s="2266"/>
      <c r="BM1648" s="2266"/>
      <c r="BN1648" s="2266"/>
      <c r="BO1648" s="2266"/>
      <c r="BP1648" s="2266"/>
      <c r="BQ1648" s="2266"/>
      <c r="BR1648" s="2266"/>
      <c r="BS1648" s="2266"/>
      <c r="BT1648" s="2266"/>
      <c r="BU1648" s="2266"/>
      <c r="BV1648" s="2266"/>
      <c r="BW1648" s="2266"/>
      <c r="BX1648" s="2266"/>
    </row>
    <row r="1649" spans="1:76" s="114" customFormat="1" ht="18.75" customHeight="1">
      <c r="A1649" s="4244" t="s">
        <v>89</v>
      </c>
      <c r="B1649" s="4244"/>
      <c r="C1649" s="4244"/>
      <c r="D1649" s="4244"/>
      <c r="E1649" s="4244"/>
      <c r="F1649" s="4244"/>
      <c r="G1649" s="4244"/>
      <c r="H1649" s="4244"/>
      <c r="I1649" s="4244"/>
      <c r="J1649" s="4244"/>
      <c r="K1649" s="4244"/>
      <c r="L1649" s="4244"/>
      <c r="M1649" s="4244"/>
      <c r="N1649" s="4244"/>
      <c r="O1649" s="4244"/>
      <c r="P1649" s="4244"/>
      <c r="Q1649" s="4244"/>
      <c r="R1649" s="4244"/>
      <c r="S1649" s="4244"/>
      <c r="T1649" s="4244"/>
      <c r="U1649" s="4244"/>
      <c r="V1649" s="4244"/>
      <c r="W1649" s="4244"/>
      <c r="X1649" s="4244"/>
      <c r="Y1649" s="4244"/>
      <c r="Z1649" s="4244"/>
      <c r="AA1649" s="4244"/>
      <c r="AB1649" s="4244"/>
      <c r="AC1649" s="2030">
        <f>(AC1640+AC1643)/2</f>
        <v>20.217391304347828</v>
      </c>
      <c r="AD1649" s="2030">
        <f>(AD1640+AD1643)/2</f>
        <v>17.532686639164652</v>
      </c>
      <c r="AE1649" s="390"/>
    </row>
    <row r="1650" spans="1:76" s="475" customFormat="1" ht="15.75" customHeight="1">
      <c r="A1650" s="4244" t="s">
        <v>90</v>
      </c>
      <c r="B1650" s="4244"/>
      <c r="C1650" s="4244"/>
      <c r="D1650" s="4244"/>
      <c r="E1650" s="4244"/>
      <c r="F1650" s="4244"/>
      <c r="G1650" s="4244"/>
      <c r="H1650" s="4244"/>
      <c r="I1650" s="4244"/>
      <c r="J1650" s="4244"/>
      <c r="K1650" s="4244"/>
      <c r="L1650" s="4244"/>
      <c r="M1650" s="4244"/>
      <c r="N1650" s="4244"/>
      <c r="O1650" s="4244"/>
      <c r="P1650" s="4244"/>
      <c r="Q1650" s="4244"/>
      <c r="R1650" s="4244"/>
      <c r="S1650" s="4244"/>
      <c r="T1650" s="4244"/>
      <c r="U1650" s="4244"/>
      <c r="V1650" s="4244"/>
      <c r="W1650" s="4244"/>
      <c r="X1650" s="4244"/>
      <c r="Y1650" s="4244"/>
      <c r="Z1650" s="4244"/>
      <c r="AA1650" s="4244"/>
      <c r="AB1650" s="4244"/>
      <c r="AC1650" s="3152" t="str">
        <f>IF(AC1649&gt;=91,"ST",IF(AC1649&gt;=76,"T",IF(AC1649&gt;=66,"S",IF(AC1649&gt;=51,"R","SR"))))</f>
        <v>SR</v>
      </c>
      <c r="AD1650" s="3152" t="str">
        <f>IF(AD1649&gt;=91,"ST",IF(AD1649&gt;=76,"T",IF(AD1649&gt;=66,"S",IF(AD1649&gt;=51,"R","SR"))))</f>
        <v>SR</v>
      </c>
      <c r="AE1650" s="390"/>
    </row>
    <row r="1651" spans="1:76" ht="21" customHeight="1">
      <c r="A1651" s="3967"/>
      <c r="B1651" s="3967"/>
      <c r="C1651" s="3968"/>
      <c r="D1651" s="3968"/>
      <c r="E1651" s="3968"/>
      <c r="F1651" s="3968"/>
      <c r="G1651" s="3968"/>
      <c r="H1651" s="3968"/>
      <c r="I1651" s="3969" t="s">
        <v>1018</v>
      </c>
      <c r="J1651" s="3967"/>
      <c r="K1651" s="3967"/>
      <c r="L1651" s="3967"/>
      <c r="M1651" s="3967"/>
      <c r="N1651" s="3967"/>
      <c r="O1651" s="3967"/>
      <c r="P1651" s="3974"/>
      <c r="Q1651" s="3967"/>
      <c r="R1651" s="3967"/>
      <c r="S1651" s="3967"/>
      <c r="T1651" s="3967"/>
      <c r="U1651" s="3967"/>
      <c r="V1651" s="3972"/>
      <c r="W1651" s="3967"/>
      <c r="X1651" s="3967"/>
      <c r="Y1651" s="3968"/>
      <c r="Z1651" s="3967"/>
      <c r="AA1651" s="3967"/>
      <c r="AB1651" s="3967"/>
      <c r="AC1651" s="3967"/>
      <c r="AD1651" s="3967"/>
      <c r="AE1651" s="3973"/>
    </row>
    <row r="1652" spans="1:76" s="55" customFormat="1" ht="21" customHeight="1">
      <c r="A1652" s="2546" t="s">
        <v>30</v>
      </c>
      <c r="B1652" s="2918"/>
      <c r="C1652" s="2546"/>
      <c r="D1652" s="2546"/>
      <c r="E1652" s="2546"/>
      <c r="F1652" s="2546"/>
      <c r="G1652" s="2546"/>
      <c r="H1652" s="2546"/>
      <c r="I1652" s="2515" t="s">
        <v>1019</v>
      </c>
      <c r="J1652" s="2918"/>
      <c r="K1652" s="2918"/>
      <c r="L1652" s="3238">
        <f>L1653+L1669+L1683+L1686+L1689+L1693+L1700+L1702+L1704+L1707+L1710+L1719+L1726+L1728+L1730+L1732+L1738+L1747+L1750+L1755+L1758+L1760+L1766+L1771+L1774+L1776+L1778+L1801+L1806+L1811+L1724</f>
        <v>139344833165</v>
      </c>
      <c r="M1652" s="2918"/>
      <c r="N1652" s="2916">
        <f>N1653+N1669+N1683+N1686+N1689+N1693+N1700+N1702+N1704+N1707+N1710+N1719+N1726+N1728+N1730+N1732+N1738+N1747+N1750+N1755+N1758+N1760+N1766+N1771+N1774+N1776+N1778+N1801+N1806+N1811+N1724</f>
        <v>31935639128</v>
      </c>
      <c r="O1652" s="2918"/>
      <c r="P1652" s="2916">
        <f>P1653+P1669+P1683+P1686+P1689+P1693+P1700+P1702+P1704+P1707+P1710+P1719+P1724+P1726+P1728+P1730+P1732+P1738+P1747+P1750+P1755+P1759+P1761+P1767+P1772+P1775+P1777+P1779+P1802+P1807+P1812</f>
        <v>20002361490.450001</v>
      </c>
      <c r="Q1652" s="2918"/>
      <c r="R1652" s="2916">
        <f>R1653+R1669+R1683+R1686+R1689+R1693+R1700+R1702+R1704+R1707+R1710+R1719+R1726+R1728+R1730+R1732+R1738+R1747+R1750+R1755+R1758+R1760+R1766+R1771+R1774+R1776+R1778+R1801+R1806+R1811+R1724</f>
        <v>2830957942</v>
      </c>
      <c r="S1652" s="2918"/>
      <c r="T1652" s="2916">
        <f>T1653+T1669+T1683+T1686+T1689+T1693+T1700+T1702+T1704+T1707+T1710+T1719+T1726+T1728+T1730+T1732+T1738+T1747+T1750+T1755+T1758+T1760+T1766+T1771+T1774+T1776+T1778+T1801+T1806+T1811+T1724</f>
        <v>5723209389</v>
      </c>
      <c r="U1652" s="2918"/>
      <c r="V1652" s="2916">
        <f>V1653+V1669+V1683+V1686+V1689+V1693+V1700+V1702+V1704+V1707+V1710+V1719+V1726+V1728+V1730+V1732+V1738+V1747+V1750+V1755+V1758+V1760+V1766+V1771+V1774+V1776+V1778+V1801+V1806+V1811+V1724</f>
        <v>4599522416</v>
      </c>
      <c r="W1652" s="2918"/>
      <c r="X1652" s="2918"/>
      <c r="Y1652" s="2546">
        <f>Q1652+S1652+U1652+W1652</f>
        <v>0</v>
      </c>
      <c r="Z1652" s="2916">
        <f>Z1653+Z1669+Z1683+Z1686+Z1689+Z1693+Z1700+Z1702+Z1704+Z1707+Z1710+Z1719+Z1726+Z1728+Z1730+Z1732+Z1738+Z1747+Z1750+Z1755+Z1758+Z1760+Z1766+Z1771+Z1774+Z1776+Z1778+Z1801+Z1806+Z1811+Z1724</f>
        <v>12817783802</v>
      </c>
      <c r="AA1652" s="2918"/>
      <c r="AB1652" s="2916">
        <f>AB1653+AB1669+AB1683+AB1686+AB1689+AB1693+AB1700+AB1702+AB1704+AB1707+AB1710+AB1719+AB1726+AB1728+AB1730+AB1732+AB1738+AB1747+AB1750+AB1755+AB1758+AB1760+AB1766+AB1771+AB1774+AB1776+AB1778+AB1801+AB1806+AB1811+AB1724</f>
        <v>44753422930</v>
      </c>
      <c r="AC1652" s="2918"/>
      <c r="AD1652" s="2918"/>
      <c r="AE1652" s="3211"/>
      <c r="AF1652" s="145"/>
      <c r="AG1652" s="145"/>
      <c r="AH1652" s="145"/>
      <c r="AI1652" s="145"/>
      <c r="AJ1652" s="145"/>
      <c r="AK1652" s="145"/>
      <c r="AL1652" s="145"/>
      <c r="AM1652" s="145"/>
      <c r="AN1652" s="145"/>
      <c r="AO1652" s="145"/>
      <c r="AP1652" s="145"/>
      <c r="AQ1652" s="145"/>
      <c r="AR1652" s="145"/>
      <c r="AS1652" s="145"/>
      <c r="AT1652" s="145"/>
      <c r="AU1652" s="145"/>
      <c r="AV1652" s="145"/>
      <c r="AW1652" s="145"/>
      <c r="AX1652" s="145"/>
      <c r="AY1652" s="145"/>
      <c r="AZ1652" s="145"/>
      <c r="BA1652" s="145"/>
      <c r="BB1652" s="145"/>
      <c r="BC1652" s="145"/>
      <c r="BD1652" s="145"/>
      <c r="BE1652" s="145"/>
      <c r="BF1652" s="145"/>
      <c r="BG1652" s="145"/>
      <c r="BH1652" s="145"/>
      <c r="BI1652" s="145"/>
      <c r="BJ1652" s="145"/>
      <c r="BK1652" s="145"/>
      <c r="BL1652" s="145"/>
      <c r="BM1652" s="145"/>
      <c r="BN1652" s="145"/>
      <c r="BO1652" s="145"/>
      <c r="BP1652" s="145"/>
      <c r="BQ1652" s="145"/>
      <c r="BR1652" s="145"/>
      <c r="BS1652" s="145"/>
      <c r="BT1652" s="145"/>
      <c r="BU1652" s="145"/>
      <c r="BV1652" s="145"/>
      <c r="BW1652" s="145"/>
      <c r="BX1652" s="145"/>
    </row>
    <row r="1653" spans="1:76" ht="79.5" customHeight="1">
      <c r="A1653" s="3461">
        <v>1</v>
      </c>
      <c r="B1653" s="3462" t="s">
        <v>4217</v>
      </c>
      <c r="C1653" s="3844">
        <v>4</v>
      </c>
      <c r="D1653" s="3844" t="s">
        <v>107</v>
      </c>
      <c r="E1653" s="3844" t="s">
        <v>66</v>
      </c>
      <c r="F1653" s="3844" t="s">
        <v>66</v>
      </c>
      <c r="G1653" s="3475"/>
      <c r="H1653" s="3475"/>
      <c r="I1653" s="3463" t="s">
        <v>221</v>
      </c>
      <c r="J1653" s="3464" t="s">
        <v>2511</v>
      </c>
      <c r="K1653" s="3465">
        <v>540</v>
      </c>
      <c r="L1653" s="3470">
        <f>SUM(L1654:L1668)</f>
        <v>41145348440</v>
      </c>
      <c r="M1653" s="3467">
        <f>85+85</f>
        <v>170</v>
      </c>
      <c r="N1653" s="3470">
        <f>SUM(N1654:N1668)</f>
        <v>9136228552</v>
      </c>
      <c r="O1653" s="3465">
        <v>85</v>
      </c>
      <c r="P1653" s="3468">
        <f>SUM(P1654:P1668)</f>
        <v>5650886503</v>
      </c>
      <c r="Q1653" s="3465">
        <v>25</v>
      </c>
      <c r="R1653" s="3471">
        <f>SUM(R1654:R1668)</f>
        <v>1163633893</v>
      </c>
      <c r="S1653" s="3526">
        <v>45</v>
      </c>
      <c r="T1653" s="3527">
        <f>SUM(T1654:T1668)</f>
        <v>2109846688</v>
      </c>
      <c r="U1653" s="3490">
        <f>75-Q1653-S1653</f>
        <v>5</v>
      </c>
      <c r="V1653" s="3471">
        <f>SUM(V1654:V1668)</f>
        <v>1088522278</v>
      </c>
      <c r="W1653" s="3490"/>
      <c r="X1653" s="3490"/>
      <c r="Y1653" s="3470">
        <f>Q1653+S1653+U1653</f>
        <v>75</v>
      </c>
      <c r="Z1653" s="3471">
        <f>R1653+T1653+V1653</f>
        <v>4362002859</v>
      </c>
      <c r="AA1653" s="3467">
        <f>M1653+Y1653</f>
        <v>245</v>
      </c>
      <c r="AB1653" s="3471">
        <f>N1653+Z1653</f>
        <v>13498231411</v>
      </c>
      <c r="AC1653" s="3474">
        <f>AA1653/K1653*100</f>
        <v>45.370370370370374</v>
      </c>
      <c r="AD1653" s="3474">
        <f>AB1653/L1653*100</f>
        <v>32.806214852412126</v>
      </c>
      <c r="AE1653" s="3475" t="s">
        <v>3523</v>
      </c>
    </row>
    <row r="1654" spans="1:76" ht="59.25" customHeight="1">
      <c r="A1654" s="385"/>
      <c r="B1654" s="383"/>
      <c r="C1654" s="2071">
        <v>4</v>
      </c>
      <c r="D1654" s="2071" t="s">
        <v>107</v>
      </c>
      <c r="E1654" s="2071" t="s">
        <v>66</v>
      </c>
      <c r="F1654" s="2071" t="s">
        <v>66</v>
      </c>
      <c r="G1654" s="2071" t="s">
        <v>66</v>
      </c>
      <c r="H1654" s="753"/>
      <c r="I1654" s="1936" t="s">
        <v>2420</v>
      </c>
      <c r="J1654" s="3382" t="s">
        <v>4110</v>
      </c>
      <c r="K1654" s="1938">
        <f>12*6</f>
        <v>72</v>
      </c>
      <c r="L1654" s="1938">
        <v>1073600000</v>
      </c>
      <c r="M1654" s="1939">
        <v>24</v>
      </c>
      <c r="N1654" s="1940">
        <f>156028900+161345160</f>
        <v>317374060</v>
      </c>
      <c r="O1654" s="1938">
        <v>12</v>
      </c>
      <c r="P1654" s="1941">
        <v>106839619</v>
      </c>
      <c r="Q1654" s="1939">
        <v>3</v>
      </c>
      <c r="R1654" s="1940">
        <v>32058500</v>
      </c>
      <c r="S1654" s="1945">
        <v>3</v>
      </c>
      <c r="T1654" s="1942">
        <v>21435800</v>
      </c>
      <c r="U1654" s="3454">
        <v>3</v>
      </c>
      <c r="V1654" s="3455">
        <v>14435000</v>
      </c>
      <c r="W1654" s="3454"/>
      <c r="X1654" s="3454"/>
      <c r="Y1654" s="1945">
        <f>Q1654+S1654+U1654</f>
        <v>9</v>
      </c>
      <c r="Z1654" s="2927">
        <f>R1654+T1654+V1654</f>
        <v>67929300</v>
      </c>
      <c r="AA1654" s="1943">
        <f>M1654+Y1654</f>
        <v>33</v>
      </c>
      <c r="AB1654" s="1944">
        <f t="shared" ref="AB1654:AB1683" si="550">N1654+Z1654</f>
        <v>385303360</v>
      </c>
      <c r="AC1654" s="2724">
        <f t="shared" ref="AC1654:AD1669" si="551">AA1654/K1654*100</f>
        <v>45.833333333333329</v>
      </c>
      <c r="AD1654" s="2724">
        <f>AB1654/L1654*100</f>
        <v>35.888912071535024</v>
      </c>
      <c r="AE1654" s="3381" t="s">
        <v>2513</v>
      </c>
    </row>
    <row r="1655" spans="1:76" ht="42" customHeight="1">
      <c r="A1655" s="385"/>
      <c r="B1655" s="383"/>
      <c r="C1655" s="2071">
        <v>4</v>
      </c>
      <c r="D1655" s="2071" t="s">
        <v>107</v>
      </c>
      <c r="E1655" s="2071" t="s">
        <v>66</v>
      </c>
      <c r="F1655" s="2071" t="s">
        <v>66</v>
      </c>
      <c r="G1655" s="2071" t="s">
        <v>65</v>
      </c>
      <c r="H1655" s="753"/>
      <c r="I1655" s="1936" t="s">
        <v>147</v>
      </c>
      <c r="J1655" s="3382" t="s">
        <v>2514</v>
      </c>
      <c r="K1655" s="1938">
        <f>12*6</f>
        <v>72</v>
      </c>
      <c r="L1655" s="1947">
        <v>5700000000</v>
      </c>
      <c r="M1655" s="1939">
        <v>24</v>
      </c>
      <c r="N1655" s="1940">
        <f>872357172+775707224</f>
        <v>1648064396</v>
      </c>
      <c r="O1655" s="1938">
        <v>12</v>
      </c>
      <c r="P1655" s="1941">
        <v>665000000</v>
      </c>
      <c r="Q1655" s="1939">
        <v>3</v>
      </c>
      <c r="R1655" s="1940">
        <v>229157343</v>
      </c>
      <c r="S1655" s="1945">
        <v>3</v>
      </c>
      <c r="T1655" s="1942">
        <v>229378850</v>
      </c>
      <c r="U1655" s="3456">
        <f>9-S1655-Q1655</f>
        <v>3</v>
      </c>
      <c r="V1655" s="3455">
        <v>63855194</v>
      </c>
      <c r="W1655" s="3454"/>
      <c r="X1655" s="3454"/>
      <c r="Y1655" s="1945">
        <f>Q1655+S1655+U1655</f>
        <v>9</v>
      </c>
      <c r="Z1655" s="2927">
        <f t="shared" ref="Z1655:Z1668" si="552">R1655+T1655+V1655</f>
        <v>522391387</v>
      </c>
      <c r="AA1655" s="1943">
        <f>M1655+Y1655</f>
        <v>33</v>
      </c>
      <c r="AB1655" s="1944">
        <f t="shared" si="550"/>
        <v>2170455783</v>
      </c>
      <c r="AC1655" s="2724">
        <f t="shared" si="551"/>
        <v>45.833333333333329</v>
      </c>
      <c r="AD1655" s="2724">
        <f t="shared" si="551"/>
        <v>38.078171631578947</v>
      </c>
      <c r="AE1655" s="3381"/>
    </row>
    <row r="1656" spans="1:76" s="63" customFormat="1" ht="60" customHeight="1">
      <c r="A1656" s="385"/>
      <c r="B1656" s="383"/>
      <c r="C1656" s="2071">
        <v>4</v>
      </c>
      <c r="D1656" s="2071" t="s">
        <v>107</v>
      </c>
      <c r="E1656" s="2071" t="s">
        <v>66</v>
      </c>
      <c r="F1656" s="2071" t="s">
        <v>66</v>
      </c>
      <c r="G1656" s="2071" t="s">
        <v>196</v>
      </c>
      <c r="H1656" s="753"/>
      <c r="I1656" s="1936" t="s">
        <v>1285</v>
      </c>
      <c r="J1656" s="3382" t="s">
        <v>4111</v>
      </c>
      <c r="K1656" s="1938">
        <v>72</v>
      </c>
      <c r="L1656" s="1947">
        <v>2152000000</v>
      </c>
      <c r="M1656" s="1943">
        <v>24</v>
      </c>
      <c r="N1656" s="1940">
        <f>164051000+192951200</f>
        <v>357002200</v>
      </c>
      <c r="O1656" s="1938">
        <v>12</v>
      </c>
      <c r="P1656" s="1941">
        <v>194910400</v>
      </c>
      <c r="Q1656" s="1939">
        <v>3</v>
      </c>
      <c r="R1656" s="1940">
        <v>10400000</v>
      </c>
      <c r="S1656" s="1945">
        <v>3</v>
      </c>
      <c r="T1656" s="1942">
        <v>68505000</v>
      </c>
      <c r="U1656" s="3456">
        <v>3</v>
      </c>
      <c r="V1656" s="3455">
        <v>74530000</v>
      </c>
      <c r="W1656" s="3454"/>
      <c r="X1656" s="3454"/>
      <c r="Y1656" s="1945">
        <f>Q1656+S1656+U1656</f>
        <v>9</v>
      </c>
      <c r="Z1656" s="2927">
        <f t="shared" si="552"/>
        <v>153435000</v>
      </c>
      <c r="AA1656" s="1943">
        <f t="shared" ref="AA1656:AA1667" si="553">M1656+Y1656</f>
        <v>33</v>
      </c>
      <c r="AB1656" s="1944">
        <f t="shared" si="550"/>
        <v>510437200</v>
      </c>
      <c r="AC1656" s="2724">
        <f t="shared" si="551"/>
        <v>45.833333333333329</v>
      </c>
      <c r="AD1656" s="2724">
        <f t="shared" si="551"/>
        <v>23.719200743494422</v>
      </c>
      <c r="AE1656" s="3381"/>
    </row>
    <row r="1657" spans="1:76" ht="58.5" customHeight="1">
      <c r="A1657" s="385"/>
      <c r="B1657" s="383"/>
      <c r="C1657" s="2071">
        <v>4</v>
      </c>
      <c r="D1657" s="2071" t="s">
        <v>107</v>
      </c>
      <c r="E1657" s="2071" t="s">
        <v>66</v>
      </c>
      <c r="F1657" s="2071" t="s">
        <v>66</v>
      </c>
      <c r="G1657" s="2071" t="s">
        <v>198</v>
      </c>
      <c r="H1657" s="753"/>
      <c r="I1657" s="3382" t="s">
        <v>1287</v>
      </c>
      <c r="J1657" s="3382" t="s">
        <v>4062</v>
      </c>
      <c r="K1657" s="1938">
        <f>12*6</f>
        <v>72</v>
      </c>
      <c r="L1657" s="1947">
        <v>2325000000</v>
      </c>
      <c r="M1657" s="1939">
        <v>24</v>
      </c>
      <c r="N1657" s="1940">
        <f>303962099+278756100</f>
        <v>582718199</v>
      </c>
      <c r="O1657" s="1938">
        <v>12</v>
      </c>
      <c r="P1657" s="1941">
        <v>233583142.25</v>
      </c>
      <c r="Q1657" s="1939">
        <v>3</v>
      </c>
      <c r="R1657" s="1940">
        <v>38704900</v>
      </c>
      <c r="S1657" s="1945">
        <v>3</v>
      </c>
      <c r="T1657" s="1942">
        <v>39812900</v>
      </c>
      <c r="U1657" s="3454">
        <v>3</v>
      </c>
      <c r="V1657" s="3455">
        <v>40977700</v>
      </c>
      <c r="W1657" s="3454"/>
      <c r="X1657" s="3454"/>
      <c r="Y1657" s="1945">
        <f t="shared" ref="Y1657:Y1668" si="554">Q1657+S1657+U1657</f>
        <v>9</v>
      </c>
      <c r="Z1657" s="2927">
        <f t="shared" si="552"/>
        <v>119495500</v>
      </c>
      <c r="AA1657" s="1943">
        <f t="shared" si="553"/>
        <v>33</v>
      </c>
      <c r="AB1657" s="1944">
        <f t="shared" si="550"/>
        <v>702213699</v>
      </c>
      <c r="AC1657" s="2724">
        <f t="shared" si="551"/>
        <v>45.833333333333329</v>
      </c>
      <c r="AD1657" s="2724">
        <f>AB1657/L1657*100</f>
        <v>30.202739741935485</v>
      </c>
      <c r="AE1657" s="3381" t="s">
        <v>2516</v>
      </c>
    </row>
    <row r="1658" spans="1:76" ht="59.25" customHeight="1">
      <c r="A1658" s="385"/>
      <c r="B1658" s="383"/>
      <c r="C1658" s="2071">
        <v>4</v>
      </c>
      <c r="D1658" s="2071" t="s">
        <v>107</v>
      </c>
      <c r="E1658" s="2071" t="s">
        <v>66</v>
      </c>
      <c r="F1658" s="2071" t="s">
        <v>66</v>
      </c>
      <c r="G1658" s="2071" t="s">
        <v>93</v>
      </c>
      <c r="H1658" s="753"/>
      <c r="I1658" s="1936" t="s">
        <v>149</v>
      </c>
      <c r="J1658" s="3382" t="s">
        <v>4112</v>
      </c>
      <c r="K1658" s="1938">
        <f>12*6</f>
        <v>72</v>
      </c>
      <c r="L1658" s="1947">
        <v>2712200000</v>
      </c>
      <c r="M1658" s="1939">
        <v>24</v>
      </c>
      <c r="N1658" s="1940">
        <f>335582000+323022600</f>
        <v>658604600</v>
      </c>
      <c r="O1658" s="1938">
        <v>12</v>
      </c>
      <c r="P1658" s="1941">
        <v>360000000</v>
      </c>
      <c r="Q1658" s="1939">
        <v>3</v>
      </c>
      <c r="R1658" s="1940">
        <v>700000</v>
      </c>
      <c r="S1658" s="1945">
        <v>3</v>
      </c>
      <c r="T1658" s="1942">
        <v>147325334</v>
      </c>
      <c r="U1658" s="3454">
        <v>3</v>
      </c>
      <c r="V1658" s="3455">
        <v>54186334</v>
      </c>
      <c r="W1658" s="3454"/>
      <c r="X1658" s="3454"/>
      <c r="Y1658" s="1945">
        <f t="shared" si="554"/>
        <v>9</v>
      </c>
      <c r="Z1658" s="2927">
        <f t="shared" si="552"/>
        <v>202211668</v>
      </c>
      <c r="AA1658" s="1943">
        <f t="shared" si="553"/>
        <v>33</v>
      </c>
      <c r="AB1658" s="1944">
        <f t="shared" si="550"/>
        <v>860816268</v>
      </c>
      <c r="AC1658" s="2724">
        <f t="shared" si="551"/>
        <v>45.833333333333329</v>
      </c>
      <c r="AD1658" s="2724">
        <f t="shared" si="551"/>
        <v>31.738672221812553</v>
      </c>
      <c r="AE1658" s="3381"/>
    </row>
    <row r="1659" spans="1:76" ht="46.5" customHeight="1">
      <c r="A1659" s="385"/>
      <c r="B1659" s="383"/>
      <c r="C1659" s="2071">
        <v>4</v>
      </c>
      <c r="D1659" s="2071" t="s">
        <v>107</v>
      </c>
      <c r="E1659" s="2071" t="s">
        <v>66</v>
      </c>
      <c r="F1659" s="2071" t="s">
        <v>66</v>
      </c>
      <c r="G1659" s="2071" t="s">
        <v>201</v>
      </c>
      <c r="H1659" s="753"/>
      <c r="I1659" s="1936" t="s">
        <v>1410</v>
      </c>
      <c r="J1659" s="3382" t="s">
        <v>4113</v>
      </c>
      <c r="K1659" s="1949">
        <v>72</v>
      </c>
      <c r="L1659" s="1947">
        <v>723500000</v>
      </c>
      <c r="M1659" s="1943">
        <v>24</v>
      </c>
      <c r="N1659" s="1940">
        <f>87158000+74900000</f>
        <v>162058000</v>
      </c>
      <c r="O1659" s="1949">
        <v>12</v>
      </c>
      <c r="P1659" s="1941">
        <v>59787200</v>
      </c>
      <c r="Q1659" s="1939">
        <v>3</v>
      </c>
      <c r="R1659" s="1940">
        <v>21219000</v>
      </c>
      <c r="S1659" s="1945">
        <v>3</v>
      </c>
      <c r="T1659" s="1942">
        <v>28093000</v>
      </c>
      <c r="U1659" s="3456">
        <v>3</v>
      </c>
      <c r="V1659" s="3455">
        <v>0</v>
      </c>
      <c r="W1659" s="3454"/>
      <c r="X1659" s="3454"/>
      <c r="Y1659" s="1945">
        <f t="shared" si="554"/>
        <v>9</v>
      </c>
      <c r="Z1659" s="2927">
        <f t="shared" si="552"/>
        <v>49312000</v>
      </c>
      <c r="AA1659" s="1943">
        <f t="shared" si="553"/>
        <v>33</v>
      </c>
      <c r="AB1659" s="1944">
        <f t="shared" si="550"/>
        <v>211370000</v>
      </c>
      <c r="AC1659" s="2724">
        <f>AA1659/K1659*100</f>
        <v>45.833333333333329</v>
      </c>
      <c r="AD1659" s="2724">
        <f t="shared" si="551"/>
        <v>29.214927436074639</v>
      </c>
      <c r="AE1659" s="3381"/>
    </row>
    <row r="1660" spans="1:76" ht="59.25" customHeight="1">
      <c r="A1660" s="385"/>
      <c r="B1660" s="383"/>
      <c r="C1660" s="2071">
        <v>4</v>
      </c>
      <c r="D1660" s="2071" t="s">
        <v>107</v>
      </c>
      <c r="E1660" s="2071" t="s">
        <v>66</v>
      </c>
      <c r="F1660" s="2071" t="s">
        <v>66</v>
      </c>
      <c r="G1660" s="2071" t="s">
        <v>160</v>
      </c>
      <c r="H1660" s="753"/>
      <c r="I1660" s="1936" t="s">
        <v>2519</v>
      </c>
      <c r="J1660" s="3382" t="s">
        <v>4114</v>
      </c>
      <c r="K1660" s="1938">
        <v>72</v>
      </c>
      <c r="L1660" s="1947">
        <v>425800000</v>
      </c>
      <c r="M1660" s="1943">
        <v>24</v>
      </c>
      <c r="N1660" s="1940">
        <f>62968900+34143800</f>
        <v>97112700</v>
      </c>
      <c r="O1660" s="1938">
        <v>12</v>
      </c>
      <c r="P1660" s="1941">
        <v>67182000</v>
      </c>
      <c r="Q1660" s="1939">
        <v>3</v>
      </c>
      <c r="R1660" s="1940">
        <v>5507000</v>
      </c>
      <c r="S1660" s="1945">
        <v>3</v>
      </c>
      <c r="T1660" s="1942">
        <v>32428000</v>
      </c>
      <c r="U1660" s="3454">
        <v>3</v>
      </c>
      <c r="V1660" s="3455">
        <v>5966000</v>
      </c>
      <c r="W1660" s="3454"/>
      <c r="X1660" s="3454"/>
      <c r="Y1660" s="1945">
        <f t="shared" si="554"/>
        <v>9</v>
      </c>
      <c r="Z1660" s="2927">
        <f t="shared" si="552"/>
        <v>43901000</v>
      </c>
      <c r="AA1660" s="1943">
        <f t="shared" si="553"/>
        <v>33</v>
      </c>
      <c r="AB1660" s="1944">
        <f t="shared" si="550"/>
        <v>141013700</v>
      </c>
      <c r="AC1660" s="2724">
        <f t="shared" si="551"/>
        <v>45.833333333333329</v>
      </c>
      <c r="AD1660" s="2724">
        <f t="shared" si="551"/>
        <v>33.117355565993421</v>
      </c>
      <c r="AE1660" s="3381"/>
    </row>
    <row r="1661" spans="1:76" ht="55.5" customHeight="1">
      <c r="A1661" s="385"/>
      <c r="B1661" s="383"/>
      <c r="C1661" s="2071">
        <v>4</v>
      </c>
      <c r="D1661" s="2071" t="s">
        <v>107</v>
      </c>
      <c r="E1661" s="2071" t="s">
        <v>66</v>
      </c>
      <c r="F1661" s="2071" t="s">
        <v>66</v>
      </c>
      <c r="G1661" s="2071" t="s">
        <v>391</v>
      </c>
      <c r="H1661" s="753"/>
      <c r="I1661" s="1936" t="s">
        <v>238</v>
      </c>
      <c r="J1661" s="3382" t="s">
        <v>4115</v>
      </c>
      <c r="K1661" s="1938">
        <v>72</v>
      </c>
      <c r="L1661" s="1947">
        <v>355700000</v>
      </c>
      <c r="M1661" s="1939">
        <v>24</v>
      </c>
      <c r="N1661" s="1940">
        <f>56986500+43705750</f>
        <v>100692250</v>
      </c>
      <c r="O1661" s="1938">
        <v>12</v>
      </c>
      <c r="P1661" s="1941">
        <v>49336193</v>
      </c>
      <c r="Q1661" s="1939">
        <v>3</v>
      </c>
      <c r="R1661" s="1940">
        <v>15204000</v>
      </c>
      <c r="S1661" s="1945">
        <v>3</v>
      </c>
      <c r="T1661" s="1942">
        <v>15991500</v>
      </c>
      <c r="U1661" s="3456">
        <v>3</v>
      </c>
      <c r="V1661" s="3455">
        <v>7160500</v>
      </c>
      <c r="W1661" s="3454"/>
      <c r="X1661" s="3454"/>
      <c r="Y1661" s="1945">
        <f t="shared" si="554"/>
        <v>9</v>
      </c>
      <c r="Z1661" s="2927">
        <f t="shared" si="552"/>
        <v>38356000</v>
      </c>
      <c r="AA1661" s="1943">
        <f t="shared" si="553"/>
        <v>33</v>
      </c>
      <c r="AB1661" s="1944">
        <f t="shared" si="550"/>
        <v>139048250</v>
      </c>
      <c r="AC1661" s="2724">
        <f t="shared" si="551"/>
        <v>45.833333333333329</v>
      </c>
      <c r="AD1661" s="2724">
        <f t="shared" si="551"/>
        <v>39.091439415237559</v>
      </c>
      <c r="AE1661" s="3381"/>
    </row>
    <row r="1662" spans="1:76" ht="42.75" customHeight="1">
      <c r="A1662" s="385"/>
      <c r="B1662" s="383"/>
      <c r="C1662" s="2071">
        <v>4</v>
      </c>
      <c r="D1662" s="2071" t="s">
        <v>107</v>
      </c>
      <c r="E1662" s="2071" t="s">
        <v>66</v>
      </c>
      <c r="F1662" s="2071" t="s">
        <v>66</v>
      </c>
      <c r="G1662" s="2071" t="s">
        <v>448</v>
      </c>
      <c r="H1662" s="753"/>
      <c r="I1662" s="1936" t="s">
        <v>157</v>
      </c>
      <c r="J1662" s="3382" t="s">
        <v>4069</v>
      </c>
      <c r="K1662" s="1938">
        <f>12*6</f>
        <v>72</v>
      </c>
      <c r="L1662" s="1947">
        <v>10172548440</v>
      </c>
      <c r="M1662" s="1939">
        <v>24</v>
      </c>
      <c r="N1662" s="1940">
        <f>2300031394+567872366</f>
        <v>2867903760</v>
      </c>
      <c r="O1662" s="1938">
        <v>12</v>
      </c>
      <c r="P1662" s="1941">
        <v>1651390200</v>
      </c>
      <c r="Q1662" s="1939">
        <v>3</v>
      </c>
      <c r="R1662" s="1940">
        <v>339088890</v>
      </c>
      <c r="S1662" s="1945">
        <v>3</v>
      </c>
      <c r="T1662" s="1942">
        <v>938895425</v>
      </c>
      <c r="U1662" s="3454">
        <v>3</v>
      </c>
      <c r="V1662" s="3455">
        <v>336522320</v>
      </c>
      <c r="W1662" s="3454"/>
      <c r="X1662" s="3454"/>
      <c r="Y1662" s="1945">
        <f t="shared" si="554"/>
        <v>9</v>
      </c>
      <c r="Z1662" s="2927">
        <f t="shared" si="552"/>
        <v>1614506635</v>
      </c>
      <c r="AA1662" s="1943">
        <f t="shared" si="553"/>
        <v>33</v>
      </c>
      <c r="AB1662" s="1944">
        <f t="shared" si="550"/>
        <v>4482410395</v>
      </c>
      <c r="AC1662" s="2724">
        <f t="shared" si="551"/>
        <v>45.833333333333329</v>
      </c>
      <c r="AD1662" s="2724">
        <f t="shared" si="551"/>
        <v>44.063790125338542</v>
      </c>
      <c r="AE1662" s="3381"/>
    </row>
    <row r="1663" spans="1:76" s="63" customFormat="1" ht="54.75" customHeight="1">
      <c r="A1663" s="385"/>
      <c r="B1663" s="383"/>
      <c r="C1663" s="2071">
        <v>4</v>
      </c>
      <c r="D1663" s="2071" t="s">
        <v>107</v>
      </c>
      <c r="E1663" s="2071" t="s">
        <v>66</v>
      </c>
      <c r="F1663" s="2071" t="s">
        <v>66</v>
      </c>
      <c r="G1663" s="2071" t="s">
        <v>167</v>
      </c>
      <c r="H1663" s="753"/>
      <c r="I1663" s="1936" t="s">
        <v>158</v>
      </c>
      <c r="J1663" s="3382" t="s">
        <v>4116</v>
      </c>
      <c r="K1663" s="2119">
        <f>12*6</f>
        <v>72</v>
      </c>
      <c r="L1663" s="2144">
        <v>3850000000</v>
      </c>
      <c r="M1663" s="2129">
        <v>24</v>
      </c>
      <c r="N1663" s="2047">
        <f>680649474+505627301</f>
        <v>1186276775</v>
      </c>
      <c r="O1663" s="2119">
        <v>12</v>
      </c>
      <c r="P1663" s="1941">
        <v>238537600</v>
      </c>
      <c r="Q1663" s="2129">
        <v>3</v>
      </c>
      <c r="R1663" s="2047">
        <v>29704000</v>
      </c>
      <c r="S1663" s="1945">
        <v>3</v>
      </c>
      <c r="T1663" s="1942">
        <v>64010000</v>
      </c>
      <c r="U1663" s="3454">
        <v>3</v>
      </c>
      <c r="V1663" s="3455">
        <v>53360000</v>
      </c>
      <c r="W1663" s="3454"/>
      <c r="X1663" s="3454"/>
      <c r="Y1663" s="1945">
        <f t="shared" si="554"/>
        <v>9</v>
      </c>
      <c r="Z1663" s="2927">
        <f t="shared" si="552"/>
        <v>147074000</v>
      </c>
      <c r="AA1663" s="1943">
        <f t="shared" si="553"/>
        <v>33</v>
      </c>
      <c r="AB1663" s="1944">
        <f t="shared" si="550"/>
        <v>1333350775</v>
      </c>
      <c r="AC1663" s="2723">
        <f t="shared" si="551"/>
        <v>45.833333333333329</v>
      </c>
      <c r="AD1663" s="2723">
        <f t="shared" si="551"/>
        <v>34.632487662337667</v>
      </c>
      <c r="AE1663" s="3373"/>
    </row>
    <row r="1664" spans="1:76" ht="63" customHeight="1">
      <c r="A1664" s="385"/>
      <c r="B1664" s="383"/>
      <c r="C1664" s="2071">
        <v>4</v>
      </c>
      <c r="D1664" s="2071" t="s">
        <v>107</v>
      </c>
      <c r="E1664" s="2071" t="s">
        <v>66</v>
      </c>
      <c r="F1664" s="2071" t="s">
        <v>66</v>
      </c>
      <c r="G1664" s="2071" t="s">
        <v>376</v>
      </c>
      <c r="H1664" s="753"/>
      <c r="I1664" s="1936" t="s">
        <v>159</v>
      </c>
      <c r="J1664" s="3382" t="s">
        <v>4117</v>
      </c>
      <c r="K1664" s="1938">
        <f>12*6</f>
        <v>72</v>
      </c>
      <c r="L1664" s="1947">
        <v>550000000</v>
      </c>
      <c r="M1664" s="1939">
        <v>24</v>
      </c>
      <c r="N1664" s="1940">
        <f>75275250+63109500</f>
        <v>138384750</v>
      </c>
      <c r="O1664" s="1938">
        <v>12</v>
      </c>
      <c r="P1664" s="1941">
        <v>73656000</v>
      </c>
      <c r="Q1664" s="1939">
        <v>3</v>
      </c>
      <c r="R1664" s="1940">
        <v>26772500</v>
      </c>
      <c r="S1664" s="1945">
        <v>3</v>
      </c>
      <c r="T1664" s="1942">
        <v>42665000</v>
      </c>
      <c r="U1664" s="3454">
        <v>3</v>
      </c>
      <c r="V1664" s="3455">
        <v>0</v>
      </c>
      <c r="W1664" s="3454"/>
      <c r="X1664" s="3454"/>
      <c r="Y1664" s="1945">
        <f t="shared" si="554"/>
        <v>9</v>
      </c>
      <c r="Z1664" s="2927">
        <f t="shared" si="552"/>
        <v>69437500</v>
      </c>
      <c r="AA1664" s="1943">
        <f t="shared" si="553"/>
        <v>33</v>
      </c>
      <c r="AB1664" s="1944">
        <f t="shared" si="550"/>
        <v>207822250</v>
      </c>
      <c r="AC1664" s="2724">
        <f t="shared" si="551"/>
        <v>45.833333333333329</v>
      </c>
      <c r="AD1664" s="2724">
        <f t="shared" si="551"/>
        <v>37.785863636363636</v>
      </c>
      <c r="AE1664" s="3381"/>
    </row>
    <row r="1665" spans="1:31" ht="67.5" customHeight="1">
      <c r="A1665" s="385"/>
      <c r="B1665" s="383"/>
      <c r="C1665" s="2071">
        <v>4</v>
      </c>
      <c r="D1665" s="2071" t="s">
        <v>107</v>
      </c>
      <c r="E1665" s="2071" t="s">
        <v>66</v>
      </c>
      <c r="F1665" s="2071" t="s">
        <v>66</v>
      </c>
      <c r="G1665" s="2071" t="s">
        <v>163</v>
      </c>
      <c r="H1665" s="753"/>
      <c r="I1665" s="3382" t="s">
        <v>2524</v>
      </c>
      <c r="J1665" s="3382" t="s">
        <v>4118</v>
      </c>
      <c r="K1665" s="1938">
        <v>72</v>
      </c>
      <c r="L1665" s="1938">
        <v>1225000000</v>
      </c>
      <c r="M1665" s="1943">
        <v>24</v>
      </c>
      <c r="N1665" s="1940">
        <f>103022892+175571258</f>
        <v>278594150</v>
      </c>
      <c r="O1665" s="1938">
        <v>12</v>
      </c>
      <c r="P1665" s="1941">
        <v>65096698.5</v>
      </c>
      <c r="Q1665" s="1939">
        <v>3</v>
      </c>
      <c r="R1665" s="1940">
        <v>7324800</v>
      </c>
      <c r="S1665" s="1945">
        <v>3</v>
      </c>
      <c r="T1665" s="1942">
        <v>32838700</v>
      </c>
      <c r="U1665" s="3454">
        <v>3</v>
      </c>
      <c r="V1665" s="3455">
        <v>19421000</v>
      </c>
      <c r="W1665" s="3454"/>
      <c r="X1665" s="3454"/>
      <c r="Y1665" s="1945">
        <f t="shared" si="554"/>
        <v>9</v>
      </c>
      <c r="Z1665" s="2927">
        <f t="shared" si="552"/>
        <v>59584500</v>
      </c>
      <c r="AA1665" s="1943">
        <f t="shared" si="553"/>
        <v>33</v>
      </c>
      <c r="AB1665" s="1944">
        <f t="shared" si="550"/>
        <v>338178650</v>
      </c>
      <c r="AC1665" s="2724">
        <f t="shared" si="551"/>
        <v>45.833333333333329</v>
      </c>
      <c r="AD1665" s="2724">
        <f t="shared" si="551"/>
        <v>27.606420408163267</v>
      </c>
      <c r="AE1665" s="3381" t="s">
        <v>2516</v>
      </c>
    </row>
    <row r="1666" spans="1:31" s="63" customFormat="1" ht="48" customHeight="1">
      <c r="A1666" s="385"/>
      <c r="B1666" s="383"/>
      <c r="C1666" s="2071">
        <v>4</v>
      </c>
      <c r="D1666" s="2071" t="s">
        <v>107</v>
      </c>
      <c r="E1666" s="2071" t="s">
        <v>66</v>
      </c>
      <c r="F1666" s="2071" t="s">
        <v>66</v>
      </c>
      <c r="G1666" s="2071" t="s">
        <v>363</v>
      </c>
      <c r="H1666" s="753"/>
      <c r="I1666" s="3382" t="s">
        <v>2526</v>
      </c>
      <c r="J1666" s="3382" t="s">
        <v>4119</v>
      </c>
      <c r="K1666" s="2148">
        <v>72</v>
      </c>
      <c r="L1666" s="2119">
        <v>960000000</v>
      </c>
      <c r="M1666" s="2129">
        <v>24</v>
      </c>
      <c r="N1666" s="2047">
        <v>174885200</v>
      </c>
      <c r="O1666" s="2148">
        <v>12</v>
      </c>
      <c r="P1666" s="1941">
        <v>166185686.25</v>
      </c>
      <c r="Q1666" s="2129">
        <v>3</v>
      </c>
      <c r="R1666" s="2047">
        <v>27000000</v>
      </c>
      <c r="S1666" s="1945">
        <v>3</v>
      </c>
      <c r="T1666" s="1942">
        <v>67500000</v>
      </c>
      <c r="U1666" s="3454">
        <v>3</v>
      </c>
      <c r="V1666" s="3455">
        <v>29469000</v>
      </c>
      <c r="W1666" s="3454"/>
      <c r="X1666" s="3454"/>
      <c r="Y1666" s="1945">
        <v>12</v>
      </c>
      <c r="Z1666" s="2927">
        <f t="shared" si="552"/>
        <v>123969000</v>
      </c>
      <c r="AA1666" s="1943">
        <f>M1666+Y1666</f>
        <v>36</v>
      </c>
      <c r="AB1666" s="1944">
        <f t="shared" si="550"/>
        <v>298854200</v>
      </c>
      <c r="AC1666" s="2723">
        <f t="shared" si="551"/>
        <v>50</v>
      </c>
      <c r="AD1666" s="2723">
        <f>AB1666/L1666*100</f>
        <v>31.130645833333332</v>
      </c>
      <c r="AE1666" s="3373"/>
    </row>
    <row r="1667" spans="1:31" s="63" customFormat="1" ht="41.25" customHeight="1">
      <c r="A1667" s="385"/>
      <c r="B1667" s="383"/>
      <c r="C1667" s="2071">
        <v>4</v>
      </c>
      <c r="D1667" s="2071" t="s">
        <v>107</v>
      </c>
      <c r="E1667" s="2071" t="s">
        <v>66</v>
      </c>
      <c r="F1667" s="2071" t="s">
        <v>66</v>
      </c>
      <c r="G1667" s="2071" t="s">
        <v>2381</v>
      </c>
      <c r="H1667" s="753"/>
      <c r="I1667" s="3382" t="s">
        <v>2528</v>
      </c>
      <c r="J1667" s="3382" t="s">
        <v>4120</v>
      </c>
      <c r="K1667" s="1938">
        <v>72</v>
      </c>
      <c r="L1667" s="1938">
        <v>1120000000</v>
      </c>
      <c r="M1667" s="1939">
        <v>24</v>
      </c>
      <c r="N1667" s="1940">
        <v>183523758</v>
      </c>
      <c r="O1667" s="1938">
        <v>12</v>
      </c>
      <c r="P1667" s="1941">
        <v>209787764</v>
      </c>
      <c r="Q1667" s="1939">
        <v>3</v>
      </c>
      <c r="R1667" s="1940">
        <v>24948709</v>
      </c>
      <c r="S1667" s="1945">
        <v>3</v>
      </c>
      <c r="T1667" s="1942">
        <v>39671650</v>
      </c>
      <c r="U1667" s="3454">
        <v>3</v>
      </c>
      <c r="V1667" s="3455">
        <v>19159900</v>
      </c>
      <c r="W1667" s="3454"/>
      <c r="X1667" s="3454"/>
      <c r="Y1667" s="1945">
        <f t="shared" si="554"/>
        <v>9</v>
      </c>
      <c r="Z1667" s="2927">
        <f t="shared" si="552"/>
        <v>83780259</v>
      </c>
      <c r="AA1667" s="1943">
        <f t="shared" si="553"/>
        <v>33</v>
      </c>
      <c r="AB1667" s="1944">
        <f t="shared" si="550"/>
        <v>267304017</v>
      </c>
      <c r="AC1667" s="2724">
        <f t="shared" si="551"/>
        <v>45.833333333333329</v>
      </c>
      <c r="AD1667" s="2724">
        <f t="shared" si="551"/>
        <v>23.866430089285714</v>
      </c>
      <c r="AE1667" s="3381"/>
    </row>
    <row r="1668" spans="1:31" s="63" customFormat="1" ht="66" customHeight="1">
      <c r="A1668" s="385"/>
      <c r="B1668" s="383"/>
      <c r="C1668" s="2071">
        <v>4</v>
      </c>
      <c r="D1668" s="2071" t="s">
        <v>107</v>
      </c>
      <c r="E1668" s="2071" t="s">
        <v>66</v>
      </c>
      <c r="F1668" s="2071" t="s">
        <v>66</v>
      </c>
      <c r="G1668" s="2071" t="s">
        <v>347</v>
      </c>
      <c r="H1668" s="753"/>
      <c r="I1668" s="3382" t="s">
        <v>2530</v>
      </c>
      <c r="J1668" s="3382" t="s">
        <v>4121</v>
      </c>
      <c r="K1668" s="1938">
        <v>72</v>
      </c>
      <c r="L1668" s="1947">
        <v>7800000000</v>
      </c>
      <c r="M1668" s="1939">
        <v>24</v>
      </c>
      <c r="N1668" s="1940">
        <v>383033754</v>
      </c>
      <c r="O1668" s="1938">
        <v>12</v>
      </c>
      <c r="P1668" s="1941">
        <v>1509594000</v>
      </c>
      <c r="Q1668" s="1939">
        <v>3</v>
      </c>
      <c r="R1668" s="1940">
        <v>355844251</v>
      </c>
      <c r="S1668" s="1945">
        <v>3</v>
      </c>
      <c r="T1668" s="1689">
        <v>341295529</v>
      </c>
      <c r="U1668" s="3457">
        <v>3</v>
      </c>
      <c r="V1668" s="3458">
        <v>369479330</v>
      </c>
      <c r="W1668" s="3457"/>
      <c r="X1668" s="3457"/>
      <c r="Y1668" s="3459">
        <f t="shared" si="554"/>
        <v>9</v>
      </c>
      <c r="Z1668" s="3460">
        <f t="shared" si="552"/>
        <v>1066619110</v>
      </c>
      <c r="AA1668" s="1943">
        <f>M1668+Y1668</f>
        <v>33</v>
      </c>
      <c r="AB1668" s="1944">
        <f t="shared" si="550"/>
        <v>1449652864</v>
      </c>
      <c r="AC1668" s="2724">
        <f t="shared" si="551"/>
        <v>45.833333333333329</v>
      </c>
      <c r="AD1668" s="2724">
        <f t="shared" si="551"/>
        <v>18.585293128205127</v>
      </c>
      <c r="AE1668" s="3381"/>
    </row>
    <row r="1669" spans="1:31" s="63" customFormat="1" ht="68.25" customHeight="1">
      <c r="A1669" s="3461">
        <v>2</v>
      </c>
      <c r="B1669" s="3462" t="s">
        <v>4217</v>
      </c>
      <c r="C1669" s="3844">
        <v>4</v>
      </c>
      <c r="D1669" s="3844" t="s">
        <v>107</v>
      </c>
      <c r="E1669" s="3844" t="s">
        <v>66</v>
      </c>
      <c r="F1669" s="3844" t="s">
        <v>65</v>
      </c>
      <c r="G1669" s="3475"/>
      <c r="H1669" s="3475"/>
      <c r="I1669" s="3462" t="s">
        <v>257</v>
      </c>
      <c r="J1669" s="3464" t="s">
        <v>2535</v>
      </c>
      <c r="K1669" s="3465">
        <v>540</v>
      </c>
      <c r="L1669" s="3466">
        <f>SUM(L1670:L1682)</f>
        <v>31855400000</v>
      </c>
      <c r="M1669" s="3467">
        <f>85+85</f>
        <v>170</v>
      </c>
      <c r="N1669" s="3466">
        <f>SUM(N1670:N1682)</f>
        <v>6277248531</v>
      </c>
      <c r="O1669" s="3465">
        <v>85</v>
      </c>
      <c r="P1669" s="3468">
        <f>SUM(P1670:P1682)</f>
        <v>4740017441</v>
      </c>
      <c r="Q1669" s="3465">
        <v>15</v>
      </c>
      <c r="R1669" s="3469">
        <f>SUM(R1670:R1682)</f>
        <v>643716254</v>
      </c>
      <c r="S1669" s="3470">
        <v>30</v>
      </c>
      <c r="T1669" s="3471">
        <f>SUM(T1671:T1682)</f>
        <v>1297986693</v>
      </c>
      <c r="U1669" s="3472">
        <f>70-Q1669-S1669</f>
        <v>25</v>
      </c>
      <c r="V1669" s="3469">
        <f>SUM(V1670:V1682)</f>
        <v>1731504919</v>
      </c>
      <c r="W1669" s="3472"/>
      <c r="X1669" s="3472"/>
      <c r="Y1669" s="3470">
        <f>Q1669+S1669+U1669</f>
        <v>70</v>
      </c>
      <c r="Z1669" s="3471">
        <f>R1669+T1669+V1669</f>
        <v>3673207866</v>
      </c>
      <c r="AA1669" s="3473">
        <f>M1669+Y1669</f>
        <v>240</v>
      </c>
      <c r="AB1669" s="3471">
        <f t="shared" si="550"/>
        <v>9950456397</v>
      </c>
      <c r="AC1669" s="3474">
        <f>AA1669/K1669*100</f>
        <v>44.444444444444443</v>
      </c>
      <c r="AD1669" s="3474">
        <f t="shared" si="551"/>
        <v>31.236325385962822</v>
      </c>
      <c r="AE1669" s="3475"/>
    </row>
    <row r="1670" spans="1:31" ht="37.5" customHeight="1">
      <c r="A1670" s="385"/>
      <c r="B1670" s="383"/>
      <c r="C1670" s="2071">
        <v>4</v>
      </c>
      <c r="D1670" s="2071" t="s">
        <v>107</v>
      </c>
      <c r="E1670" s="2071" t="s">
        <v>66</v>
      </c>
      <c r="F1670" s="2071" t="s">
        <v>65</v>
      </c>
      <c r="G1670" s="2071" t="s">
        <v>161</v>
      </c>
      <c r="H1670" s="753"/>
      <c r="I1670" s="1936" t="s">
        <v>1421</v>
      </c>
      <c r="J1670" s="1958" t="s">
        <v>4122</v>
      </c>
      <c r="K1670" s="1938">
        <v>13</v>
      </c>
      <c r="L1670" s="1947">
        <v>340000000</v>
      </c>
      <c r="M1670" s="1939">
        <v>2</v>
      </c>
      <c r="N1670" s="1940">
        <v>31590000</v>
      </c>
      <c r="O1670" s="1938">
        <v>2</v>
      </c>
      <c r="P1670" s="1941">
        <v>36500000</v>
      </c>
      <c r="Q1670" s="1959"/>
      <c r="R1670" s="64"/>
      <c r="S1670" s="1945">
        <f>Q1670/O1670*100</f>
        <v>0</v>
      </c>
      <c r="T1670" s="64"/>
      <c r="U1670" s="3476">
        <v>2</v>
      </c>
      <c r="V1670" s="3477">
        <v>35820000</v>
      </c>
      <c r="W1670" s="3476"/>
      <c r="X1670" s="3476"/>
      <c r="Y1670" s="1939">
        <f>U1670</f>
        <v>2</v>
      </c>
      <c r="Z1670" s="3478">
        <f>R1670+T1670+V1670</f>
        <v>35820000</v>
      </c>
      <c r="AA1670" s="1943">
        <f>M1670+Y1670</f>
        <v>4</v>
      </c>
      <c r="AB1670" s="1944">
        <f t="shared" si="550"/>
        <v>67410000</v>
      </c>
      <c r="AC1670" s="2724">
        <f t="shared" ref="AC1670:AD1685" si="555">AA1670/K1670*100</f>
        <v>30.76923076923077</v>
      </c>
      <c r="AD1670" s="2724">
        <f t="shared" si="555"/>
        <v>19.826470588235296</v>
      </c>
      <c r="AE1670" s="3381" t="s">
        <v>2513</v>
      </c>
    </row>
    <row r="1671" spans="1:31" ht="63.75" customHeight="1">
      <c r="A1671" s="385"/>
      <c r="B1671" s="383"/>
      <c r="C1671" s="2071">
        <v>4</v>
      </c>
      <c r="D1671" s="2071" t="s">
        <v>107</v>
      </c>
      <c r="E1671" s="2071" t="s">
        <v>66</v>
      </c>
      <c r="F1671" s="2071" t="s">
        <v>65</v>
      </c>
      <c r="G1671" s="2071" t="s">
        <v>197</v>
      </c>
      <c r="H1671" s="753"/>
      <c r="I1671" s="233" t="s">
        <v>2537</v>
      </c>
      <c r="J1671" s="3382" t="s">
        <v>2538</v>
      </c>
      <c r="K1671" s="1938">
        <v>400</v>
      </c>
      <c r="L1671" s="1947">
        <v>3690000000</v>
      </c>
      <c r="M1671" s="1939"/>
      <c r="N1671" s="1940"/>
      <c r="O1671" s="1938">
        <v>100</v>
      </c>
      <c r="P1671" s="1941">
        <v>839659000</v>
      </c>
      <c r="Q1671" s="1939">
        <v>25</v>
      </c>
      <c r="R1671" s="1940">
        <v>131402540</v>
      </c>
      <c r="S1671" s="1945">
        <f>53-Q1671</f>
        <v>28</v>
      </c>
      <c r="T1671" s="1942">
        <v>248756800</v>
      </c>
      <c r="U1671" s="3479">
        <f>85-Q1671-S1671</f>
        <v>32</v>
      </c>
      <c r="V1671" s="3480">
        <v>295649500</v>
      </c>
      <c r="W1671" s="3476"/>
      <c r="X1671" s="3476"/>
      <c r="Y1671" s="1945">
        <f>Q1671+S1671+U1671</f>
        <v>85</v>
      </c>
      <c r="Z1671" s="3478">
        <f t="shared" ref="Z1671:Z1682" si="556">R1671+T1671+V1671</f>
        <v>675808840</v>
      </c>
      <c r="AA1671" s="1943">
        <f t="shared" ref="AA1671:AA1682" si="557">M1671+Y1671</f>
        <v>85</v>
      </c>
      <c r="AB1671" s="1944">
        <f t="shared" si="550"/>
        <v>675808840</v>
      </c>
      <c r="AC1671" s="2724">
        <f t="shared" si="555"/>
        <v>21.25</v>
      </c>
      <c r="AD1671" s="2724">
        <f>AB1671/L1671*100</f>
        <v>18.314602710027099</v>
      </c>
      <c r="AE1671" s="3381"/>
    </row>
    <row r="1672" spans="1:31" ht="54" customHeight="1">
      <c r="A1672" s="385"/>
      <c r="B1672" s="383"/>
      <c r="C1672" s="2071">
        <v>4</v>
      </c>
      <c r="D1672" s="2071" t="s">
        <v>107</v>
      </c>
      <c r="E1672" s="2071" t="s">
        <v>66</v>
      </c>
      <c r="F1672" s="2071" t="s">
        <v>65</v>
      </c>
      <c r="G1672" s="2071" t="s">
        <v>93</v>
      </c>
      <c r="H1672" s="753"/>
      <c r="I1672" s="1936" t="s">
        <v>2539</v>
      </c>
      <c r="J1672" s="1958" t="s">
        <v>2540</v>
      </c>
      <c r="K1672" s="1938">
        <v>600</v>
      </c>
      <c r="L1672" s="1947">
        <v>492500000</v>
      </c>
      <c r="M1672" s="1943">
        <v>200</v>
      </c>
      <c r="N1672" s="1940">
        <f>58543000+60118000</f>
        <v>118661000</v>
      </c>
      <c r="O1672" s="1938">
        <v>100</v>
      </c>
      <c r="P1672" s="1941">
        <v>65000000</v>
      </c>
      <c r="Q1672" s="1959"/>
      <c r="R1672" s="1940">
        <v>0</v>
      </c>
      <c r="S1672" s="1939">
        <v>0</v>
      </c>
      <c r="T1672" s="64">
        <v>0</v>
      </c>
      <c r="U1672" s="3476"/>
      <c r="V1672" s="3476">
        <v>0</v>
      </c>
      <c r="W1672" s="3476"/>
      <c r="X1672" s="3476"/>
      <c r="Y1672" s="1945">
        <f>Q1672+S1672</f>
        <v>0</v>
      </c>
      <c r="Z1672" s="3478">
        <f t="shared" si="556"/>
        <v>0</v>
      </c>
      <c r="AA1672" s="1943">
        <f t="shared" si="557"/>
        <v>200</v>
      </c>
      <c r="AB1672" s="1944">
        <f t="shared" si="550"/>
        <v>118661000</v>
      </c>
      <c r="AC1672" s="2724">
        <f t="shared" si="555"/>
        <v>33.333333333333329</v>
      </c>
      <c r="AD1672" s="2724">
        <f t="shared" si="555"/>
        <v>24.093604060913705</v>
      </c>
      <c r="AE1672" s="3381"/>
    </row>
    <row r="1673" spans="1:31" s="63" customFormat="1" ht="54" customHeight="1">
      <c r="A1673" s="385"/>
      <c r="B1673" s="383"/>
      <c r="C1673" s="2071">
        <v>4</v>
      </c>
      <c r="D1673" s="2071" t="s">
        <v>107</v>
      </c>
      <c r="E1673" s="2071" t="s">
        <v>66</v>
      </c>
      <c r="F1673" s="2071" t="s">
        <v>65</v>
      </c>
      <c r="G1673" s="2071" t="s">
        <v>201</v>
      </c>
      <c r="H1673" s="753"/>
      <c r="I1673" s="1936" t="s">
        <v>454</v>
      </c>
      <c r="J1673" s="1958" t="s">
        <v>1454</v>
      </c>
      <c r="K1673" s="2119">
        <v>600</v>
      </c>
      <c r="L1673" s="2144">
        <v>3400000000</v>
      </c>
      <c r="M1673" s="2129">
        <v>200</v>
      </c>
      <c r="N1673" s="2047">
        <f>595832100+493469000</f>
        <v>1089301100</v>
      </c>
      <c r="O1673" s="2119">
        <v>100</v>
      </c>
      <c r="P1673" s="1941">
        <v>297386421</v>
      </c>
      <c r="Q1673" s="2129">
        <v>8</v>
      </c>
      <c r="R1673" s="2047">
        <v>17765000</v>
      </c>
      <c r="S1673" s="1945">
        <f>Q1673/O1673*100</f>
        <v>8</v>
      </c>
      <c r="T1673" s="1942">
        <v>1500000</v>
      </c>
      <c r="U1673" s="3479">
        <f>85-Q1673-S1673</f>
        <v>69</v>
      </c>
      <c r="V1673" s="3480">
        <v>216772900</v>
      </c>
      <c r="W1673" s="3476"/>
      <c r="X1673" s="3476"/>
      <c r="Y1673" s="1945">
        <f t="shared" ref="Y1673:Y1682" si="558">Q1673+S1673+U1673</f>
        <v>85</v>
      </c>
      <c r="Z1673" s="3478">
        <f t="shared" si="556"/>
        <v>236037900</v>
      </c>
      <c r="AA1673" s="1943">
        <f t="shared" si="557"/>
        <v>285</v>
      </c>
      <c r="AB1673" s="1944">
        <f t="shared" si="550"/>
        <v>1325339000</v>
      </c>
      <c r="AC1673" s="2723">
        <f>AA1673/K1673*100</f>
        <v>47.5</v>
      </c>
      <c r="AD1673" s="2723">
        <f t="shared" si="555"/>
        <v>38.980558823529407</v>
      </c>
      <c r="AE1673" s="3373"/>
    </row>
    <row r="1674" spans="1:31" s="63" customFormat="1" ht="38.25" customHeight="1">
      <c r="A1674" s="385"/>
      <c r="B1674" s="383"/>
      <c r="C1674" s="2071">
        <v>4</v>
      </c>
      <c r="D1674" s="2071" t="s">
        <v>107</v>
      </c>
      <c r="E1674" s="2071" t="s">
        <v>66</v>
      </c>
      <c r="F1674" s="2071" t="s">
        <v>65</v>
      </c>
      <c r="G1674" s="2071" t="s">
        <v>202</v>
      </c>
      <c r="H1674" s="753"/>
      <c r="I1674" s="1936" t="s">
        <v>2541</v>
      </c>
      <c r="J1674" s="1958" t="s">
        <v>2542</v>
      </c>
      <c r="K1674" s="2119">
        <v>600</v>
      </c>
      <c r="L1674" s="2144">
        <v>1156000000</v>
      </c>
      <c r="M1674" s="2129">
        <v>200</v>
      </c>
      <c r="N1674" s="2047">
        <f>138650000+250050000</f>
        <v>388700000</v>
      </c>
      <c r="O1674" s="2119">
        <v>100</v>
      </c>
      <c r="P1674" s="1941">
        <v>140000000</v>
      </c>
      <c r="Q1674" s="2129">
        <v>10</v>
      </c>
      <c r="R1674" s="2047">
        <v>700000</v>
      </c>
      <c r="S1674" s="1945">
        <f>98-Q1674</f>
        <v>88</v>
      </c>
      <c r="T1674" s="1942">
        <v>134000000</v>
      </c>
      <c r="U1674" s="3479"/>
      <c r="V1674" s="3480">
        <v>0</v>
      </c>
      <c r="W1674" s="3476"/>
      <c r="X1674" s="3476"/>
      <c r="Y1674" s="1945">
        <f t="shared" si="558"/>
        <v>98</v>
      </c>
      <c r="Z1674" s="3478">
        <f t="shared" si="556"/>
        <v>134700000</v>
      </c>
      <c r="AA1674" s="1943">
        <f t="shared" si="557"/>
        <v>298</v>
      </c>
      <c r="AB1674" s="1944">
        <f t="shared" si="550"/>
        <v>523400000</v>
      </c>
      <c r="AC1674" s="2723">
        <f t="shared" si="555"/>
        <v>49.666666666666664</v>
      </c>
      <c r="AD1674" s="2723">
        <f t="shared" si="555"/>
        <v>45.27681660899654</v>
      </c>
      <c r="AE1674" s="3373"/>
    </row>
    <row r="1675" spans="1:31" ht="55.5" customHeight="1">
      <c r="A1675" s="385"/>
      <c r="B1675" s="383"/>
      <c r="C1675" s="2071">
        <v>4</v>
      </c>
      <c r="D1675" s="2071" t="s">
        <v>107</v>
      </c>
      <c r="E1675" s="2071" t="s">
        <v>66</v>
      </c>
      <c r="F1675" s="2071" t="s">
        <v>65</v>
      </c>
      <c r="G1675" s="2071" t="s">
        <v>167</v>
      </c>
      <c r="H1675" s="753"/>
      <c r="I1675" s="1936" t="s">
        <v>2543</v>
      </c>
      <c r="J1675" s="1958" t="s">
        <v>2544</v>
      </c>
      <c r="K1675" s="1949">
        <v>400</v>
      </c>
      <c r="L1675" s="1947">
        <v>1290000000</v>
      </c>
      <c r="M1675" s="1939"/>
      <c r="N1675" s="1940">
        <v>216867245</v>
      </c>
      <c r="O1675" s="1949">
        <v>100</v>
      </c>
      <c r="P1675" s="1941">
        <v>207600000</v>
      </c>
      <c r="Q1675" s="1939">
        <v>10</v>
      </c>
      <c r="R1675" s="1940">
        <v>8587600</v>
      </c>
      <c r="S1675" s="1945">
        <v>20</v>
      </c>
      <c r="T1675" s="1942">
        <v>28123400</v>
      </c>
      <c r="U1675" s="3479">
        <f>75-Q1675-S1675</f>
        <v>45</v>
      </c>
      <c r="V1675" s="3480">
        <v>33921900</v>
      </c>
      <c r="W1675" s="3476"/>
      <c r="X1675" s="3476"/>
      <c r="Y1675" s="1945">
        <f t="shared" si="558"/>
        <v>75</v>
      </c>
      <c r="Z1675" s="3478">
        <f t="shared" si="556"/>
        <v>70632900</v>
      </c>
      <c r="AA1675" s="1943">
        <f t="shared" si="557"/>
        <v>75</v>
      </c>
      <c r="AB1675" s="1944">
        <f t="shared" si="550"/>
        <v>287500145</v>
      </c>
      <c r="AC1675" s="2724">
        <f t="shared" si="555"/>
        <v>18.75</v>
      </c>
      <c r="AD1675" s="2724">
        <f>AB1675/L1675*100</f>
        <v>22.286832945736435</v>
      </c>
      <c r="AE1675" s="3381"/>
    </row>
    <row r="1676" spans="1:31" ht="44.25" customHeight="1">
      <c r="A1676" s="385"/>
      <c r="B1676" s="383"/>
      <c r="C1676" s="2071">
        <v>4</v>
      </c>
      <c r="D1676" s="2071" t="s">
        <v>107</v>
      </c>
      <c r="E1676" s="2071" t="s">
        <v>66</v>
      </c>
      <c r="F1676" s="2071" t="s">
        <v>65</v>
      </c>
      <c r="G1676" s="2071" t="s">
        <v>376</v>
      </c>
      <c r="H1676" s="753"/>
      <c r="I1676" s="3382" t="s">
        <v>2545</v>
      </c>
      <c r="J1676" s="3382" t="s">
        <v>2546</v>
      </c>
      <c r="K1676" s="1949">
        <v>400</v>
      </c>
      <c r="L1676" s="1947">
        <v>3350000000</v>
      </c>
      <c r="M1676" s="1939"/>
      <c r="N1676" s="1940"/>
      <c r="O1676" s="1949">
        <v>100</v>
      </c>
      <c r="P1676" s="1941">
        <v>661300000</v>
      </c>
      <c r="Q1676" s="1939">
        <v>10</v>
      </c>
      <c r="R1676" s="1940">
        <v>10141000</v>
      </c>
      <c r="S1676" s="1945">
        <f>20-Q1676</f>
        <v>10</v>
      </c>
      <c r="T1676" s="1942">
        <v>113008870</v>
      </c>
      <c r="U1676" s="3479">
        <f>85-Q1676-S1676</f>
        <v>65</v>
      </c>
      <c r="V1676" s="3480">
        <v>389726500</v>
      </c>
      <c r="W1676" s="3476"/>
      <c r="X1676" s="3476"/>
      <c r="Y1676" s="1945">
        <f t="shared" si="558"/>
        <v>85</v>
      </c>
      <c r="Z1676" s="3478">
        <f t="shared" si="556"/>
        <v>512876370</v>
      </c>
      <c r="AA1676" s="1943">
        <f t="shared" si="557"/>
        <v>85</v>
      </c>
      <c r="AB1676" s="1944">
        <f t="shared" si="550"/>
        <v>512876370</v>
      </c>
      <c r="AC1676" s="2724">
        <f t="shared" si="555"/>
        <v>21.25</v>
      </c>
      <c r="AD1676" s="2724">
        <f>AB1676/L1676*100</f>
        <v>15.309742388059702</v>
      </c>
      <c r="AE1676" s="3381"/>
    </row>
    <row r="1677" spans="1:31" ht="44.25" customHeight="1">
      <c r="A1677" s="385"/>
      <c r="B1677" s="383"/>
      <c r="C1677" s="2071">
        <v>4</v>
      </c>
      <c r="D1677" s="2071" t="s">
        <v>107</v>
      </c>
      <c r="E1677" s="2071" t="s">
        <v>66</v>
      </c>
      <c r="F1677" s="2071" t="s">
        <v>65</v>
      </c>
      <c r="G1677" s="2071" t="s">
        <v>67</v>
      </c>
      <c r="H1677" s="753"/>
      <c r="I1677" s="1936" t="s">
        <v>1711</v>
      </c>
      <c r="J1677" s="1958" t="s">
        <v>2547</v>
      </c>
      <c r="K1677" s="1938">
        <v>600</v>
      </c>
      <c r="L1677" s="1947">
        <v>3592000000</v>
      </c>
      <c r="M1677" s="1939">
        <v>200</v>
      </c>
      <c r="N1677" s="1940">
        <f>627689500+324034000</f>
        <v>951723500</v>
      </c>
      <c r="O1677" s="1938">
        <v>100</v>
      </c>
      <c r="P1677" s="1941">
        <v>413519840</v>
      </c>
      <c r="Q1677" s="1939">
        <v>35</v>
      </c>
      <c r="R1677" s="1940">
        <v>102812500</v>
      </c>
      <c r="S1677" s="1945">
        <v>25</v>
      </c>
      <c r="T1677" s="1942">
        <v>122750000</v>
      </c>
      <c r="U1677" s="3479">
        <f>85-Q1677-S1677</f>
        <v>25</v>
      </c>
      <c r="V1677" s="3480">
        <v>93749200</v>
      </c>
      <c r="W1677" s="3476"/>
      <c r="X1677" s="3476"/>
      <c r="Y1677" s="1945">
        <f t="shared" si="558"/>
        <v>85</v>
      </c>
      <c r="Z1677" s="3478">
        <f t="shared" si="556"/>
        <v>319311700</v>
      </c>
      <c r="AA1677" s="1943">
        <f t="shared" si="557"/>
        <v>285</v>
      </c>
      <c r="AB1677" s="1944">
        <f t="shared" si="550"/>
        <v>1271035200</v>
      </c>
      <c r="AC1677" s="2724">
        <f t="shared" si="555"/>
        <v>47.5</v>
      </c>
      <c r="AD1677" s="2724">
        <f t="shared" si="555"/>
        <v>35.385167037861912</v>
      </c>
      <c r="AE1677" s="3381"/>
    </row>
    <row r="1678" spans="1:31" ht="44.25" customHeight="1">
      <c r="A1678" s="385"/>
      <c r="B1678" s="383"/>
      <c r="C1678" s="2071">
        <v>4</v>
      </c>
      <c r="D1678" s="2071" t="s">
        <v>107</v>
      </c>
      <c r="E1678" s="2071" t="s">
        <v>66</v>
      </c>
      <c r="F1678" s="2071" t="s">
        <v>65</v>
      </c>
      <c r="G1678" s="2071" t="s">
        <v>163</v>
      </c>
      <c r="H1678" s="753"/>
      <c r="I1678" s="1936" t="s">
        <v>2548</v>
      </c>
      <c r="J1678" s="1958" t="s">
        <v>1458</v>
      </c>
      <c r="K1678" s="1938">
        <v>600</v>
      </c>
      <c r="L1678" s="1947">
        <v>5323000000</v>
      </c>
      <c r="M1678" s="1939">
        <v>200</v>
      </c>
      <c r="N1678" s="1940">
        <f>752801185+980667793</f>
        <v>1733468978</v>
      </c>
      <c r="O1678" s="1938">
        <v>100</v>
      </c>
      <c r="P1678" s="1941">
        <v>559873170</v>
      </c>
      <c r="Q1678" s="1939">
        <v>10</v>
      </c>
      <c r="R1678" s="1940">
        <v>12620000</v>
      </c>
      <c r="S1678" s="1945">
        <v>50</v>
      </c>
      <c r="T1678" s="1942">
        <v>189523850</v>
      </c>
      <c r="U1678" s="3479">
        <f>85-Q1678-S1678</f>
        <v>25</v>
      </c>
      <c r="V1678" s="3480">
        <v>252879900</v>
      </c>
      <c r="W1678" s="3476"/>
      <c r="X1678" s="3476"/>
      <c r="Y1678" s="1945">
        <f t="shared" si="558"/>
        <v>85</v>
      </c>
      <c r="Z1678" s="3478">
        <f t="shared" si="556"/>
        <v>455023750</v>
      </c>
      <c r="AA1678" s="1943">
        <f t="shared" si="557"/>
        <v>285</v>
      </c>
      <c r="AB1678" s="1944">
        <f t="shared" si="550"/>
        <v>2188492728</v>
      </c>
      <c r="AC1678" s="2724">
        <f t="shared" si="555"/>
        <v>47.5</v>
      </c>
      <c r="AD1678" s="2724">
        <f t="shared" si="555"/>
        <v>41.113896825098628</v>
      </c>
      <c r="AE1678" s="3381"/>
    </row>
    <row r="1679" spans="1:31" ht="44.25" customHeight="1">
      <c r="A1679" s="385"/>
      <c r="B1679" s="383"/>
      <c r="C1679" s="2071">
        <v>4</v>
      </c>
      <c r="D1679" s="2071" t="s">
        <v>107</v>
      </c>
      <c r="E1679" s="2071" t="s">
        <v>66</v>
      </c>
      <c r="F1679" s="2071" t="s">
        <v>65</v>
      </c>
      <c r="G1679" s="2071" t="s">
        <v>360</v>
      </c>
      <c r="H1679" s="753"/>
      <c r="I1679" s="3382" t="s">
        <v>2549</v>
      </c>
      <c r="J1679" s="3382" t="s">
        <v>2550</v>
      </c>
      <c r="K1679" s="1938">
        <f>4*12</f>
        <v>48</v>
      </c>
      <c r="L1679" s="1947">
        <v>2600000000</v>
      </c>
      <c r="M1679" s="1939"/>
      <c r="N1679" s="1940"/>
      <c r="O1679" s="1938">
        <v>12</v>
      </c>
      <c r="P1679" s="1941">
        <v>501510000</v>
      </c>
      <c r="Q1679" s="1939">
        <v>3</v>
      </c>
      <c r="R1679" s="1940">
        <v>107317620</v>
      </c>
      <c r="S1679" s="1945">
        <v>3</v>
      </c>
      <c r="T1679" s="1942">
        <v>71159473</v>
      </c>
      <c r="U1679" s="3476">
        <v>3</v>
      </c>
      <c r="V1679" s="3480">
        <v>166145758</v>
      </c>
      <c r="W1679" s="3476"/>
      <c r="X1679" s="3476"/>
      <c r="Y1679" s="1945">
        <f t="shared" si="558"/>
        <v>9</v>
      </c>
      <c r="Z1679" s="3478">
        <f t="shared" si="556"/>
        <v>344622851</v>
      </c>
      <c r="AA1679" s="1943">
        <f t="shared" si="557"/>
        <v>9</v>
      </c>
      <c r="AB1679" s="1944">
        <f t="shared" si="550"/>
        <v>344622851</v>
      </c>
      <c r="AC1679" s="2724">
        <f t="shared" si="555"/>
        <v>18.75</v>
      </c>
      <c r="AD1679" s="2724">
        <f t="shared" si="555"/>
        <v>13.254725038461537</v>
      </c>
      <c r="AE1679" s="3381"/>
    </row>
    <row r="1680" spans="1:31" s="63" customFormat="1" ht="55.5" customHeight="1">
      <c r="A1680" s="385"/>
      <c r="B1680" s="383"/>
      <c r="C1680" s="2071">
        <v>4</v>
      </c>
      <c r="D1680" s="2071" t="s">
        <v>107</v>
      </c>
      <c r="E1680" s="2071" t="s">
        <v>66</v>
      </c>
      <c r="F1680" s="2071" t="s">
        <v>65</v>
      </c>
      <c r="G1680" s="2071" t="s">
        <v>165</v>
      </c>
      <c r="H1680" s="753"/>
      <c r="I1680" s="3382" t="s">
        <v>2551</v>
      </c>
      <c r="J1680" s="3382" t="s">
        <v>4123</v>
      </c>
      <c r="K1680" s="2761">
        <v>72</v>
      </c>
      <c r="L1680" s="2144">
        <v>5479900000</v>
      </c>
      <c r="M1680" s="2129">
        <v>24</v>
      </c>
      <c r="N1680" s="2047">
        <f>808732934+721416274</f>
        <v>1530149208</v>
      </c>
      <c r="O1680" s="2761">
        <v>12</v>
      </c>
      <c r="P1680" s="1941">
        <v>840303760</v>
      </c>
      <c r="Q1680" s="2129">
        <v>3</v>
      </c>
      <c r="R1680" s="2047">
        <v>235395744</v>
      </c>
      <c r="S1680" s="1945">
        <v>3</v>
      </c>
      <c r="T1680" s="1942">
        <v>350361800</v>
      </c>
      <c r="U1680" s="3476">
        <v>3</v>
      </c>
      <c r="V1680" s="3480">
        <v>186134261</v>
      </c>
      <c r="W1680" s="3476"/>
      <c r="X1680" s="3476"/>
      <c r="Y1680" s="1945">
        <f t="shared" si="558"/>
        <v>9</v>
      </c>
      <c r="Z1680" s="3478">
        <f t="shared" si="556"/>
        <v>771891805</v>
      </c>
      <c r="AA1680" s="1943">
        <f t="shared" si="557"/>
        <v>33</v>
      </c>
      <c r="AB1680" s="1944">
        <f t="shared" si="550"/>
        <v>2302041013</v>
      </c>
      <c r="AC1680" s="2723">
        <f t="shared" si="555"/>
        <v>45.833333333333329</v>
      </c>
      <c r="AD1680" s="2723">
        <f t="shared" si="555"/>
        <v>42.0088142666837</v>
      </c>
      <c r="AE1680" s="3373"/>
    </row>
    <row r="1681" spans="1:31" ht="69.75" customHeight="1">
      <c r="A1681" s="385"/>
      <c r="B1681" s="383"/>
      <c r="C1681" s="2071">
        <v>4</v>
      </c>
      <c r="D1681" s="2071" t="s">
        <v>107</v>
      </c>
      <c r="E1681" s="2071" t="s">
        <v>66</v>
      </c>
      <c r="F1681" s="2071" t="s">
        <v>65</v>
      </c>
      <c r="G1681" s="2071" t="s">
        <v>515</v>
      </c>
      <c r="H1681" s="753"/>
      <c r="I1681" s="3382" t="s">
        <v>2553</v>
      </c>
      <c r="J1681" s="3382" t="s">
        <v>2554</v>
      </c>
      <c r="K1681" s="1949">
        <f>4*12</f>
        <v>48</v>
      </c>
      <c r="L1681" s="1947">
        <v>880000000</v>
      </c>
      <c r="M1681" s="1939"/>
      <c r="N1681" s="1940">
        <f>199031500</f>
        <v>199031500</v>
      </c>
      <c r="O1681" s="1961">
        <v>12</v>
      </c>
      <c r="P1681" s="1941">
        <v>165365250</v>
      </c>
      <c r="Q1681" s="1939">
        <v>3</v>
      </c>
      <c r="R1681" s="1940">
        <v>16274250</v>
      </c>
      <c r="S1681" s="1945">
        <v>3</v>
      </c>
      <c r="T1681" s="1942">
        <v>38802500</v>
      </c>
      <c r="U1681" s="3476">
        <v>3</v>
      </c>
      <c r="V1681" s="3480">
        <v>57150000</v>
      </c>
      <c r="W1681" s="3476"/>
      <c r="X1681" s="3476"/>
      <c r="Y1681" s="1945">
        <f t="shared" si="558"/>
        <v>9</v>
      </c>
      <c r="Z1681" s="3478">
        <f t="shared" si="556"/>
        <v>112226750</v>
      </c>
      <c r="AA1681" s="1943">
        <f t="shared" si="557"/>
        <v>9</v>
      </c>
      <c r="AB1681" s="1944">
        <f t="shared" si="550"/>
        <v>311258250</v>
      </c>
      <c r="AC1681" s="2724">
        <f t="shared" si="555"/>
        <v>18.75</v>
      </c>
      <c r="AD1681" s="2724">
        <f t="shared" si="555"/>
        <v>35.370255681818179</v>
      </c>
      <c r="AE1681" s="3381"/>
    </row>
    <row r="1682" spans="1:31" ht="54" customHeight="1">
      <c r="A1682" s="385"/>
      <c r="B1682" s="383"/>
      <c r="C1682" s="2071">
        <v>4</v>
      </c>
      <c r="D1682" s="2071" t="s">
        <v>107</v>
      </c>
      <c r="E1682" s="2071" t="s">
        <v>66</v>
      </c>
      <c r="F1682" s="2071" t="s">
        <v>65</v>
      </c>
      <c r="G1682" s="2071" t="s">
        <v>368</v>
      </c>
      <c r="H1682" s="753"/>
      <c r="I1682" s="3382" t="s">
        <v>2555</v>
      </c>
      <c r="J1682" s="3382" t="s">
        <v>2556</v>
      </c>
      <c r="K1682" s="1949">
        <v>600</v>
      </c>
      <c r="L1682" s="1947">
        <v>262000000</v>
      </c>
      <c r="M1682" s="1939">
        <v>200</v>
      </c>
      <c r="N1682" s="1940">
        <f>15956000+1800000</f>
        <v>17756000</v>
      </c>
      <c r="O1682" s="1949">
        <v>100</v>
      </c>
      <c r="P1682" s="1941">
        <v>12000000</v>
      </c>
      <c r="Q1682" s="1939">
        <v>6</v>
      </c>
      <c r="R1682" s="1940">
        <v>700000</v>
      </c>
      <c r="S1682" s="1945">
        <v>2</v>
      </c>
      <c r="T1682" s="1942">
        <v>0</v>
      </c>
      <c r="U1682" s="3479">
        <f>75-Q1682-S1682</f>
        <v>67</v>
      </c>
      <c r="V1682" s="3480">
        <v>3555000</v>
      </c>
      <c r="W1682" s="3476"/>
      <c r="X1682" s="3476"/>
      <c r="Y1682" s="1945">
        <f t="shared" si="558"/>
        <v>75</v>
      </c>
      <c r="Z1682" s="3478">
        <f t="shared" si="556"/>
        <v>4255000</v>
      </c>
      <c r="AA1682" s="1943">
        <f t="shared" si="557"/>
        <v>275</v>
      </c>
      <c r="AB1682" s="1944">
        <f t="shared" si="550"/>
        <v>22011000</v>
      </c>
      <c r="AC1682" s="2724">
        <f t="shared" si="555"/>
        <v>45.833333333333329</v>
      </c>
      <c r="AD1682" s="2724">
        <f t="shared" si="555"/>
        <v>8.4011450381679378</v>
      </c>
      <c r="AE1682" s="3381"/>
    </row>
    <row r="1683" spans="1:31" s="63" customFormat="1" ht="81" customHeight="1">
      <c r="A1683" s="3461">
        <v>3</v>
      </c>
      <c r="B1683" s="3462" t="s">
        <v>4218</v>
      </c>
      <c r="C1683" s="3844" t="s">
        <v>66</v>
      </c>
      <c r="D1683" s="3844" t="s">
        <v>2558</v>
      </c>
      <c r="E1683" s="3844" t="s">
        <v>107</v>
      </c>
      <c r="F1683" s="3844" t="s">
        <v>66</v>
      </c>
      <c r="G1683" s="3844" t="s">
        <v>376</v>
      </c>
      <c r="H1683" s="3475"/>
      <c r="I1683" s="3462" t="s">
        <v>377</v>
      </c>
      <c r="J1683" s="3462" t="s">
        <v>2559</v>
      </c>
      <c r="K1683" s="3465">
        <v>560</v>
      </c>
      <c r="L1683" s="3481">
        <f>L1684+L1685</f>
        <v>386000000</v>
      </c>
      <c r="M1683" s="3465">
        <f>90+90</f>
        <v>180</v>
      </c>
      <c r="N1683" s="3481">
        <f>N1684+N1685</f>
        <v>167100450</v>
      </c>
      <c r="O1683" s="3482">
        <v>90</v>
      </c>
      <c r="P1683" s="3481">
        <f>SUM(P1684:P1685)</f>
        <v>222750947.75</v>
      </c>
      <c r="Q1683" s="3465">
        <v>20</v>
      </c>
      <c r="R1683" s="3471">
        <f>R1684+R1685</f>
        <v>35718000</v>
      </c>
      <c r="S1683" s="3483">
        <v>27</v>
      </c>
      <c r="T1683" s="3471">
        <f>SUM(T1684:T1685)</f>
        <v>101308400</v>
      </c>
      <c r="U1683" s="3484">
        <f>70-Q1683-S1683</f>
        <v>23</v>
      </c>
      <c r="V1683" s="3471">
        <f>V1684+V1685</f>
        <v>6296700</v>
      </c>
      <c r="W1683" s="3484"/>
      <c r="X1683" s="3484"/>
      <c r="Y1683" s="3470">
        <f>Q1683+S1683+U1683</f>
        <v>70</v>
      </c>
      <c r="Z1683" s="3471">
        <f>R1683+T1683+V1683</f>
        <v>143323100</v>
      </c>
      <c r="AA1683" s="3467">
        <f>M1683+Y1683</f>
        <v>250</v>
      </c>
      <c r="AB1683" s="3471">
        <f t="shared" si="550"/>
        <v>310423550</v>
      </c>
      <c r="AC1683" s="3474">
        <f t="shared" si="555"/>
        <v>44.642857142857146</v>
      </c>
      <c r="AD1683" s="3474">
        <f t="shared" si="555"/>
        <v>80.420608808290154</v>
      </c>
      <c r="AE1683" s="3475"/>
    </row>
    <row r="1684" spans="1:31" ht="44.25" customHeight="1">
      <c r="A1684" s="385"/>
      <c r="B1684" s="383"/>
      <c r="C1684" s="2071" t="s">
        <v>66</v>
      </c>
      <c r="D1684" s="2071" t="s">
        <v>2558</v>
      </c>
      <c r="E1684" s="2071" t="s">
        <v>107</v>
      </c>
      <c r="F1684" s="2071" t="s">
        <v>66</v>
      </c>
      <c r="G1684" s="2071" t="s">
        <v>376</v>
      </c>
      <c r="H1684" s="2071" t="s">
        <v>368</v>
      </c>
      <c r="I1684" s="3382" t="s">
        <v>2560</v>
      </c>
      <c r="J1684" s="3382" t="s">
        <v>2561</v>
      </c>
      <c r="K1684" s="1952">
        <v>20</v>
      </c>
      <c r="L1684" s="1947">
        <v>191000000</v>
      </c>
      <c r="M1684" s="1939">
        <v>4</v>
      </c>
      <c r="N1684" s="1969">
        <f>89386100</f>
        <v>89386100</v>
      </c>
      <c r="O1684" s="2711">
        <v>4</v>
      </c>
      <c r="P1684" s="1971">
        <v>85080735.5</v>
      </c>
      <c r="Q1684" s="1939">
        <v>2</v>
      </c>
      <c r="R1684" s="1940">
        <v>20963000</v>
      </c>
      <c r="S1684" s="64">
        <v>2</v>
      </c>
      <c r="T1684" s="1942">
        <v>48285100</v>
      </c>
      <c r="U1684" s="3454">
        <v>0</v>
      </c>
      <c r="V1684" s="3455">
        <v>4102700</v>
      </c>
      <c r="W1684" s="3454"/>
      <c r="X1684" s="3454"/>
      <c r="Y1684" s="1945">
        <f>Q1684+S1684</f>
        <v>4</v>
      </c>
      <c r="Z1684" s="1942">
        <f t="shared" ref="Z1684:Z1689" si="559">R1684+T1684+V1684</f>
        <v>73350800</v>
      </c>
      <c r="AA1684" s="1943">
        <f t="shared" ref="AA1684:AB1686" si="560">M1684+Y1684</f>
        <v>8</v>
      </c>
      <c r="AB1684" s="1944">
        <f t="shared" si="560"/>
        <v>162736900</v>
      </c>
      <c r="AC1684" s="2724">
        <f t="shared" si="555"/>
        <v>40</v>
      </c>
      <c r="AD1684" s="2724">
        <f t="shared" si="555"/>
        <v>85.202565445026181</v>
      </c>
      <c r="AE1684" s="3381" t="s">
        <v>2562</v>
      </c>
    </row>
    <row r="1685" spans="1:31" ht="55.5" customHeight="1">
      <c r="A1685" s="385"/>
      <c r="B1685" s="383"/>
      <c r="C1685" s="2071" t="s">
        <v>66</v>
      </c>
      <c r="D1685" s="2071" t="s">
        <v>2558</v>
      </c>
      <c r="E1685" s="2071" t="s">
        <v>107</v>
      </c>
      <c r="F1685" s="2071" t="s">
        <v>66</v>
      </c>
      <c r="G1685" s="2071" t="s">
        <v>376</v>
      </c>
      <c r="H1685" s="2071" t="s">
        <v>373</v>
      </c>
      <c r="I1685" s="3382" t="s">
        <v>2563</v>
      </c>
      <c r="J1685" s="3382" t="s">
        <v>2564</v>
      </c>
      <c r="K1685" s="1938">
        <v>6</v>
      </c>
      <c r="L1685" s="1947">
        <v>195000000</v>
      </c>
      <c r="M1685" s="1939">
        <v>3</v>
      </c>
      <c r="N1685" s="1940">
        <v>77714350</v>
      </c>
      <c r="O1685" s="2712">
        <v>3</v>
      </c>
      <c r="P1685" s="1971">
        <v>137670212.25</v>
      </c>
      <c r="Q1685" s="1939">
        <v>2</v>
      </c>
      <c r="R1685" s="1940">
        <v>14755000</v>
      </c>
      <c r="S1685" s="64">
        <v>0</v>
      </c>
      <c r="T1685" s="1942">
        <v>53023300</v>
      </c>
      <c r="U1685" s="3454">
        <v>0</v>
      </c>
      <c r="V1685" s="3455">
        <v>2194000</v>
      </c>
      <c r="W1685" s="3454"/>
      <c r="X1685" s="3454"/>
      <c r="Y1685" s="1945">
        <f>Q1685+S1685</f>
        <v>2</v>
      </c>
      <c r="Z1685" s="1942">
        <f t="shared" si="559"/>
        <v>69972300</v>
      </c>
      <c r="AA1685" s="1943">
        <f t="shared" si="560"/>
        <v>5</v>
      </c>
      <c r="AB1685" s="1944">
        <f t="shared" si="560"/>
        <v>147686650</v>
      </c>
      <c r="AC1685" s="2724">
        <f t="shared" si="555"/>
        <v>83.333333333333343</v>
      </c>
      <c r="AD1685" s="2724">
        <f t="shared" si="555"/>
        <v>75.736743589743597</v>
      </c>
      <c r="AE1685" s="3381"/>
    </row>
    <row r="1686" spans="1:31" s="63" customFormat="1" ht="91.5" customHeight="1">
      <c r="A1686" s="3461">
        <v>4</v>
      </c>
      <c r="B1686" s="3462" t="s">
        <v>4219</v>
      </c>
      <c r="C1686" s="3844" t="s">
        <v>161</v>
      </c>
      <c r="D1686" s="3844" t="s">
        <v>2558</v>
      </c>
      <c r="E1686" s="3844" t="s">
        <v>107</v>
      </c>
      <c r="F1686" s="3844" t="s">
        <v>66</v>
      </c>
      <c r="G1686" s="3844" t="s">
        <v>155</v>
      </c>
      <c r="H1686" s="3475"/>
      <c r="I1686" s="3463" t="s">
        <v>2568</v>
      </c>
      <c r="J1686" s="3485" t="s">
        <v>2569</v>
      </c>
      <c r="K1686" s="3486">
        <v>22</v>
      </c>
      <c r="L1686" s="3487">
        <f>L1687+L1688</f>
        <v>1781000000</v>
      </c>
      <c r="M1686" s="3465">
        <v>6</v>
      </c>
      <c r="N1686" s="3488">
        <f>N1687+N1688</f>
        <v>168029450</v>
      </c>
      <c r="O1686" s="3463">
        <v>3</v>
      </c>
      <c r="P1686" s="3481">
        <f>SUM(P1687:P1688)</f>
        <v>158206611</v>
      </c>
      <c r="Q1686" s="3465">
        <v>1</v>
      </c>
      <c r="R1686" s="3471">
        <f>R1687+R1688</f>
        <v>106638850</v>
      </c>
      <c r="S1686" s="3483">
        <v>2</v>
      </c>
      <c r="T1686" s="3489">
        <f>SUM(T1687:T1688)</f>
        <v>20064400</v>
      </c>
      <c r="U1686" s="3490"/>
      <c r="V1686" s="3471">
        <f>V1687+V1688</f>
        <v>6377500</v>
      </c>
      <c r="W1686" s="3490"/>
      <c r="X1686" s="3490"/>
      <c r="Y1686" s="3470">
        <f>Q1686+S1686</f>
        <v>3</v>
      </c>
      <c r="Z1686" s="3471">
        <f t="shared" si="559"/>
        <v>133080750</v>
      </c>
      <c r="AA1686" s="3467">
        <f>M1686+Y1686</f>
        <v>9</v>
      </c>
      <c r="AB1686" s="3471">
        <f t="shared" si="560"/>
        <v>301110200</v>
      </c>
      <c r="AC1686" s="3474">
        <f t="shared" ref="AC1686:AD1698" si="561">AA1686/K1686*100</f>
        <v>40.909090909090914</v>
      </c>
      <c r="AD1686" s="3474">
        <f t="shared" si="561"/>
        <v>16.90680516563728</v>
      </c>
      <c r="AE1686" s="3475"/>
    </row>
    <row r="1687" spans="1:31" ht="45.75" customHeight="1">
      <c r="A1687" s="385"/>
      <c r="B1687" s="383"/>
      <c r="C1687" s="2071" t="s">
        <v>161</v>
      </c>
      <c r="D1687" s="2071" t="s">
        <v>2558</v>
      </c>
      <c r="E1687" s="2071" t="s">
        <v>107</v>
      </c>
      <c r="F1687" s="2071" t="s">
        <v>66</v>
      </c>
      <c r="G1687" s="2071" t="s">
        <v>155</v>
      </c>
      <c r="H1687" s="2071" t="s">
        <v>198</v>
      </c>
      <c r="I1687" s="1936" t="s">
        <v>2570</v>
      </c>
      <c r="J1687" s="1936" t="s">
        <v>2571</v>
      </c>
      <c r="K1687" s="1938">
        <v>30</v>
      </c>
      <c r="L1687" s="1947">
        <v>815000000</v>
      </c>
      <c r="M1687" s="1939">
        <v>10</v>
      </c>
      <c r="N1687" s="1940">
        <f>81853300+28419000</f>
        <v>110272300</v>
      </c>
      <c r="O1687" s="1938">
        <v>5</v>
      </c>
      <c r="P1687" s="1971">
        <v>94470619.25</v>
      </c>
      <c r="Q1687" s="64">
        <v>5</v>
      </c>
      <c r="R1687" s="1940">
        <v>77049500</v>
      </c>
      <c r="S1687" s="64">
        <v>5</v>
      </c>
      <c r="T1687" s="1689">
        <v>4782200</v>
      </c>
      <c r="U1687" s="3455">
        <v>5</v>
      </c>
      <c r="V1687" s="3455">
        <v>184800</v>
      </c>
      <c r="W1687" s="3454"/>
      <c r="X1687" s="3454"/>
      <c r="Y1687" s="1945">
        <v>5</v>
      </c>
      <c r="Z1687" s="1942">
        <f t="shared" si="559"/>
        <v>82016500</v>
      </c>
      <c r="AA1687" s="1943">
        <f t="shared" ref="AA1687:AB1690" si="562">M1687+Y1687</f>
        <v>15</v>
      </c>
      <c r="AB1687" s="1944">
        <f t="shared" si="562"/>
        <v>192288800</v>
      </c>
      <c r="AC1687" s="2724">
        <f t="shared" si="561"/>
        <v>50</v>
      </c>
      <c r="AD1687" s="2724">
        <f t="shared" si="561"/>
        <v>23.593717791411041</v>
      </c>
      <c r="AE1687" s="3381" t="s">
        <v>2572</v>
      </c>
    </row>
    <row r="1688" spans="1:31" ht="47.25" customHeight="1">
      <c r="A1688" s="385"/>
      <c r="B1688" s="383"/>
      <c r="C1688" s="2071" t="s">
        <v>161</v>
      </c>
      <c r="D1688" s="2071" t="s">
        <v>2558</v>
      </c>
      <c r="E1688" s="2071" t="s">
        <v>107</v>
      </c>
      <c r="F1688" s="2071" t="s">
        <v>66</v>
      </c>
      <c r="G1688" s="2071" t="s">
        <v>155</v>
      </c>
      <c r="H1688" s="2071" t="s">
        <v>201</v>
      </c>
      <c r="I1688" s="1936" t="s">
        <v>2573</v>
      </c>
      <c r="J1688" s="3382" t="s">
        <v>2574</v>
      </c>
      <c r="K1688" s="1952">
        <v>89</v>
      </c>
      <c r="L1688" s="1947">
        <v>966000000</v>
      </c>
      <c r="M1688" s="1939">
        <v>6</v>
      </c>
      <c r="N1688" s="1940">
        <v>57757150</v>
      </c>
      <c r="O1688" s="1952">
        <v>20</v>
      </c>
      <c r="P1688" s="2856">
        <v>63735991.75</v>
      </c>
      <c r="Q1688" s="1939">
        <v>7</v>
      </c>
      <c r="R1688" s="1940">
        <v>29589350</v>
      </c>
      <c r="S1688" s="64">
        <v>4</v>
      </c>
      <c r="T1688" s="1689">
        <v>15282200</v>
      </c>
      <c r="U1688" s="3455">
        <f>15-Q1688-S1688</f>
        <v>4</v>
      </c>
      <c r="V1688" s="3455">
        <v>6192700</v>
      </c>
      <c r="W1688" s="3454"/>
      <c r="X1688" s="3454"/>
      <c r="Y1688" s="1945">
        <f>Q1688+S1688+U1688</f>
        <v>15</v>
      </c>
      <c r="Z1688" s="1942">
        <f t="shared" si="559"/>
        <v>51064250</v>
      </c>
      <c r="AA1688" s="1943">
        <f t="shared" si="562"/>
        <v>21</v>
      </c>
      <c r="AB1688" s="1944">
        <f t="shared" si="562"/>
        <v>108821400</v>
      </c>
      <c r="AC1688" s="2724">
        <f t="shared" si="561"/>
        <v>23.595505617977526</v>
      </c>
      <c r="AD1688" s="2724">
        <f t="shared" si="561"/>
        <v>11.265155279503105</v>
      </c>
      <c r="AE1688" s="3381" t="s">
        <v>2572</v>
      </c>
    </row>
    <row r="1689" spans="1:31" ht="111" customHeight="1">
      <c r="A1689" s="3461">
        <v>5</v>
      </c>
      <c r="B1689" s="3462" t="s">
        <v>4219</v>
      </c>
      <c r="C1689" s="3844" t="s">
        <v>161</v>
      </c>
      <c r="D1689" s="3844" t="s">
        <v>2558</v>
      </c>
      <c r="E1689" s="3844" t="s">
        <v>107</v>
      </c>
      <c r="F1689" s="3844" t="s">
        <v>66</v>
      </c>
      <c r="G1689" s="3844" t="s">
        <v>166</v>
      </c>
      <c r="H1689" s="3475"/>
      <c r="I1689" s="3463" t="s">
        <v>2575</v>
      </c>
      <c r="J1689" s="3462" t="s">
        <v>2576</v>
      </c>
      <c r="K1689" s="3491">
        <v>28</v>
      </c>
      <c r="L1689" s="3466">
        <f>L1691+L1692</f>
        <v>1560000000</v>
      </c>
      <c r="M1689" s="3465">
        <v>7</v>
      </c>
      <c r="N1689" s="3481">
        <f>N1691+N1692</f>
        <v>283753548</v>
      </c>
      <c r="O1689" s="3492">
        <v>4</v>
      </c>
      <c r="P1689" s="3481">
        <f>SUM(P1691:P1692)</f>
        <v>147912275.25</v>
      </c>
      <c r="Q1689" s="3465">
        <v>1</v>
      </c>
      <c r="R1689" s="3471">
        <f>R1691+R1692</f>
        <v>5276500</v>
      </c>
      <c r="S1689" s="3483">
        <f>SUM(S1691:S1692)</f>
        <v>8</v>
      </c>
      <c r="T1689" s="3489">
        <f>SUM(T1691:T1692)</f>
        <v>59967000</v>
      </c>
      <c r="U1689" s="3490">
        <v>2</v>
      </c>
      <c r="V1689" s="3471">
        <f>V1691+V1692</f>
        <v>17278100</v>
      </c>
      <c r="W1689" s="3490"/>
      <c r="X1689" s="3490"/>
      <c r="Y1689" s="3470">
        <f>Q1689+U1689</f>
        <v>3</v>
      </c>
      <c r="Z1689" s="3471">
        <f t="shared" si="559"/>
        <v>82521600</v>
      </c>
      <c r="AA1689" s="3467">
        <f>M1689+Y1689</f>
        <v>10</v>
      </c>
      <c r="AB1689" s="3471">
        <f t="shared" si="562"/>
        <v>366275148</v>
      </c>
      <c r="AC1689" s="3493">
        <f t="shared" si="561"/>
        <v>35.714285714285715</v>
      </c>
      <c r="AD1689" s="3493">
        <f t="shared" si="561"/>
        <v>23.479176153846154</v>
      </c>
      <c r="AE1689" s="3475"/>
    </row>
    <row r="1690" spans="1:31" s="63" customFormat="1" ht="70.5" customHeight="1">
      <c r="A1690" s="3494"/>
      <c r="B1690" s="3463"/>
      <c r="C1690" s="3844"/>
      <c r="D1690" s="3844"/>
      <c r="E1690" s="3844"/>
      <c r="F1690" s="3844"/>
      <c r="G1690" s="3475"/>
      <c r="H1690" s="3475"/>
      <c r="I1690" s="3463"/>
      <c r="J1690" s="3485" t="s">
        <v>2577</v>
      </c>
      <c r="K1690" s="3495">
        <v>505</v>
      </c>
      <c r="L1690" s="3483"/>
      <c r="M1690" s="3465">
        <f>75+80</f>
        <v>155</v>
      </c>
      <c r="N1690" s="3471"/>
      <c r="O1690" s="3495">
        <v>80</v>
      </c>
      <c r="P1690" s="3481"/>
      <c r="Q1690" s="3483">
        <v>20</v>
      </c>
      <c r="R1690" s="3471"/>
      <c r="S1690" s="3483"/>
      <c r="T1690" s="3483"/>
      <c r="U1690" s="3490"/>
      <c r="V1690" s="3490"/>
      <c r="W1690" s="3490"/>
      <c r="X1690" s="3490"/>
      <c r="Y1690" s="3470">
        <f>Q1690+S1690</f>
        <v>20</v>
      </c>
      <c r="Z1690" s="3471">
        <f>R1690+T1690</f>
        <v>0</v>
      </c>
      <c r="AA1690" s="3467">
        <f>M1690+Y1690</f>
        <v>175</v>
      </c>
      <c r="AB1690" s="3471">
        <f t="shared" si="562"/>
        <v>0</v>
      </c>
      <c r="AC1690" s="3474">
        <f t="shared" si="561"/>
        <v>34.653465346534652</v>
      </c>
      <c r="AD1690" s="3493"/>
      <c r="AE1690" s="3475"/>
    </row>
    <row r="1691" spans="1:31" ht="42.75" customHeight="1">
      <c r="A1691" s="385"/>
      <c r="B1691" s="383"/>
      <c r="C1691" s="2071" t="s">
        <v>161</v>
      </c>
      <c r="D1691" s="2071" t="s">
        <v>2558</v>
      </c>
      <c r="E1691" s="2071" t="s">
        <v>107</v>
      </c>
      <c r="F1691" s="2071" t="s">
        <v>66</v>
      </c>
      <c r="G1691" s="2071" t="s">
        <v>166</v>
      </c>
      <c r="H1691" s="2071" t="s">
        <v>197</v>
      </c>
      <c r="I1691" s="1936" t="s">
        <v>2578</v>
      </c>
      <c r="J1691" s="3382" t="s">
        <v>2579</v>
      </c>
      <c r="K1691" s="64">
        <v>55</v>
      </c>
      <c r="L1691" s="1698">
        <v>600000000</v>
      </c>
      <c r="M1691" s="1983">
        <v>35</v>
      </c>
      <c r="N1691" s="1940">
        <f>119809198+163944350</f>
        <v>283753548</v>
      </c>
      <c r="O1691" s="1952">
        <v>20</v>
      </c>
      <c r="P1691" s="1971">
        <v>106516843.5</v>
      </c>
      <c r="Q1691" s="1939">
        <v>2</v>
      </c>
      <c r="R1691" s="1940">
        <v>2986900</v>
      </c>
      <c r="S1691" s="64">
        <v>6</v>
      </c>
      <c r="T1691" s="1689">
        <v>38950500</v>
      </c>
      <c r="U1691" s="3454">
        <f>9-Q1691-S1691</f>
        <v>1</v>
      </c>
      <c r="V1691" s="3455">
        <v>16419100</v>
      </c>
      <c r="W1691" s="3454"/>
      <c r="X1691" s="3454"/>
      <c r="Y1691" s="1945">
        <f>Q1691+S1691+U1691</f>
        <v>9</v>
      </c>
      <c r="Z1691" s="1942">
        <f>R1691+T1691+V1691</f>
        <v>58356500</v>
      </c>
      <c r="AA1691" s="1943">
        <f t="shared" ref="AA1691:AB1706" si="563">M1691+Y1691</f>
        <v>44</v>
      </c>
      <c r="AB1691" s="1944">
        <f t="shared" si="563"/>
        <v>342110048</v>
      </c>
      <c r="AC1691" s="2724">
        <f t="shared" si="561"/>
        <v>80</v>
      </c>
      <c r="AD1691" s="2724">
        <f>AB1691/L1691*100</f>
        <v>57.018341333333332</v>
      </c>
      <c r="AE1691" s="3381" t="s">
        <v>2572</v>
      </c>
    </row>
    <row r="1692" spans="1:31" s="63" customFormat="1" ht="71.25" customHeight="1">
      <c r="A1692" s="385"/>
      <c r="B1692" s="383"/>
      <c r="C1692" s="2071" t="s">
        <v>161</v>
      </c>
      <c r="D1692" s="2071" t="s">
        <v>2558</v>
      </c>
      <c r="E1692" s="2071" t="s">
        <v>107</v>
      </c>
      <c r="F1692" s="2071" t="s">
        <v>66</v>
      </c>
      <c r="G1692" s="2071" t="s">
        <v>166</v>
      </c>
      <c r="H1692" s="2071" t="s">
        <v>1129</v>
      </c>
      <c r="I1692" s="3382" t="s">
        <v>2580</v>
      </c>
      <c r="J1692" s="3382" t="s">
        <v>2581</v>
      </c>
      <c r="K1692" s="1938">
        <v>14</v>
      </c>
      <c r="L1692" s="1947">
        <v>960000000</v>
      </c>
      <c r="M1692" s="1939">
        <v>0</v>
      </c>
      <c r="N1692" s="1940"/>
      <c r="O1692" s="1938">
        <v>3</v>
      </c>
      <c r="P1692" s="1971">
        <v>41395431.75</v>
      </c>
      <c r="Q1692" s="1939">
        <v>1</v>
      </c>
      <c r="R1692" s="1940">
        <v>2289600</v>
      </c>
      <c r="S1692" s="64">
        <v>2</v>
      </c>
      <c r="T1692" s="1689">
        <v>21016500</v>
      </c>
      <c r="U1692" s="3454"/>
      <c r="V1692" s="3455">
        <v>859000</v>
      </c>
      <c r="W1692" s="3454"/>
      <c r="X1692" s="3454"/>
      <c r="Y1692" s="1945">
        <f>Q1692+S1692</f>
        <v>3</v>
      </c>
      <c r="Z1692" s="1942">
        <f>R1692+T1692+V1692</f>
        <v>24165100</v>
      </c>
      <c r="AA1692" s="1943">
        <f t="shared" si="563"/>
        <v>3</v>
      </c>
      <c r="AB1692" s="1944">
        <f t="shared" si="563"/>
        <v>24165100</v>
      </c>
      <c r="AC1692" s="2724">
        <f t="shared" si="561"/>
        <v>21.428571428571427</v>
      </c>
      <c r="AD1692" s="2724">
        <f>AB1692/L1692*100</f>
        <v>2.5171979166666669</v>
      </c>
      <c r="AE1692" s="3381"/>
    </row>
    <row r="1693" spans="1:31" s="63" customFormat="1" ht="155.25" customHeight="1">
      <c r="A1693" s="3461">
        <v>6</v>
      </c>
      <c r="B1693" s="3462" t="s">
        <v>4219</v>
      </c>
      <c r="C1693" s="3844" t="s">
        <v>161</v>
      </c>
      <c r="D1693" s="3844" t="s">
        <v>2558</v>
      </c>
      <c r="E1693" s="3844" t="s">
        <v>107</v>
      </c>
      <c r="F1693" s="3844" t="s">
        <v>66</v>
      </c>
      <c r="G1693" s="3844" t="s">
        <v>448</v>
      </c>
      <c r="H1693" s="3844"/>
      <c r="I1693" s="3463" t="s">
        <v>2582</v>
      </c>
      <c r="J1693" s="3462" t="s">
        <v>2583</v>
      </c>
      <c r="K1693" s="3496">
        <f>90*4</f>
        <v>360</v>
      </c>
      <c r="L1693" s="3497">
        <f>L1695+L1697+L1698+L1696</f>
        <v>4450000000</v>
      </c>
      <c r="M1693" s="3465"/>
      <c r="N1693" s="3497">
        <f>N1695+N1697+N1698+N1696</f>
        <v>730358109</v>
      </c>
      <c r="O1693" s="3498">
        <v>90</v>
      </c>
      <c r="P1693" s="3497">
        <f>SUM(P1695:P1699)</f>
        <v>428720074.5</v>
      </c>
      <c r="Q1693" s="3468"/>
      <c r="R1693" s="3481">
        <f>R1695+R1697+R1698+R1696</f>
        <v>55952400</v>
      </c>
      <c r="S1693" s="3483"/>
      <c r="T1693" s="3489">
        <f>SUM(T1695:T1698)</f>
        <v>223700250</v>
      </c>
      <c r="U1693" s="3490">
        <v>90</v>
      </c>
      <c r="V1693" s="3481">
        <f>V1695+V1697+V1698+V1696</f>
        <v>80922150</v>
      </c>
      <c r="W1693" s="3490"/>
      <c r="X1693" s="3490"/>
      <c r="Y1693" s="3470">
        <f>Q1693+S1693+U1693</f>
        <v>90</v>
      </c>
      <c r="Z1693" s="3471">
        <f>R1693+T1693</f>
        <v>279652650</v>
      </c>
      <c r="AA1693" s="3467">
        <f>M1693+Y1693</f>
        <v>90</v>
      </c>
      <c r="AB1693" s="3471">
        <f t="shared" si="563"/>
        <v>1010010759</v>
      </c>
      <c r="AC1693" s="3493">
        <f t="shared" si="561"/>
        <v>25</v>
      </c>
      <c r="AD1693" s="3474">
        <f t="shared" si="561"/>
        <v>22.696870988764044</v>
      </c>
      <c r="AE1693" s="3475"/>
    </row>
    <row r="1694" spans="1:31" s="63" customFormat="1" ht="97.5" customHeight="1">
      <c r="A1694" s="3494"/>
      <c r="B1694" s="3463"/>
      <c r="C1694" s="3844"/>
      <c r="D1694" s="3844"/>
      <c r="E1694" s="3844"/>
      <c r="F1694" s="3844"/>
      <c r="G1694" s="3475"/>
      <c r="H1694" s="3475"/>
      <c r="I1694" s="3463"/>
      <c r="J1694" s="3462" t="s">
        <v>2584</v>
      </c>
      <c r="K1694" s="3498">
        <v>490</v>
      </c>
      <c r="L1694" s="3483"/>
      <c r="M1694" s="3465">
        <f>70+75</f>
        <v>145</v>
      </c>
      <c r="N1694" s="3483"/>
      <c r="O1694" s="3498">
        <v>80</v>
      </c>
      <c r="P1694" s="3481"/>
      <c r="Q1694" s="3483">
        <v>20</v>
      </c>
      <c r="R1694" s="3481"/>
      <c r="S1694" s="3483">
        <f>SUM(S1695:S1697)</f>
        <v>7</v>
      </c>
      <c r="T1694" s="3499"/>
      <c r="U1694" s="3490">
        <f>70-Q1694-S1694</f>
        <v>43</v>
      </c>
      <c r="V1694" s="3490"/>
      <c r="W1694" s="3490"/>
      <c r="X1694" s="3490"/>
      <c r="Y1694" s="3470">
        <f>Q1694+S1694+U1694</f>
        <v>70</v>
      </c>
      <c r="Z1694" s="3471">
        <f>R1694+T1694</f>
        <v>0</v>
      </c>
      <c r="AA1694" s="3467">
        <f>M1694+Y1694</f>
        <v>215</v>
      </c>
      <c r="AB1694" s="3471">
        <f t="shared" si="563"/>
        <v>0</v>
      </c>
      <c r="AC1694" s="3500">
        <f t="shared" si="561"/>
        <v>43.877551020408163</v>
      </c>
      <c r="AD1694" s="3493"/>
      <c r="AE1694" s="3475"/>
    </row>
    <row r="1695" spans="1:31" ht="71.25" customHeight="1">
      <c r="A1695" s="385"/>
      <c r="B1695" s="383"/>
      <c r="C1695" s="2071" t="s">
        <v>161</v>
      </c>
      <c r="D1695" s="2071" t="s">
        <v>2558</v>
      </c>
      <c r="E1695" s="2071" t="s">
        <v>107</v>
      </c>
      <c r="F1695" s="2071" t="s">
        <v>66</v>
      </c>
      <c r="G1695" s="2071" t="s">
        <v>448</v>
      </c>
      <c r="H1695" s="2071" t="s">
        <v>95</v>
      </c>
      <c r="I1695" s="1936" t="s">
        <v>2585</v>
      </c>
      <c r="J1695" s="3382" t="s">
        <v>2586</v>
      </c>
      <c r="K1695" s="1938">
        <f>22*6</f>
        <v>132</v>
      </c>
      <c r="L1695" s="1947">
        <v>1480000000</v>
      </c>
      <c r="M1695" s="1939">
        <f>22+22</f>
        <v>44</v>
      </c>
      <c r="N1695" s="1940">
        <f>172872400+136969100</f>
        <v>309841500</v>
      </c>
      <c r="O1695" s="1938">
        <v>22</v>
      </c>
      <c r="P1695" s="1971">
        <v>145519457.5</v>
      </c>
      <c r="Q1695" s="1939">
        <v>4</v>
      </c>
      <c r="R1695" s="1940">
        <v>12456300</v>
      </c>
      <c r="S1695" s="64">
        <v>6</v>
      </c>
      <c r="T1695" s="1689">
        <v>26333200</v>
      </c>
      <c r="U1695" s="3454">
        <f>13-Q1695-S1695</f>
        <v>3</v>
      </c>
      <c r="V1695" s="3455">
        <v>76625150</v>
      </c>
      <c r="W1695" s="3454"/>
      <c r="X1695" s="3454"/>
      <c r="Y1695" s="1945">
        <f>Q1695+S1695+U1695</f>
        <v>13</v>
      </c>
      <c r="Z1695" s="1942">
        <f>R1695+T1695+V1695</f>
        <v>115414650</v>
      </c>
      <c r="AA1695" s="1943">
        <f t="shared" ref="AA1695:AB1710" si="564">M1695+Y1695</f>
        <v>57</v>
      </c>
      <c r="AB1695" s="1944">
        <f t="shared" si="563"/>
        <v>425256150</v>
      </c>
      <c r="AC1695" s="2724">
        <f t="shared" si="561"/>
        <v>43.18181818181818</v>
      </c>
      <c r="AD1695" s="2724">
        <f>AB1695/L1695*100</f>
        <v>28.733523648648649</v>
      </c>
      <c r="AE1695" s="3381" t="s">
        <v>2572</v>
      </c>
    </row>
    <row r="1696" spans="1:31" ht="33" customHeight="1">
      <c r="A1696" s="385"/>
      <c r="B1696" s="383"/>
      <c r="C1696" s="2071" t="s">
        <v>161</v>
      </c>
      <c r="D1696" s="2071" t="s">
        <v>2558</v>
      </c>
      <c r="E1696" s="2071" t="s">
        <v>107</v>
      </c>
      <c r="F1696" s="2071" t="s">
        <v>66</v>
      </c>
      <c r="G1696" s="2071" t="s">
        <v>448</v>
      </c>
      <c r="H1696" s="2071" t="s">
        <v>161</v>
      </c>
      <c r="I1696" s="1936" t="s">
        <v>2587</v>
      </c>
      <c r="J1696" s="3382" t="s">
        <v>2588</v>
      </c>
      <c r="K1696" s="1952">
        <v>50</v>
      </c>
      <c r="L1696" s="1947">
        <v>250000000</v>
      </c>
      <c r="M1696" s="1939">
        <v>10</v>
      </c>
      <c r="N1696" s="1940">
        <v>35104079</v>
      </c>
      <c r="O1696" s="1952">
        <v>10</v>
      </c>
      <c r="P1696" s="1940">
        <v>31691413</v>
      </c>
      <c r="Q1696" s="1939">
        <v>1</v>
      </c>
      <c r="R1696" s="1940">
        <v>1242000</v>
      </c>
      <c r="S1696" s="64">
        <v>1</v>
      </c>
      <c r="T1696" s="1689">
        <v>3345400</v>
      </c>
      <c r="U1696" s="3454">
        <f>10-Q1696-S1696</f>
        <v>8</v>
      </c>
      <c r="V1696" s="3455">
        <v>3007000</v>
      </c>
      <c r="W1696" s="3454"/>
      <c r="X1696" s="3454"/>
      <c r="Y1696" s="1945">
        <f>Q1696+S1696+U1696</f>
        <v>10</v>
      </c>
      <c r="Z1696" s="1942">
        <f>R1696+T1696+V1696</f>
        <v>7594400</v>
      </c>
      <c r="AA1696" s="1943">
        <f>M1696+Y1696</f>
        <v>20</v>
      </c>
      <c r="AB1696" s="1944">
        <f t="shared" si="563"/>
        <v>42698479</v>
      </c>
      <c r="AC1696" s="2724">
        <f t="shared" si="561"/>
        <v>40</v>
      </c>
      <c r="AD1696" s="2724">
        <f>AB1696/L1696*100</f>
        <v>17.079391599999997</v>
      </c>
      <c r="AE1696" s="3381" t="s">
        <v>2589</v>
      </c>
    </row>
    <row r="1697" spans="1:31" ht="117" customHeight="1">
      <c r="A1697" s="385"/>
      <c r="B1697" s="383"/>
      <c r="C1697" s="2071" t="s">
        <v>161</v>
      </c>
      <c r="D1697" s="2071" t="s">
        <v>2558</v>
      </c>
      <c r="E1697" s="2071" t="s">
        <v>107</v>
      </c>
      <c r="F1697" s="2071" t="s">
        <v>66</v>
      </c>
      <c r="G1697" s="2071" t="s">
        <v>448</v>
      </c>
      <c r="H1697" s="2071" t="s">
        <v>197</v>
      </c>
      <c r="I1697" s="1936" t="s">
        <v>2590</v>
      </c>
      <c r="J1697" s="3382" t="s">
        <v>2591</v>
      </c>
      <c r="K1697" s="1938">
        <v>21</v>
      </c>
      <c r="L1697" s="1947">
        <v>1740000000</v>
      </c>
      <c r="M1697" s="1939">
        <v>4</v>
      </c>
      <c r="N1697" s="1940">
        <f>90725000+97740850</f>
        <v>188465850</v>
      </c>
      <c r="O1697" s="1938">
        <v>2</v>
      </c>
      <c r="P1697" s="1971">
        <v>55629907.75</v>
      </c>
      <c r="Q1697" s="1939">
        <v>2</v>
      </c>
      <c r="R1697" s="1940">
        <v>42254100</v>
      </c>
      <c r="S1697" s="64"/>
      <c r="T1697" s="1689">
        <v>7282350</v>
      </c>
      <c r="U1697" s="3454"/>
      <c r="V1697" s="3455">
        <v>0</v>
      </c>
      <c r="W1697" s="3454"/>
      <c r="X1697" s="3454"/>
      <c r="Y1697" s="1945">
        <f t="shared" ref="Y1697:Z1699" si="565">Q1697+S1697</f>
        <v>2</v>
      </c>
      <c r="Z1697" s="1942">
        <f>R1697+T1697+V1697</f>
        <v>49536450</v>
      </c>
      <c r="AA1697" s="1943">
        <f>M1697+Y1697</f>
        <v>6</v>
      </c>
      <c r="AB1697" s="1944">
        <f t="shared" si="563"/>
        <v>238002300</v>
      </c>
      <c r="AC1697" s="2724">
        <f t="shared" si="561"/>
        <v>28.571428571428569</v>
      </c>
      <c r="AD1697" s="2724">
        <f>AB1697/L1697*100</f>
        <v>13.678293103448274</v>
      </c>
      <c r="AE1697" s="3381"/>
    </row>
    <row r="1698" spans="1:31" ht="38.25">
      <c r="A1698" s="385"/>
      <c r="B1698" s="383"/>
      <c r="C1698" s="2071" t="s">
        <v>161</v>
      </c>
      <c r="D1698" s="2071" t="s">
        <v>2558</v>
      </c>
      <c r="E1698" s="2071" t="s">
        <v>107</v>
      </c>
      <c r="F1698" s="2071" t="s">
        <v>66</v>
      </c>
      <c r="G1698" s="2071" t="s">
        <v>448</v>
      </c>
      <c r="H1698" s="2071" t="s">
        <v>67</v>
      </c>
      <c r="I1698" s="1936" t="s">
        <v>2592</v>
      </c>
      <c r="J1698" s="3382" t="s">
        <v>2593</v>
      </c>
      <c r="K1698" s="1952">
        <f>1200*4</f>
        <v>4800</v>
      </c>
      <c r="L1698" s="1947">
        <v>980000000</v>
      </c>
      <c r="M1698" s="1939"/>
      <c r="N1698" s="1940">
        <f>196946680</f>
        <v>196946680</v>
      </c>
      <c r="O1698" s="1952">
        <v>1200</v>
      </c>
      <c r="P1698" s="1971">
        <v>195879296.25</v>
      </c>
      <c r="Q1698" s="1959"/>
      <c r="R1698" s="1940">
        <v>0</v>
      </c>
      <c r="S1698" s="64">
        <v>1200</v>
      </c>
      <c r="T1698" s="1689">
        <v>186739300</v>
      </c>
      <c r="U1698" s="3454"/>
      <c r="V1698" s="3455">
        <v>1290000</v>
      </c>
      <c r="W1698" s="3454"/>
      <c r="X1698" s="3454"/>
      <c r="Y1698" s="1939">
        <f t="shared" si="565"/>
        <v>1200</v>
      </c>
      <c r="Z1698" s="1942">
        <f>R1698+T1698+V1698</f>
        <v>188029300</v>
      </c>
      <c r="AA1698" s="1943">
        <f>M1698+Y1698</f>
        <v>1200</v>
      </c>
      <c r="AB1698" s="1944">
        <f>N1698+Z1698</f>
        <v>384975980</v>
      </c>
      <c r="AC1698" s="2724">
        <f t="shared" si="561"/>
        <v>25</v>
      </c>
      <c r="AD1698" s="2724">
        <f>AB1698/L1698*100</f>
        <v>39.283263265306125</v>
      </c>
      <c r="AE1698" s="3381" t="s">
        <v>2594</v>
      </c>
    </row>
    <row r="1699" spans="1:31" s="63" customFormat="1" ht="33.75" customHeight="1">
      <c r="A1699" s="385"/>
      <c r="B1699" s="383"/>
      <c r="C1699" s="2071"/>
      <c r="D1699" s="2071"/>
      <c r="E1699" s="2071"/>
      <c r="F1699" s="2071"/>
      <c r="G1699" s="753"/>
      <c r="H1699" s="753"/>
      <c r="I1699" s="1936"/>
      <c r="J1699" s="3382" t="s">
        <v>2595</v>
      </c>
      <c r="K1699" s="1938">
        <v>1</v>
      </c>
      <c r="L1699" s="1947"/>
      <c r="M1699" s="1939"/>
      <c r="N1699" s="1940"/>
      <c r="O1699" s="1938">
        <v>1</v>
      </c>
      <c r="P1699" s="1971"/>
      <c r="Q1699" s="1959"/>
      <c r="R1699" s="1940"/>
      <c r="S1699" s="64"/>
      <c r="T1699" s="64"/>
      <c r="U1699" s="3454"/>
      <c r="V1699" s="3454"/>
      <c r="W1699" s="3454"/>
      <c r="X1699" s="3454"/>
      <c r="Y1699" s="1945">
        <f t="shared" si="565"/>
        <v>0</v>
      </c>
      <c r="Z1699" s="1942">
        <f t="shared" si="565"/>
        <v>0</v>
      </c>
      <c r="AA1699" s="1943">
        <f t="shared" si="564"/>
        <v>0</v>
      </c>
      <c r="AB1699" s="1944">
        <f t="shared" si="563"/>
        <v>0</v>
      </c>
      <c r="AC1699" s="2724"/>
      <c r="AD1699" s="2724"/>
      <c r="AE1699" s="3381"/>
    </row>
    <row r="1700" spans="1:31" s="63" customFormat="1" ht="94.5" customHeight="1">
      <c r="A1700" s="3461">
        <v>7</v>
      </c>
      <c r="B1700" s="3462" t="s">
        <v>4219</v>
      </c>
      <c r="C1700" s="3844" t="s">
        <v>161</v>
      </c>
      <c r="D1700" s="3844" t="s">
        <v>2558</v>
      </c>
      <c r="E1700" s="3844" t="s">
        <v>107</v>
      </c>
      <c r="F1700" s="3844" t="s">
        <v>66</v>
      </c>
      <c r="G1700" s="3844" t="s">
        <v>357</v>
      </c>
      <c r="H1700" s="3475"/>
      <c r="I1700" s="3463" t="s">
        <v>2596</v>
      </c>
      <c r="J1700" s="3485" t="s">
        <v>2597</v>
      </c>
      <c r="K1700" s="3491">
        <v>28</v>
      </c>
      <c r="L1700" s="3466">
        <f>L1701</f>
        <v>1263000000</v>
      </c>
      <c r="M1700" s="3465">
        <v>7</v>
      </c>
      <c r="N1700" s="3471">
        <f>N1701</f>
        <v>195938400</v>
      </c>
      <c r="O1700" s="3491">
        <v>4</v>
      </c>
      <c r="P1700" s="3468">
        <f>P1701</f>
        <v>83600077.5</v>
      </c>
      <c r="Q1700" s="3465">
        <v>1</v>
      </c>
      <c r="R1700" s="3469">
        <f>R1701</f>
        <v>2979000</v>
      </c>
      <c r="S1700" s="3483">
        <f>SUM(S1701)</f>
        <v>1</v>
      </c>
      <c r="T1700" s="3489">
        <f>SUM(T1701)</f>
        <v>16561500</v>
      </c>
      <c r="U1700" s="3490">
        <v>1</v>
      </c>
      <c r="V1700" s="3469">
        <f>V1701</f>
        <v>12282800</v>
      </c>
      <c r="W1700" s="3490"/>
      <c r="X1700" s="3490"/>
      <c r="Y1700" s="3470">
        <f>Q1700+S1700+U1700</f>
        <v>3</v>
      </c>
      <c r="Z1700" s="3471">
        <f>R1700+T1700+V1700</f>
        <v>31823300</v>
      </c>
      <c r="AA1700" s="3467">
        <f t="shared" si="564"/>
        <v>10</v>
      </c>
      <c r="AB1700" s="3471">
        <f t="shared" si="563"/>
        <v>227761700</v>
      </c>
      <c r="AC1700" s="3474">
        <f t="shared" ref="AC1700:AD1715" si="566">AA1700/K1700*100</f>
        <v>35.714285714285715</v>
      </c>
      <c r="AD1700" s="3474">
        <f t="shared" si="566"/>
        <v>18.033388756927948</v>
      </c>
      <c r="AE1700" s="3475"/>
    </row>
    <row r="1701" spans="1:31" s="63" customFormat="1" ht="56.25" customHeight="1">
      <c r="A1701" s="385"/>
      <c r="B1701" s="383"/>
      <c r="C1701" s="2071" t="s">
        <v>161</v>
      </c>
      <c r="D1701" s="2071" t="s">
        <v>2558</v>
      </c>
      <c r="E1701" s="2071" t="s">
        <v>107</v>
      </c>
      <c r="F1701" s="2071" t="s">
        <v>66</v>
      </c>
      <c r="G1701" s="2071" t="s">
        <v>357</v>
      </c>
      <c r="H1701" s="2071" t="s">
        <v>65</v>
      </c>
      <c r="I1701" s="1936" t="s">
        <v>2598</v>
      </c>
      <c r="J1701" s="3382" t="s">
        <v>2599</v>
      </c>
      <c r="K1701" s="1938">
        <v>24</v>
      </c>
      <c r="L1701" s="1947">
        <v>1263000000</v>
      </c>
      <c r="M1701" s="1983">
        <v>8</v>
      </c>
      <c r="N1701" s="1940">
        <f>76943350+118995050</f>
        <v>195938400</v>
      </c>
      <c r="O1701" s="1938">
        <v>4</v>
      </c>
      <c r="P1701" s="1971">
        <v>83600077.5</v>
      </c>
      <c r="Q1701" s="1939">
        <v>1</v>
      </c>
      <c r="R1701" s="1940">
        <v>2979000</v>
      </c>
      <c r="S1701" s="64">
        <v>1</v>
      </c>
      <c r="T1701" s="1689">
        <v>16561500</v>
      </c>
      <c r="U1701" s="3454"/>
      <c r="V1701" s="3455">
        <v>12282800</v>
      </c>
      <c r="W1701" s="3454"/>
      <c r="X1701" s="3454"/>
      <c r="Y1701" s="1945">
        <f>Q1701+S1701</f>
        <v>2</v>
      </c>
      <c r="Z1701" s="1942">
        <f>R1701+T1701+V1701</f>
        <v>31823300</v>
      </c>
      <c r="AA1701" s="1943">
        <f t="shared" si="564"/>
        <v>10</v>
      </c>
      <c r="AB1701" s="1944">
        <f t="shared" si="563"/>
        <v>227761700</v>
      </c>
      <c r="AC1701" s="2724">
        <f t="shared" si="566"/>
        <v>41.666666666666671</v>
      </c>
      <c r="AD1701" s="2724">
        <f t="shared" si="566"/>
        <v>18.033388756927948</v>
      </c>
      <c r="AE1701" s="3381"/>
    </row>
    <row r="1702" spans="1:31" s="63" customFormat="1" ht="101.25" customHeight="1">
      <c r="A1702" s="3461">
        <v>8</v>
      </c>
      <c r="B1702" s="3462" t="s">
        <v>4220</v>
      </c>
      <c r="C1702" s="3844" t="s">
        <v>161</v>
      </c>
      <c r="D1702" s="3844" t="s">
        <v>2558</v>
      </c>
      <c r="E1702" s="3844" t="s">
        <v>107</v>
      </c>
      <c r="F1702" s="3844" t="s">
        <v>66</v>
      </c>
      <c r="G1702" s="3844" t="s">
        <v>376</v>
      </c>
      <c r="H1702" s="3475"/>
      <c r="I1702" s="3463" t="s">
        <v>2601</v>
      </c>
      <c r="J1702" s="3485" t="s">
        <v>2602</v>
      </c>
      <c r="K1702" s="3495">
        <v>495</v>
      </c>
      <c r="L1702" s="3487">
        <f>L1703</f>
        <v>4358000000</v>
      </c>
      <c r="M1702" s="3465">
        <f>75+70</f>
        <v>145</v>
      </c>
      <c r="N1702" s="3471">
        <f>N1703</f>
        <v>723739200</v>
      </c>
      <c r="O1702" s="3465">
        <v>80</v>
      </c>
      <c r="P1702" s="3468">
        <f>P1703</f>
        <v>432703267.25</v>
      </c>
      <c r="Q1702" s="3465">
        <v>15</v>
      </c>
      <c r="R1702" s="3469">
        <f>R1703</f>
        <v>9488600</v>
      </c>
      <c r="S1702" s="3483">
        <v>15</v>
      </c>
      <c r="T1702" s="3501">
        <v>166686200</v>
      </c>
      <c r="U1702" s="3490">
        <f>70-Q1702-S1702</f>
        <v>40</v>
      </c>
      <c r="V1702" s="3469">
        <f>V1703</f>
        <v>31399000</v>
      </c>
      <c r="W1702" s="3490"/>
      <c r="X1702" s="3490"/>
      <c r="Y1702" s="3470">
        <f>Q1702+S1702+U1702</f>
        <v>70</v>
      </c>
      <c r="Z1702" s="3471">
        <f>R1702+T1702</f>
        <v>176174800</v>
      </c>
      <c r="AA1702" s="3467">
        <f t="shared" si="564"/>
        <v>215</v>
      </c>
      <c r="AB1702" s="3471">
        <f t="shared" si="563"/>
        <v>899914000</v>
      </c>
      <c r="AC1702" s="3474">
        <f t="shared" si="566"/>
        <v>43.43434343434344</v>
      </c>
      <c r="AD1702" s="3474">
        <f t="shared" si="566"/>
        <v>20.649701698026618</v>
      </c>
      <c r="AE1702" s="3475"/>
    </row>
    <row r="1703" spans="1:31" s="63" customFormat="1" ht="60.75" customHeight="1">
      <c r="A1703" s="385"/>
      <c r="B1703" s="383"/>
      <c r="C1703" s="2071" t="s">
        <v>161</v>
      </c>
      <c r="D1703" s="2071" t="s">
        <v>2558</v>
      </c>
      <c r="E1703" s="2071" t="s">
        <v>107</v>
      </c>
      <c r="F1703" s="2071" t="s">
        <v>66</v>
      </c>
      <c r="G1703" s="2071" t="s">
        <v>376</v>
      </c>
      <c r="H1703" s="2071" t="s">
        <v>202</v>
      </c>
      <c r="I1703" s="384" t="s">
        <v>2603</v>
      </c>
      <c r="J1703" s="3382" t="s">
        <v>2604</v>
      </c>
      <c r="K1703" s="2148">
        <v>120</v>
      </c>
      <c r="L1703" s="2144">
        <v>4358000000</v>
      </c>
      <c r="M1703" s="2165"/>
      <c r="N1703" s="2047">
        <f>286763900+436975300</f>
        <v>723739200</v>
      </c>
      <c r="O1703" s="2148">
        <v>30</v>
      </c>
      <c r="P1703" s="1941">
        <v>432703267.25</v>
      </c>
      <c r="Q1703" s="385">
        <v>15</v>
      </c>
      <c r="R1703" s="2047">
        <v>9488600</v>
      </c>
      <c r="S1703" s="385">
        <v>15</v>
      </c>
      <c r="T1703" s="386">
        <v>166686200</v>
      </c>
      <c r="U1703" s="3454">
        <f>27-Q1703</f>
        <v>12</v>
      </c>
      <c r="V1703" s="3455">
        <v>31399000</v>
      </c>
      <c r="W1703" s="3454"/>
      <c r="X1703" s="3454"/>
      <c r="Y1703" s="1945">
        <f>Q1703+U1703</f>
        <v>27</v>
      </c>
      <c r="Z1703" s="1942">
        <f>R1703+T1703+V1703</f>
        <v>207573800</v>
      </c>
      <c r="AA1703" s="1943">
        <f t="shared" si="564"/>
        <v>27</v>
      </c>
      <c r="AB1703" s="1944">
        <f t="shared" si="563"/>
        <v>931313000</v>
      </c>
      <c r="AC1703" s="2723">
        <f t="shared" si="566"/>
        <v>22.5</v>
      </c>
      <c r="AD1703" s="2723">
        <f t="shared" si="566"/>
        <v>21.370192748967419</v>
      </c>
      <c r="AE1703" s="3373"/>
    </row>
    <row r="1704" spans="1:31" s="63" customFormat="1" ht="89.25" customHeight="1">
      <c r="A1704" s="3461">
        <v>9</v>
      </c>
      <c r="B1704" s="3462" t="s">
        <v>4219</v>
      </c>
      <c r="C1704" s="3844" t="s">
        <v>161</v>
      </c>
      <c r="D1704" s="3844" t="s">
        <v>2558</v>
      </c>
      <c r="E1704" s="3844" t="s">
        <v>107</v>
      </c>
      <c r="F1704" s="3844" t="s">
        <v>66</v>
      </c>
      <c r="G1704" s="3844" t="s">
        <v>67</v>
      </c>
      <c r="H1704" s="3475"/>
      <c r="I1704" s="3502" t="s">
        <v>2605</v>
      </c>
      <c r="J1704" s="3462" t="s">
        <v>2606</v>
      </c>
      <c r="K1704" s="3498">
        <v>510</v>
      </c>
      <c r="L1704" s="3466">
        <f>L1705</f>
        <v>400000000</v>
      </c>
      <c r="M1704" s="3465">
        <f>80+80</f>
        <v>160</v>
      </c>
      <c r="N1704" s="3471">
        <f>N1705+N1706</f>
        <v>156832800</v>
      </c>
      <c r="O1704" s="3498">
        <v>80</v>
      </c>
      <c r="P1704" s="3481">
        <f>SUM(P1705:P1706)</f>
        <v>81697347.5</v>
      </c>
      <c r="Q1704" s="3465">
        <v>20</v>
      </c>
      <c r="R1704" s="3471">
        <f>R1705+R1706</f>
        <v>8376500</v>
      </c>
      <c r="S1704" s="3483">
        <v>30</v>
      </c>
      <c r="T1704" s="3489">
        <f>SUM(T1705:T1706)</f>
        <v>17604300</v>
      </c>
      <c r="U1704" s="3490">
        <f>70-Q1704-S1704</f>
        <v>20</v>
      </c>
      <c r="V1704" s="3471">
        <f>V1705+V1706</f>
        <v>15065300</v>
      </c>
      <c r="W1704" s="3490"/>
      <c r="X1704" s="3490"/>
      <c r="Y1704" s="3470">
        <f>Q1704+S1704+U1704</f>
        <v>70</v>
      </c>
      <c r="Z1704" s="3471">
        <f>R1704+T1704+V1704</f>
        <v>41046100</v>
      </c>
      <c r="AA1704" s="3467">
        <f t="shared" si="564"/>
        <v>230</v>
      </c>
      <c r="AB1704" s="3471">
        <f t="shared" si="563"/>
        <v>197878900</v>
      </c>
      <c r="AC1704" s="3474">
        <f t="shared" si="566"/>
        <v>45.098039215686278</v>
      </c>
      <c r="AD1704" s="3474">
        <f t="shared" si="566"/>
        <v>49.469724999999997</v>
      </c>
      <c r="AE1704" s="3475"/>
    </row>
    <row r="1705" spans="1:31" s="63" customFormat="1" ht="60" customHeight="1">
      <c r="A1705" s="385"/>
      <c r="B1705" s="383"/>
      <c r="C1705" s="2071" t="s">
        <v>161</v>
      </c>
      <c r="D1705" s="2071" t="s">
        <v>2558</v>
      </c>
      <c r="E1705" s="2071" t="s">
        <v>107</v>
      </c>
      <c r="F1705" s="2071" t="s">
        <v>66</v>
      </c>
      <c r="G1705" s="2071" t="s">
        <v>67</v>
      </c>
      <c r="H1705" s="2071" t="s">
        <v>202</v>
      </c>
      <c r="I1705" s="1936" t="s">
        <v>2607</v>
      </c>
      <c r="J1705" s="3382" t="s">
        <v>2608</v>
      </c>
      <c r="K1705" s="2148">
        <v>193</v>
      </c>
      <c r="L1705" s="2144">
        <v>400000000</v>
      </c>
      <c r="M1705" s="2165">
        <v>29</v>
      </c>
      <c r="N1705" s="2047">
        <f>28529800+27814100</f>
        <v>56343900</v>
      </c>
      <c r="O1705" s="2148">
        <v>29</v>
      </c>
      <c r="P1705" s="1941">
        <v>58791992.25</v>
      </c>
      <c r="Q1705" s="2129">
        <v>5</v>
      </c>
      <c r="R1705" s="2047">
        <v>5686900</v>
      </c>
      <c r="S1705" s="385">
        <v>29</v>
      </c>
      <c r="T1705" s="386">
        <v>12150800</v>
      </c>
      <c r="U1705" s="3454"/>
      <c r="V1705" s="3455">
        <v>8573600</v>
      </c>
      <c r="W1705" s="3454"/>
      <c r="X1705" s="3454"/>
      <c r="Y1705" s="1945">
        <f>Q1705+S1705</f>
        <v>34</v>
      </c>
      <c r="Z1705" s="1942">
        <f>R1705+T1705+V1705</f>
        <v>26411300</v>
      </c>
      <c r="AA1705" s="1943">
        <f t="shared" si="564"/>
        <v>63</v>
      </c>
      <c r="AB1705" s="1944">
        <f t="shared" si="563"/>
        <v>82755200</v>
      </c>
      <c r="AC1705" s="2723">
        <f t="shared" si="566"/>
        <v>32.642487046632127</v>
      </c>
      <c r="AD1705" s="2723">
        <f t="shared" si="566"/>
        <v>20.688800000000001</v>
      </c>
      <c r="AE1705" s="3373"/>
    </row>
    <row r="1706" spans="1:31" s="63" customFormat="1" ht="62.25" customHeight="1">
      <c r="A1706" s="385"/>
      <c r="B1706" s="383"/>
      <c r="C1706" s="2071" t="s">
        <v>161</v>
      </c>
      <c r="D1706" s="2071" t="s">
        <v>2558</v>
      </c>
      <c r="E1706" s="2071" t="s">
        <v>107</v>
      </c>
      <c r="F1706" s="2071" t="s">
        <v>66</v>
      </c>
      <c r="G1706" s="2071" t="s">
        <v>67</v>
      </c>
      <c r="H1706" s="2071" t="s">
        <v>417</v>
      </c>
      <c r="I1706" s="1936" t="s">
        <v>2609</v>
      </c>
      <c r="J1706" s="1936" t="s">
        <v>2610</v>
      </c>
      <c r="K1706" s="385">
        <v>33</v>
      </c>
      <c r="L1706" s="2155">
        <v>295000000</v>
      </c>
      <c r="M1706" s="2165">
        <v>22</v>
      </c>
      <c r="N1706" s="2047">
        <f>45539800+54949100</f>
        <v>100488900</v>
      </c>
      <c r="O1706" s="2148">
        <v>11</v>
      </c>
      <c r="P1706" s="1941">
        <v>22905355.25</v>
      </c>
      <c r="Q1706" s="2129">
        <v>11</v>
      </c>
      <c r="R1706" s="2047">
        <v>2689600</v>
      </c>
      <c r="S1706" s="385">
        <v>11</v>
      </c>
      <c r="T1706" s="386">
        <v>5453500</v>
      </c>
      <c r="U1706" s="3454"/>
      <c r="V1706" s="3455">
        <v>6491700</v>
      </c>
      <c r="W1706" s="3454"/>
      <c r="X1706" s="3454"/>
      <c r="Y1706" s="1945">
        <v>11</v>
      </c>
      <c r="Z1706" s="1942">
        <f>R1706+T1706+V1706</f>
        <v>14634800</v>
      </c>
      <c r="AA1706" s="1943">
        <f t="shared" si="564"/>
        <v>33</v>
      </c>
      <c r="AB1706" s="1944">
        <f t="shared" si="563"/>
        <v>115123700</v>
      </c>
      <c r="AC1706" s="2723">
        <f t="shared" si="566"/>
        <v>100</v>
      </c>
      <c r="AD1706" s="2723">
        <f t="shared" si="566"/>
        <v>39.024983050847453</v>
      </c>
      <c r="AE1706" s="3373"/>
    </row>
    <row r="1707" spans="1:31" s="63" customFormat="1" ht="96.75" customHeight="1">
      <c r="A1707" s="3461">
        <v>10</v>
      </c>
      <c r="B1707" s="3462" t="s">
        <v>4221</v>
      </c>
      <c r="C1707" s="3844" t="s">
        <v>197</v>
      </c>
      <c r="D1707" s="3844" t="s">
        <v>2558</v>
      </c>
      <c r="E1707" s="3844" t="s">
        <v>107</v>
      </c>
      <c r="F1707" s="3844" t="s">
        <v>66</v>
      </c>
      <c r="G1707" s="3844" t="s">
        <v>166</v>
      </c>
      <c r="H1707" s="3475"/>
      <c r="I1707" s="3462" t="s">
        <v>2612</v>
      </c>
      <c r="J1707" s="3462" t="s">
        <v>2613</v>
      </c>
      <c r="K1707" s="3498">
        <v>100</v>
      </c>
      <c r="L1707" s="3466">
        <f>L1708+L1709</f>
        <v>504396250</v>
      </c>
      <c r="M1707" s="3465">
        <v>60</v>
      </c>
      <c r="N1707" s="3481">
        <f>N1708+N1709</f>
        <v>144161700</v>
      </c>
      <c r="O1707" s="3498">
        <v>20</v>
      </c>
      <c r="P1707" s="3481">
        <f>SUM(P1708:P1709)</f>
        <v>109422350</v>
      </c>
      <c r="Q1707" s="3465">
        <v>1</v>
      </c>
      <c r="R1707" s="3471">
        <f>R1708+R1709</f>
        <v>24670000</v>
      </c>
      <c r="S1707" s="3483">
        <v>4</v>
      </c>
      <c r="T1707" s="3489">
        <f>SUM(T1708:T1709)</f>
        <v>32684900</v>
      </c>
      <c r="U1707" s="3490">
        <v>8</v>
      </c>
      <c r="V1707" s="3471">
        <f>V1708+V1709</f>
        <v>19341050</v>
      </c>
      <c r="W1707" s="3490"/>
      <c r="X1707" s="3490"/>
      <c r="Y1707" s="3470">
        <f t="shared" ref="Y1707:Z1709" si="567">Q1707+S1707+U1707</f>
        <v>13</v>
      </c>
      <c r="Z1707" s="3471">
        <f t="shared" si="567"/>
        <v>76695950</v>
      </c>
      <c r="AA1707" s="3467">
        <f t="shared" si="564"/>
        <v>73</v>
      </c>
      <c r="AB1707" s="3471">
        <f t="shared" si="564"/>
        <v>220857650</v>
      </c>
      <c r="AC1707" s="3493">
        <f t="shared" si="566"/>
        <v>73</v>
      </c>
      <c r="AD1707" s="3493">
        <f t="shared" si="566"/>
        <v>43.78653687453069</v>
      </c>
      <c r="AE1707" s="3475"/>
    </row>
    <row r="1708" spans="1:31" s="63" customFormat="1" ht="62.25" customHeight="1">
      <c r="A1708" s="385"/>
      <c r="B1708" s="383"/>
      <c r="C1708" s="2071" t="s">
        <v>197</v>
      </c>
      <c r="D1708" s="2071" t="s">
        <v>2558</v>
      </c>
      <c r="E1708" s="2071" t="s">
        <v>107</v>
      </c>
      <c r="F1708" s="2071" t="s">
        <v>66</v>
      </c>
      <c r="G1708" s="2071" t="s">
        <v>166</v>
      </c>
      <c r="H1708" s="2071" t="s">
        <v>360</v>
      </c>
      <c r="I1708" s="3382" t="s">
        <v>2614</v>
      </c>
      <c r="J1708" s="3382" t="s">
        <v>2615</v>
      </c>
      <c r="K1708" s="2182">
        <f>95+95</f>
        <v>190</v>
      </c>
      <c r="L1708" s="2155">
        <v>258000000</v>
      </c>
      <c r="M1708" s="388">
        <v>95</v>
      </c>
      <c r="N1708" s="2047">
        <f>64726700+79435000</f>
        <v>144161700</v>
      </c>
      <c r="O1708" s="2182">
        <v>95</v>
      </c>
      <c r="P1708" s="1941">
        <v>60143100</v>
      </c>
      <c r="Q1708" s="2129">
        <v>20</v>
      </c>
      <c r="R1708" s="2047">
        <v>8553500</v>
      </c>
      <c r="S1708" s="385">
        <v>33</v>
      </c>
      <c r="T1708" s="386">
        <v>24339400</v>
      </c>
      <c r="U1708" s="3454">
        <f>70-Q1708-S1708</f>
        <v>17</v>
      </c>
      <c r="V1708" s="3455">
        <v>10324800</v>
      </c>
      <c r="W1708" s="3454"/>
      <c r="X1708" s="3454"/>
      <c r="Y1708" s="1945">
        <f t="shared" si="567"/>
        <v>70</v>
      </c>
      <c r="Z1708" s="1942">
        <f t="shared" si="567"/>
        <v>43217700</v>
      </c>
      <c r="AA1708" s="1943">
        <f t="shared" si="564"/>
        <v>165</v>
      </c>
      <c r="AB1708" s="1944">
        <f t="shared" si="564"/>
        <v>187379400</v>
      </c>
      <c r="AC1708" s="2723">
        <f t="shared" si="566"/>
        <v>86.842105263157904</v>
      </c>
      <c r="AD1708" s="2723">
        <f t="shared" si="566"/>
        <v>72.627674418604641</v>
      </c>
      <c r="AE1708" s="3373" t="s">
        <v>2616</v>
      </c>
    </row>
    <row r="1709" spans="1:31" s="63" customFormat="1" ht="57" customHeight="1">
      <c r="A1709" s="385"/>
      <c r="B1709" s="383"/>
      <c r="C1709" s="2071" t="s">
        <v>197</v>
      </c>
      <c r="D1709" s="2071" t="s">
        <v>2558</v>
      </c>
      <c r="E1709" s="2071" t="s">
        <v>107</v>
      </c>
      <c r="F1709" s="2071" t="s">
        <v>66</v>
      </c>
      <c r="G1709" s="2071" t="s">
        <v>166</v>
      </c>
      <c r="H1709" s="2071" t="s">
        <v>459</v>
      </c>
      <c r="I1709" s="3382" t="s">
        <v>2617</v>
      </c>
      <c r="J1709" s="3382" t="s">
        <v>2618</v>
      </c>
      <c r="K1709" s="2184">
        <v>260</v>
      </c>
      <c r="L1709" s="2155">
        <f>5*P1709</f>
        <v>246396250</v>
      </c>
      <c r="M1709" s="2129"/>
      <c r="N1709" s="2047"/>
      <c r="O1709" s="2184">
        <v>60</v>
      </c>
      <c r="P1709" s="1941">
        <v>49279250</v>
      </c>
      <c r="Q1709" s="2129">
        <v>15</v>
      </c>
      <c r="R1709" s="2047">
        <v>16116500</v>
      </c>
      <c r="S1709" s="385">
        <v>20</v>
      </c>
      <c r="T1709" s="386">
        <v>8345500</v>
      </c>
      <c r="U1709" s="3454">
        <f>40-Q1709-S1709</f>
        <v>5</v>
      </c>
      <c r="V1709" s="3455">
        <v>9016250</v>
      </c>
      <c r="W1709" s="3454"/>
      <c r="X1709" s="3454"/>
      <c r="Y1709" s="1945">
        <f t="shared" si="567"/>
        <v>40</v>
      </c>
      <c r="Z1709" s="1942">
        <f t="shared" si="567"/>
        <v>33478250</v>
      </c>
      <c r="AA1709" s="1943">
        <f t="shared" si="564"/>
        <v>40</v>
      </c>
      <c r="AB1709" s="1944">
        <f t="shared" si="564"/>
        <v>33478250</v>
      </c>
      <c r="AC1709" s="2723">
        <f t="shared" si="566"/>
        <v>15.384615384615385</v>
      </c>
      <c r="AD1709" s="2723">
        <f t="shared" si="566"/>
        <v>13.587158895478321</v>
      </c>
      <c r="AE1709" s="3373"/>
    </row>
    <row r="1710" spans="1:31" s="63" customFormat="1" ht="71.25" customHeight="1">
      <c r="A1710" s="3461">
        <v>11</v>
      </c>
      <c r="B1710" s="3462" t="s">
        <v>4222</v>
      </c>
      <c r="C1710" s="3844" t="s">
        <v>197</v>
      </c>
      <c r="D1710" s="3844" t="s">
        <v>2558</v>
      </c>
      <c r="E1710" s="3844" t="s">
        <v>107</v>
      </c>
      <c r="F1710" s="3844" t="s">
        <v>66</v>
      </c>
      <c r="G1710" s="3844" t="s">
        <v>67</v>
      </c>
      <c r="H1710" s="3475"/>
      <c r="I1710" s="3502" t="s">
        <v>2620</v>
      </c>
      <c r="J1710" s="3462" t="s">
        <v>2621</v>
      </c>
      <c r="K1710" s="3465">
        <v>100</v>
      </c>
      <c r="L1710" s="3466">
        <f>SUM(L1711:L1718)</f>
        <v>3005800000</v>
      </c>
      <c r="M1710" s="3465">
        <v>60</v>
      </c>
      <c r="N1710" s="3466">
        <f>SUM(N1711:N1718)</f>
        <v>1145181766</v>
      </c>
      <c r="O1710" s="3465">
        <v>16</v>
      </c>
      <c r="P1710" s="3468">
        <f>SUM(P1711:P1718)</f>
        <v>1164412768.5</v>
      </c>
      <c r="Q1710" s="3465">
        <v>4</v>
      </c>
      <c r="R1710" s="3471">
        <f>SUM(R1711:R1718)</f>
        <v>146041500</v>
      </c>
      <c r="S1710" s="3483">
        <v>4</v>
      </c>
      <c r="T1710" s="3471">
        <f>SUM(T1711:T1718)</f>
        <v>509759918</v>
      </c>
      <c r="U1710" s="3490">
        <v>4</v>
      </c>
      <c r="V1710" s="3471">
        <f>SUM(V1711:V1718)</f>
        <v>201599700</v>
      </c>
      <c r="W1710" s="3490"/>
      <c r="X1710" s="3490"/>
      <c r="Y1710" s="3470">
        <f>Q1710+S1710+U1710</f>
        <v>12</v>
      </c>
      <c r="Z1710" s="3471">
        <f>R1710+T1710+V1710</f>
        <v>857401118</v>
      </c>
      <c r="AA1710" s="3467">
        <f>M1710+Y1710</f>
        <v>72</v>
      </c>
      <c r="AB1710" s="3471">
        <f t="shared" si="564"/>
        <v>2002582884</v>
      </c>
      <c r="AC1710" s="3474">
        <f t="shared" si="566"/>
        <v>72</v>
      </c>
      <c r="AD1710" s="3474">
        <f t="shared" si="566"/>
        <v>66.623956484130673</v>
      </c>
      <c r="AE1710" s="3475"/>
    </row>
    <row r="1711" spans="1:31" s="63" customFormat="1" ht="37.5" customHeight="1">
      <c r="A1711" s="385"/>
      <c r="B1711" s="383"/>
      <c r="C1711" s="2071" t="s">
        <v>197</v>
      </c>
      <c r="D1711" s="2071" t="s">
        <v>2558</v>
      </c>
      <c r="E1711" s="2071" t="s">
        <v>107</v>
      </c>
      <c r="F1711" s="2071" t="s">
        <v>66</v>
      </c>
      <c r="G1711" s="2071" t="s">
        <v>67</v>
      </c>
      <c r="H1711" s="2071" t="s">
        <v>376</v>
      </c>
      <c r="I1711" s="1936" t="s">
        <v>2622</v>
      </c>
      <c r="J1711" s="3382" t="s">
        <v>2623</v>
      </c>
      <c r="K1711" s="1938">
        <v>350</v>
      </c>
      <c r="L1711" s="1947">
        <v>801800000</v>
      </c>
      <c r="M1711" s="1939">
        <v>55</v>
      </c>
      <c r="N1711" s="1940">
        <f>383367800</f>
        <v>383367800</v>
      </c>
      <c r="O1711" s="2326">
        <v>60</v>
      </c>
      <c r="P1711" s="1971">
        <v>389895050.75</v>
      </c>
      <c r="Q1711" s="1959">
        <v>0</v>
      </c>
      <c r="R1711" s="1940">
        <v>900000</v>
      </c>
      <c r="S1711" s="64">
        <v>60</v>
      </c>
      <c r="T1711" s="1942">
        <v>326099200</v>
      </c>
      <c r="U1711" s="3454"/>
      <c r="V1711" s="3455">
        <v>48754200</v>
      </c>
      <c r="W1711" s="3454"/>
      <c r="X1711" s="3454"/>
      <c r="Y1711" s="1945">
        <f>Q1711+S1711</f>
        <v>60</v>
      </c>
      <c r="Z1711" s="1942">
        <f>R1711+T1711+V1711</f>
        <v>375753400</v>
      </c>
      <c r="AA1711" s="1943">
        <f>M1711+Y1711</f>
        <v>115</v>
      </c>
      <c r="AB1711" s="1944">
        <f t="shared" ref="AB1711:AB1719" si="568">N1711+Z1711</f>
        <v>759121200</v>
      </c>
      <c r="AC1711" s="2724">
        <f t="shared" si="566"/>
        <v>32.857142857142854</v>
      </c>
      <c r="AD1711" s="2724">
        <f t="shared" si="566"/>
        <v>94.67712646545273</v>
      </c>
      <c r="AE1711" s="3381"/>
    </row>
    <row r="1712" spans="1:31" s="63" customFormat="1" ht="37.5" customHeight="1">
      <c r="A1712" s="385"/>
      <c r="B1712" s="383"/>
      <c r="C1712" s="2071" t="s">
        <v>197</v>
      </c>
      <c r="D1712" s="2071" t="s">
        <v>2558</v>
      </c>
      <c r="E1712" s="2071" t="s">
        <v>107</v>
      </c>
      <c r="F1712" s="2071" t="s">
        <v>66</v>
      </c>
      <c r="G1712" s="2071" t="s">
        <v>67</v>
      </c>
      <c r="H1712" s="2071" t="s">
        <v>67</v>
      </c>
      <c r="I1712" s="1936" t="s">
        <v>2624</v>
      </c>
      <c r="J1712" s="3382" t="s">
        <v>2625</v>
      </c>
      <c r="K1712" s="1949">
        <v>10</v>
      </c>
      <c r="L1712" s="1947">
        <v>500000000</v>
      </c>
      <c r="M1712" s="1939"/>
      <c r="N1712" s="1993"/>
      <c r="O1712" s="2326">
        <v>10</v>
      </c>
      <c r="P1712" s="1940">
        <v>155808794</v>
      </c>
      <c r="Q1712" s="1959"/>
      <c r="R1712" s="1940">
        <v>90753800</v>
      </c>
      <c r="S1712" s="64">
        <v>0</v>
      </c>
      <c r="T1712" s="1942">
        <v>14273000</v>
      </c>
      <c r="U1712" s="3454"/>
      <c r="V1712" s="3455">
        <v>13856000</v>
      </c>
      <c r="W1712" s="3454"/>
      <c r="X1712" s="3454"/>
      <c r="Y1712" s="1945">
        <f>Q1712+S1712</f>
        <v>0</v>
      </c>
      <c r="Z1712" s="1942">
        <f>R1712+T1712+V1712</f>
        <v>118882800</v>
      </c>
      <c r="AA1712" s="1943">
        <f t="shared" ref="AA1712:AA1718" si="569">M1712+Y1712</f>
        <v>0</v>
      </c>
      <c r="AB1712" s="1944">
        <f t="shared" si="568"/>
        <v>118882800</v>
      </c>
      <c r="AC1712" s="2724">
        <f t="shared" si="566"/>
        <v>0</v>
      </c>
      <c r="AD1712" s="2724">
        <f t="shared" si="566"/>
        <v>23.77656</v>
      </c>
      <c r="AE1712" s="3381"/>
    </row>
    <row r="1713" spans="1:31" s="63" customFormat="1" ht="37.5" customHeight="1">
      <c r="A1713" s="385"/>
      <c r="B1713" s="383"/>
      <c r="C1713" s="2071" t="s">
        <v>197</v>
      </c>
      <c r="D1713" s="2071" t="s">
        <v>2558</v>
      </c>
      <c r="E1713" s="2071" t="s">
        <v>107</v>
      </c>
      <c r="F1713" s="2071" t="s">
        <v>66</v>
      </c>
      <c r="G1713" s="2071" t="s">
        <v>67</v>
      </c>
      <c r="H1713" s="2071" t="s">
        <v>163</v>
      </c>
      <c r="I1713" s="1936" t="s">
        <v>2626</v>
      </c>
      <c r="J1713" s="3382" t="s">
        <v>2627</v>
      </c>
      <c r="K1713" s="2713">
        <v>310</v>
      </c>
      <c r="L1713" s="1947">
        <v>453000000</v>
      </c>
      <c r="M1713" s="1939">
        <f>100+105</f>
        <v>205</v>
      </c>
      <c r="N1713" s="1969">
        <f>143437050+121164099</f>
        <v>264601149</v>
      </c>
      <c r="O1713" s="2326">
        <v>105</v>
      </c>
      <c r="P1713" s="1971">
        <v>168077545.25</v>
      </c>
      <c r="Q1713" s="1959"/>
      <c r="R1713" s="1940"/>
      <c r="S1713" s="64">
        <v>0</v>
      </c>
      <c r="T1713" s="1942">
        <v>54369800</v>
      </c>
      <c r="U1713" s="3454">
        <v>105</v>
      </c>
      <c r="V1713" s="3455">
        <v>87571100</v>
      </c>
      <c r="W1713" s="3454"/>
      <c r="X1713" s="3454"/>
      <c r="Y1713" s="1945">
        <f>U1713</f>
        <v>105</v>
      </c>
      <c r="Z1713" s="1942">
        <f>R1713+T1713+V1713</f>
        <v>141940900</v>
      </c>
      <c r="AA1713" s="1943">
        <f t="shared" si="569"/>
        <v>310</v>
      </c>
      <c r="AB1713" s="1944">
        <f t="shared" si="568"/>
        <v>406542049</v>
      </c>
      <c r="AC1713" s="2724">
        <f t="shared" si="566"/>
        <v>100</v>
      </c>
      <c r="AD1713" s="2724">
        <f t="shared" si="566"/>
        <v>89.744381677704197</v>
      </c>
      <c r="AE1713" s="3381"/>
    </row>
    <row r="1714" spans="1:31" s="63" customFormat="1" ht="37.5" customHeight="1">
      <c r="A1714" s="385"/>
      <c r="B1714" s="383"/>
      <c r="C1714" s="2071" t="s">
        <v>197</v>
      </c>
      <c r="D1714" s="2071" t="s">
        <v>2558</v>
      </c>
      <c r="E1714" s="2071" t="s">
        <v>107</v>
      </c>
      <c r="F1714" s="2071" t="s">
        <v>66</v>
      </c>
      <c r="G1714" s="2071" t="s">
        <v>67</v>
      </c>
      <c r="H1714" s="2071" t="s">
        <v>360</v>
      </c>
      <c r="I1714" s="3382" t="s">
        <v>2628</v>
      </c>
      <c r="J1714" s="3382" t="s">
        <v>2623</v>
      </c>
      <c r="K1714" s="1938">
        <v>30</v>
      </c>
      <c r="L1714" s="1947">
        <v>210000000</v>
      </c>
      <c r="M1714" s="1939">
        <v>15</v>
      </c>
      <c r="N1714" s="1940">
        <v>95122000</v>
      </c>
      <c r="O1714" s="1952">
        <v>15</v>
      </c>
      <c r="P1714" s="1971">
        <v>89779047.25</v>
      </c>
      <c r="Q1714" s="1939">
        <v>6</v>
      </c>
      <c r="R1714" s="1940">
        <v>4946000</v>
      </c>
      <c r="S1714" s="64"/>
      <c r="T1714" s="1942">
        <v>41259800</v>
      </c>
      <c r="U1714" s="3454">
        <f>12-Q1714</f>
        <v>6</v>
      </c>
      <c r="V1714" s="3455">
        <v>18158600</v>
      </c>
      <c r="W1714" s="3454"/>
      <c r="X1714" s="3454"/>
      <c r="Y1714" s="1945">
        <f>Q1714+S1714</f>
        <v>6</v>
      </c>
      <c r="Z1714" s="1942">
        <f>R1714+T1714+V1714</f>
        <v>64364400</v>
      </c>
      <c r="AA1714" s="1943">
        <f>M1714+Y1714</f>
        <v>21</v>
      </c>
      <c r="AB1714" s="1944">
        <f t="shared" si="568"/>
        <v>159486400</v>
      </c>
      <c r="AC1714" s="2724">
        <f t="shared" si="566"/>
        <v>70</v>
      </c>
      <c r="AD1714" s="2724">
        <f t="shared" si="566"/>
        <v>75.945904761904757</v>
      </c>
      <c r="AE1714" s="3381"/>
    </row>
    <row r="1715" spans="1:31" s="63" customFormat="1" ht="42.75" customHeight="1">
      <c r="A1715" s="385"/>
      <c r="B1715" s="383"/>
      <c r="C1715" s="2071" t="s">
        <v>197</v>
      </c>
      <c r="D1715" s="2071" t="s">
        <v>2558</v>
      </c>
      <c r="E1715" s="2071" t="s">
        <v>107</v>
      </c>
      <c r="F1715" s="2071" t="s">
        <v>66</v>
      </c>
      <c r="G1715" s="2071" t="s">
        <v>67</v>
      </c>
      <c r="H1715" s="2071" t="s">
        <v>165</v>
      </c>
      <c r="I1715" s="3382" t="s">
        <v>2629</v>
      </c>
      <c r="J1715" s="3382" t="s">
        <v>2630</v>
      </c>
      <c r="K1715" s="2119">
        <f>37+37</f>
        <v>74</v>
      </c>
      <c r="L1715" s="2144">
        <v>120000000</v>
      </c>
      <c r="M1715" s="2129">
        <v>37</v>
      </c>
      <c r="N1715" s="2047">
        <v>23865450</v>
      </c>
      <c r="O1715" s="2119">
        <v>37</v>
      </c>
      <c r="P1715" s="1941">
        <v>79361272</v>
      </c>
      <c r="Q1715" s="2124"/>
      <c r="R1715" s="2047"/>
      <c r="S1715" s="64">
        <v>37</v>
      </c>
      <c r="T1715" s="1942">
        <v>39424100</v>
      </c>
      <c r="U1715" s="3454"/>
      <c r="V1715" s="3455">
        <v>0</v>
      </c>
      <c r="W1715" s="3454"/>
      <c r="X1715" s="3454"/>
      <c r="Y1715" s="1945">
        <f>Q1715+S1715</f>
        <v>37</v>
      </c>
      <c r="Z1715" s="1942">
        <f>R1715+T1715</f>
        <v>39424100</v>
      </c>
      <c r="AA1715" s="1943">
        <f t="shared" si="569"/>
        <v>74</v>
      </c>
      <c r="AB1715" s="1944">
        <f t="shared" si="568"/>
        <v>63289550</v>
      </c>
      <c r="AC1715" s="2723">
        <f t="shared" si="566"/>
        <v>100</v>
      </c>
      <c r="AD1715" s="2723">
        <f t="shared" si="566"/>
        <v>52.741291666666669</v>
      </c>
      <c r="AE1715" s="3373" t="s">
        <v>2562</v>
      </c>
    </row>
    <row r="1716" spans="1:31" s="63" customFormat="1" ht="48" customHeight="1">
      <c r="A1716" s="385"/>
      <c r="B1716" s="383"/>
      <c r="C1716" s="2071" t="s">
        <v>197</v>
      </c>
      <c r="D1716" s="2071" t="s">
        <v>2558</v>
      </c>
      <c r="E1716" s="2071" t="s">
        <v>107</v>
      </c>
      <c r="F1716" s="2071" t="s">
        <v>66</v>
      </c>
      <c r="G1716" s="2071" t="s">
        <v>67</v>
      </c>
      <c r="H1716" s="2071" t="s">
        <v>515</v>
      </c>
      <c r="I1716" s="1936" t="s">
        <v>2631</v>
      </c>
      <c r="J1716" s="3382" t="s">
        <v>2632</v>
      </c>
      <c r="K1716" s="1938">
        <f>12*3</f>
        <v>36</v>
      </c>
      <c r="L1716" s="1947">
        <v>675000000</v>
      </c>
      <c r="M1716" s="1939">
        <v>24</v>
      </c>
      <c r="N1716" s="1940">
        <f>170097657+162704410</f>
        <v>332802067</v>
      </c>
      <c r="O1716" s="2326">
        <v>12</v>
      </c>
      <c r="P1716" s="1971">
        <v>117091246.75</v>
      </c>
      <c r="Q1716" s="1959"/>
      <c r="R1716" s="1940">
        <v>18490700</v>
      </c>
      <c r="S1716" s="64">
        <v>6</v>
      </c>
      <c r="T1716" s="1942">
        <v>26986618</v>
      </c>
      <c r="U1716" s="3454">
        <f>9-S1716</f>
        <v>3</v>
      </c>
      <c r="V1716" s="3455">
        <v>23789600</v>
      </c>
      <c r="W1716" s="3454"/>
      <c r="X1716" s="3454"/>
      <c r="Y1716" s="1945">
        <f>Q1716+S1716+U1716</f>
        <v>9</v>
      </c>
      <c r="Z1716" s="1942">
        <f>R1716+T1716+V1716</f>
        <v>69266918</v>
      </c>
      <c r="AA1716" s="1943">
        <f t="shared" si="569"/>
        <v>33</v>
      </c>
      <c r="AB1716" s="1944">
        <f t="shared" si="568"/>
        <v>402068985</v>
      </c>
      <c r="AC1716" s="2724">
        <f t="shared" ref="AC1716:AD1731" si="570">AA1716/K1716*100</f>
        <v>91.666666666666657</v>
      </c>
      <c r="AD1716" s="2724">
        <f t="shared" si="570"/>
        <v>59.565775555555554</v>
      </c>
      <c r="AE1716" s="3381"/>
    </row>
    <row r="1717" spans="1:31" s="63" customFormat="1" ht="37.5" customHeight="1">
      <c r="A1717" s="385"/>
      <c r="B1717" s="383"/>
      <c r="C1717" s="2071" t="s">
        <v>197</v>
      </c>
      <c r="D1717" s="2071" t="s">
        <v>2558</v>
      </c>
      <c r="E1717" s="2071" t="s">
        <v>107</v>
      </c>
      <c r="F1717" s="2071" t="s">
        <v>66</v>
      </c>
      <c r="G1717" s="2071" t="s">
        <v>67</v>
      </c>
      <c r="H1717" s="2071" t="s">
        <v>459</v>
      </c>
      <c r="I1717" s="1936" t="s">
        <v>2633</v>
      </c>
      <c r="J1717" s="3382" t="s">
        <v>2634</v>
      </c>
      <c r="K1717" s="1952">
        <f>150*2</f>
        <v>300</v>
      </c>
      <c r="L1717" s="1947">
        <v>116000000</v>
      </c>
      <c r="M1717" s="1939">
        <v>150</v>
      </c>
      <c r="N1717" s="1940">
        <f>19725850+25697450</f>
        <v>45423300</v>
      </c>
      <c r="O1717" s="1952">
        <v>150</v>
      </c>
      <c r="P1717" s="1971">
        <v>42299812.5</v>
      </c>
      <c r="Q1717" s="1939">
        <v>50</v>
      </c>
      <c r="R1717" s="1940">
        <v>20811000</v>
      </c>
      <c r="S1717" s="64">
        <f>85-Q1717</f>
        <v>35</v>
      </c>
      <c r="T1717" s="1942">
        <v>6471400</v>
      </c>
      <c r="U1717" s="3454">
        <f>135-Q1717-S1717</f>
        <v>50</v>
      </c>
      <c r="V1717" s="3455">
        <v>9380200</v>
      </c>
      <c r="W1717" s="3454"/>
      <c r="X1717" s="3454"/>
      <c r="Y1717" s="1945">
        <f>Q1717+S1717+U1717</f>
        <v>135</v>
      </c>
      <c r="Z1717" s="1942">
        <f>R1717+T1717+V1717</f>
        <v>36662600</v>
      </c>
      <c r="AA1717" s="1943">
        <f t="shared" si="569"/>
        <v>285</v>
      </c>
      <c r="AB1717" s="1944">
        <f t="shared" si="568"/>
        <v>82085900</v>
      </c>
      <c r="AC1717" s="2724">
        <f t="shared" si="570"/>
        <v>95</v>
      </c>
      <c r="AD1717" s="2724">
        <f t="shared" si="570"/>
        <v>70.763706896551724</v>
      </c>
      <c r="AE1717" s="3381"/>
    </row>
    <row r="1718" spans="1:31" s="63" customFormat="1" ht="55.5" customHeight="1">
      <c r="A1718" s="385"/>
      <c r="B1718" s="383"/>
      <c r="C1718" s="2071" t="s">
        <v>197</v>
      </c>
      <c r="D1718" s="2071" t="s">
        <v>2558</v>
      </c>
      <c r="E1718" s="2071" t="s">
        <v>107</v>
      </c>
      <c r="F1718" s="2071" t="s">
        <v>66</v>
      </c>
      <c r="G1718" s="2071" t="s">
        <v>67</v>
      </c>
      <c r="H1718" s="2071" t="s">
        <v>178</v>
      </c>
      <c r="I1718" s="1936" t="s">
        <v>2635</v>
      </c>
      <c r="J1718" s="3382" t="s">
        <v>2636</v>
      </c>
      <c r="K1718" s="1938">
        <v>15</v>
      </c>
      <c r="L1718" s="1947">
        <v>130000000</v>
      </c>
      <c r="M1718" s="1939"/>
      <c r="N1718" s="64"/>
      <c r="O1718" s="1938">
        <v>15</v>
      </c>
      <c r="P1718" s="1971">
        <v>122100000</v>
      </c>
      <c r="Q1718" s="1959"/>
      <c r="R1718" s="1940">
        <v>10140000</v>
      </c>
      <c r="S1718" s="64">
        <v>15</v>
      </c>
      <c r="T1718" s="1942">
        <v>876000</v>
      </c>
      <c r="U1718" s="3454"/>
      <c r="V1718" s="3455">
        <v>90000</v>
      </c>
      <c r="W1718" s="3454"/>
      <c r="X1718" s="3454"/>
      <c r="Y1718" s="1945">
        <f>Q1718+S1718</f>
        <v>15</v>
      </c>
      <c r="Z1718" s="1942">
        <f>R1718+T1718+V1718</f>
        <v>11106000</v>
      </c>
      <c r="AA1718" s="1943">
        <f t="shared" si="569"/>
        <v>15</v>
      </c>
      <c r="AB1718" s="1944">
        <f t="shared" si="568"/>
        <v>11106000</v>
      </c>
      <c r="AC1718" s="2724">
        <f t="shared" si="570"/>
        <v>100</v>
      </c>
      <c r="AD1718" s="2724">
        <f t="shared" si="570"/>
        <v>8.5430769230769226</v>
      </c>
      <c r="AE1718" s="3381"/>
    </row>
    <row r="1719" spans="1:31" s="63" customFormat="1" ht="135.75" customHeight="1">
      <c r="A1719" s="3461">
        <v>12</v>
      </c>
      <c r="B1719" s="3462" t="s">
        <v>4223</v>
      </c>
      <c r="C1719" s="3844">
        <v>10</v>
      </c>
      <c r="D1719" s="3844" t="s">
        <v>2558</v>
      </c>
      <c r="E1719" s="3844" t="s">
        <v>107</v>
      </c>
      <c r="F1719" s="3844" t="s">
        <v>66</v>
      </c>
      <c r="G1719" s="3844" t="s">
        <v>167</v>
      </c>
      <c r="H1719" s="3844"/>
      <c r="I1719" s="3462" t="s">
        <v>2637</v>
      </c>
      <c r="J1719" s="3462" t="s">
        <v>2638</v>
      </c>
      <c r="K1719" s="3491">
        <v>160</v>
      </c>
      <c r="L1719" s="3471">
        <f>SUM(L1720:L1723)</f>
        <v>11070000000</v>
      </c>
      <c r="M1719" s="3503">
        <f>25+27</f>
        <v>52</v>
      </c>
      <c r="N1719" s="3468">
        <f>SUM(N1720:N1723)</f>
        <v>3046661947</v>
      </c>
      <c r="O1719" s="3491">
        <v>27</v>
      </c>
      <c r="P1719" s="3468">
        <f>SUM(P1720:P1723)</f>
        <v>750362759</v>
      </c>
      <c r="Q1719" s="3465">
        <v>8</v>
      </c>
      <c r="R1719" s="3468">
        <f>SUM(R1720:R1723)</f>
        <v>94803646</v>
      </c>
      <c r="S1719" s="3483">
        <v>8</v>
      </c>
      <c r="T1719" s="3489">
        <f>SUM(T1720:T1723)</f>
        <v>250365040</v>
      </c>
      <c r="U1719" s="3490">
        <v>7</v>
      </c>
      <c r="V1719" s="3468">
        <f>SUM(V1720:V1723)</f>
        <v>216522815</v>
      </c>
      <c r="W1719" s="3490"/>
      <c r="X1719" s="3490"/>
      <c r="Y1719" s="3470">
        <f t="shared" ref="Y1719:Z1723" si="571">Q1719+S1719+U1719</f>
        <v>23</v>
      </c>
      <c r="Z1719" s="3471">
        <f t="shared" si="571"/>
        <v>561691501</v>
      </c>
      <c r="AA1719" s="3467">
        <f>M1719+Y1719</f>
        <v>75</v>
      </c>
      <c r="AB1719" s="3471">
        <f t="shared" si="568"/>
        <v>3608353448</v>
      </c>
      <c r="AC1719" s="3474">
        <f t="shared" si="570"/>
        <v>46.875</v>
      </c>
      <c r="AD1719" s="3474">
        <f>AB1719/L1719*100</f>
        <v>32.595785438121048</v>
      </c>
      <c r="AE1719" s="3475"/>
    </row>
    <row r="1720" spans="1:31" s="63" customFormat="1" ht="45.75" customHeight="1">
      <c r="A1720" s="385"/>
      <c r="B1720" s="383"/>
      <c r="C1720" s="2071">
        <v>10</v>
      </c>
      <c r="D1720" s="2071" t="s">
        <v>2558</v>
      </c>
      <c r="E1720" s="2071" t="s">
        <v>107</v>
      </c>
      <c r="F1720" s="2071" t="s">
        <v>66</v>
      </c>
      <c r="G1720" s="2071" t="s">
        <v>167</v>
      </c>
      <c r="H1720" s="2071" t="s">
        <v>66</v>
      </c>
      <c r="I1720" s="3382" t="s">
        <v>2639</v>
      </c>
      <c r="J1720" s="3382" t="s">
        <v>2640</v>
      </c>
      <c r="K1720" s="1952">
        <v>160</v>
      </c>
      <c r="L1720" s="1947">
        <v>4100000000</v>
      </c>
      <c r="M1720" s="1983">
        <f>25+27</f>
        <v>52</v>
      </c>
      <c r="N1720" s="1940">
        <f>636878350+529505010</f>
        <v>1166383360</v>
      </c>
      <c r="O1720" s="1952">
        <v>27</v>
      </c>
      <c r="P1720" s="1971">
        <v>268363355</v>
      </c>
      <c r="Q1720" s="1939">
        <v>8</v>
      </c>
      <c r="R1720" s="1940">
        <v>5318821</v>
      </c>
      <c r="S1720" s="64">
        <v>8</v>
      </c>
      <c r="T1720" s="1689">
        <v>98812000</v>
      </c>
      <c r="U1720" s="3454">
        <f>23-Q1720-S1720</f>
        <v>7</v>
      </c>
      <c r="V1720" s="3455">
        <v>92206683</v>
      </c>
      <c r="W1720" s="3454"/>
      <c r="X1720" s="3454"/>
      <c r="Y1720" s="1945">
        <f t="shared" si="571"/>
        <v>23</v>
      </c>
      <c r="Z1720" s="1942">
        <f t="shared" si="571"/>
        <v>196337504</v>
      </c>
      <c r="AA1720" s="1943">
        <f t="shared" ref="AA1720:AB1724" si="572">M1720+Y1720</f>
        <v>75</v>
      </c>
      <c r="AB1720" s="1944">
        <f t="shared" si="572"/>
        <v>1362720864</v>
      </c>
      <c r="AC1720" s="2724">
        <f t="shared" si="570"/>
        <v>46.875</v>
      </c>
      <c r="AD1720" s="2724">
        <f>AB1720/L1720*100</f>
        <v>33.23709424390244</v>
      </c>
      <c r="AE1720" s="3381" t="s">
        <v>2641</v>
      </c>
    </row>
    <row r="1721" spans="1:31" s="63" customFormat="1" ht="51" customHeight="1">
      <c r="A1721" s="385"/>
      <c r="B1721" s="383"/>
      <c r="C1721" s="2071">
        <v>10</v>
      </c>
      <c r="D1721" s="2071" t="s">
        <v>2558</v>
      </c>
      <c r="E1721" s="2071" t="s">
        <v>107</v>
      </c>
      <c r="F1721" s="2071" t="s">
        <v>66</v>
      </c>
      <c r="G1721" s="2071" t="s">
        <v>167</v>
      </c>
      <c r="H1721" s="2071" t="s">
        <v>95</v>
      </c>
      <c r="I1721" s="3382" t="s">
        <v>2642</v>
      </c>
      <c r="J1721" s="3382" t="s">
        <v>2643</v>
      </c>
      <c r="K1721" s="2761">
        <v>14700</v>
      </c>
      <c r="L1721" s="2144">
        <v>1800000000</v>
      </c>
      <c r="M1721" s="2165">
        <f>2400+2400</f>
        <v>4800</v>
      </c>
      <c r="N1721" s="2047">
        <f>132216226+208600385</f>
        <v>340816611</v>
      </c>
      <c r="O1721" s="3088">
        <v>2400</v>
      </c>
      <c r="P1721" s="1941">
        <v>135705690</v>
      </c>
      <c r="Q1721" s="2129">
        <v>1000</v>
      </c>
      <c r="R1721" s="2047">
        <v>16020835</v>
      </c>
      <c r="S1721" s="385">
        <v>500</v>
      </c>
      <c r="T1721" s="386">
        <v>49468040</v>
      </c>
      <c r="U1721" s="3454">
        <f>1750-Q1721-S1721</f>
        <v>250</v>
      </c>
      <c r="V1721" s="3455">
        <v>11703582</v>
      </c>
      <c r="W1721" s="3454"/>
      <c r="X1721" s="3454"/>
      <c r="Y1721" s="1945">
        <f t="shared" si="571"/>
        <v>1750</v>
      </c>
      <c r="Z1721" s="1942">
        <f t="shared" si="571"/>
        <v>77192457</v>
      </c>
      <c r="AA1721" s="1943">
        <f t="shared" si="572"/>
        <v>6550</v>
      </c>
      <c r="AB1721" s="1944">
        <f t="shared" si="572"/>
        <v>418009068</v>
      </c>
      <c r="AC1721" s="2723">
        <f t="shared" si="570"/>
        <v>44.557823129251702</v>
      </c>
      <c r="AD1721" s="2723">
        <f>AB1721/L1721*100</f>
        <v>23.222725999999998</v>
      </c>
      <c r="AE1721" s="3373"/>
    </row>
    <row r="1722" spans="1:31" s="63" customFormat="1" ht="29.25" customHeight="1">
      <c r="A1722" s="385"/>
      <c r="B1722" s="383"/>
      <c r="C1722" s="2071">
        <v>10</v>
      </c>
      <c r="D1722" s="2071" t="s">
        <v>2558</v>
      </c>
      <c r="E1722" s="2071" t="s">
        <v>107</v>
      </c>
      <c r="F1722" s="2071" t="s">
        <v>66</v>
      </c>
      <c r="G1722" s="2071" t="s">
        <v>167</v>
      </c>
      <c r="H1722" s="2071" t="s">
        <v>198</v>
      </c>
      <c r="I1722" s="3382" t="s">
        <v>649</v>
      </c>
      <c r="J1722" s="3382" t="s">
        <v>2644</v>
      </c>
      <c r="K1722" s="1938">
        <v>320</v>
      </c>
      <c r="L1722" s="1947">
        <v>4800000000</v>
      </c>
      <c r="M1722" s="1983">
        <f>40+50</f>
        <v>90</v>
      </c>
      <c r="N1722" s="1940">
        <f>728365964+811096012</f>
        <v>1539461976</v>
      </c>
      <c r="O1722" s="1938">
        <v>50</v>
      </c>
      <c r="P1722" s="1971">
        <v>285789262</v>
      </c>
      <c r="Q1722" s="1939">
        <v>20</v>
      </c>
      <c r="R1722" s="1940">
        <v>73463990</v>
      </c>
      <c r="S1722" s="64">
        <v>7</v>
      </c>
      <c r="T1722" s="1689">
        <v>98867000</v>
      </c>
      <c r="U1722" s="3454">
        <f>45-Q1722-S1722</f>
        <v>18</v>
      </c>
      <c r="V1722" s="3455">
        <v>74238153</v>
      </c>
      <c r="W1722" s="3454"/>
      <c r="X1722" s="3454"/>
      <c r="Y1722" s="1945">
        <f t="shared" si="571"/>
        <v>45</v>
      </c>
      <c r="Z1722" s="1942">
        <f t="shared" si="571"/>
        <v>246569143</v>
      </c>
      <c r="AA1722" s="1943">
        <f t="shared" si="572"/>
        <v>135</v>
      </c>
      <c r="AB1722" s="1944">
        <f t="shared" si="572"/>
        <v>1786031119</v>
      </c>
      <c r="AC1722" s="2724">
        <f t="shared" si="570"/>
        <v>42.1875</v>
      </c>
      <c r="AD1722" s="2724">
        <f>AB1722/L1722*100</f>
        <v>37.208981645833333</v>
      </c>
      <c r="AE1722" s="3381"/>
    </row>
    <row r="1723" spans="1:31" s="63" customFormat="1" ht="53.25" customHeight="1">
      <c r="A1723" s="385"/>
      <c r="B1723" s="383"/>
      <c r="C1723" s="2071">
        <v>10</v>
      </c>
      <c r="D1723" s="2071" t="s">
        <v>2558</v>
      </c>
      <c r="E1723" s="2071" t="s">
        <v>107</v>
      </c>
      <c r="F1723" s="2071" t="s">
        <v>66</v>
      </c>
      <c r="G1723" s="2071" t="s">
        <v>167</v>
      </c>
      <c r="H1723" s="2071" t="s">
        <v>93</v>
      </c>
      <c r="I1723" s="3382" t="s">
        <v>2645</v>
      </c>
      <c r="J1723" s="3382" t="s">
        <v>2646</v>
      </c>
      <c r="K1723" s="1938">
        <v>130</v>
      </c>
      <c r="L1723" s="1947">
        <v>370000000</v>
      </c>
      <c r="M1723" s="1939"/>
      <c r="N1723" s="64"/>
      <c r="O1723" s="1938">
        <v>30</v>
      </c>
      <c r="P1723" s="1971">
        <v>60504452</v>
      </c>
      <c r="Q1723" s="1939"/>
      <c r="R1723" s="1940"/>
      <c r="S1723" s="64"/>
      <c r="T1723" s="1689">
        <v>3218000</v>
      </c>
      <c r="U1723" s="3454">
        <v>30</v>
      </c>
      <c r="V1723" s="3455">
        <v>38374397</v>
      </c>
      <c r="W1723" s="3454"/>
      <c r="X1723" s="3454"/>
      <c r="Y1723" s="1945">
        <f t="shared" si="571"/>
        <v>30</v>
      </c>
      <c r="Z1723" s="1942">
        <f t="shared" si="571"/>
        <v>41592397</v>
      </c>
      <c r="AA1723" s="1943">
        <f t="shared" si="572"/>
        <v>30</v>
      </c>
      <c r="AB1723" s="1944">
        <f t="shared" si="572"/>
        <v>41592397</v>
      </c>
      <c r="AC1723" s="2724">
        <f t="shared" si="570"/>
        <v>23.076923076923077</v>
      </c>
      <c r="AD1723" s="2724">
        <f>AB1723/L1723*100</f>
        <v>11.241188378378379</v>
      </c>
      <c r="AE1723" s="3381"/>
    </row>
    <row r="1724" spans="1:31" s="145" customFormat="1" ht="87" customHeight="1">
      <c r="A1724" s="3461">
        <v>13</v>
      </c>
      <c r="B1724" s="3463" t="s">
        <v>4219</v>
      </c>
      <c r="C1724" s="3844" t="s">
        <v>391</v>
      </c>
      <c r="D1724" s="3844" t="s">
        <v>2558</v>
      </c>
      <c r="E1724" s="3844" t="s">
        <v>107</v>
      </c>
      <c r="F1724" s="3844" t="s">
        <v>66</v>
      </c>
      <c r="G1724" s="3844" t="s">
        <v>166</v>
      </c>
      <c r="H1724" s="3844"/>
      <c r="I1724" s="3462" t="s">
        <v>3900</v>
      </c>
      <c r="J1724" s="3462" t="s">
        <v>2647</v>
      </c>
      <c r="K1724" s="3496">
        <v>69</v>
      </c>
      <c r="L1724" s="3487">
        <f>L1725</f>
        <v>345000000</v>
      </c>
      <c r="M1724" s="3465">
        <v>6</v>
      </c>
      <c r="N1724" s="3501">
        <f>N1725</f>
        <v>66593200</v>
      </c>
      <c r="O1724" s="3496">
        <v>3</v>
      </c>
      <c r="P1724" s="3497">
        <f>P1725</f>
        <v>41080642</v>
      </c>
      <c r="Q1724" s="3465">
        <v>0</v>
      </c>
      <c r="R1724" s="3469">
        <f>R1725</f>
        <v>500000</v>
      </c>
      <c r="S1724" s="3483">
        <v>1</v>
      </c>
      <c r="T1724" s="3501">
        <f>T1725</f>
        <v>6391000</v>
      </c>
      <c r="U1724" s="3484">
        <v>2</v>
      </c>
      <c r="V1724" s="3504">
        <f>V1725</f>
        <v>11488600</v>
      </c>
      <c r="W1724" s="3484"/>
      <c r="X1724" s="3484"/>
      <c r="Y1724" s="3470">
        <f>Q1724+S1724+U1724</f>
        <v>3</v>
      </c>
      <c r="Z1724" s="3471">
        <f>R1724+T1724+V1724</f>
        <v>18379600</v>
      </c>
      <c r="AA1724" s="3467">
        <f>M1724+Y1724</f>
        <v>9</v>
      </c>
      <c r="AB1724" s="3471">
        <f t="shared" si="572"/>
        <v>84972800</v>
      </c>
      <c r="AC1724" s="3474">
        <f t="shared" si="570"/>
        <v>13.043478260869565</v>
      </c>
      <c r="AD1724" s="3474">
        <f t="shared" si="570"/>
        <v>24.629797101449274</v>
      </c>
      <c r="AE1724" s="3475"/>
    </row>
    <row r="1725" spans="1:31" s="63" customFormat="1" ht="32.25" customHeight="1">
      <c r="A1725" s="385"/>
      <c r="B1725" s="383"/>
      <c r="C1725" s="2071" t="s">
        <v>391</v>
      </c>
      <c r="D1725" s="2071" t="s">
        <v>2558</v>
      </c>
      <c r="E1725" s="2071" t="s">
        <v>107</v>
      </c>
      <c r="F1725" s="2071" t="s">
        <v>66</v>
      </c>
      <c r="G1725" s="2071" t="s">
        <v>166</v>
      </c>
      <c r="H1725" s="2071" t="s">
        <v>197</v>
      </c>
      <c r="I1725" s="3382" t="s">
        <v>3901</v>
      </c>
      <c r="J1725" s="3382" t="s">
        <v>3902</v>
      </c>
      <c r="K1725" s="1938">
        <v>69</v>
      </c>
      <c r="L1725" s="1947">
        <v>345000000</v>
      </c>
      <c r="M1725" s="1939">
        <v>6</v>
      </c>
      <c r="N1725" s="1689">
        <v>66593200</v>
      </c>
      <c r="O1725" s="1938">
        <v>3</v>
      </c>
      <c r="P1725" s="1971">
        <v>41080642</v>
      </c>
      <c r="Q1725" s="1939">
        <v>0</v>
      </c>
      <c r="R1725" s="1940">
        <v>500000</v>
      </c>
      <c r="S1725" s="64">
        <v>1</v>
      </c>
      <c r="T1725" s="1689">
        <v>6391000</v>
      </c>
      <c r="U1725" s="3454">
        <f>3-S1725</f>
        <v>2</v>
      </c>
      <c r="V1725" s="3455">
        <v>11488600</v>
      </c>
      <c r="W1725" s="3454"/>
      <c r="X1725" s="3454"/>
      <c r="Y1725" s="1945">
        <f>S1725+U1725</f>
        <v>3</v>
      </c>
      <c r="Z1725" s="1942">
        <f>R1725+T1725+V1725</f>
        <v>18379600</v>
      </c>
      <c r="AA1725" s="1943">
        <f>M1725+Y1725</f>
        <v>9</v>
      </c>
      <c r="AB1725" s="1944">
        <f>N1725+Z1725</f>
        <v>84972800</v>
      </c>
      <c r="AC1725" s="2724">
        <f t="shared" si="570"/>
        <v>13.043478260869565</v>
      </c>
      <c r="AD1725" s="2724">
        <f t="shared" si="570"/>
        <v>24.629797101449274</v>
      </c>
      <c r="AE1725" s="3381"/>
    </row>
    <row r="1726" spans="1:31" s="63" customFormat="1" ht="79.5" customHeight="1">
      <c r="A1726" s="3461">
        <v>14</v>
      </c>
      <c r="B1726" s="3463" t="s">
        <v>4219</v>
      </c>
      <c r="C1726" s="3844" t="s">
        <v>391</v>
      </c>
      <c r="D1726" s="3844" t="s">
        <v>2558</v>
      </c>
      <c r="E1726" s="3844" t="s">
        <v>107</v>
      </c>
      <c r="F1726" s="3844" t="s">
        <v>66</v>
      </c>
      <c r="G1726" s="3844" t="s">
        <v>376</v>
      </c>
      <c r="H1726" s="3844"/>
      <c r="I1726" s="3462" t="s">
        <v>2648</v>
      </c>
      <c r="J1726" s="3462" t="s">
        <v>2649</v>
      </c>
      <c r="K1726" s="3495">
        <v>555</v>
      </c>
      <c r="L1726" s="3487">
        <f>L1727</f>
        <v>295000000</v>
      </c>
      <c r="M1726" s="3465">
        <f>85+90</f>
        <v>175</v>
      </c>
      <c r="N1726" s="3469">
        <f>N1727</f>
        <v>50089800</v>
      </c>
      <c r="O1726" s="3495">
        <v>95</v>
      </c>
      <c r="P1726" s="3468">
        <f>P1727</f>
        <v>33738400.75</v>
      </c>
      <c r="Q1726" s="3465">
        <v>50</v>
      </c>
      <c r="R1726" s="3469">
        <f>R1727</f>
        <v>5150000</v>
      </c>
      <c r="S1726" s="3483">
        <v>25</v>
      </c>
      <c r="T1726" s="3501">
        <f>T1727</f>
        <v>8026000</v>
      </c>
      <c r="U1726" s="3490">
        <v>10</v>
      </c>
      <c r="V1726" s="3504">
        <f>V1727</f>
        <v>4793600</v>
      </c>
      <c r="W1726" s="3484"/>
      <c r="X1726" s="3484"/>
      <c r="Y1726" s="3470">
        <f>Q1726+S1726+U1726</f>
        <v>85</v>
      </c>
      <c r="Z1726" s="3471">
        <f>R1726+T1726+T1726+V1726</f>
        <v>25995600</v>
      </c>
      <c r="AA1726" s="3467">
        <f>M1726+Y1726</f>
        <v>260</v>
      </c>
      <c r="AB1726" s="3471">
        <f>N1726+Z1726</f>
        <v>76085400</v>
      </c>
      <c r="AC1726" s="3474">
        <f t="shared" si="570"/>
        <v>46.846846846846844</v>
      </c>
      <c r="AD1726" s="3474">
        <f t="shared" si="570"/>
        <v>25.791661016949153</v>
      </c>
      <c r="AE1726" s="3475"/>
    </row>
    <row r="1727" spans="1:31" s="63" customFormat="1" ht="46.5" customHeight="1">
      <c r="A1727" s="385"/>
      <c r="B1727" s="383"/>
      <c r="C1727" s="2071" t="s">
        <v>391</v>
      </c>
      <c r="D1727" s="2071" t="s">
        <v>2558</v>
      </c>
      <c r="E1727" s="2071" t="s">
        <v>107</v>
      </c>
      <c r="F1727" s="2071" t="s">
        <v>66</v>
      </c>
      <c r="G1727" s="2071" t="s">
        <v>376</v>
      </c>
      <c r="H1727" s="2071" t="s">
        <v>167</v>
      </c>
      <c r="I1727" s="3382" t="s">
        <v>2650</v>
      </c>
      <c r="J1727" s="3382" t="s">
        <v>2651</v>
      </c>
      <c r="K1727" s="1938">
        <f>24*6</f>
        <v>144</v>
      </c>
      <c r="L1727" s="1947">
        <v>295000000</v>
      </c>
      <c r="M1727" s="1939">
        <f>24*2</f>
        <v>48</v>
      </c>
      <c r="N1727" s="1940">
        <f>22191000+27898800</f>
        <v>50089800</v>
      </c>
      <c r="O1727" s="1938">
        <v>24</v>
      </c>
      <c r="P1727" s="1971">
        <v>33738400.75</v>
      </c>
      <c r="Q1727" s="1939">
        <v>6</v>
      </c>
      <c r="R1727" s="1940">
        <v>5150000</v>
      </c>
      <c r="S1727" s="64">
        <v>6</v>
      </c>
      <c r="T1727" s="1689">
        <v>8026000</v>
      </c>
      <c r="U1727" s="3454">
        <f>16-Q1727-S1727</f>
        <v>4</v>
      </c>
      <c r="V1727" s="3455">
        <v>4793600</v>
      </c>
      <c r="W1727" s="3454"/>
      <c r="X1727" s="3454"/>
      <c r="Y1727" s="1945">
        <f>Q1727+S1727+U1727</f>
        <v>16</v>
      </c>
      <c r="Z1727" s="1942">
        <f>R1727+T1727+V1727</f>
        <v>17969600</v>
      </c>
      <c r="AA1727" s="1943">
        <f t="shared" ref="AA1727:AB1730" si="573">M1727+Y1727</f>
        <v>64</v>
      </c>
      <c r="AB1727" s="1944">
        <f t="shared" si="573"/>
        <v>68059400</v>
      </c>
      <c r="AC1727" s="2724">
        <f t="shared" si="570"/>
        <v>44.444444444444443</v>
      </c>
      <c r="AD1727" s="2724">
        <f t="shared" si="570"/>
        <v>23.070983050847456</v>
      </c>
      <c r="AE1727" s="3381"/>
    </row>
    <row r="1728" spans="1:31" s="63" customFormat="1" ht="71.25" customHeight="1">
      <c r="A1728" s="3461">
        <v>15</v>
      </c>
      <c r="B1728" s="3462" t="s">
        <v>4217</v>
      </c>
      <c r="C1728" s="3844" t="s">
        <v>167</v>
      </c>
      <c r="D1728" s="3844" t="s">
        <v>2558</v>
      </c>
      <c r="E1728" s="3844" t="s">
        <v>107</v>
      </c>
      <c r="F1728" s="3844" t="s">
        <v>66</v>
      </c>
      <c r="G1728" s="3844" t="s">
        <v>166</v>
      </c>
      <c r="H1728" s="3844"/>
      <c r="I1728" s="3462" t="s">
        <v>2652</v>
      </c>
      <c r="J1728" s="3464" t="s">
        <v>2653</v>
      </c>
      <c r="K1728" s="3465">
        <v>490</v>
      </c>
      <c r="L1728" s="3466">
        <f>L1729</f>
        <v>1385000000</v>
      </c>
      <c r="M1728" s="3465">
        <f>70+75</f>
        <v>145</v>
      </c>
      <c r="N1728" s="3471">
        <f>N1729</f>
        <v>268296673</v>
      </c>
      <c r="O1728" s="3465">
        <v>80</v>
      </c>
      <c r="P1728" s="3468">
        <f>P1729</f>
        <v>60795772</v>
      </c>
      <c r="Q1728" s="3465">
        <v>40</v>
      </c>
      <c r="R1728" s="3471">
        <f>R1729</f>
        <v>5032000</v>
      </c>
      <c r="S1728" s="3483">
        <v>20</v>
      </c>
      <c r="T1728" s="3501">
        <f>SUM(T1729)</f>
        <v>18603000</v>
      </c>
      <c r="U1728" s="3490">
        <f>70-Q1728-S1728</f>
        <v>10</v>
      </c>
      <c r="V1728" s="3504">
        <f>V1729</f>
        <v>10887000</v>
      </c>
      <c r="W1728" s="3490"/>
      <c r="X1728" s="3490"/>
      <c r="Y1728" s="3470">
        <f>Q1728+S1728+U1728</f>
        <v>70</v>
      </c>
      <c r="Z1728" s="3471">
        <f>R1728+T1728</f>
        <v>23635000</v>
      </c>
      <c r="AA1728" s="3467">
        <f>M1728+Y1728</f>
        <v>215</v>
      </c>
      <c r="AB1728" s="3471">
        <f t="shared" si="573"/>
        <v>291931673</v>
      </c>
      <c r="AC1728" s="3474">
        <f t="shared" si="570"/>
        <v>43.877551020408163</v>
      </c>
      <c r="AD1728" s="3474">
        <f t="shared" si="570"/>
        <v>21.078099133574007</v>
      </c>
      <c r="AE1728" s="3475"/>
    </row>
    <row r="1729" spans="1:31" s="63" customFormat="1" ht="41.25" customHeight="1">
      <c r="A1729" s="385"/>
      <c r="B1729" s="383"/>
      <c r="C1729" s="2071" t="s">
        <v>167</v>
      </c>
      <c r="D1729" s="2071" t="s">
        <v>2558</v>
      </c>
      <c r="E1729" s="2071" t="s">
        <v>107</v>
      </c>
      <c r="F1729" s="2071" t="s">
        <v>66</v>
      </c>
      <c r="G1729" s="2071" t="s">
        <v>166</v>
      </c>
      <c r="H1729" s="2071" t="s">
        <v>65</v>
      </c>
      <c r="I1729" s="3382" t="s">
        <v>2654</v>
      </c>
      <c r="J1729" s="3382" t="s">
        <v>2655</v>
      </c>
      <c r="K1729" s="1952">
        <v>14000</v>
      </c>
      <c r="L1729" s="1947">
        <v>1385000000</v>
      </c>
      <c r="M1729" s="1939">
        <f>2000+2000</f>
        <v>4000</v>
      </c>
      <c r="N1729" s="1940">
        <f>119109000+149187673</f>
        <v>268296673</v>
      </c>
      <c r="O1729" s="1952">
        <v>2500</v>
      </c>
      <c r="P1729" s="1941">
        <v>60795772</v>
      </c>
      <c r="Q1729" s="1939">
        <v>1000</v>
      </c>
      <c r="R1729" s="1940">
        <v>5032000</v>
      </c>
      <c r="S1729" s="64">
        <v>400</v>
      </c>
      <c r="T1729" s="1689">
        <v>18603000</v>
      </c>
      <c r="U1729" s="3454">
        <f>2100-Q1729-S1729</f>
        <v>700</v>
      </c>
      <c r="V1729" s="3455">
        <v>10887000</v>
      </c>
      <c r="W1729" s="3454"/>
      <c r="X1729" s="3454"/>
      <c r="Y1729" s="1939">
        <f>Q1729+S1729+U1729</f>
        <v>2100</v>
      </c>
      <c r="Z1729" s="1942">
        <f>R1729+T1729</f>
        <v>23635000</v>
      </c>
      <c r="AA1729" s="1943">
        <f>M1729+Y1729</f>
        <v>6100</v>
      </c>
      <c r="AB1729" s="1944">
        <f t="shared" si="573"/>
        <v>291931673</v>
      </c>
      <c r="AC1729" s="2724">
        <f t="shared" si="570"/>
        <v>43.571428571428569</v>
      </c>
      <c r="AD1729" s="2724">
        <f t="shared" si="570"/>
        <v>21.078099133574007</v>
      </c>
      <c r="AE1729" s="3381"/>
    </row>
    <row r="1730" spans="1:31" s="63" customFormat="1" ht="87.75" customHeight="1">
      <c r="A1730" s="3461">
        <v>16</v>
      </c>
      <c r="B1730" s="3462" t="s">
        <v>4221</v>
      </c>
      <c r="C1730" s="3844" t="s">
        <v>197</v>
      </c>
      <c r="D1730" s="3844" t="s">
        <v>2558</v>
      </c>
      <c r="E1730" s="3844" t="s">
        <v>107</v>
      </c>
      <c r="F1730" s="3844" t="s">
        <v>66</v>
      </c>
      <c r="G1730" s="3844" t="s">
        <v>167</v>
      </c>
      <c r="H1730" s="3844"/>
      <c r="I1730" s="3463" t="s">
        <v>2656</v>
      </c>
      <c r="J1730" s="3462" t="s">
        <v>2657</v>
      </c>
      <c r="K1730" s="3505">
        <v>3</v>
      </c>
      <c r="L1730" s="3487">
        <f>L1731</f>
        <v>440000000</v>
      </c>
      <c r="M1730" s="3465"/>
      <c r="N1730" s="3483"/>
      <c r="O1730" s="3483"/>
      <c r="P1730" s="3468">
        <f>P1731</f>
        <v>45651400</v>
      </c>
      <c r="Q1730" s="3465">
        <v>1</v>
      </c>
      <c r="R1730" s="3469">
        <f>R1731</f>
        <v>3289000</v>
      </c>
      <c r="S1730" s="3483"/>
      <c r="T1730" s="3489">
        <f>T1731</f>
        <v>18406600</v>
      </c>
      <c r="U1730" s="3490"/>
      <c r="V1730" s="3504">
        <f>V1731</f>
        <v>6345000</v>
      </c>
      <c r="W1730" s="3490"/>
      <c r="X1730" s="3490"/>
      <c r="Y1730" s="3470">
        <f>Q1730+S1730</f>
        <v>1</v>
      </c>
      <c r="Z1730" s="3471">
        <f>R1730+T1730</f>
        <v>21695600</v>
      </c>
      <c r="AA1730" s="3467">
        <f>M1730+Y1730</f>
        <v>1</v>
      </c>
      <c r="AB1730" s="3471">
        <f t="shared" si="573"/>
        <v>21695600</v>
      </c>
      <c r="AC1730" s="3474">
        <f t="shared" si="570"/>
        <v>33.333333333333329</v>
      </c>
      <c r="AD1730" s="3474">
        <f t="shared" si="570"/>
        <v>4.9308181818181822</v>
      </c>
      <c r="AE1730" s="3475"/>
    </row>
    <row r="1731" spans="1:31" s="63" customFormat="1" ht="63" customHeight="1">
      <c r="A1731" s="385"/>
      <c r="B1731" s="383"/>
      <c r="C1731" s="2071" t="s">
        <v>197</v>
      </c>
      <c r="D1731" s="2071" t="s">
        <v>2558</v>
      </c>
      <c r="E1731" s="2071" t="s">
        <v>107</v>
      </c>
      <c r="F1731" s="2071" t="s">
        <v>66</v>
      </c>
      <c r="G1731" s="2071" t="s">
        <v>167</v>
      </c>
      <c r="H1731" s="2071" t="s">
        <v>2658</v>
      </c>
      <c r="I1731" s="2632" t="s">
        <v>2659</v>
      </c>
      <c r="J1731" s="3382" t="s">
        <v>2660</v>
      </c>
      <c r="K1731" s="1952">
        <v>90</v>
      </c>
      <c r="L1731" s="1947">
        <v>440000000</v>
      </c>
      <c r="M1731" s="1939"/>
      <c r="N1731" s="64"/>
      <c r="O1731" s="1952">
        <v>15</v>
      </c>
      <c r="P1731" s="1971">
        <v>45651400</v>
      </c>
      <c r="Q1731" s="1939">
        <v>2</v>
      </c>
      <c r="R1731" s="1940">
        <v>3289000</v>
      </c>
      <c r="S1731" s="64">
        <v>5</v>
      </c>
      <c r="T1731" s="1689">
        <v>18406600</v>
      </c>
      <c r="U1731" s="3454"/>
      <c r="V1731" s="3455">
        <v>6345000</v>
      </c>
      <c r="W1731" s="3454"/>
      <c r="X1731" s="3454"/>
      <c r="Y1731" s="1945">
        <f>Q1731+S1731</f>
        <v>7</v>
      </c>
      <c r="Z1731" s="1942">
        <f>R1731+T1731+V1731</f>
        <v>28040600</v>
      </c>
      <c r="AA1731" s="1943">
        <f>M1731+Y1731</f>
        <v>7</v>
      </c>
      <c r="AB1731" s="1944">
        <f>N1731+Z1731</f>
        <v>28040600</v>
      </c>
      <c r="AC1731" s="2724">
        <f t="shared" si="570"/>
        <v>7.7777777777777777</v>
      </c>
      <c r="AD1731" s="2724">
        <f t="shared" si="570"/>
        <v>6.3728636363636362</v>
      </c>
      <c r="AE1731" s="3381"/>
    </row>
    <row r="1732" spans="1:31" s="63" customFormat="1" ht="113.25" customHeight="1">
      <c r="A1732" s="3461">
        <v>17</v>
      </c>
      <c r="B1732" s="3462" t="s">
        <v>4217</v>
      </c>
      <c r="C1732" s="3844" t="s">
        <v>66</v>
      </c>
      <c r="D1732" s="3844" t="s">
        <v>2558</v>
      </c>
      <c r="E1732" s="3844" t="s">
        <v>107</v>
      </c>
      <c r="F1732" s="3844" t="s">
        <v>66</v>
      </c>
      <c r="G1732" s="3844" t="s">
        <v>376</v>
      </c>
      <c r="H1732" s="3844"/>
      <c r="I1732" s="3463" t="s">
        <v>2661</v>
      </c>
      <c r="J1732" s="3462" t="s">
        <v>2662</v>
      </c>
      <c r="K1732" s="3465">
        <v>450</v>
      </c>
      <c r="L1732" s="3471">
        <f>SUM(L1733:L1737)</f>
        <v>5490000000</v>
      </c>
      <c r="M1732" s="3465">
        <f>75+75</f>
        <v>150</v>
      </c>
      <c r="N1732" s="3471">
        <f>SUM(N1733:N1737)</f>
        <v>1374303662</v>
      </c>
      <c r="O1732" s="3465">
        <v>75</v>
      </c>
      <c r="P1732" s="3468">
        <f>SUM(P1733:P1737)</f>
        <v>312333192.25</v>
      </c>
      <c r="Q1732" s="3465">
        <v>50</v>
      </c>
      <c r="R1732" s="3468">
        <f>SUM(R1733:R1737)</f>
        <v>79602700</v>
      </c>
      <c r="S1732" s="3483">
        <v>10</v>
      </c>
      <c r="T1732" s="3471">
        <f>SUM(T1733:T1737)</f>
        <v>85978550</v>
      </c>
      <c r="U1732" s="3490">
        <f>75-Q1732-S1732</f>
        <v>15</v>
      </c>
      <c r="V1732" s="3468">
        <f>SUM(V1733:V1737)</f>
        <v>81785550</v>
      </c>
      <c r="W1732" s="3490"/>
      <c r="X1732" s="3490"/>
      <c r="Y1732" s="3470">
        <f t="shared" ref="Y1732:Z1738" si="574">Q1732+S1732+U1732</f>
        <v>75</v>
      </c>
      <c r="Z1732" s="3471">
        <f>R1732+T1732</f>
        <v>165581250</v>
      </c>
      <c r="AA1732" s="3467">
        <f>M1732+Y1732</f>
        <v>225</v>
      </c>
      <c r="AB1732" s="3471">
        <f t="shared" ref="AB1732:AB1737" si="575">N1732+Z1732</f>
        <v>1539884912</v>
      </c>
      <c r="AC1732" s="3474">
        <f t="shared" ref="AC1732:AD1747" si="576">AA1732/K1732*100</f>
        <v>50</v>
      </c>
      <c r="AD1732" s="3474">
        <f t="shared" si="576"/>
        <v>28.048905500910749</v>
      </c>
      <c r="AE1732" s="3475"/>
    </row>
    <row r="1733" spans="1:31" s="63" customFormat="1" ht="58.5" customHeight="1">
      <c r="A1733" s="385"/>
      <c r="B1733" s="383"/>
      <c r="C1733" s="2071" t="s">
        <v>66</v>
      </c>
      <c r="D1733" s="2071" t="s">
        <v>2558</v>
      </c>
      <c r="E1733" s="2071" t="s">
        <v>107</v>
      </c>
      <c r="F1733" s="2071" t="s">
        <v>66</v>
      </c>
      <c r="G1733" s="2071" t="s">
        <v>376</v>
      </c>
      <c r="H1733" s="2071" t="s">
        <v>376</v>
      </c>
      <c r="I1733" s="2003" t="s">
        <v>2663</v>
      </c>
      <c r="J1733" s="2003" t="s">
        <v>2664</v>
      </c>
      <c r="K1733" s="2119">
        <f>12*6</f>
        <v>72</v>
      </c>
      <c r="L1733" s="2144">
        <v>900000000</v>
      </c>
      <c r="M1733" s="2129">
        <v>24</v>
      </c>
      <c r="N1733" s="2047">
        <f>115713381+134311484</f>
        <v>250024865</v>
      </c>
      <c r="O1733" s="2119">
        <v>12</v>
      </c>
      <c r="P1733" s="1941">
        <v>59829797.75</v>
      </c>
      <c r="Q1733" s="2129">
        <v>3</v>
      </c>
      <c r="R1733" s="2047">
        <v>15991800</v>
      </c>
      <c r="S1733" s="64">
        <v>3</v>
      </c>
      <c r="T1733" s="1942">
        <v>15931500</v>
      </c>
      <c r="U1733" s="3454">
        <v>3</v>
      </c>
      <c r="V1733" s="3455">
        <v>22936500</v>
      </c>
      <c r="W1733" s="3454"/>
      <c r="X1733" s="3454"/>
      <c r="Y1733" s="1945">
        <f t="shared" si="574"/>
        <v>9</v>
      </c>
      <c r="Z1733" s="1942">
        <f t="shared" si="574"/>
        <v>54859800</v>
      </c>
      <c r="AA1733" s="1943">
        <f t="shared" ref="AA1733:AB1749" si="577">M1733+Y1733</f>
        <v>33</v>
      </c>
      <c r="AB1733" s="1944">
        <f t="shared" si="575"/>
        <v>304884665</v>
      </c>
      <c r="AC1733" s="2723">
        <f t="shared" si="576"/>
        <v>45.833333333333329</v>
      </c>
      <c r="AD1733" s="2723">
        <f t="shared" si="576"/>
        <v>33.876073888888889</v>
      </c>
      <c r="AE1733" s="3373" t="s">
        <v>2665</v>
      </c>
    </row>
    <row r="1734" spans="1:31" s="63" customFormat="1" ht="68.25" customHeight="1">
      <c r="A1734" s="385"/>
      <c r="B1734" s="383"/>
      <c r="C1734" s="2071" t="s">
        <v>66</v>
      </c>
      <c r="D1734" s="2071" t="s">
        <v>2558</v>
      </c>
      <c r="E1734" s="2071" t="s">
        <v>107</v>
      </c>
      <c r="F1734" s="2071" t="s">
        <v>66</v>
      </c>
      <c r="G1734" s="2071" t="s">
        <v>376</v>
      </c>
      <c r="H1734" s="2071" t="s">
        <v>363</v>
      </c>
      <c r="I1734" s="3382" t="s">
        <v>2666</v>
      </c>
      <c r="J1734" s="3382" t="s">
        <v>2667</v>
      </c>
      <c r="K1734" s="1938">
        <v>24</v>
      </c>
      <c r="L1734" s="1947">
        <v>730000000</v>
      </c>
      <c r="M1734" s="1939">
        <v>8</v>
      </c>
      <c r="N1734" s="1940">
        <f>62549618+54806400</f>
        <v>117356018</v>
      </c>
      <c r="O1734" s="1938">
        <v>4</v>
      </c>
      <c r="P1734" s="1971">
        <v>72959900</v>
      </c>
      <c r="Q1734" s="1939">
        <v>1</v>
      </c>
      <c r="R1734" s="1940">
        <v>9834700</v>
      </c>
      <c r="S1734" s="64">
        <v>0</v>
      </c>
      <c r="T1734" s="1942">
        <v>19617850</v>
      </c>
      <c r="U1734" s="3454">
        <f>3-Q1734</f>
        <v>2</v>
      </c>
      <c r="V1734" s="3455">
        <v>18264950</v>
      </c>
      <c r="W1734" s="3454"/>
      <c r="X1734" s="3454"/>
      <c r="Y1734" s="1945">
        <f t="shared" si="574"/>
        <v>3</v>
      </c>
      <c r="Z1734" s="1942">
        <f t="shared" si="574"/>
        <v>47717500</v>
      </c>
      <c r="AA1734" s="1943">
        <f t="shared" si="577"/>
        <v>11</v>
      </c>
      <c r="AB1734" s="1944">
        <f t="shared" si="575"/>
        <v>165073518</v>
      </c>
      <c r="AC1734" s="2724">
        <f t="shared" si="576"/>
        <v>45.833333333333329</v>
      </c>
      <c r="AD1734" s="2724">
        <f t="shared" si="576"/>
        <v>22.612810684931507</v>
      </c>
      <c r="AE1734" s="3381" t="s">
        <v>2668</v>
      </c>
    </row>
    <row r="1735" spans="1:31" s="63" customFormat="1" ht="48.75" customHeight="1">
      <c r="A1735" s="385"/>
      <c r="B1735" s="383"/>
      <c r="C1735" s="2071" t="s">
        <v>66</v>
      </c>
      <c r="D1735" s="2071" t="s">
        <v>2558</v>
      </c>
      <c r="E1735" s="2071" t="s">
        <v>107</v>
      </c>
      <c r="F1735" s="2071" t="s">
        <v>66</v>
      </c>
      <c r="G1735" s="2071" t="s">
        <v>376</v>
      </c>
      <c r="H1735" s="2071" t="s">
        <v>178</v>
      </c>
      <c r="I1735" s="2003" t="s">
        <v>2669</v>
      </c>
      <c r="J1735" s="1958" t="s">
        <v>2670</v>
      </c>
      <c r="K1735" s="1952">
        <v>72</v>
      </c>
      <c r="L1735" s="1947">
        <v>2060000000</v>
      </c>
      <c r="M1735" s="1939">
        <v>24</v>
      </c>
      <c r="N1735" s="1940">
        <f>260880650+234037920</f>
        <v>494918570</v>
      </c>
      <c r="O1735" s="1952">
        <v>12</v>
      </c>
      <c r="P1735" s="1971">
        <v>59839474.5</v>
      </c>
      <c r="Q1735" s="1939">
        <v>3</v>
      </c>
      <c r="R1735" s="1940">
        <v>30398000</v>
      </c>
      <c r="S1735" s="64">
        <v>3</v>
      </c>
      <c r="T1735" s="1942">
        <v>16253000</v>
      </c>
      <c r="U1735" s="3454">
        <v>3</v>
      </c>
      <c r="V1735" s="3455">
        <v>5186400</v>
      </c>
      <c r="W1735" s="3454"/>
      <c r="X1735" s="3454"/>
      <c r="Y1735" s="1945">
        <f t="shared" si="574"/>
        <v>9</v>
      </c>
      <c r="Z1735" s="1942">
        <f t="shared" si="574"/>
        <v>51837400</v>
      </c>
      <c r="AA1735" s="1943">
        <f t="shared" si="577"/>
        <v>33</v>
      </c>
      <c r="AB1735" s="1944">
        <f t="shared" si="575"/>
        <v>546755970</v>
      </c>
      <c r="AC1735" s="2724">
        <f t="shared" si="576"/>
        <v>45.833333333333329</v>
      </c>
      <c r="AD1735" s="2724">
        <f t="shared" si="576"/>
        <v>26.541551941747571</v>
      </c>
      <c r="AE1735" s="3381" t="s">
        <v>2671</v>
      </c>
    </row>
    <row r="1736" spans="1:31" s="63" customFormat="1" ht="48.75" customHeight="1">
      <c r="A1736" s="385"/>
      <c r="B1736" s="383"/>
      <c r="C1736" s="2071" t="s">
        <v>66</v>
      </c>
      <c r="D1736" s="2071" t="s">
        <v>2558</v>
      </c>
      <c r="E1736" s="2071" t="s">
        <v>107</v>
      </c>
      <c r="F1736" s="2071" t="s">
        <v>66</v>
      </c>
      <c r="G1736" s="2071" t="s">
        <v>376</v>
      </c>
      <c r="H1736" s="2071" t="s">
        <v>368</v>
      </c>
      <c r="I1736" s="2003" t="s">
        <v>2672</v>
      </c>
      <c r="J1736" s="2003" t="s">
        <v>2673</v>
      </c>
      <c r="K1736" s="1938">
        <v>72</v>
      </c>
      <c r="L1736" s="1947">
        <v>900000000</v>
      </c>
      <c r="M1736" s="1939">
        <v>24</v>
      </c>
      <c r="N1736" s="1940">
        <f>111455774+137666254</f>
        <v>249122028</v>
      </c>
      <c r="O1736" s="1938">
        <v>12</v>
      </c>
      <c r="P1736" s="1971">
        <v>59855384</v>
      </c>
      <c r="Q1736" s="1939">
        <v>3</v>
      </c>
      <c r="R1736" s="1940">
        <v>2964200</v>
      </c>
      <c r="S1736" s="64">
        <v>3</v>
      </c>
      <c r="T1736" s="1942">
        <v>14621200</v>
      </c>
      <c r="U1736" s="3454">
        <v>3</v>
      </c>
      <c r="V1736" s="3455">
        <v>24659700</v>
      </c>
      <c r="W1736" s="3454"/>
      <c r="X1736" s="3454"/>
      <c r="Y1736" s="1945">
        <f t="shared" si="574"/>
        <v>9</v>
      </c>
      <c r="Z1736" s="1942">
        <f t="shared" si="574"/>
        <v>42245100</v>
      </c>
      <c r="AA1736" s="1943">
        <f t="shared" si="577"/>
        <v>33</v>
      </c>
      <c r="AB1736" s="1944">
        <f t="shared" si="575"/>
        <v>291367128</v>
      </c>
      <c r="AC1736" s="2724">
        <f t="shared" si="576"/>
        <v>45.833333333333329</v>
      </c>
      <c r="AD1736" s="2724">
        <f t="shared" si="576"/>
        <v>32.374125333333332</v>
      </c>
      <c r="AE1736" s="3381" t="s">
        <v>2674</v>
      </c>
    </row>
    <row r="1737" spans="1:31" s="63" customFormat="1" ht="72" customHeight="1">
      <c r="A1737" s="385"/>
      <c r="B1737" s="383"/>
      <c r="C1737" s="2071" t="s">
        <v>66</v>
      </c>
      <c r="D1737" s="2071" t="s">
        <v>2558</v>
      </c>
      <c r="E1737" s="2071" t="s">
        <v>107</v>
      </c>
      <c r="F1737" s="2071" t="s">
        <v>66</v>
      </c>
      <c r="G1737" s="2071" t="s">
        <v>376</v>
      </c>
      <c r="H1737" s="2071" t="s">
        <v>373</v>
      </c>
      <c r="I1737" s="2003" t="s">
        <v>2675</v>
      </c>
      <c r="J1737" s="2003" t="s">
        <v>2676</v>
      </c>
      <c r="K1737" s="1938">
        <v>72</v>
      </c>
      <c r="L1737" s="1938">
        <v>900000000</v>
      </c>
      <c r="M1737" s="1939">
        <v>24</v>
      </c>
      <c r="N1737" s="1940">
        <f>125581620+137300561</f>
        <v>262882181</v>
      </c>
      <c r="O1737" s="1938">
        <v>12</v>
      </c>
      <c r="P1737" s="1971">
        <v>59848636</v>
      </c>
      <c r="Q1737" s="1939">
        <v>3</v>
      </c>
      <c r="R1737" s="1940">
        <v>20414000</v>
      </c>
      <c r="S1737" s="64">
        <v>3</v>
      </c>
      <c r="T1737" s="1942">
        <v>19555000</v>
      </c>
      <c r="U1737" s="3454">
        <v>3</v>
      </c>
      <c r="V1737" s="3455">
        <v>10738000</v>
      </c>
      <c r="W1737" s="3454"/>
      <c r="X1737" s="3454"/>
      <c r="Y1737" s="1945">
        <f t="shared" si="574"/>
        <v>9</v>
      </c>
      <c r="Z1737" s="1942">
        <f t="shared" si="574"/>
        <v>50707000</v>
      </c>
      <c r="AA1737" s="1943">
        <f t="shared" si="577"/>
        <v>33</v>
      </c>
      <c r="AB1737" s="1944">
        <f t="shared" si="575"/>
        <v>313589181</v>
      </c>
      <c r="AC1737" s="2724">
        <f t="shared" si="576"/>
        <v>45.833333333333329</v>
      </c>
      <c r="AD1737" s="2724">
        <f t="shared" si="576"/>
        <v>34.843242333333336</v>
      </c>
      <c r="AE1737" s="3381" t="s">
        <v>2677</v>
      </c>
    </row>
    <row r="1738" spans="1:31" s="63" customFormat="1" ht="71.25" customHeight="1">
      <c r="A1738" s="3461">
        <v>18</v>
      </c>
      <c r="B1738" s="3462" t="s">
        <v>4224</v>
      </c>
      <c r="C1738" s="3844" t="s">
        <v>66</v>
      </c>
      <c r="D1738" s="3844" t="s">
        <v>2558</v>
      </c>
      <c r="E1738" s="3844" t="s">
        <v>107</v>
      </c>
      <c r="F1738" s="3844" t="s">
        <v>66</v>
      </c>
      <c r="G1738" s="3844" t="s">
        <v>163</v>
      </c>
      <c r="H1738" s="3844"/>
      <c r="I1738" s="3502" t="s">
        <v>2679</v>
      </c>
      <c r="J1738" s="3462" t="s">
        <v>2680</v>
      </c>
      <c r="K1738" s="3465">
        <v>564</v>
      </c>
      <c r="L1738" s="3471">
        <f>L1740+L1741+L1742+L1743+L1744+L1745+L1746</f>
        <v>4329661501</v>
      </c>
      <c r="M1738" s="3465">
        <f>92+92</f>
        <v>184</v>
      </c>
      <c r="N1738" s="3471">
        <f>N1740+N1741+N1742+N1743+N1744+N1745+N1746</f>
        <v>659265875</v>
      </c>
      <c r="O1738" s="3465">
        <v>95</v>
      </c>
      <c r="P1738" s="3471">
        <f>SUM(P1740:P1746)</f>
        <v>670922559.25</v>
      </c>
      <c r="Q1738" s="3465">
        <v>35</v>
      </c>
      <c r="R1738" s="3471">
        <f>R1740+R1741+R1742+R1743+R1744+R1745+R1746</f>
        <v>45773100</v>
      </c>
      <c r="S1738" s="3483">
        <v>35</v>
      </c>
      <c r="T1738" s="3471">
        <f>SUM(T1740:T1746)</f>
        <v>125825900</v>
      </c>
      <c r="U1738" s="3490">
        <f>80-Q1738-S1738</f>
        <v>10</v>
      </c>
      <c r="V1738" s="3471">
        <f>V1740+V1741+V1742+V1743+V1744+V1745+V1746</f>
        <v>186315500</v>
      </c>
      <c r="W1738" s="3490"/>
      <c r="X1738" s="3490"/>
      <c r="Y1738" s="3470">
        <f>Q1738+S1738+U1738</f>
        <v>80</v>
      </c>
      <c r="Z1738" s="3471">
        <f t="shared" si="574"/>
        <v>357914500</v>
      </c>
      <c r="AA1738" s="3467">
        <f t="shared" si="577"/>
        <v>264</v>
      </c>
      <c r="AB1738" s="3471">
        <f t="shared" si="577"/>
        <v>1017180375</v>
      </c>
      <c r="AC1738" s="3474">
        <f t="shared" si="576"/>
        <v>46.808510638297875</v>
      </c>
      <c r="AD1738" s="3474">
        <f t="shared" si="576"/>
        <v>23.493300221392989</v>
      </c>
      <c r="AE1738" s="3475"/>
    </row>
    <row r="1739" spans="1:31" s="63" customFormat="1" ht="73.5" customHeight="1">
      <c r="A1739" s="3494"/>
      <c r="B1739" s="3463"/>
      <c r="C1739" s="3844"/>
      <c r="D1739" s="3844"/>
      <c r="E1739" s="3844"/>
      <c r="F1739" s="3844"/>
      <c r="G1739" s="3844"/>
      <c r="H1739" s="3844"/>
      <c r="I1739" s="3502"/>
      <c r="J1739" s="3462" t="s">
        <v>2681</v>
      </c>
      <c r="K1739" s="3465">
        <v>195</v>
      </c>
      <c r="L1739" s="3483"/>
      <c r="M1739" s="3465">
        <v>45</v>
      </c>
      <c r="N1739" s="3483"/>
      <c r="O1739" s="3465">
        <v>35</v>
      </c>
      <c r="P1739" s="3471"/>
      <c r="Q1739" s="3483">
        <v>35</v>
      </c>
      <c r="R1739" s="3471"/>
      <c r="S1739" s="3483"/>
      <c r="T1739" s="3483"/>
      <c r="U1739" s="3490"/>
      <c r="V1739" s="3490"/>
      <c r="W1739" s="3490"/>
      <c r="X1739" s="3490"/>
      <c r="Y1739" s="3470">
        <f>Q1739+S1739</f>
        <v>35</v>
      </c>
      <c r="Z1739" s="3471">
        <f>R1739+T1739</f>
        <v>0</v>
      </c>
      <c r="AA1739" s="3467">
        <f t="shared" si="577"/>
        <v>80</v>
      </c>
      <c r="AB1739" s="3471">
        <f t="shared" si="577"/>
        <v>0</v>
      </c>
      <c r="AC1739" s="3474">
        <f t="shared" si="576"/>
        <v>41.025641025641022</v>
      </c>
      <c r="AD1739" s="3474"/>
      <c r="AE1739" s="3475"/>
    </row>
    <row r="1740" spans="1:31" s="63" customFormat="1" ht="76.5" customHeight="1">
      <c r="A1740" s="385"/>
      <c r="B1740" s="383"/>
      <c r="C1740" s="2071" t="s">
        <v>66</v>
      </c>
      <c r="D1740" s="2071" t="s">
        <v>2558</v>
      </c>
      <c r="E1740" s="2071" t="s">
        <v>107</v>
      </c>
      <c r="F1740" s="2071" t="s">
        <v>66</v>
      </c>
      <c r="G1740" s="2071" t="s">
        <v>163</v>
      </c>
      <c r="H1740" s="2071" t="s">
        <v>65</v>
      </c>
      <c r="I1740" s="3382" t="s">
        <v>2682</v>
      </c>
      <c r="J1740" s="3382" t="s">
        <v>2683</v>
      </c>
      <c r="K1740" s="1952">
        <f>150*4+12</f>
        <v>612</v>
      </c>
      <c r="L1740" s="1947">
        <v>685000000</v>
      </c>
      <c r="M1740" s="1939">
        <f>12+150</f>
        <v>162</v>
      </c>
      <c r="N1740" s="1940">
        <v>79120958</v>
      </c>
      <c r="O1740" s="1952">
        <v>150</v>
      </c>
      <c r="P1740" s="1971">
        <v>180225444.5</v>
      </c>
      <c r="Q1740" s="1939">
        <v>80</v>
      </c>
      <c r="R1740" s="1940">
        <v>5660100</v>
      </c>
      <c r="S1740" s="64">
        <f>110-Q1740</f>
        <v>30</v>
      </c>
      <c r="T1740" s="1942">
        <v>47125400</v>
      </c>
      <c r="U1740" s="3454">
        <f>110-Q1740-S1740</f>
        <v>0</v>
      </c>
      <c r="V1740" s="3455">
        <v>80831500</v>
      </c>
      <c r="W1740" s="3454"/>
      <c r="X1740" s="3454"/>
      <c r="Y1740" s="1945">
        <f>Q1740+S1740</f>
        <v>110</v>
      </c>
      <c r="Z1740" s="1942">
        <f t="shared" ref="Z1740:Z1746" si="578">R1740+T1740+V1740</f>
        <v>133617000</v>
      </c>
      <c r="AA1740" s="1943">
        <f t="shared" si="577"/>
        <v>272</v>
      </c>
      <c r="AB1740" s="1944">
        <f t="shared" si="577"/>
        <v>212737958</v>
      </c>
      <c r="AC1740" s="2724">
        <f t="shared" si="576"/>
        <v>44.444444444444443</v>
      </c>
      <c r="AD1740" s="2724">
        <f t="shared" si="576"/>
        <v>31.056636204379561</v>
      </c>
      <c r="AE1740" s="3381"/>
    </row>
    <row r="1741" spans="1:31" s="63" customFormat="1" ht="66.75" customHeight="1">
      <c r="A1741" s="385"/>
      <c r="B1741" s="383"/>
      <c r="C1741" s="2071" t="s">
        <v>66</v>
      </c>
      <c r="D1741" s="2071" t="s">
        <v>2558</v>
      </c>
      <c r="E1741" s="2071" t="s">
        <v>107</v>
      </c>
      <c r="F1741" s="2071" t="s">
        <v>66</v>
      </c>
      <c r="G1741" s="2071" t="s">
        <v>163</v>
      </c>
      <c r="H1741" s="2071" t="s">
        <v>95</v>
      </c>
      <c r="I1741" s="1936" t="s">
        <v>2685</v>
      </c>
      <c r="J1741" s="3382" t="s">
        <v>2686</v>
      </c>
      <c r="K1741" s="1938">
        <v>144</v>
      </c>
      <c r="L1741" s="1947">
        <v>439750000</v>
      </c>
      <c r="M1741" s="1939">
        <v>24</v>
      </c>
      <c r="N1741" s="1940">
        <f>26230000+28641800</f>
        <v>54871800</v>
      </c>
      <c r="O1741" s="1938">
        <v>24</v>
      </c>
      <c r="P1741" s="1940">
        <v>16348950</v>
      </c>
      <c r="Q1741" s="1939">
        <v>1</v>
      </c>
      <c r="R1741" s="1940">
        <v>1012000</v>
      </c>
      <c r="S1741" s="64"/>
      <c r="T1741" s="1942">
        <v>0</v>
      </c>
      <c r="U1741" s="3454">
        <v>3</v>
      </c>
      <c r="V1741" s="3455">
        <v>1765050</v>
      </c>
      <c r="W1741" s="3454"/>
      <c r="X1741" s="3454"/>
      <c r="Y1741" s="1945">
        <f>Q1741+U1741</f>
        <v>4</v>
      </c>
      <c r="Z1741" s="1942">
        <f t="shared" si="578"/>
        <v>2777050</v>
      </c>
      <c r="AA1741" s="1943">
        <f t="shared" si="577"/>
        <v>28</v>
      </c>
      <c r="AB1741" s="1944">
        <f t="shared" si="577"/>
        <v>57648850</v>
      </c>
      <c r="AC1741" s="2724">
        <f t="shared" si="576"/>
        <v>19.444444444444446</v>
      </c>
      <c r="AD1741" s="2724">
        <f t="shared" si="576"/>
        <v>13.109459920409325</v>
      </c>
      <c r="AE1741" s="3381"/>
    </row>
    <row r="1742" spans="1:31" s="63" customFormat="1" ht="99" customHeight="1">
      <c r="A1742" s="385"/>
      <c r="B1742" s="383"/>
      <c r="C1742" s="2071" t="s">
        <v>66</v>
      </c>
      <c r="D1742" s="2071" t="s">
        <v>2558</v>
      </c>
      <c r="E1742" s="2071" t="s">
        <v>107</v>
      </c>
      <c r="F1742" s="2071" t="s">
        <v>66</v>
      </c>
      <c r="G1742" s="2071" t="s">
        <v>163</v>
      </c>
      <c r="H1742" s="2071" t="s">
        <v>198</v>
      </c>
      <c r="I1742" s="3382" t="s">
        <v>2688</v>
      </c>
      <c r="J1742" s="3382" t="s">
        <v>2689</v>
      </c>
      <c r="K1742" s="1938">
        <f>45*3</f>
        <v>135</v>
      </c>
      <c r="L1742" s="1947">
        <v>745843573</v>
      </c>
      <c r="M1742" s="1939">
        <f>45*2</f>
        <v>90</v>
      </c>
      <c r="N1742" s="1940">
        <f>219259400+195485430</f>
        <v>414744830</v>
      </c>
      <c r="O1742" s="1939">
        <v>45</v>
      </c>
      <c r="P1742" s="1971">
        <v>182254697.75</v>
      </c>
      <c r="Q1742" s="1939">
        <v>45</v>
      </c>
      <c r="R1742" s="1940">
        <v>13693000</v>
      </c>
      <c r="S1742" s="64">
        <v>45</v>
      </c>
      <c r="T1742" s="1942">
        <v>28993600</v>
      </c>
      <c r="U1742" s="3454">
        <v>45</v>
      </c>
      <c r="V1742" s="3455">
        <v>57606000</v>
      </c>
      <c r="W1742" s="3454"/>
      <c r="X1742" s="3454"/>
      <c r="Y1742" s="1945">
        <v>45</v>
      </c>
      <c r="Z1742" s="1942">
        <f t="shared" si="578"/>
        <v>100292600</v>
      </c>
      <c r="AA1742" s="1943">
        <f t="shared" si="577"/>
        <v>135</v>
      </c>
      <c r="AB1742" s="1944">
        <f t="shared" si="577"/>
        <v>515037430</v>
      </c>
      <c r="AC1742" s="2724">
        <f t="shared" si="576"/>
        <v>100</v>
      </c>
      <c r="AD1742" s="2724">
        <f t="shared" si="576"/>
        <v>69.054349818738743</v>
      </c>
      <c r="AE1742" s="3381"/>
    </row>
    <row r="1743" spans="1:31" ht="44.25" customHeight="1">
      <c r="A1743" s="385"/>
      <c r="B1743" s="383"/>
      <c r="C1743" s="2071" t="s">
        <v>66</v>
      </c>
      <c r="D1743" s="2071" t="s">
        <v>2558</v>
      </c>
      <c r="E1743" s="2071" t="s">
        <v>107</v>
      </c>
      <c r="F1743" s="2071" t="s">
        <v>66</v>
      </c>
      <c r="G1743" s="2071" t="s">
        <v>163</v>
      </c>
      <c r="H1743" s="2071" t="s">
        <v>93</v>
      </c>
      <c r="I1743" s="2632" t="s">
        <v>2690</v>
      </c>
      <c r="J1743" s="3382" t="s">
        <v>2691</v>
      </c>
      <c r="K1743" s="1952">
        <v>725</v>
      </c>
      <c r="L1743" s="1947">
        <v>1025000000</v>
      </c>
      <c r="M1743" s="1939"/>
      <c r="N1743" s="64"/>
      <c r="O1743" s="1952">
        <v>150</v>
      </c>
      <c r="P1743" s="1940">
        <v>118175411</v>
      </c>
      <c r="Q1743" s="1939">
        <v>80</v>
      </c>
      <c r="R1743" s="1940">
        <v>18162600</v>
      </c>
      <c r="S1743" s="64">
        <f>110-Q1743</f>
        <v>30</v>
      </c>
      <c r="T1743" s="1942">
        <v>24983300</v>
      </c>
      <c r="U1743" s="3454"/>
      <c r="V1743" s="3455">
        <v>32432000</v>
      </c>
      <c r="W1743" s="3454"/>
      <c r="X1743" s="3454"/>
      <c r="Y1743" s="1945">
        <f>Q1743+S1743</f>
        <v>110</v>
      </c>
      <c r="Z1743" s="1942">
        <f t="shared" si="578"/>
        <v>75577900</v>
      </c>
      <c r="AA1743" s="1943">
        <f t="shared" si="577"/>
        <v>110</v>
      </c>
      <c r="AB1743" s="1944">
        <f t="shared" si="577"/>
        <v>75577900</v>
      </c>
      <c r="AC1743" s="2724">
        <f t="shared" si="576"/>
        <v>15.172413793103448</v>
      </c>
      <c r="AD1743" s="2724">
        <f t="shared" si="576"/>
        <v>7.3734536585365857</v>
      </c>
      <c r="AE1743" s="3381"/>
    </row>
    <row r="1744" spans="1:31" ht="60.75" customHeight="1">
      <c r="A1744" s="385"/>
      <c r="B1744" s="383"/>
      <c r="C1744" s="2071" t="s">
        <v>66</v>
      </c>
      <c r="D1744" s="2071" t="s">
        <v>2558</v>
      </c>
      <c r="E1744" s="2071" t="s">
        <v>107</v>
      </c>
      <c r="F1744" s="2071" t="s">
        <v>66</v>
      </c>
      <c r="G1744" s="2071" t="s">
        <v>163</v>
      </c>
      <c r="H1744" s="2071" t="s">
        <v>417</v>
      </c>
      <c r="I1744" s="2632" t="s">
        <v>2692</v>
      </c>
      <c r="J1744" s="3382" t="s">
        <v>2693</v>
      </c>
      <c r="K1744" s="1952">
        <v>4</v>
      </c>
      <c r="L1744" s="1947">
        <v>470000000</v>
      </c>
      <c r="M1744" s="1939"/>
      <c r="N1744" s="64"/>
      <c r="O1744" s="1952">
        <v>1</v>
      </c>
      <c r="P1744" s="1971">
        <v>50675521.5</v>
      </c>
      <c r="Q1744" s="1959"/>
      <c r="R1744" s="1940">
        <v>1267700</v>
      </c>
      <c r="S1744" s="64"/>
      <c r="T1744" s="1942">
        <v>8577900</v>
      </c>
      <c r="U1744" s="3454"/>
      <c r="V1744" s="3455">
        <v>1567600</v>
      </c>
      <c r="W1744" s="3454"/>
      <c r="X1744" s="3454"/>
      <c r="Y1744" s="1945">
        <f>Q1744+S1744</f>
        <v>0</v>
      </c>
      <c r="Z1744" s="1942">
        <f t="shared" si="578"/>
        <v>11413200</v>
      </c>
      <c r="AA1744" s="1943">
        <f t="shared" si="577"/>
        <v>0</v>
      </c>
      <c r="AB1744" s="1944">
        <f t="shared" si="577"/>
        <v>11413200</v>
      </c>
      <c r="AC1744" s="2724">
        <f t="shared" si="576"/>
        <v>0</v>
      </c>
      <c r="AD1744" s="2724">
        <f t="shared" si="576"/>
        <v>2.428340425531915</v>
      </c>
      <c r="AE1744" s="3381"/>
    </row>
    <row r="1745" spans="1:31" s="63" customFormat="1" ht="57" customHeight="1">
      <c r="A1745" s="385"/>
      <c r="B1745" s="383"/>
      <c r="C1745" s="2071" t="s">
        <v>66</v>
      </c>
      <c r="D1745" s="2071" t="s">
        <v>2558</v>
      </c>
      <c r="E1745" s="2071" t="s">
        <v>107</v>
      </c>
      <c r="F1745" s="2071" t="s">
        <v>66</v>
      </c>
      <c r="G1745" s="2071" t="s">
        <v>163</v>
      </c>
      <c r="H1745" s="2071" t="s">
        <v>160</v>
      </c>
      <c r="I1745" s="384" t="s">
        <v>2694</v>
      </c>
      <c r="J1745" s="3382" t="s">
        <v>2695</v>
      </c>
      <c r="K1745" s="2119">
        <v>90</v>
      </c>
      <c r="L1745" s="2144">
        <v>805000000</v>
      </c>
      <c r="M1745" s="2129">
        <v>15</v>
      </c>
      <c r="N1745" s="2047">
        <v>110528287</v>
      </c>
      <c r="O1745" s="2119">
        <v>15</v>
      </c>
      <c r="P1745" s="1941">
        <v>83475552.5</v>
      </c>
      <c r="Q1745" s="2124"/>
      <c r="R1745" s="2047">
        <v>4250100</v>
      </c>
      <c r="S1745" s="64">
        <v>10</v>
      </c>
      <c r="T1745" s="1942">
        <v>8705100</v>
      </c>
      <c r="U1745" s="3454">
        <f>12-S1745</f>
        <v>2</v>
      </c>
      <c r="V1745" s="3455">
        <v>10155600</v>
      </c>
      <c r="W1745" s="3454"/>
      <c r="X1745" s="3454"/>
      <c r="Y1745" s="1945">
        <f>Q1745+S1745+U1745</f>
        <v>12</v>
      </c>
      <c r="Z1745" s="1942">
        <f t="shared" si="578"/>
        <v>23110800</v>
      </c>
      <c r="AA1745" s="1943">
        <f t="shared" si="577"/>
        <v>27</v>
      </c>
      <c r="AB1745" s="1944">
        <f t="shared" si="577"/>
        <v>133639087</v>
      </c>
      <c r="AC1745" s="2723">
        <f t="shared" si="576"/>
        <v>30</v>
      </c>
      <c r="AD1745" s="2723">
        <f t="shared" si="576"/>
        <v>16.601128819875775</v>
      </c>
      <c r="AE1745" s="3373"/>
    </row>
    <row r="1746" spans="1:31" ht="69.75" customHeight="1">
      <c r="A1746" s="385"/>
      <c r="B1746" s="383"/>
      <c r="C1746" s="2071" t="s">
        <v>66</v>
      </c>
      <c r="D1746" s="2071" t="s">
        <v>2558</v>
      </c>
      <c r="E1746" s="2071" t="s">
        <v>107</v>
      </c>
      <c r="F1746" s="2071" t="s">
        <v>66</v>
      </c>
      <c r="G1746" s="2071" t="s">
        <v>163</v>
      </c>
      <c r="H1746" s="2071" t="s">
        <v>391</v>
      </c>
      <c r="I1746" s="384" t="s">
        <v>2696</v>
      </c>
      <c r="J1746" s="3382" t="s">
        <v>2697</v>
      </c>
      <c r="K1746" s="1952">
        <v>9</v>
      </c>
      <c r="L1746" s="1947">
        <f>4*P1746</f>
        <v>159067928</v>
      </c>
      <c r="M1746" s="1939">
        <v>0</v>
      </c>
      <c r="N1746" s="64"/>
      <c r="O1746" s="1952">
        <v>1</v>
      </c>
      <c r="P1746" s="1940">
        <v>39766982</v>
      </c>
      <c r="Q1746" s="1959"/>
      <c r="R1746" s="1940">
        <v>1727600</v>
      </c>
      <c r="S1746" s="64"/>
      <c r="T1746" s="1942">
        <v>7440600</v>
      </c>
      <c r="U1746" s="3454"/>
      <c r="V1746" s="3455">
        <v>1957750</v>
      </c>
      <c r="W1746" s="3454"/>
      <c r="X1746" s="3454"/>
      <c r="Y1746" s="1945">
        <f>Q1746+S1746</f>
        <v>0</v>
      </c>
      <c r="Z1746" s="1942">
        <f t="shared" si="578"/>
        <v>11125950</v>
      </c>
      <c r="AA1746" s="1943">
        <f t="shared" si="577"/>
        <v>0</v>
      </c>
      <c r="AB1746" s="1944">
        <f t="shared" si="577"/>
        <v>11125950</v>
      </c>
      <c r="AC1746" s="2724">
        <f t="shared" si="576"/>
        <v>0</v>
      </c>
      <c r="AD1746" s="2724">
        <f t="shared" si="576"/>
        <v>6.9944646541193398</v>
      </c>
      <c r="AE1746" s="3381"/>
    </row>
    <row r="1747" spans="1:31" ht="82.5" customHeight="1">
      <c r="A1747" s="3461">
        <v>19</v>
      </c>
      <c r="B1747" s="3462" t="s">
        <v>4221</v>
      </c>
      <c r="C1747" s="3844" t="s">
        <v>65</v>
      </c>
      <c r="D1747" s="3844" t="s">
        <v>2558</v>
      </c>
      <c r="E1747" s="3844" t="s">
        <v>107</v>
      </c>
      <c r="F1747" s="3844" t="s">
        <v>66</v>
      </c>
      <c r="G1747" s="3844" t="s">
        <v>163</v>
      </c>
      <c r="H1747" s="3844"/>
      <c r="I1747" s="3463" t="s">
        <v>2698</v>
      </c>
      <c r="J1747" s="3462" t="s">
        <v>2699</v>
      </c>
      <c r="K1747" s="3465">
        <v>270</v>
      </c>
      <c r="L1747" s="3466">
        <f>SUM(L1748:L1749)</f>
        <v>591000000</v>
      </c>
      <c r="M1747" s="3465">
        <f>85+90</f>
        <v>175</v>
      </c>
      <c r="N1747" s="3471">
        <f>SUM(N1748:N1749)</f>
        <v>146372221</v>
      </c>
      <c r="O1747" s="3465">
        <v>95</v>
      </c>
      <c r="P1747" s="3481">
        <f>SUM(P1748:P1749)</f>
        <v>196912500</v>
      </c>
      <c r="Q1747" s="3465">
        <v>30</v>
      </c>
      <c r="R1747" s="3471">
        <f>SUM(R1748:R1749)</f>
        <v>12343700</v>
      </c>
      <c r="S1747" s="3483">
        <v>20</v>
      </c>
      <c r="T1747" s="3489">
        <f>SUM(T1748:T1749)</f>
        <v>12091600</v>
      </c>
      <c r="U1747" s="3490">
        <f>75-Q1747-S1747</f>
        <v>25</v>
      </c>
      <c r="V1747" s="3471">
        <f>SUM(V1748:V1749)</f>
        <v>135661000</v>
      </c>
      <c r="W1747" s="3490"/>
      <c r="X1747" s="3490"/>
      <c r="Y1747" s="3470">
        <f>Q1747+S1747+U1747</f>
        <v>75</v>
      </c>
      <c r="Z1747" s="3471">
        <f>R1747+T1747+V1747</f>
        <v>160096300</v>
      </c>
      <c r="AA1747" s="3467">
        <f t="shared" si="577"/>
        <v>250</v>
      </c>
      <c r="AB1747" s="3471">
        <f t="shared" si="577"/>
        <v>306468521</v>
      </c>
      <c r="AC1747" s="3474">
        <f t="shared" si="576"/>
        <v>92.592592592592595</v>
      </c>
      <c r="AD1747" s="3474">
        <f t="shared" si="576"/>
        <v>51.85592571912013</v>
      </c>
      <c r="AE1747" s="3475"/>
    </row>
    <row r="1748" spans="1:31" ht="39.75" customHeight="1">
      <c r="A1748" s="385"/>
      <c r="B1748" s="383"/>
      <c r="C1748" s="2071" t="s">
        <v>65</v>
      </c>
      <c r="D1748" s="2071" t="s">
        <v>2558</v>
      </c>
      <c r="E1748" s="2071" t="s">
        <v>107</v>
      </c>
      <c r="F1748" s="2071" t="s">
        <v>66</v>
      </c>
      <c r="G1748" s="2071" t="s">
        <v>163</v>
      </c>
      <c r="H1748" s="2071" t="s">
        <v>165</v>
      </c>
      <c r="I1748" s="2632" t="s">
        <v>2700</v>
      </c>
      <c r="J1748" s="4017" t="s">
        <v>2701</v>
      </c>
      <c r="K1748" s="64">
        <v>2</v>
      </c>
      <c r="L1748" s="1698">
        <v>381000000</v>
      </c>
      <c r="M1748" s="2007">
        <v>1</v>
      </c>
      <c r="N1748" s="1940">
        <v>146372221</v>
      </c>
      <c r="O1748" s="64">
        <v>1</v>
      </c>
      <c r="P1748" s="1971">
        <v>129271500</v>
      </c>
      <c r="Q1748" s="1959"/>
      <c r="R1748" s="64"/>
      <c r="S1748" s="64">
        <v>0</v>
      </c>
      <c r="T1748" s="1689">
        <v>550000</v>
      </c>
      <c r="U1748" s="3454"/>
      <c r="V1748" s="4237">
        <v>120911000</v>
      </c>
      <c r="W1748" s="3454"/>
      <c r="X1748" s="3454"/>
      <c r="Y1748" s="1945">
        <f>Q1748+S1748</f>
        <v>0</v>
      </c>
      <c r="Z1748" s="1942">
        <f t="shared" ref="Z1748" si="579">R1748+T1748+V1748</f>
        <v>121461000</v>
      </c>
      <c r="AA1748" s="1943">
        <f t="shared" ref="AA1748" si="580">M1748+Y1748</f>
        <v>1</v>
      </c>
      <c r="AB1748" s="1944">
        <f t="shared" ref="AB1748" si="581">N1748+Z1748</f>
        <v>267833221</v>
      </c>
      <c r="AC1748" s="2724">
        <f t="shared" ref="AC1748" si="582">AA1748/K1748*100</f>
        <v>50</v>
      </c>
      <c r="AD1748" s="2724">
        <f t="shared" ref="AD1748" si="583">AB1748/L1748*100</f>
        <v>70.297433333333331</v>
      </c>
      <c r="AE1748" s="4012" t="s">
        <v>2616</v>
      </c>
    </row>
    <row r="1749" spans="1:31" ht="39.75" customHeight="1">
      <c r="A1749" s="385"/>
      <c r="B1749" s="383"/>
      <c r="C1749" s="2071" t="s">
        <v>65</v>
      </c>
      <c r="D1749" s="2071" t="s">
        <v>2558</v>
      </c>
      <c r="E1749" s="2071" t="s">
        <v>107</v>
      </c>
      <c r="F1749" s="2071" t="s">
        <v>66</v>
      </c>
      <c r="G1749" s="2071" t="s">
        <v>163</v>
      </c>
      <c r="H1749" s="2071" t="s">
        <v>165</v>
      </c>
      <c r="I1749" s="2632" t="s">
        <v>4652</v>
      </c>
      <c r="J1749" s="4017" t="s">
        <v>4653</v>
      </c>
      <c r="K1749" s="64">
        <v>60</v>
      </c>
      <c r="L1749" s="1698">
        <v>210000000</v>
      </c>
      <c r="M1749" s="2007">
        <v>12</v>
      </c>
      <c r="N1749" s="1940">
        <v>0</v>
      </c>
      <c r="O1749" s="64">
        <v>12</v>
      </c>
      <c r="P1749" s="1940">
        <v>67641000</v>
      </c>
      <c r="Q1749" s="1942">
        <v>3</v>
      </c>
      <c r="R1749" s="64">
        <v>12343700</v>
      </c>
      <c r="S1749" s="64">
        <v>3</v>
      </c>
      <c r="T1749" s="1689">
        <v>11541600</v>
      </c>
      <c r="U1749" s="3454">
        <v>3</v>
      </c>
      <c r="V1749" s="4237">
        <v>14750000</v>
      </c>
      <c r="W1749" s="3454"/>
      <c r="X1749" s="3454"/>
      <c r="Y1749" s="1945">
        <f>Q1749+S1749</f>
        <v>6</v>
      </c>
      <c r="Z1749" s="1942">
        <f t="shared" ref="Z1749:Z1754" si="584">R1749+T1749+V1749</f>
        <v>38635300</v>
      </c>
      <c r="AA1749" s="1943">
        <f t="shared" si="577"/>
        <v>18</v>
      </c>
      <c r="AB1749" s="1944">
        <f t="shared" si="577"/>
        <v>38635300</v>
      </c>
      <c r="AC1749" s="2724">
        <f t="shared" ref="AC1749:AD1763" si="585">AA1749/K1749*100</f>
        <v>30</v>
      </c>
      <c r="AD1749" s="2724">
        <f t="shared" si="585"/>
        <v>18.397761904761907</v>
      </c>
      <c r="AE1749" s="3381" t="s">
        <v>2616</v>
      </c>
    </row>
    <row r="1750" spans="1:31" s="63" customFormat="1" ht="72" customHeight="1">
      <c r="A1750" s="3461">
        <v>20</v>
      </c>
      <c r="B1750" s="3462" t="s">
        <v>4217</v>
      </c>
      <c r="C1750" s="3844" t="s">
        <v>196</v>
      </c>
      <c r="D1750" s="3844" t="s">
        <v>2558</v>
      </c>
      <c r="E1750" s="3844" t="s">
        <v>107</v>
      </c>
      <c r="F1750" s="3844" t="s">
        <v>66</v>
      </c>
      <c r="G1750" s="3844" t="s">
        <v>448</v>
      </c>
      <c r="H1750" s="3844"/>
      <c r="I1750" s="3462" t="s">
        <v>2704</v>
      </c>
      <c r="J1750" s="3462" t="s">
        <v>2705</v>
      </c>
      <c r="K1750" s="3465">
        <v>520</v>
      </c>
      <c r="L1750" s="3466">
        <f>SUM(L1751:L1754)</f>
        <v>2135000000</v>
      </c>
      <c r="M1750" s="3467">
        <f>80+80</f>
        <v>160</v>
      </c>
      <c r="N1750" s="3466">
        <f>SUM(N1751:N1754)</f>
        <v>638560470</v>
      </c>
      <c r="O1750" s="3465">
        <v>85</v>
      </c>
      <c r="P1750" s="3468">
        <f>SUM(P1751:P1754)</f>
        <v>454986085.5</v>
      </c>
      <c r="Q1750" s="3465">
        <v>25</v>
      </c>
      <c r="R1750" s="3468">
        <f>SUM(R1751:R1754)</f>
        <v>85713060</v>
      </c>
      <c r="S1750" s="3483">
        <v>20</v>
      </c>
      <c r="T1750" s="3471">
        <f>SUM(T1751:T1754)</f>
        <v>125766100</v>
      </c>
      <c r="U1750" s="3490">
        <f>70-Q1750-S1750</f>
        <v>25</v>
      </c>
      <c r="V1750" s="3468">
        <f>SUM(V1751:V1754)</f>
        <v>120325084</v>
      </c>
      <c r="W1750" s="3484"/>
      <c r="X1750" s="3484"/>
      <c r="Y1750" s="3470">
        <f>Q1750+S1750+U1750</f>
        <v>70</v>
      </c>
      <c r="Z1750" s="3471">
        <f t="shared" si="584"/>
        <v>331804244</v>
      </c>
      <c r="AA1750" s="3467">
        <f t="shared" ref="AA1750:AB1764" si="586">M1750+Y1750</f>
        <v>230</v>
      </c>
      <c r="AB1750" s="3471">
        <f t="shared" si="586"/>
        <v>970364714</v>
      </c>
      <c r="AC1750" s="3474">
        <f t="shared" si="585"/>
        <v>44.230769230769226</v>
      </c>
      <c r="AD1750" s="3474">
        <f t="shared" si="585"/>
        <v>45.450337892271662</v>
      </c>
      <c r="AE1750" s="3475"/>
    </row>
    <row r="1751" spans="1:31" ht="45.75" customHeight="1">
      <c r="A1751" s="385"/>
      <c r="B1751" s="383"/>
      <c r="C1751" s="2071" t="s">
        <v>196</v>
      </c>
      <c r="D1751" s="2071" t="s">
        <v>2558</v>
      </c>
      <c r="E1751" s="2071" t="s">
        <v>107</v>
      </c>
      <c r="F1751" s="2071" t="s">
        <v>66</v>
      </c>
      <c r="G1751" s="2071" t="s">
        <v>448</v>
      </c>
      <c r="H1751" s="2071" t="s">
        <v>469</v>
      </c>
      <c r="I1751" s="3382" t="s">
        <v>2706</v>
      </c>
      <c r="J1751" s="3382" t="s">
        <v>2707</v>
      </c>
      <c r="K1751" s="1952">
        <f>4*6</f>
        <v>24</v>
      </c>
      <c r="L1751" s="1947">
        <v>1505000000</v>
      </c>
      <c r="M1751" s="1939">
        <v>8</v>
      </c>
      <c r="N1751" s="1940">
        <f>171172972+149545050</f>
        <v>320718022</v>
      </c>
      <c r="O1751" s="1952">
        <v>4</v>
      </c>
      <c r="P1751" s="1971">
        <v>278703163.25</v>
      </c>
      <c r="Q1751" s="1939">
        <v>2</v>
      </c>
      <c r="R1751" s="1940">
        <v>79115400</v>
      </c>
      <c r="S1751" s="64">
        <f>3-Q1751</f>
        <v>1</v>
      </c>
      <c r="T1751" s="1942">
        <v>100267000</v>
      </c>
      <c r="U1751" s="3454"/>
      <c r="V1751" s="3455">
        <v>69393000</v>
      </c>
      <c r="W1751" s="3454"/>
      <c r="X1751" s="3454"/>
      <c r="Y1751" s="1945">
        <f>Q1751+S1751</f>
        <v>3</v>
      </c>
      <c r="Z1751" s="1942">
        <f t="shared" si="584"/>
        <v>248775400</v>
      </c>
      <c r="AA1751" s="1943">
        <f t="shared" si="586"/>
        <v>11</v>
      </c>
      <c r="AB1751" s="1944">
        <f t="shared" si="586"/>
        <v>569493422</v>
      </c>
      <c r="AC1751" s="2724">
        <f t="shared" si="585"/>
        <v>45.833333333333329</v>
      </c>
      <c r="AD1751" s="2724">
        <f t="shared" si="585"/>
        <v>37.840094485049832</v>
      </c>
      <c r="AE1751" s="3381" t="s">
        <v>2516</v>
      </c>
    </row>
    <row r="1752" spans="1:31" ht="44.25" customHeight="1">
      <c r="A1752" s="385"/>
      <c r="B1752" s="383"/>
      <c r="C1752" s="2071" t="s">
        <v>196</v>
      </c>
      <c r="D1752" s="2071" t="s">
        <v>2558</v>
      </c>
      <c r="E1752" s="2071" t="s">
        <v>107</v>
      </c>
      <c r="F1752" s="2071" t="s">
        <v>66</v>
      </c>
      <c r="G1752" s="2071" t="s">
        <v>448</v>
      </c>
      <c r="H1752" s="2071" t="s">
        <v>68</v>
      </c>
      <c r="I1752" s="3382" t="s">
        <v>2708</v>
      </c>
      <c r="J1752" s="3382" t="s">
        <v>2709</v>
      </c>
      <c r="K1752" s="1952">
        <v>3</v>
      </c>
      <c r="L1752" s="1947">
        <v>210000000</v>
      </c>
      <c r="M1752" s="1939">
        <v>2</v>
      </c>
      <c r="N1752" s="1940">
        <f>46586500+51413400</f>
        <v>97999900</v>
      </c>
      <c r="O1752" s="1952">
        <v>1</v>
      </c>
      <c r="P1752" s="1940">
        <v>89562974</v>
      </c>
      <c r="Q1752" s="1939">
        <v>0</v>
      </c>
      <c r="R1752" s="1940">
        <v>1118900</v>
      </c>
      <c r="S1752" s="64">
        <v>0</v>
      </c>
      <c r="T1752" s="1942">
        <v>15523500</v>
      </c>
      <c r="U1752" s="3454">
        <v>1</v>
      </c>
      <c r="V1752" s="3455">
        <v>37983800</v>
      </c>
      <c r="W1752" s="3454"/>
      <c r="X1752" s="3454"/>
      <c r="Y1752" s="1945">
        <f>Q1752+S1752</f>
        <v>0</v>
      </c>
      <c r="Z1752" s="1942">
        <f t="shared" si="584"/>
        <v>54626200</v>
      </c>
      <c r="AA1752" s="1943">
        <f t="shared" si="586"/>
        <v>2</v>
      </c>
      <c r="AB1752" s="1944">
        <f t="shared" si="586"/>
        <v>152626100</v>
      </c>
      <c r="AC1752" s="2724">
        <f t="shared" si="585"/>
        <v>66.666666666666657</v>
      </c>
      <c r="AD1752" s="2724">
        <f t="shared" si="585"/>
        <v>72.679095238095243</v>
      </c>
      <c r="AE1752" s="3381" t="s">
        <v>2687</v>
      </c>
    </row>
    <row r="1753" spans="1:31" ht="83.25" customHeight="1">
      <c r="A1753" s="385"/>
      <c r="B1753" s="383"/>
      <c r="C1753" s="2071" t="s">
        <v>196</v>
      </c>
      <c r="D1753" s="2071" t="s">
        <v>2558</v>
      </c>
      <c r="E1753" s="2071" t="s">
        <v>107</v>
      </c>
      <c r="F1753" s="2071" t="s">
        <v>66</v>
      </c>
      <c r="G1753" s="2071" t="s">
        <v>448</v>
      </c>
      <c r="H1753" s="2071" t="s">
        <v>476</v>
      </c>
      <c r="I1753" s="3382" t="s">
        <v>2710</v>
      </c>
      <c r="J1753" s="3382" t="s">
        <v>2711</v>
      </c>
      <c r="K1753" s="1952">
        <f>12*3</f>
        <v>36</v>
      </c>
      <c r="L1753" s="1947">
        <v>240000000</v>
      </c>
      <c r="M1753" s="1939">
        <v>24</v>
      </c>
      <c r="N1753" s="1940">
        <f>68239360+54523588</f>
        <v>122762948</v>
      </c>
      <c r="O1753" s="1952">
        <v>12</v>
      </c>
      <c r="P1753" s="1940">
        <v>47819461.25</v>
      </c>
      <c r="Q1753" s="1939">
        <v>1</v>
      </c>
      <c r="R1753" s="1940">
        <v>2255200</v>
      </c>
      <c r="S1753" s="64">
        <f>2-1</f>
        <v>1</v>
      </c>
      <c r="T1753" s="1942">
        <v>6432600</v>
      </c>
      <c r="U1753" s="3454">
        <f>6-Q1753-S1753</f>
        <v>4</v>
      </c>
      <c r="V1753" s="3455">
        <v>7715600</v>
      </c>
      <c r="W1753" s="3454"/>
      <c r="X1753" s="3454"/>
      <c r="Y1753" s="1945">
        <f>Q1753+S1753+U1753</f>
        <v>6</v>
      </c>
      <c r="Z1753" s="1942">
        <f t="shared" si="584"/>
        <v>16403400</v>
      </c>
      <c r="AA1753" s="1943">
        <f t="shared" si="586"/>
        <v>30</v>
      </c>
      <c r="AB1753" s="1944">
        <f t="shared" si="586"/>
        <v>139166348</v>
      </c>
      <c r="AC1753" s="2724">
        <f t="shared" si="585"/>
        <v>83.333333333333343</v>
      </c>
      <c r="AD1753" s="2724">
        <f t="shared" si="585"/>
        <v>57.985978333333335</v>
      </c>
      <c r="AE1753" s="3381" t="s">
        <v>2687</v>
      </c>
    </row>
    <row r="1754" spans="1:31" ht="54.75" customHeight="1">
      <c r="A1754" s="385"/>
      <c r="B1754" s="383"/>
      <c r="C1754" s="2071" t="s">
        <v>196</v>
      </c>
      <c r="D1754" s="2071" t="s">
        <v>2558</v>
      </c>
      <c r="E1754" s="2071" t="s">
        <v>107</v>
      </c>
      <c r="F1754" s="2071" t="s">
        <v>66</v>
      </c>
      <c r="G1754" s="2071" t="s">
        <v>448</v>
      </c>
      <c r="H1754" s="2071" t="s">
        <v>1095</v>
      </c>
      <c r="I1754" s="3382" t="s">
        <v>2712</v>
      </c>
      <c r="J1754" s="3382" t="s">
        <v>2713</v>
      </c>
      <c r="K1754" s="1952">
        <v>3</v>
      </c>
      <c r="L1754" s="1947">
        <v>180000000</v>
      </c>
      <c r="M1754" s="1939">
        <v>2</v>
      </c>
      <c r="N1754" s="1940">
        <f>52658000+44421600</f>
        <v>97079600</v>
      </c>
      <c r="O1754" s="1952">
        <v>1</v>
      </c>
      <c r="P1754" s="1940">
        <v>38900487</v>
      </c>
      <c r="Q1754" s="1939">
        <v>1</v>
      </c>
      <c r="R1754" s="1940">
        <v>3223560</v>
      </c>
      <c r="S1754" s="1942"/>
      <c r="T1754" s="1942">
        <v>3543000</v>
      </c>
      <c r="U1754" s="3454"/>
      <c r="V1754" s="3455">
        <v>5232684</v>
      </c>
      <c r="W1754" s="3454"/>
      <c r="X1754" s="3454"/>
      <c r="Y1754" s="1945">
        <f>Q1754+S1754</f>
        <v>1</v>
      </c>
      <c r="Z1754" s="1942">
        <f t="shared" si="584"/>
        <v>11999244</v>
      </c>
      <c r="AA1754" s="1943">
        <f t="shared" si="586"/>
        <v>3</v>
      </c>
      <c r="AB1754" s="1944">
        <f t="shared" si="586"/>
        <v>109078844</v>
      </c>
      <c r="AC1754" s="2724">
        <f t="shared" si="585"/>
        <v>100</v>
      </c>
      <c r="AD1754" s="2724">
        <f t="shared" si="585"/>
        <v>60.599357777777776</v>
      </c>
      <c r="AE1754" s="3381" t="s">
        <v>2687</v>
      </c>
    </row>
    <row r="1755" spans="1:31" s="63" customFormat="1" ht="59.25" customHeight="1">
      <c r="A1755" s="3461">
        <v>21</v>
      </c>
      <c r="B1755" s="3462" t="s">
        <v>4217</v>
      </c>
      <c r="C1755" s="3844" t="s">
        <v>95</v>
      </c>
      <c r="D1755" s="3844" t="s">
        <v>2558</v>
      </c>
      <c r="E1755" s="3844" t="s">
        <v>107</v>
      </c>
      <c r="F1755" s="3844" t="s">
        <v>66</v>
      </c>
      <c r="G1755" s="3844" t="s">
        <v>399</v>
      </c>
      <c r="H1755" s="3844"/>
      <c r="I1755" s="3462" t="s">
        <v>1246</v>
      </c>
      <c r="J1755" s="3462" t="s">
        <v>2715</v>
      </c>
      <c r="K1755" s="3482">
        <v>6</v>
      </c>
      <c r="L1755" s="3466">
        <f>L1757+L1758</f>
        <v>1036000000</v>
      </c>
      <c r="M1755" s="3467"/>
      <c r="N1755" s="3471">
        <f>N1757+N1758</f>
        <v>572853226</v>
      </c>
      <c r="O1755" s="3482">
        <v>6</v>
      </c>
      <c r="P1755" s="3468">
        <f>SUM(P1757:P1758)</f>
        <v>183894308.25</v>
      </c>
      <c r="Q1755" s="3468"/>
      <c r="R1755" s="3468">
        <f>SUM(R1757:R1758)</f>
        <v>27208804</v>
      </c>
      <c r="S1755" s="3483"/>
      <c r="T1755" s="3489">
        <f>SUM(T1757:T1758)</f>
        <v>50727400</v>
      </c>
      <c r="U1755" s="3490"/>
      <c r="V1755" s="3468">
        <f>SUM(V1757:V1758)</f>
        <v>41346525</v>
      </c>
      <c r="W1755" s="3490"/>
      <c r="X1755" s="3490"/>
      <c r="Y1755" s="3470"/>
      <c r="Z1755" s="3471">
        <f>R1755+T1755</f>
        <v>77936204</v>
      </c>
      <c r="AA1755" s="3467"/>
      <c r="AB1755" s="3471">
        <f t="shared" si="586"/>
        <v>650789430</v>
      </c>
      <c r="AC1755" s="3474">
        <f t="shared" si="585"/>
        <v>0</v>
      </c>
      <c r="AD1755" s="3474">
        <f t="shared" si="585"/>
        <v>62.817512548262542</v>
      </c>
      <c r="AE1755" s="3475"/>
    </row>
    <row r="1756" spans="1:31" s="63" customFormat="1" ht="72" customHeight="1">
      <c r="A1756" s="3461"/>
      <c r="B1756" s="3462"/>
      <c r="C1756" s="3844"/>
      <c r="D1756" s="3844"/>
      <c r="E1756" s="3844"/>
      <c r="F1756" s="3844"/>
      <c r="G1756" s="3844"/>
      <c r="H1756" s="3844"/>
      <c r="I1756" s="3462"/>
      <c r="J1756" s="3462" t="s">
        <v>2717</v>
      </c>
      <c r="K1756" s="3482">
        <v>300</v>
      </c>
      <c r="L1756" s="3466"/>
      <c r="M1756" s="3467">
        <v>200</v>
      </c>
      <c r="N1756" s="3471"/>
      <c r="O1756" s="3482">
        <v>100</v>
      </c>
      <c r="P1756" s="3468"/>
      <c r="Q1756" s="3468">
        <v>25</v>
      </c>
      <c r="R1756" s="3468"/>
      <c r="S1756" s="3483">
        <v>20</v>
      </c>
      <c r="T1756" s="3489"/>
      <c r="U1756" s="3490">
        <v>35</v>
      </c>
      <c r="V1756" s="3468"/>
      <c r="W1756" s="3490"/>
      <c r="X1756" s="3490"/>
      <c r="Y1756" s="3470">
        <v>80</v>
      </c>
      <c r="Z1756" s="3471"/>
      <c r="AA1756" s="3467">
        <v>280</v>
      </c>
      <c r="AB1756" s="3471"/>
      <c r="AC1756" s="3474">
        <v>93</v>
      </c>
      <c r="AD1756" s="3474">
        <v>63</v>
      </c>
      <c r="AE1756" s="3475"/>
    </row>
    <row r="1757" spans="1:31" ht="69" customHeight="1">
      <c r="A1757" s="385"/>
      <c r="B1757" s="383"/>
      <c r="C1757" s="2071" t="s">
        <v>95</v>
      </c>
      <c r="D1757" s="2071" t="s">
        <v>2558</v>
      </c>
      <c r="E1757" s="2071" t="s">
        <v>107</v>
      </c>
      <c r="F1757" s="2071" t="s">
        <v>66</v>
      </c>
      <c r="G1757" s="2071" t="s">
        <v>399</v>
      </c>
      <c r="H1757" s="2071" t="s">
        <v>399</v>
      </c>
      <c r="I1757" s="1936" t="s">
        <v>2716</v>
      </c>
      <c r="J1757" s="3382" t="s">
        <v>2717</v>
      </c>
      <c r="K1757" s="2714">
        <v>600</v>
      </c>
      <c r="L1757" s="1698">
        <v>315000000</v>
      </c>
      <c r="M1757" s="1939">
        <v>200</v>
      </c>
      <c r="N1757" s="1940">
        <f>59911444+81383050</f>
        <v>141294494</v>
      </c>
      <c r="O1757" s="2714">
        <v>100</v>
      </c>
      <c r="P1757" s="1971">
        <v>44144249.25</v>
      </c>
      <c r="Q1757" s="1939">
        <v>25</v>
      </c>
      <c r="R1757" s="1940">
        <v>8073897</v>
      </c>
      <c r="S1757" s="64">
        <v>20</v>
      </c>
      <c r="T1757" s="1689">
        <v>9120000</v>
      </c>
      <c r="U1757" s="3454">
        <f>80-Q1757-S1757</f>
        <v>35</v>
      </c>
      <c r="V1757" s="3455">
        <v>3955400</v>
      </c>
      <c r="W1757" s="3454"/>
      <c r="X1757" s="3454"/>
      <c r="Y1757" s="1945">
        <f>Q1757+S1757+U1757</f>
        <v>80</v>
      </c>
      <c r="Z1757" s="1942">
        <f>R1757+T1757+V1757</f>
        <v>21149297</v>
      </c>
      <c r="AA1757" s="1943">
        <f t="shared" si="586"/>
        <v>280</v>
      </c>
      <c r="AB1757" s="1944">
        <f t="shared" si="586"/>
        <v>162443791</v>
      </c>
      <c r="AC1757" s="2724">
        <f t="shared" si="585"/>
        <v>46.666666666666664</v>
      </c>
      <c r="AD1757" s="2724">
        <f t="shared" si="585"/>
        <v>51.569457460317459</v>
      </c>
      <c r="AE1757" s="3381"/>
    </row>
    <row r="1758" spans="1:31" ht="30" customHeight="1">
      <c r="A1758" s="385"/>
      <c r="B1758" s="383"/>
      <c r="C1758" s="2071" t="s">
        <v>95</v>
      </c>
      <c r="D1758" s="2071" t="s">
        <v>2558</v>
      </c>
      <c r="E1758" s="2071" t="s">
        <v>107</v>
      </c>
      <c r="F1758" s="2071" t="s">
        <v>66</v>
      </c>
      <c r="G1758" s="2071" t="s">
        <v>399</v>
      </c>
      <c r="H1758" s="2071" t="s">
        <v>181</v>
      </c>
      <c r="I1758" s="1936" t="s">
        <v>2719</v>
      </c>
      <c r="J1758" s="3382" t="s">
        <v>2720</v>
      </c>
      <c r="K1758" s="1938">
        <f>6*12</f>
        <v>72</v>
      </c>
      <c r="L1758" s="1698">
        <v>721000000</v>
      </c>
      <c r="M1758" s="1939">
        <v>24</v>
      </c>
      <c r="N1758" s="1940">
        <f>237645332+193913400</f>
        <v>431558732</v>
      </c>
      <c r="O1758" s="1938">
        <v>12</v>
      </c>
      <c r="P1758" s="1940">
        <v>139750059</v>
      </c>
      <c r="Q1758" s="1939">
        <v>3</v>
      </c>
      <c r="R1758" s="1940">
        <v>19134907</v>
      </c>
      <c r="S1758" s="64">
        <v>3</v>
      </c>
      <c r="T1758" s="1689">
        <v>41607400</v>
      </c>
      <c r="U1758" s="3454">
        <v>3</v>
      </c>
      <c r="V1758" s="3455">
        <v>37391125</v>
      </c>
      <c r="W1758" s="3454"/>
      <c r="X1758" s="3454"/>
      <c r="Y1758" s="1945">
        <f>Q1758+S1758+U1758</f>
        <v>9</v>
      </c>
      <c r="Z1758" s="1942">
        <f>R1758+T1758+V1758</f>
        <v>98133432</v>
      </c>
      <c r="AA1758" s="1943">
        <f t="shared" si="586"/>
        <v>33</v>
      </c>
      <c r="AB1758" s="1944">
        <f t="shared" si="586"/>
        <v>529692164</v>
      </c>
      <c r="AC1758" s="2724">
        <f t="shared" si="585"/>
        <v>45.833333333333329</v>
      </c>
      <c r="AD1758" s="2724">
        <f t="shared" si="585"/>
        <v>73.466319556171982</v>
      </c>
      <c r="AE1758" s="3381"/>
    </row>
    <row r="1759" spans="1:31" s="63" customFormat="1" ht="77.25" customHeight="1">
      <c r="A1759" s="3461">
        <v>22</v>
      </c>
      <c r="B1759" s="3462" t="s">
        <v>4217</v>
      </c>
      <c r="C1759" s="3844" t="s">
        <v>66</v>
      </c>
      <c r="D1759" s="3844" t="s">
        <v>2558</v>
      </c>
      <c r="E1759" s="3844" t="s">
        <v>107</v>
      </c>
      <c r="F1759" s="3844" t="s">
        <v>66</v>
      </c>
      <c r="G1759" s="3844" t="s">
        <v>166</v>
      </c>
      <c r="H1759" s="3844"/>
      <c r="I1759" s="3462" t="s">
        <v>2722</v>
      </c>
      <c r="J1759" s="3462" t="s">
        <v>2723</v>
      </c>
      <c r="K1759" s="3486">
        <v>315</v>
      </c>
      <c r="L1759" s="3466">
        <f>L1760</f>
        <v>2075000000</v>
      </c>
      <c r="M1759" s="3465">
        <v>100</v>
      </c>
      <c r="N1759" s="3471">
        <f>N1760</f>
        <v>755299800</v>
      </c>
      <c r="O1759" s="3486">
        <v>50</v>
      </c>
      <c r="P1759" s="3468">
        <f>P1760</f>
        <v>229224100</v>
      </c>
      <c r="Q1759" s="3465">
        <v>15</v>
      </c>
      <c r="R1759" s="3469">
        <f>R1760</f>
        <v>31608000</v>
      </c>
      <c r="S1759" s="3483">
        <f>SUM(S1760)</f>
        <v>39</v>
      </c>
      <c r="T1759" s="3501">
        <f>SUM(T1760)</f>
        <v>120466250</v>
      </c>
      <c r="U1759" s="3484"/>
      <c r="V1759" s="3504">
        <f>V1760</f>
        <v>26613500</v>
      </c>
      <c r="W1759" s="3484"/>
      <c r="X1759" s="3484"/>
      <c r="Y1759" s="3470">
        <f>Q1759+S1759</f>
        <v>54</v>
      </c>
      <c r="Z1759" s="3471">
        <f>R1759+T1759+V1759</f>
        <v>178687750</v>
      </c>
      <c r="AA1759" s="3467">
        <f t="shared" si="586"/>
        <v>154</v>
      </c>
      <c r="AB1759" s="3471">
        <f t="shared" si="586"/>
        <v>933987550</v>
      </c>
      <c r="AC1759" s="3474">
        <f t="shared" si="585"/>
        <v>48.888888888888886</v>
      </c>
      <c r="AD1759" s="3474">
        <f t="shared" si="585"/>
        <v>45.011448192771084</v>
      </c>
      <c r="AE1759" s="3475"/>
    </row>
    <row r="1760" spans="1:31" ht="74.25" customHeight="1">
      <c r="A1760" s="385"/>
      <c r="B1760" s="383"/>
      <c r="C1760" s="2071" t="s">
        <v>66</v>
      </c>
      <c r="D1760" s="2071" t="s">
        <v>2558</v>
      </c>
      <c r="E1760" s="2071" t="s">
        <v>107</v>
      </c>
      <c r="F1760" s="2071" t="s">
        <v>66</v>
      </c>
      <c r="G1760" s="2071" t="s">
        <v>166</v>
      </c>
      <c r="H1760" s="2071" t="s">
        <v>66</v>
      </c>
      <c r="I1760" s="3382" t="s">
        <v>2724</v>
      </c>
      <c r="J1760" s="3382" t="s">
        <v>2725</v>
      </c>
      <c r="K1760" s="1938">
        <f>6*O1760</f>
        <v>420</v>
      </c>
      <c r="L1760" s="1947">
        <v>2075000000</v>
      </c>
      <c r="M1760" s="1939">
        <v>140</v>
      </c>
      <c r="N1760" s="1940">
        <f>315794400+439505400</f>
        <v>755299800</v>
      </c>
      <c r="O1760" s="1938">
        <v>70</v>
      </c>
      <c r="P1760" s="1971">
        <v>229224100</v>
      </c>
      <c r="Q1760" s="1939">
        <v>15</v>
      </c>
      <c r="R1760" s="1940">
        <v>31608000</v>
      </c>
      <c r="S1760" s="64">
        <v>39</v>
      </c>
      <c r="T1760" s="1689">
        <v>120466250</v>
      </c>
      <c r="U1760" s="3454">
        <f>60-Q1760-S1760</f>
        <v>6</v>
      </c>
      <c r="V1760" s="3455">
        <v>26613500</v>
      </c>
      <c r="W1760" s="3454"/>
      <c r="X1760" s="3454"/>
      <c r="Y1760" s="1945">
        <f>Q1760+S1760+U1760</f>
        <v>60</v>
      </c>
      <c r="Z1760" s="1942">
        <f>R1760+T1760+V1760</f>
        <v>178687750</v>
      </c>
      <c r="AA1760" s="1943">
        <f t="shared" si="586"/>
        <v>200</v>
      </c>
      <c r="AB1760" s="1944">
        <f t="shared" si="586"/>
        <v>933987550</v>
      </c>
      <c r="AC1760" s="2724">
        <f t="shared" si="585"/>
        <v>47.619047619047613</v>
      </c>
      <c r="AD1760" s="2724">
        <f t="shared" si="585"/>
        <v>45.011448192771084</v>
      </c>
      <c r="AE1760" s="3381"/>
    </row>
    <row r="1761" spans="1:31" ht="73.5" customHeight="1">
      <c r="A1761" s="3461">
        <v>23</v>
      </c>
      <c r="B1761" s="3462" t="s">
        <v>4225</v>
      </c>
      <c r="C1761" s="3844" t="s">
        <v>66</v>
      </c>
      <c r="D1761" s="3844" t="s">
        <v>2558</v>
      </c>
      <c r="E1761" s="3844" t="s">
        <v>107</v>
      </c>
      <c r="F1761" s="3844" t="s">
        <v>66</v>
      </c>
      <c r="G1761" s="3844" t="s">
        <v>459</v>
      </c>
      <c r="H1761" s="3844"/>
      <c r="I1761" s="3463" t="s">
        <v>2726</v>
      </c>
      <c r="J1761" s="3485" t="s">
        <v>2727</v>
      </c>
      <c r="K1761" s="3495">
        <v>550</v>
      </c>
      <c r="L1761" s="3466">
        <f>L1763+L1764+L1765+L1766</f>
        <v>2424226974</v>
      </c>
      <c r="M1761" s="3465">
        <f>90+85</f>
        <v>175</v>
      </c>
      <c r="N1761" s="3471">
        <f>SUM(N1763:N1766)</f>
        <v>1154523108</v>
      </c>
      <c r="O1761" s="3495">
        <v>95</v>
      </c>
      <c r="P1761" s="3471">
        <f>SUM(P1763:P1766)</f>
        <v>448726269</v>
      </c>
      <c r="Q1761" s="3465">
        <v>30</v>
      </c>
      <c r="R1761" s="3471">
        <f>SUM(R1763:R1766)</f>
        <v>31153100</v>
      </c>
      <c r="S1761" s="3483">
        <v>30</v>
      </c>
      <c r="T1761" s="3471">
        <f>SUM(T1763:T1766)</f>
        <v>127267000</v>
      </c>
      <c r="U1761" s="3490">
        <f>80-Q1761-S1761</f>
        <v>20</v>
      </c>
      <c r="V1761" s="3471">
        <f>SUM(V1763:V1766)</f>
        <v>59608600</v>
      </c>
      <c r="W1761" s="3490"/>
      <c r="X1761" s="3490"/>
      <c r="Y1761" s="3470">
        <f>Q1761+S1761+U1761</f>
        <v>80</v>
      </c>
      <c r="Z1761" s="3471">
        <f>R1761+T1761+V1761</f>
        <v>218028700</v>
      </c>
      <c r="AA1761" s="3467">
        <f t="shared" si="586"/>
        <v>255</v>
      </c>
      <c r="AB1761" s="3471">
        <f t="shared" si="586"/>
        <v>1372551808</v>
      </c>
      <c r="AC1761" s="3474">
        <f t="shared" si="585"/>
        <v>46.36363636363636</v>
      </c>
      <c r="AD1761" s="3474">
        <f t="shared" si="585"/>
        <v>56.618122920036448</v>
      </c>
      <c r="AE1761" s="3506"/>
    </row>
    <row r="1762" spans="1:31" ht="51.75" customHeight="1">
      <c r="A1762" s="3494"/>
      <c r="B1762" s="3463"/>
      <c r="C1762" s="3844"/>
      <c r="D1762" s="3844"/>
      <c r="E1762" s="3844"/>
      <c r="F1762" s="3844"/>
      <c r="G1762" s="3844"/>
      <c r="H1762" s="3844"/>
      <c r="I1762" s="3463"/>
      <c r="J1762" s="3485" t="s">
        <v>2728</v>
      </c>
      <c r="K1762" s="3482">
        <v>570</v>
      </c>
      <c r="L1762" s="3483"/>
      <c r="M1762" s="3465">
        <f>95+95</f>
        <v>190</v>
      </c>
      <c r="N1762" s="3483"/>
      <c r="O1762" s="3482">
        <v>95</v>
      </c>
      <c r="P1762" s="3471"/>
      <c r="Q1762" s="3465">
        <v>30</v>
      </c>
      <c r="R1762" s="3471"/>
      <c r="S1762" s="3483"/>
      <c r="T1762" s="3483"/>
      <c r="U1762" s="3490">
        <f>80-Q1762</f>
        <v>50</v>
      </c>
      <c r="V1762" s="3490"/>
      <c r="W1762" s="3490"/>
      <c r="X1762" s="3490"/>
      <c r="Y1762" s="3470">
        <f>Q1762+S1762+U1762</f>
        <v>80</v>
      </c>
      <c r="Z1762" s="3471">
        <f>R1762+T1762</f>
        <v>0</v>
      </c>
      <c r="AA1762" s="3467">
        <f t="shared" si="586"/>
        <v>270</v>
      </c>
      <c r="AB1762" s="3471">
        <f t="shared" si="586"/>
        <v>0</v>
      </c>
      <c r="AC1762" s="3474">
        <f t="shared" si="585"/>
        <v>47.368421052631575</v>
      </c>
      <c r="AD1762" s="3474"/>
      <c r="AE1762" s="3506"/>
    </row>
    <row r="1763" spans="1:31" ht="43.5" customHeight="1">
      <c r="A1763" s="385"/>
      <c r="B1763" s="383"/>
      <c r="C1763" s="2071" t="s">
        <v>66</v>
      </c>
      <c r="D1763" s="2071" t="s">
        <v>2558</v>
      </c>
      <c r="E1763" s="2071" t="s">
        <v>107</v>
      </c>
      <c r="F1763" s="2071" t="s">
        <v>66</v>
      </c>
      <c r="G1763" s="2071" t="s">
        <v>459</v>
      </c>
      <c r="H1763" s="2071" t="s">
        <v>66</v>
      </c>
      <c r="I1763" s="384" t="s">
        <v>2729</v>
      </c>
      <c r="J1763" s="3382" t="s">
        <v>2730</v>
      </c>
      <c r="K1763" s="64">
        <v>250</v>
      </c>
      <c r="L1763" s="1698">
        <v>780000000</v>
      </c>
      <c r="M1763" s="2326">
        <v>50</v>
      </c>
      <c r="N1763" s="1196">
        <f>236041650+275239550</f>
        <v>511281200</v>
      </c>
      <c r="O1763" s="1952">
        <v>50</v>
      </c>
      <c r="P1763" s="1940">
        <v>193437389</v>
      </c>
      <c r="Q1763" s="1939">
        <v>51</v>
      </c>
      <c r="R1763" s="1940">
        <v>11466000</v>
      </c>
      <c r="S1763" s="64">
        <f>60-51</f>
        <v>9</v>
      </c>
      <c r="T1763" s="1942">
        <v>50696300</v>
      </c>
      <c r="U1763" s="3454">
        <f>74-Q1763-S1763</f>
        <v>14</v>
      </c>
      <c r="V1763" s="3455">
        <v>17491500</v>
      </c>
      <c r="W1763" s="3454"/>
      <c r="X1763" s="3454"/>
      <c r="Y1763" s="1945">
        <f>Q1763+S1763+U1763</f>
        <v>74</v>
      </c>
      <c r="Z1763" s="1942">
        <f t="shared" ref="Z1763:Z1771" si="587">R1763+T1763+V1763</f>
        <v>79653800</v>
      </c>
      <c r="AA1763" s="1943">
        <f t="shared" si="586"/>
        <v>124</v>
      </c>
      <c r="AB1763" s="1944">
        <f t="shared" si="586"/>
        <v>590935000</v>
      </c>
      <c r="AC1763" s="2724">
        <f t="shared" si="585"/>
        <v>49.6</v>
      </c>
      <c r="AD1763" s="2724">
        <f t="shared" si="585"/>
        <v>75.760897435897434</v>
      </c>
      <c r="AE1763" s="3188"/>
    </row>
    <row r="1764" spans="1:31" ht="43.5" customHeight="1">
      <c r="A1764" s="385"/>
      <c r="B1764" s="383"/>
      <c r="C1764" s="2071" t="s">
        <v>66</v>
      </c>
      <c r="D1764" s="2071" t="s">
        <v>2558</v>
      </c>
      <c r="E1764" s="2071" t="s">
        <v>107</v>
      </c>
      <c r="F1764" s="2071" t="s">
        <v>66</v>
      </c>
      <c r="G1764" s="2071" t="s">
        <v>459</v>
      </c>
      <c r="H1764" s="2071" t="s">
        <v>65</v>
      </c>
      <c r="I1764" s="384" t="s">
        <v>2731</v>
      </c>
      <c r="J1764" s="3382" t="s">
        <v>2732</v>
      </c>
      <c r="K1764" s="64">
        <v>26</v>
      </c>
      <c r="L1764" s="1698">
        <v>810000000</v>
      </c>
      <c r="M1764" s="2326">
        <v>18</v>
      </c>
      <c r="N1764" s="1196">
        <f>201408023+132817840</f>
        <v>334225863</v>
      </c>
      <c r="O1764" s="1952">
        <v>8</v>
      </c>
      <c r="P1764" s="1940">
        <v>103857590</v>
      </c>
      <c r="Q1764" s="1939">
        <v>3</v>
      </c>
      <c r="R1764" s="1940">
        <v>6663100</v>
      </c>
      <c r="S1764" s="64">
        <f>5-Q1764</f>
        <v>2</v>
      </c>
      <c r="T1764" s="1942">
        <v>25886000</v>
      </c>
      <c r="U1764" s="3454"/>
      <c r="V1764" s="3455">
        <v>16354000</v>
      </c>
      <c r="W1764" s="3454"/>
      <c r="X1764" s="3454"/>
      <c r="Y1764" s="1945">
        <f>Q1764+S1764</f>
        <v>5</v>
      </c>
      <c r="Z1764" s="1942">
        <f t="shared" si="587"/>
        <v>48903100</v>
      </c>
      <c r="AA1764" s="1943">
        <f t="shared" si="586"/>
        <v>23</v>
      </c>
      <c r="AB1764" s="1944">
        <f t="shared" si="586"/>
        <v>383128963</v>
      </c>
      <c r="AC1764" s="2724">
        <f t="shared" ref="AC1764:AD1779" si="588">AA1764/K1764*100</f>
        <v>88.461538461538453</v>
      </c>
      <c r="AD1764" s="2724">
        <f t="shared" si="588"/>
        <v>47.299871975308641</v>
      </c>
      <c r="AE1764" s="3188"/>
    </row>
    <row r="1765" spans="1:31" ht="36.75" customHeight="1">
      <c r="A1765" s="385"/>
      <c r="B1765" s="383"/>
      <c r="C1765" s="2071" t="s">
        <v>66</v>
      </c>
      <c r="D1765" s="2071" t="s">
        <v>2558</v>
      </c>
      <c r="E1765" s="2071" t="s">
        <v>107</v>
      </c>
      <c r="F1765" s="2071" t="s">
        <v>66</v>
      </c>
      <c r="G1765" s="2071" t="s">
        <v>459</v>
      </c>
      <c r="H1765" s="2071" t="s">
        <v>196</v>
      </c>
      <c r="I1765" s="384" t="s">
        <v>2733</v>
      </c>
      <c r="J1765" s="3382" t="s">
        <v>2734</v>
      </c>
      <c r="K1765" s="1945">
        <f>6*O1765</f>
        <v>1560</v>
      </c>
      <c r="L1765" s="1698">
        <v>390000000</v>
      </c>
      <c r="M1765" s="2326">
        <f>500+260</f>
        <v>760</v>
      </c>
      <c r="N1765" s="1196">
        <f>84271920+75100000</f>
        <v>159371920</v>
      </c>
      <c r="O1765" s="1952">
        <v>260</v>
      </c>
      <c r="P1765" s="1940">
        <v>77393461</v>
      </c>
      <c r="Q1765" s="1959"/>
      <c r="R1765" s="1940">
        <v>2013000</v>
      </c>
      <c r="S1765" s="64">
        <v>260</v>
      </c>
      <c r="T1765" s="1942">
        <v>34521200</v>
      </c>
      <c r="U1765" s="3454"/>
      <c r="V1765" s="3455">
        <v>12353400</v>
      </c>
      <c r="W1765" s="3454"/>
      <c r="X1765" s="3454"/>
      <c r="Y1765" s="1945">
        <f>Q1765+S1765+U1765</f>
        <v>260</v>
      </c>
      <c r="Z1765" s="1942">
        <f t="shared" si="587"/>
        <v>48887600</v>
      </c>
      <c r="AA1765" s="1943">
        <f t="shared" ref="AA1765:AB1780" si="589">M1765+Y1765</f>
        <v>1020</v>
      </c>
      <c r="AB1765" s="1944">
        <f t="shared" si="589"/>
        <v>208259520</v>
      </c>
      <c r="AC1765" s="2724">
        <f t="shared" si="588"/>
        <v>65.384615384615387</v>
      </c>
      <c r="AD1765" s="2724">
        <f t="shared" si="588"/>
        <v>53.399876923076931</v>
      </c>
      <c r="AE1765" s="3188"/>
    </row>
    <row r="1766" spans="1:31" ht="56.25" customHeight="1">
      <c r="A1766" s="385"/>
      <c r="B1766" s="383"/>
      <c r="C1766" s="2071" t="s">
        <v>66</v>
      </c>
      <c r="D1766" s="2071" t="s">
        <v>2558</v>
      </c>
      <c r="E1766" s="2071" t="s">
        <v>107</v>
      </c>
      <c r="F1766" s="2071" t="s">
        <v>66</v>
      </c>
      <c r="G1766" s="2071" t="s">
        <v>459</v>
      </c>
      <c r="H1766" s="2071" t="s">
        <v>95</v>
      </c>
      <c r="I1766" s="384" t="s">
        <v>2735</v>
      </c>
      <c r="J1766" s="3382" t="s">
        <v>2736</v>
      </c>
      <c r="K1766" s="64">
        <v>2200</v>
      </c>
      <c r="L1766" s="1698">
        <f>6*P1766</f>
        <v>444226974</v>
      </c>
      <c r="M1766" s="1939">
        <v>550</v>
      </c>
      <c r="N1766" s="1940">
        <f>106221325+43422800</f>
        <v>149644125</v>
      </c>
      <c r="O1766" s="64">
        <v>600</v>
      </c>
      <c r="P1766" s="1940">
        <v>74037829</v>
      </c>
      <c r="Q1766" s="1939">
        <v>200</v>
      </c>
      <c r="R1766" s="1940">
        <v>11011000</v>
      </c>
      <c r="S1766" s="64">
        <v>111</v>
      </c>
      <c r="T1766" s="1942">
        <v>16163500</v>
      </c>
      <c r="U1766" s="3454">
        <f>423-Q1766-S1766</f>
        <v>112</v>
      </c>
      <c r="V1766" s="3455">
        <v>13409700</v>
      </c>
      <c r="W1766" s="3454"/>
      <c r="X1766" s="3454"/>
      <c r="Y1766" s="1945">
        <f>Q1766+S1766+U1766</f>
        <v>423</v>
      </c>
      <c r="Z1766" s="1942">
        <f t="shared" si="587"/>
        <v>40584200</v>
      </c>
      <c r="AA1766" s="1943">
        <f t="shared" si="589"/>
        <v>973</v>
      </c>
      <c r="AB1766" s="1944">
        <f t="shared" si="589"/>
        <v>190228325</v>
      </c>
      <c r="AC1766" s="2724">
        <f t="shared" si="588"/>
        <v>44.227272727272727</v>
      </c>
      <c r="AD1766" s="2724">
        <f t="shared" si="588"/>
        <v>42.822326453323384</v>
      </c>
      <c r="AE1766" s="3188"/>
    </row>
    <row r="1767" spans="1:31" ht="68.25" customHeight="1">
      <c r="A1767" s="3461">
        <v>24</v>
      </c>
      <c r="B1767" s="3462" t="s">
        <v>4217</v>
      </c>
      <c r="C1767" s="3844" t="s">
        <v>66</v>
      </c>
      <c r="D1767" s="3844" t="s">
        <v>2558</v>
      </c>
      <c r="E1767" s="3844" t="s">
        <v>107</v>
      </c>
      <c r="F1767" s="3844" t="s">
        <v>66</v>
      </c>
      <c r="G1767" s="3844" t="s">
        <v>178</v>
      </c>
      <c r="H1767" s="3844"/>
      <c r="I1767" s="3463" t="s">
        <v>2737</v>
      </c>
      <c r="J1767" s="3463" t="s">
        <v>2738</v>
      </c>
      <c r="K1767" s="3467">
        <v>535</v>
      </c>
      <c r="L1767" s="3466">
        <f>L1768+L1769+L1770+L1771</f>
        <v>1640000000</v>
      </c>
      <c r="M1767" s="3467">
        <f>80+80</f>
        <v>160</v>
      </c>
      <c r="N1767" s="3471">
        <f>N1769</f>
        <v>122933575</v>
      </c>
      <c r="O1767" s="3465">
        <v>90</v>
      </c>
      <c r="P1767" s="3497">
        <f>SUM(P1768:P1771)</f>
        <v>291332345.5</v>
      </c>
      <c r="Q1767" s="3467"/>
      <c r="R1767" s="3497">
        <f>R1768+R1769+R1771+R1770</f>
        <v>38408674</v>
      </c>
      <c r="S1767" s="3483">
        <v>55</v>
      </c>
      <c r="T1767" s="3471">
        <f>SUM(T1768:T1771)</f>
        <v>39706900</v>
      </c>
      <c r="U1767" s="3490">
        <f>80-S1767</f>
        <v>25</v>
      </c>
      <c r="V1767" s="3497">
        <f>V1768+V1769+V1771+V1770</f>
        <v>96637634</v>
      </c>
      <c r="W1767" s="3490"/>
      <c r="X1767" s="3490"/>
      <c r="Y1767" s="3470">
        <f>Q1767+S1767+U1767</f>
        <v>80</v>
      </c>
      <c r="Z1767" s="3471">
        <f t="shared" si="587"/>
        <v>174753208</v>
      </c>
      <c r="AA1767" s="3467">
        <f t="shared" si="589"/>
        <v>240</v>
      </c>
      <c r="AB1767" s="3471">
        <f t="shared" si="589"/>
        <v>297686783</v>
      </c>
      <c r="AC1767" s="3474">
        <f t="shared" si="588"/>
        <v>44.859813084112147</v>
      </c>
      <c r="AD1767" s="3474">
        <f t="shared" si="588"/>
        <v>18.151633109756098</v>
      </c>
      <c r="AE1767" s="3475"/>
    </row>
    <row r="1768" spans="1:31" ht="48" customHeight="1">
      <c r="A1768" s="385"/>
      <c r="B1768" s="383"/>
      <c r="C1768" s="2071" t="s">
        <v>66</v>
      </c>
      <c r="D1768" s="2071" t="s">
        <v>2558</v>
      </c>
      <c r="E1768" s="2071" t="s">
        <v>107</v>
      </c>
      <c r="F1768" s="2071" t="s">
        <v>66</v>
      </c>
      <c r="G1768" s="2071" t="s">
        <v>178</v>
      </c>
      <c r="H1768" s="2071" t="s">
        <v>95</v>
      </c>
      <c r="I1768" s="384" t="s">
        <v>2739</v>
      </c>
      <c r="J1768" s="2632" t="s">
        <v>2740</v>
      </c>
      <c r="K1768" s="64">
        <f>45*5</f>
        <v>225</v>
      </c>
      <c r="L1768" s="1938">
        <v>550000000</v>
      </c>
      <c r="M1768" s="1939"/>
      <c r="N1768" s="64"/>
      <c r="O1768" s="64">
        <v>45</v>
      </c>
      <c r="P1768" s="1971">
        <v>99054498.5</v>
      </c>
      <c r="Q1768" s="1959"/>
      <c r="R1768" s="1940">
        <v>13833318</v>
      </c>
      <c r="S1768" s="64">
        <v>45</v>
      </c>
      <c r="T1768" s="1942">
        <v>8859600</v>
      </c>
      <c r="U1768" s="3454"/>
      <c r="V1768" s="3455">
        <v>56799500</v>
      </c>
      <c r="W1768" s="3454"/>
      <c r="X1768" s="3454"/>
      <c r="Y1768" s="1945">
        <f>Q1768+S1768</f>
        <v>45</v>
      </c>
      <c r="Z1768" s="1942">
        <f t="shared" si="587"/>
        <v>79492418</v>
      </c>
      <c r="AA1768" s="1943">
        <f t="shared" si="589"/>
        <v>45</v>
      </c>
      <c r="AB1768" s="1944">
        <f t="shared" si="589"/>
        <v>79492418</v>
      </c>
      <c r="AC1768" s="2724">
        <f t="shared" si="588"/>
        <v>20</v>
      </c>
      <c r="AD1768" s="2724">
        <f t="shared" si="588"/>
        <v>14.453166909090909</v>
      </c>
      <c r="AE1768" s="3381"/>
    </row>
    <row r="1769" spans="1:31" ht="70.5" customHeight="1">
      <c r="A1769" s="385"/>
      <c r="B1769" s="383"/>
      <c r="C1769" s="2071" t="s">
        <v>66</v>
      </c>
      <c r="D1769" s="2071" t="s">
        <v>2558</v>
      </c>
      <c r="E1769" s="2071" t="s">
        <v>107</v>
      </c>
      <c r="F1769" s="2071" t="s">
        <v>66</v>
      </c>
      <c r="G1769" s="2071" t="s">
        <v>178</v>
      </c>
      <c r="H1769" s="2071" t="s">
        <v>93</v>
      </c>
      <c r="I1769" s="384" t="s">
        <v>2741</v>
      </c>
      <c r="J1769" s="2632" t="s">
        <v>2742</v>
      </c>
      <c r="K1769" s="1938">
        <f>12*3</f>
        <v>36</v>
      </c>
      <c r="L1769" s="1947">
        <v>220000000</v>
      </c>
      <c r="M1769" s="1939">
        <v>24</v>
      </c>
      <c r="N1769" s="1940">
        <f>67515113+55418462</f>
        <v>122933575</v>
      </c>
      <c r="O1769" s="1938">
        <v>12</v>
      </c>
      <c r="P1769" s="1971">
        <v>42117862.25</v>
      </c>
      <c r="Q1769" s="1959"/>
      <c r="R1769" s="1940">
        <v>2213980</v>
      </c>
      <c r="S1769" s="64">
        <v>1</v>
      </c>
      <c r="T1769" s="1942">
        <v>3876600</v>
      </c>
      <c r="U1769" s="3454">
        <f>4-S1769</f>
        <v>3</v>
      </c>
      <c r="V1769" s="3455">
        <v>11957434</v>
      </c>
      <c r="W1769" s="3454"/>
      <c r="X1769" s="3454"/>
      <c r="Y1769" s="1945">
        <f>Q1769+S1769+U1769</f>
        <v>4</v>
      </c>
      <c r="Z1769" s="1942">
        <f t="shared" si="587"/>
        <v>18048014</v>
      </c>
      <c r="AA1769" s="1943">
        <f t="shared" si="589"/>
        <v>28</v>
      </c>
      <c r="AB1769" s="1944">
        <f t="shared" si="589"/>
        <v>140981589</v>
      </c>
      <c r="AC1769" s="2724">
        <f t="shared" si="588"/>
        <v>77.777777777777786</v>
      </c>
      <c r="AD1769" s="2724">
        <f t="shared" si="588"/>
        <v>64.082540454545452</v>
      </c>
      <c r="AE1769" s="3381"/>
    </row>
    <row r="1770" spans="1:31" ht="59.25" customHeight="1">
      <c r="A1770" s="385"/>
      <c r="B1770" s="383"/>
      <c r="C1770" s="2071" t="s">
        <v>66</v>
      </c>
      <c r="D1770" s="2071" t="s">
        <v>2558</v>
      </c>
      <c r="E1770" s="2071" t="s">
        <v>107</v>
      </c>
      <c r="F1770" s="2071" t="s">
        <v>66</v>
      </c>
      <c r="G1770" s="2071" t="s">
        <v>178</v>
      </c>
      <c r="H1770" s="2071" t="s">
        <v>201</v>
      </c>
      <c r="I1770" s="384" t="s">
        <v>2743</v>
      </c>
      <c r="J1770" s="2632" t="s">
        <v>2744</v>
      </c>
      <c r="K1770" s="2716">
        <v>80</v>
      </c>
      <c r="L1770" s="2717">
        <v>660000000</v>
      </c>
      <c r="M1770" s="1939">
        <v>20</v>
      </c>
      <c r="N1770" s="1940">
        <v>81589450</v>
      </c>
      <c r="O1770" s="2632">
        <v>60</v>
      </c>
      <c r="P1770" s="1941">
        <v>101803084.75</v>
      </c>
      <c r="Q1770" s="1959"/>
      <c r="R1770" s="1940">
        <v>7272576</v>
      </c>
      <c r="S1770" s="64">
        <v>50</v>
      </c>
      <c r="T1770" s="1942">
        <v>18652300</v>
      </c>
      <c r="U1770" s="3454"/>
      <c r="V1770" s="3455">
        <v>19583500</v>
      </c>
      <c r="W1770" s="3454"/>
      <c r="X1770" s="3454"/>
      <c r="Y1770" s="1945">
        <f>Q1770+S1770</f>
        <v>50</v>
      </c>
      <c r="Z1770" s="1942">
        <f t="shared" si="587"/>
        <v>45508376</v>
      </c>
      <c r="AA1770" s="1943">
        <f t="shared" si="589"/>
        <v>70</v>
      </c>
      <c r="AB1770" s="1944">
        <f t="shared" si="589"/>
        <v>127097826</v>
      </c>
      <c r="AC1770" s="2724">
        <f t="shared" si="588"/>
        <v>87.5</v>
      </c>
      <c r="AD1770" s="2724">
        <f t="shared" si="588"/>
        <v>19.257246363636362</v>
      </c>
      <c r="AE1770" s="3381"/>
    </row>
    <row r="1771" spans="1:31" ht="42" customHeight="1">
      <c r="A1771" s="385"/>
      <c r="B1771" s="383"/>
      <c r="C1771" s="2071" t="s">
        <v>66</v>
      </c>
      <c r="D1771" s="2071" t="s">
        <v>2558</v>
      </c>
      <c r="E1771" s="2071" t="s">
        <v>107</v>
      </c>
      <c r="F1771" s="2071" t="s">
        <v>66</v>
      </c>
      <c r="G1771" s="2071" t="s">
        <v>178</v>
      </c>
      <c r="H1771" s="2071" t="s">
        <v>155</v>
      </c>
      <c r="I1771" s="384" t="s">
        <v>2745</v>
      </c>
      <c r="J1771" s="2632" t="s">
        <v>2746</v>
      </c>
      <c r="K1771" s="1938">
        <v>6</v>
      </c>
      <c r="L1771" s="1947">
        <v>210000000</v>
      </c>
      <c r="M1771" s="1939">
        <v>4</v>
      </c>
      <c r="N1771" s="1940">
        <f>49137581+58779224</f>
        <v>107916805</v>
      </c>
      <c r="O1771" s="64">
        <v>2</v>
      </c>
      <c r="P1771" s="1941">
        <v>48356900</v>
      </c>
      <c r="Q1771" s="1959"/>
      <c r="R1771" s="1940">
        <v>15088800</v>
      </c>
      <c r="S1771" s="64">
        <v>1</v>
      </c>
      <c r="T1771" s="1942">
        <v>8318400</v>
      </c>
      <c r="U1771" s="3454"/>
      <c r="V1771" s="3455">
        <v>8297200</v>
      </c>
      <c r="W1771" s="3454"/>
      <c r="X1771" s="3454"/>
      <c r="Y1771" s="1945">
        <f>Q1771+S1771</f>
        <v>1</v>
      </c>
      <c r="Z1771" s="1942">
        <f t="shared" si="587"/>
        <v>31704400</v>
      </c>
      <c r="AA1771" s="1943">
        <f t="shared" si="589"/>
        <v>5</v>
      </c>
      <c r="AB1771" s="1944">
        <f t="shared" si="589"/>
        <v>139621205</v>
      </c>
      <c r="AC1771" s="2724">
        <f t="shared" si="588"/>
        <v>83.333333333333343</v>
      </c>
      <c r="AD1771" s="2724">
        <f t="shared" si="588"/>
        <v>66.486288095238095</v>
      </c>
      <c r="AE1771" s="3381"/>
    </row>
    <row r="1772" spans="1:31" ht="88.5" customHeight="1">
      <c r="A1772" s="3461">
        <v>25</v>
      </c>
      <c r="B1772" s="3462" t="s">
        <v>4217</v>
      </c>
      <c r="C1772" s="3844" t="s">
        <v>66</v>
      </c>
      <c r="D1772" s="3844" t="s">
        <v>2558</v>
      </c>
      <c r="E1772" s="3844" t="s">
        <v>107</v>
      </c>
      <c r="F1772" s="3844" t="s">
        <v>66</v>
      </c>
      <c r="G1772" s="3844" t="s">
        <v>1133</v>
      </c>
      <c r="H1772" s="3844"/>
      <c r="I1772" s="3462" t="s">
        <v>2747</v>
      </c>
      <c r="J1772" s="3462" t="s">
        <v>2748</v>
      </c>
      <c r="K1772" s="3465">
        <v>500</v>
      </c>
      <c r="L1772" s="3466">
        <f>L1773+L1774</f>
        <v>12100000000</v>
      </c>
      <c r="M1772" s="3465">
        <f>70+75</f>
        <v>145</v>
      </c>
      <c r="N1772" s="3466">
        <f>N1773+N1774</f>
        <v>3300748088</v>
      </c>
      <c r="O1772" s="3465">
        <v>80</v>
      </c>
      <c r="P1772" s="3471">
        <f>SUM(P1773:P1774)</f>
        <v>1601746500</v>
      </c>
      <c r="Q1772" s="3465">
        <v>25</v>
      </c>
      <c r="R1772" s="3471">
        <f>R1773+R1774</f>
        <v>130903800</v>
      </c>
      <c r="S1772" s="3483">
        <v>30</v>
      </c>
      <c r="T1772" s="3489">
        <f>SUM(T1773:T1774)</f>
        <v>153529900</v>
      </c>
      <c r="U1772" s="3490">
        <f>75-Q1772-S1772</f>
        <v>20</v>
      </c>
      <c r="V1772" s="3471">
        <f>V1773+V1774</f>
        <v>352198200</v>
      </c>
      <c r="W1772" s="3490"/>
      <c r="X1772" s="3490"/>
      <c r="Y1772" s="3470">
        <f t="shared" ref="Y1772:Z1774" si="590">Q1772+S1772+U1772</f>
        <v>75</v>
      </c>
      <c r="Z1772" s="3471">
        <f t="shared" si="590"/>
        <v>636631900</v>
      </c>
      <c r="AA1772" s="3467">
        <f t="shared" si="589"/>
        <v>220</v>
      </c>
      <c r="AB1772" s="3471">
        <f t="shared" si="589"/>
        <v>3937379988</v>
      </c>
      <c r="AC1772" s="3474">
        <f t="shared" si="588"/>
        <v>44</v>
      </c>
      <c r="AD1772" s="3474">
        <f t="shared" si="588"/>
        <v>32.540330479338841</v>
      </c>
      <c r="AE1772" s="3475"/>
    </row>
    <row r="1773" spans="1:31" ht="58.5" customHeight="1">
      <c r="A1773" s="385"/>
      <c r="B1773" s="383"/>
      <c r="C1773" s="2071" t="s">
        <v>66</v>
      </c>
      <c r="D1773" s="2071" t="s">
        <v>2558</v>
      </c>
      <c r="E1773" s="2071" t="s">
        <v>107</v>
      </c>
      <c r="F1773" s="2071" t="s">
        <v>66</v>
      </c>
      <c r="G1773" s="2071" t="s">
        <v>1133</v>
      </c>
      <c r="H1773" s="2071" t="s">
        <v>66</v>
      </c>
      <c r="I1773" s="3382" t="s">
        <v>2749</v>
      </c>
      <c r="J1773" s="3382" t="s">
        <v>2750</v>
      </c>
      <c r="K1773" s="2119">
        <f>12*6</f>
        <v>72</v>
      </c>
      <c r="L1773" s="2144">
        <v>600000000</v>
      </c>
      <c r="M1773" s="2129">
        <v>24</v>
      </c>
      <c r="N1773" s="2047">
        <f>95998500+67814100</f>
        <v>163812600</v>
      </c>
      <c r="O1773" s="2119">
        <v>12</v>
      </c>
      <c r="P1773" s="2047">
        <v>65002500</v>
      </c>
      <c r="Q1773" s="2129">
        <v>3</v>
      </c>
      <c r="R1773" s="2047">
        <v>1400000</v>
      </c>
      <c r="S1773" s="385">
        <v>3</v>
      </c>
      <c r="T1773" s="386">
        <v>24980000</v>
      </c>
      <c r="U1773" s="3454">
        <v>3</v>
      </c>
      <c r="V1773" s="3455">
        <v>32367000</v>
      </c>
      <c r="W1773" s="3454"/>
      <c r="X1773" s="3454"/>
      <c r="Y1773" s="1945">
        <f t="shared" si="590"/>
        <v>9</v>
      </c>
      <c r="Z1773" s="1942">
        <f t="shared" si="590"/>
        <v>58747000</v>
      </c>
      <c r="AA1773" s="1943">
        <f t="shared" si="589"/>
        <v>33</v>
      </c>
      <c r="AB1773" s="1944">
        <f t="shared" si="589"/>
        <v>222559600</v>
      </c>
      <c r="AC1773" s="2723">
        <f t="shared" si="588"/>
        <v>45.833333333333329</v>
      </c>
      <c r="AD1773" s="2723">
        <f t="shared" si="588"/>
        <v>37.093266666666672</v>
      </c>
      <c r="AE1773" s="3373"/>
    </row>
    <row r="1774" spans="1:31" ht="54.75" customHeight="1">
      <c r="A1774" s="385"/>
      <c r="B1774" s="383"/>
      <c r="C1774" s="2071" t="s">
        <v>66</v>
      </c>
      <c r="D1774" s="2071" t="s">
        <v>2558</v>
      </c>
      <c r="E1774" s="2071" t="s">
        <v>107</v>
      </c>
      <c r="F1774" s="2071" t="s">
        <v>66</v>
      </c>
      <c r="G1774" s="2071" t="s">
        <v>1133</v>
      </c>
      <c r="H1774" s="2071" t="s">
        <v>95</v>
      </c>
      <c r="I1774" s="3382" t="s">
        <v>158</v>
      </c>
      <c r="J1774" s="3382" t="s">
        <v>2751</v>
      </c>
      <c r="K1774" s="2119">
        <v>72</v>
      </c>
      <c r="L1774" s="2144">
        <v>11500000000</v>
      </c>
      <c r="M1774" s="2129">
        <v>24</v>
      </c>
      <c r="N1774" s="2047">
        <f>1616906826+1520028662</f>
        <v>3136935488</v>
      </c>
      <c r="O1774" s="2119">
        <v>12</v>
      </c>
      <c r="P1774" s="2047">
        <v>1536744000</v>
      </c>
      <c r="Q1774" s="2129">
        <v>3</v>
      </c>
      <c r="R1774" s="2047">
        <v>129503800</v>
      </c>
      <c r="S1774" s="385">
        <v>3</v>
      </c>
      <c r="T1774" s="386">
        <v>128549900</v>
      </c>
      <c r="U1774" s="3454">
        <v>3</v>
      </c>
      <c r="V1774" s="3455">
        <v>319831200</v>
      </c>
      <c r="W1774" s="3454"/>
      <c r="X1774" s="3454"/>
      <c r="Y1774" s="1945">
        <f t="shared" si="590"/>
        <v>9</v>
      </c>
      <c r="Z1774" s="1942">
        <f t="shared" si="590"/>
        <v>577884900</v>
      </c>
      <c r="AA1774" s="1943">
        <f t="shared" si="589"/>
        <v>33</v>
      </c>
      <c r="AB1774" s="1944">
        <f t="shared" si="589"/>
        <v>3714820388</v>
      </c>
      <c r="AC1774" s="2723">
        <f t="shared" si="588"/>
        <v>45.833333333333329</v>
      </c>
      <c r="AD1774" s="2723">
        <f t="shared" si="588"/>
        <v>32.302785982608697</v>
      </c>
      <c r="AE1774" s="3373"/>
    </row>
    <row r="1775" spans="1:31" ht="58.5" customHeight="1">
      <c r="A1775" s="3461">
        <v>26</v>
      </c>
      <c r="B1775" s="3462" t="s">
        <v>4217</v>
      </c>
      <c r="C1775" s="3844" t="s">
        <v>66</v>
      </c>
      <c r="D1775" s="3844" t="s">
        <v>2558</v>
      </c>
      <c r="E1775" s="3844" t="s">
        <v>107</v>
      </c>
      <c r="F1775" s="3844" t="s">
        <v>66</v>
      </c>
      <c r="G1775" s="3844" t="s">
        <v>403</v>
      </c>
      <c r="H1775" s="3844"/>
      <c r="I1775" s="3462" t="s">
        <v>2752</v>
      </c>
      <c r="J1775" s="3462" t="s">
        <v>2753</v>
      </c>
      <c r="K1775" s="3465">
        <v>500</v>
      </c>
      <c r="L1775" s="3466">
        <f>L1776</f>
        <v>1679000000</v>
      </c>
      <c r="M1775" s="3465">
        <f>70+75</f>
        <v>145</v>
      </c>
      <c r="N1775" s="3471">
        <f>N1776</f>
        <v>557651858</v>
      </c>
      <c r="O1775" s="3465">
        <v>80</v>
      </c>
      <c r="P1775" s="3471">
        <f>P1776</f>
        <v>226500000</v>
      </c>
      <c r="Q1775" s="3465">
        <v>25</v>
      </c>
      <c r="R1775" s="3471">
        <f>R1776</f>
        <v>22000000</v>
      </c>
      <c r="S1775" s="3483">
        <v>27</v>
      </c>
      <c r="T1775" s="3501">
        <v>66530000</v>
      </c>
      <c r="U1775" s="3490">
        <f>75-Q1775-S1775</f>
        <v>23</v>
      </c>
      <c r="V1775" s="3471">
        <f>V1776</f>
        <v>91246720</v>
      </c>
      <c r="W1775" s="3490"/>
      <c r="X1775" s="3490"/>
      <c r="Y1775" s="3470">
        <f>Q1775+S1775</f>
        <v>52</v>
      </c>
      <c r="Z1775" s="3471">
        <f>R1775+T1775+V1775</f>
        <v>179776720</v>
      </c>
      <c r="AA1775" s="3467">
        <f t="shared" si="589"/>
        <v>197</v>
      </c>
      <c r="AB1775" s="3471">
        <f>N1775+Z1775</f>
        <v>737428578</v>
      </c>
      <c r="AC1775" s="3474">
        <f t="shared" si="588"/>
        <v>39.4</v>
      </c>
      <c r="AD1775" s="3474">
        <f t="shared" si="588"/>
        <v>43.920701488981535</v>
      </c>
      <c r="AE1775" s="3475"/>
    </row>
    <row r="1776" spans="1:31" ht="46.5" customHeight="1">
      <c r="A1776" s="385"/>
      <c r="B1776" s="383"/>
      <c r="C1776" s="2071" t="s">
        <v>66</v>
      </c>
      <c r="D1776" s="2071" t="s">
        <v>2558</v>
      </c>
      <c r="E1776" s="2071" t="s">
        <v>107</v>
      </c>
      <c r="F1776" s="2071" t="s">
        <v>66</v>
      </c>
      <c r="G1776" s="2071" t="s">
        <v>403</v>
      </c>
      <c r="H1776" s="2071" t="s">
        <v>66</v>
      </c>
      <c r="I1776" s="3382" t="s">
        <v>2754</v>
      </c>
      <c r="J1776" s="3382" t="s">
        <v>2755</v>
      </c>
      <c r="K1776" s="2119">
        <v>400</v>
      </c>
      <c r="L1776" s="2144">
        <v>1679000000</v>
      </c>
      <c r="M1776" s="2129">
        <v>130</v>
      </c>
      <c r="N1776" s="2047">
        <f>290902290+266749568</f>
        <v>557651858</v>
      </c>
      <c r="O1776" s="2119">
        <v>65</v>
      </c>
      <c r="P1776" s="2047">
        <v>226500000</v>
      </c>
      <c r="Q1776" s="2129">
        <v>15</v>
      </c>
      <c r="R1776" s="2047">
        <v>22000000</v>
      </c>
      <c r="S1776" s="385">
        <v>10</v>
      </c>
      <c r="T1776" s="386">
        <f>T1775</f>
        <v>66530000</v>
      </c>
      <c r="U1776" s="3454">
        <f>55-Q1776-S1776</f>
        <v>30</v>
      </c>
      <c r="V1776" s="3455">
        <v>91246720</v>
      </c>
      <c r="W1776" s="3454"/>
      <c r="X1776" s="3454"/>
      <c r="Y1776" s="1945">
        <f>Q1776+S1776+U1776</f>
        <v>55</v>
      </c>
      <c r="Z1776" s="1942">
        <f>R1776+T1776</f>
        <v>88530000</v>
      </c>
      <c r="AA1776" s="1943">
        <f t="shared" si="589"/>
        <v>185</v>
      </c>
      <c r="AB1776" s="1944">
        <f t="shared" si="589"/>
        <v>646181858</v>
      </c>
      <c r="AC1776" s="2723">
        <f t="shared" si="588"/>
        <v>46.25</v>
      </c>
      <c r="AD1776" s="2723">
        <f t="shared" si="588"/>
        <v>38.486114234663489</v>
      </c>
      <c r="AE1776" s="3373"/>
    </row>
    <row r="1777" spans="1:31" ht="77.25" customHeight="1">
      <c r="A1777" s="3461">
        <v>27</v>
      </c>
      <c r="B1777" s="3507" t="s">
        <v>4225</v>
      </c>
      <c r="C1777" s="3844" t="s">
        <v>66</v>
      </c>
      <c r="D1777" s="3844" t="s">
        <v>2558</v>
      </c>
      <c r="E1777" s="3844" t="s">
        <v>107</v>
      </c>
      <c r="F1777" s="3844" t="s">
        <v>66</v>
      </c>
      <c r="G1777" s="3844" t="s">
        <v>1087</v>
      </c>
      <c r="H1777" s="3844"/>
      <c r="I1777" s="3463" t="s">
        <v>2756</v>
      </c>
      <c r="J1777" s="3462" t="s">
        <v>2757</v>
      </c>
      <c r="K1777" s="3465">
        <v>510</v>
      </c>
      <c r="L1777" s="3466">
        <f>L1778</f>
        <v>2350000000</v>
      </c>
      <c r="M1777" s="3465">
        <f>70+75</f>
        <v>145</v>
      </c>
      <c r="N1777" s="3471">
        <f>N1778</f>
        <v>450993872</v>
      </c>
      <c r="O1777" s="3465">
        <v>85</v>
      </c>
      <c r="P1777" s="3471">
        <f>P1778</f>
        <v>94304068</v>
      </c>
      <c r="Q1777" s="3465">
        <v>50</v>
      </c>
      <c r="R1777" s="3469">
        <f>R1778</f>
        <v>13783200</v>
      </c>
      <c r="S1777" s="3483">
        <v>10</v>
      </c>
      <c r="T1777" s="3501">
        <f>T1778</f>
        <v>40423200</v>
      </c>
      <c r="U1777" s="3490">
        <f>75-Q1777-S1777</f>
        <v>15</v>
      </c>
      <c r="V1777" s="3469">
        <f>V1778</f>
        <v>11587600</v>
      </c>
      <c r="W1777" s="3490"/>
      <c r="X1777" s="3490"/>
      <c r="Y1777" s="3470">
        <f>Q1777+S1777+U1777</f>
        <v>75</v>
      </c>
      <c r="Z1777" s="3471">
        <f>R1777+T1777</f>
        <v>54206400</v>
      </c>
      <c r="AA1777" s="3467">
        <f t="shared" si="589"/>
        <v>220</v>
      </c>
      <c r="AB1777" s="3471">
        <f>N1777+Z1777</f>
        <v>505200272</v>
      </c>
      <c r="AC1777" s="3474">
        <f t="shared" si="588"/>
        <v>43.137254901960787</v>
      </c>
      <c r="AD1777" s="3474">
        <f t="shared" si="588"/>
        <v>21.497883914893617</v>
      </c>
      <c r="AE1777" s="3475"/>
    </row>
    <row r="1778" spans="1:31" ht="54" customHeight="1">
      <c r="A1778" s="385"/>
      <c r="B1778" s="383"/>
      <c r="C1778" s="2071" t="s">
        <v>66</v>
      </c>
      <c r="D1778" s="2071" t="s">
        <v>2558</v>
      </c>
      <c r="E1778" s="2071" t="s">
        <v>107</v>
      </c>
      <c r="F1778" s="2071" t="s">
        <v>66</v>
      </c>
      <c r="G1778" s="2071" t="s">
        <v>1087</v>
      </c>
      <c r="H1778" s="2071" t="s">
        <v>66</v>
      </c>
      <c r="I1778" s="384" t="s">
        <v>2758</v>
      </c>
      <c r="J1778" s="3382" t="s">
        <v>2759</v>
      </c>
      <c r="K1778" s="2148">
        <v>58</v>
      </c>
      <c r="L1778" s="2144">
        <v>2350000000</v>
      </c>
      <c r="M1778" s="2165">
        <v>12</v>
      </c>
      <c r="N1778" s="2047">
        <f>237987414+213006458</f>
        <v>450993872</v>
      </c>
      <c r="O1778" s="2148">
        <v>6</v>
      </c>
      <c r="P1778" s="2047">
        <v>94304068</v>
      </c>
      <c r="Q1778" s="2129">
        <v>3</v>
      </c>
      <c r="R1778" s="2047">
        <v>13783200</v>
      </c>
      <c r="S1778" s="385">
        <v>3</v>
      </c>
      <c r="T1778" s="386">
        <v>40423200</v>
      </c>
      <c r="U1778" s="3454">
        <f>8-Q1778</f>
        <v>5</v>
      </c>
      <c r="V1778" s="3455">
        <v>11587600</v>
      </c>
      <c r="W1778" s="3454"/>
      <c r="X1778" s="3454"/>
      <c r="Y1778" s="1945">
        <f>Q1778+U1778</f>
        <v>8</v>
      </c>
      <c r="Z1778" s="1942">
        <f>R1778+T1778+V1778</f>
        <v>65794000</v>
      </c>
      <c r="AA1778" s="1943">
        <f t="shared" si="589"/>
        <v>20</v>
      </c>
      <c r="AB1778" s="1944">
        <f t="shared" si="589"/>
        <v>516787872</v>
      </c>
      <c r="AC1778" s="2723">
        <f t="shared" si="588"/>
        <v>34.482758620689658</v>
      </c>
      <c r="AD1778" s="2723">
        <f t="shared" si="588"/>
        <v>21.990973276595742</v>
      </c>
      <c r="AE1778" s="3373"/>
    </row>
    <row r="1779" spans="1:31" ht="88.5" customHeight="1">
      <c r="A1779" s="3461">
        <v>28</v>
      </c>
      <c r="B1779" s="3462" t="s">
        <v>4221</v>
      </c>
      <c r="C1779" s="3844" t="s">
        <v>66</v>
      </c>
      <c r="D1779" s="3844" t="s">
        <v>2558</v>
      </c>
      <c r="E1779" s="3844" t="s">
        <v>107</v>
      </c>
      <c r="F1779" s="3844" t="s">
        <v>66</v>
      </c>
      <c r="G1779" s="3844" t="s">
        <v>347</v>
      </c>
      <c r="H1779" s="3844"/>
      <c r="I1779" s="3463" t="s">
        <v>2760</v>
      </c>
      <c r="J1779" s="3462" t="s">
        <v>2761</v>
      </c>
      <c r="K1779" s="3465">
        <v>190</v>
      </c>
      <c r="L1779" s="3466">
        <f>SUM(L1785:L1801)</f>
        <v>5269000000</v>
      </c>
      <c r="M1779" s="3465"/>
      <c r="N1779" s="3466">
        <f>SUM(N1785:N1801)</f>
        <v>1153023825</v>
      </c>
      <c r="O1779" s="3465">
        <v>30</v>
      </c>
      <c r="P1779" s="3468">
        <f>SUM(P1785:P1801)</f>
        <v>675696388.45000005</v>
      </c>
      <c r="Q1779" s="3465">
        <v>15</v>
      </c>
      <c r="R1779" s="3468">
        <f>SUM(R1785:R1801)</f>
        <v>93024500</v>
      </c>
      <c r="S1779" s="3483">
        <v>10</v>
      </c>
      <c r="T1779" s="3471">
        <f>SUM(T1785:T1801)</f>
        <v>152653800</v>
      </c>
      <c r="U1779" s="3490">
        <v>5</v>
      </c>
      <c r="V1779" s="3468">
        <f>SUM(V1785:V1801)</f>
        <v>215436409</v>
      </c>
      <c r="W1779" s="3490"/>
      <c r="X1779" s="3490"/>
      <c r="Y1779" s="3470">
        <f>Q1779+S1779+U1779</f>
        <v>30</v>
      </c>
      <c r="Z1779" s="3471">
        <f>R1779+T1779+V1779</f>
        <v>461114709</v>
      </c>
      <c r="AA1779" s="3467">
        <f t="shared" si="589"/>
        <v>30</v>
      </c>
      <c r="AB1779" s="3471">
        <f t="shared" si="589"/>
        <v>1614138534</v>
      </c>
      <c r="AC1779" s="3474">
        <f>AA1779/K1779*100</f>
        <v>15.789473684210526</v>
      </c>
      <c r="AD1779" s="3474">
        <f t="shared" si="588"/>
        <v>30.634627709242739</v>
      </c>
      <c r="AE1779" s="3475"/>
    </row>
    <row r="1780" spans="1:31" ht="59.25" customHeight="1">
      <c r="A1780" s="3494"/>
      <c r="B1780" s="3463"/>
      <c r="C1780" s="3844"/>
      <c r="D1780" s="3844"/>
      <c r="E1780" s="3844"/>
      <c r="F1780" s="3844"/>
      <c r="G1780" s="3844"/>
      <c r="H1780" s="3844"/>
      <c r="I1780" s="3462"/>
      <c r="J1780" s="3462" t="s">
        <v>2762</v>
      </c>
      <c r="K1780" s="3465">
        <v>400</v>
      </c>
      <c r="L1780" s="3483"/>
      <c r="M1780" s="3465"/>
      <c r="N1780" s="3483"/>
      <c r="O1780" s="3465">
        <v>100</v>
      </c>
      <c r="P1780" s="3468"/>
      <c r="Q1780" s="3483">
        <v>40</v>
      </c>
      <c r="R1780" s="3468"/>
      <c r="S1780" s="3483">
        <v>10</v>
      </c>
      <c r="T1780" s="3483"/>
      <c r="U1780" s="3490">
        <v>35</v>
      </c>
      <c r="V1780" s="3490"/>
      <c r="W1780" s="3490"/>
      <c r="X1780" s="3490"/>
      <c r="Y1780" s="3470">
        <f>Q1780+S1780+U1780</f>
        <v>85</v>
      </c>
      <c r="Z1780" s="3471">
        <f>R1780+T1780</f>
        <v>0</v>
      </c>
      <c r="AA1780" s="3467">
        <f t="shared" si="589"/>
        <v>85</v>
      </c>
      <c r="AB1780" s="3471">
        <f t="shared" si="589"/>
        <v>0</v>
      </c>
      <c r="AC1780" s="3474">
        <f t="shared" ref="AC1780:AC1787" si="591">AA1780/K1780*100</f>
        <v>21.25</v>
      </c>
      <c r="AD1780" s="3493"/>
      <c r="AE1780" s="3475"/>
    </row>
    <row r="1781" spans="1:31" ht="35.25" customHeight="1">
      <c r="A1781" s="3494"/>
      <c r="B1781" s="3463"/>
      <c r="C1781" s="3844"/>
      <c r="D1781" s="3844"/>
      <c r="E1781" s="3844"/>
      <c r="F1781" s="3844"/>
      <c r="G1781" s="3844"/>
      <c r="H1781" s="3844"/>
      <c r="I1781" s="3462"/>
      <c r="J1781" s="3462" t="s">
        <v>2763</v>
      </c>
      <c r="K1781" s="3465">
        <v>80</v>
      </c>
      <c r="L1781" s="3483"/>
      <c r="M1781" s="3465"/>
      <c r="N1781" s="3483"/>
      <c r="O1781" s="3465">
        <v>17</v>
      </c>
      <c r="P1781" s="3468"/>
      <c r="Q1781" s="3483">
        <v>5</v>
      </c>
      <c r="R1781" s="3468"/>
      <c r="S1781" s="3483">
        <v>5</v>
      </c>
      <c r="T1781" s="3483"/>
      <c r="U1781" s="3490">
        <v>5</v>
      </c>
      <c r="V1781" s="3490"/>
      <c r="W1781" s="3490"/>
      <c r="X1781" s="3490"/>
      <c r="Y1781" s="3470">
        <f>Q1781+S1781+U1781</f>
        <v>15</v>
      </c>
      <c r="Z1781" s="3471">
        <f>R1781+T1781</f>
        <v>0</v>
      </c>
      <c r="AA1781" s="3467">
        <f t="shared" ref="AA1781:AB1784" si="592">M1781+Y1781</f>
        <v>15</v>
      </c>
      <c r="AB1781" s="3471">
        <f t="shared" si="592"/>
        <v>0</v>
      </c>
      <c r="AC1781" s="3474">
        <f t="shared" si="591"/>
        <v>18.75</v>
      </c>
      <c r="AD1781" s="3493"/>
      <c r="AE1781" s="3475"/>
    </row>
    <row r="1782" spans="1:31" ht="83.25" customHeight="1">
      <c r="A1782" s="3494"/>
      <c r="B1782" s="3463"/>
      <c r="C1782" s="3844"/>
      <c r="D1782" s="3844"/>
      <c r="E1782" s="3844"/>
      <c r="F1782" s="3844"/>
      <c r="G1782" s="3844"/>
      <c r="H1782" s="3844"/>
      <c r="I1782" s="3462"/>
      <c r="J1782" s="3462" t="s">
        <v>2764</v>
      </c>
      <c r="K1782" s="3465">
        <v>399</v>
      </c>
      <c r="L1782" s="3483"/>
      <c r="M1782" s="3465"/>
      <c r="N1782" s="3483"/>
      <c r="O1782" s="3465">
        <v>67</v>
      </c>
      <c r="P1782" s="3468"/>
      <c r="Q1782" s="3483">
        <v>25</v>
      </c>
      <c r="R1782" s="3468"/>
      <c r="S1782" s="3483">
        <v>20</v>
      </c>
      <c r="T1782" s="3483"/>
      <c r="U1782" s="3490">
        <v>10</v>
      </c>
      <c r="V1782" s="3490"/>
      <c r="W1782" s="3490"/>
      <c r="X1782" s="3490"/>
      <c r="Y1782" s="3470">
        <f>Q1782+S1782+U1782</f>
        <v>55</v>
      </c>
      <c r="Z1782" s="3471">
        <f>R1782+T1782</f>
        <v>0</v>
      </c>
      <c r="AA1782" s="3467">
        <f t="shared" si="592"/>
        <v>55</v>
      </c>
      <c r="AB1782" s="3471">
        <f t="shared" si="592"/>
        <v>0</v>
      </c>
      <c r="AC1782" s="3474">
        <f t="shared" si="591"/>
        <v>13.784461152882205</v>
      </c>
      <c r="AD1782" s="3493"/>
      <c r="AE1782" s="3475"/>
    </row>
    <row r="1783" spans="1:31" s="63" customFormat="1" ht="60" customHeight="1">
      <c r="A1783" s="3494"/>
      <c r="B1783" s="3463"/>
      <c r="C1783" s="3844"/>
      <c r="D1783" s="3844"/>
      <c r="E1783" s="3844"/>
      <c r="F1783" s="3844"/>
      <c r="G1783" s="3844"/>
      <c r="H1783" s="3844"/>
      <c r="I1783" s="3462"/>
      <c r="J1783" s="3462" t="s">
        <v>2765</v>
      </c>
      <c r="K1783" s="3483">
        <v>78</v>
      </c>
      <c r="L1783" s="3483"/>
      <c r="M1783" s="3465">
        <v>1</v>
      </c>
      <c r="N1783" s="3483"/>
      <c r="O1783" s="3483">
        <v>14</v>
      </c>
      <c r="P1783" s="3468"/>
      <c r="Q1783" s="3483">
        <v>1</v>
      </c>
      <c r="R1783" s="3468"/>
      <c r="S1783" s="3483">
        <v>1</v>
      </c>
      <c r="T1783" s="3483"/>
      <c r="U1783" s="3490">
        <v>2</v>
      </c>
      <c r="V1783" s="3490"/>
      <c r="W1783" s="3490"/>
      <c r="X1783" s="3490"/>
      <c r="Y1783" s="3470">
        <v>4</v>
      </c>
      <c r="Z1783" s="3471">
        <f>R1783+T1783</f>
        <v>0</v>
      </c>
      <c r="AA1783" s="3467">
        <f t="shared" si="592"/>
        <v>5</v>
      </c>
      <c r="AB1783" s="3471">
        <f t="shared" si="592"/>
        <v>0</v>
      </c>
      <c r="AC1783" s="3474">
        <f t="shared" si="591"/>
        <v>6.4102564102564097</v>
      </c>
      <c r="AD1783" s="3493"/>
      <c r="AE1783" s="3475"/>
    </row>
    <row r="1784" spans="1:31" ht="88.5" customHeight="1">
      <c r="A1784" s="3494"/>
      <c r="B1784" s="3463"/>
      <c r="C1784" s="3844"/>
      <c r="D1784" s="3844"/>
      <c r="E1784" s="3844"/>
      <c r="F1784" s="3844"/>
      <c r="G1784" s="3844"/>
      <c r="H1784" s="3844"/>
      <c r="I1784" s="3462"/>
      <c r="J1784" s="3462" t="s">
        <v>2766</v>
      </c>
      <c r="K1784" s="3465">
        <v>450</v>
      </c>
      <c r="L1784" s="3508"/>
      <c r="M1784" s="3465">
        <v>90</v>
      </c>
      <c r="N1784" s="3483"/>
      <c r="O1784" s="3465">
        <v>90</v>
      </c>
      <c r="P1784" s="3468"/>
      <c r="Q1784" s="3483"/>
      <c r="R1784" s="3468"/>
      <c r="S1784" s="3483">
        <v>50</v>
      </c>
      <c r="T1784" s="3483"/>
      <c r="U1784" s="3490">
        <v>40</v>
      </c>
      <c r="V1784" s="3490"/>
      <c r="W1784" s="3490"/>
      <c r="X1784" s="3490"/>
      <c r="Y1784" s="3470">
        <f>Q1784+S1784+U1784</f>
        <v>90</v>
      </c>
      <c r="Z1784" s="3471">
        <f>R1784+T1784</f>
        <v>0</v>
      </c>
      <c r="AA1784" s="3467">
        <f>M1784+Y1784</f>
        <v>180</v>
      </c>
      <c r="AB1784" s="3471">
        <f t="shared" si="592"/>
        <v>0</v>
      </c>
      <c r="AC1784" s="3474">
        <f t="shared" si="591"/>
        <v>40</v>
      </c>
      <c r="AD1784" s="3493"/>
      <c r="AE1784" s="3475"/>
    </row>
    <row r="1785" spans="1:31" ht="42" customHeight="1">
      <c r="A1785" s="385"/>
      <c r="B1785" s="383"/>
      <c r="C1785" s="2071" t="s">
        <v>66</v>
      </c>
      <c r="D1785" s="2071" t="s">
        <v>2558</v>
      </c>
      <c r="E1785" s="2071" t="s">
        <v>107</v>
      </c>
      <c r="F1785" s="2071" t="s">
        <v>66</v>
      </c>
      <c r="G1785" s="2071" t="s">
        <v>347</v>
      </c>
      <c r="H1785" s="2071" t="s">
        <v>66</v>
      </c>
      <c r="I1785" s="384" t="s">
        <v>2767</v>
      </c>
      <c r="J1785" s="1936" t="s">
        <v>2768</v>
      </c>
      <c r="K1785" s="2119">
        <v>10</v>
      </c>
      <c r="L1785" s="2144">
        <v>597000000</v>
      </c>
      <c r="M1785" s="2129">
        <v>2</v>
      </c>
      <c r="N1785" s="2047">
        <f>63582900</f>
        <v>63582900</v>
      </c>
      <c r="O1785" s="2119">
        <v>2</v>
      </c>
      <c r="P1785" s="1941">
        <v>62260879.75</v>
      </c>
      <c r="Q1785" s="2129">
        <v>1</v>
      </c>
      <c r="R1785" s="2047">
        <v>2324500</v>
      </c>
      <c r="S1785" s="1454"/>
      <c r="T1785" s="2927">
        <v>4685000</v>
      </c>
      <c r="U1785" s="3509"/>
      <c r="V1785" s="3510">
        <v>15851000</v>
      </c>
      <c r="W1785" s="3509"/>
      <c r="X1785" s="3509"/>
      <c r="Y1785" s="3511">
        <f t="shared" ref="Y1785:Z1801" si="593">Q1785+S1785</f>
        <v>1</v>
      </c>
      <c r="Z1785" s="2927">
        <f>R1785+T1785+V1785</f>
        <v>22860500</v>
      </c>
      <c r="AA1785" s="3512">
        <f t="shared" ref="AA1785:AB1801" si="594">M1785+Y1785</f>
        <v>3</v>
      </c>
      <c r="AB1785" s="3298">
        <f t="shared" si="594"/>
        <v>86443400</v>
      </c>
      <c r="AC1785" s="2723">
        <f t="shared" si="591"/>
        <v>30</v>
      </c>
      <c r="AD1785" s="2723">
        <f>AB1785/L1785*100</f>
        <v>14.47963149078727</v>
      </c>
      <c r="AE1785" s="3373"/>
    </row>
    <row r="1786" spans="1:31" ht="42.75" customHeight="1">
      <c r="A1786" s="385"/>
      <c r="B1786" s="383"/>
      <c r="C1786" s="2071"/>
      <c r="D1786" s="2071"/>
      <c r="E1786" s="2071"/>
      <c r="F1786" s="2071"/>
      <c r="G1786" s="2071"/>
      <c r="H1786" s="2071"/>
      <c r="I1786" s="384"/>
      <c r="J1786" s="1936" t="s">
        <v>2769</v>
      </c>
      <c r="K1786" s="2119">
        <v>9</v>
      </c>
      <c r="L1786" s="2144"/>
      <c r="M1786" s="2129"/>
      <c r="N1786" s="385"/>
      <c r="O1786" s="385"/>
      <c r="P1786" s="1941"/>
      <c r="Q1786" s="385"/>
      <c r="R1786" s="2047"/>
      <c r="S1786" s="1454"/>
      <c r="T1786" s="1454"/>
      <c r="U1786" s="3509"/>
      <c r="V1786" s="3509"/>
      <c r="W1786" s="3509"/>
      <c r="X1786" s="3509"/>
      <c r="Y1786" s="3511">
        <f t="shared" si="593"/>
        <v>0</v>
      </c>
      <c r="Z1786" s="2927">
        <f t="shared" si="593"/>
        <v>0</v>
      </c>
      <c r="AA1786" s="3512">
        <f t="shared" si="594"/>
        <v>0</v>
      </c>
      <c r="AB1786" s="3298">
        <f t="shared" si="594"/>
        <v>0</v>
      </c>
      <c r="AC1786" s="2723">
        <f t="shared" si="591"/>
        <v>0</v>
      </c>
      <c r="AD1786" s="2723"/>
      <c r="AE1786" s="3373"/>
    </row>
    <row r="1787" spans="1:31" ht="57.75" customHeight="1">
      <c r="A1787" s="385"/>
      <c r="B1787" s="383"/>
      <c r="C1787" s="2071" t="s">
        <v>66</v>
      </c>
      <c r="D1787" s="2071" t="s">
        <v>2558</v>
      </c>
      <c r="E1787" s="2071" t="s">
        <v>107</v>
      </c>
      <c r="F1787" s="2071" t="s">
        <v>66</v>
      </c>
      <c r="G1787" s="2071" t="s">
        <v>347</v>
      </c>
      <c r="H1787" s="2071" t="s">
        <v>65</v>
      </c>
      <c r="I1787" s="384" t="s">
        <v>2770</v>
      </c>
      <c r="J1787" s="3382" t="s">
        <v>2771</v>
      </c>
      <c r="K1787" s="2119">
        <f>4*6</f>
        <v>24</v>
      </c>
      <c r="L1787" s="2144">
        <v>1200000000</v>
      </c>
      <c r="M1787" s="2129">
        <v>8</v>
      </c>
      <c r="N1787" s="2047">
        <f>135677700+178656404</f>
        <v>314334104</v>
      </c>
      <c r="O1787" s="2119">
        <v>4</v>
      </c>
      <c r="P1787" s="1941">
        <v>99539854</v>
      </c>
      <c r="Q1787" s="2129">
        <v>2</v>
      </c>
      <c r="R1787" s="2047">
        <v>21394700</v>
      </c>
      <c r="S1787" s="1454"/>
      <c r="T1787" s="2927">
        <v>40970100</v>
      </c>
      <c r="U1787" s="3509">
        <f>3-Q1787</f>
        <v>1</v>
      </c>
      <c r="V1787" s="3510">
        <v>18902000</v>
      </c>
      <c r="W1787" s="3509"/>
      <c r="X1787" s="3509"/>
      <c r="Y1787" s="3511">
        <f>Q1787+U1787</f>
        <v>3</v>
      </c>
      <c r="Z1787" s="2927">
        <f>R1787+T1787+V1787</f>
        <v>81266800</v>
      </c>
      <c r="AA1787" s="3512">
        <f t="shared" si="594"/>
        <v>11</v>
      </c>
      <c r="AB1787" s="3298">
        <f t="shared" si="594"/>
        <v>395600904</v>
      </c>
      <c r="AC1787" s="2723">
        <f t="shared" si="591"/>
        <v>45.833333333333329</v>
      </c>
      <c r="AD1787" s="2723">
        <f>AB1787/L1787*100</f>
        <v>32.966741999999996</v>
      </c>
      <c r="AE1787" s="3373"/>
    </row>
    <row r="1788" spans="1:31" ht="27.75" customHeight="1">
      <c r="A1788" s="385"/>
      <c r="B1788" s="383"/>
      <c r="C1788" s="2071"/>
      <c r="D1788" s="2071"/>
      <c r="E1788" s="2071"/>
      <c r="F1788" s="2071"/>
      <c r="G1788" s="2071"/>
      <c r="H1788" s="2071"/>
      <c r="I1788" s="384"/>
      <c r="J1788" s="3382" t="s">
        <v>2772</v>
      </c>
      <c r="K1788" s="385"/>
      <c r="L1788" s="385"/>
      <c r="M1788" s="2129"/>
      <c r="N1788" s="385"/>
      <c r="O1788" s="385"/>
      <c r="P1788" s="1941"/>
      <c r="Q1788" s="385"/>
      <c r="R1788" s="2047"/>
      <c r="S1788" s="1454"/>
      <c r="T1788" s="1454"/>
      <c r="U1788" s="3509"/>
      <c r="V1788" s="3509"/>
      <c r="W1788" s="3509"/>
      <c r="X1788" s="3509"/>
      <c r="Y1788" s="3511">
        <f t="shared" si="593"/>
        <v>0</v>
      </c>
      <c r="Z1788" s="2927">
        <f t="shared" si="593"/>
        <v>0</v>
      </c>
      <c r="AA1788" s="3512">
        <f t="shared" si="594"/>
        <v>0</v>
      </c>
      <c r="AB1788" s="3298">
        <f t="shared" si="594"/>
        <v>0</v>
      </c>
      <c r="AC1788" s="2723"/>
      <c r="AD1788" s="2723"/>
      <c r="AE1788" s="3373"/>
    </row>
    <row r="1789" spans="1:31" s="63" customFormat="1" ht="57.75" customHeight="1">
      <c r="A1789" s="385"/>
      <c r="B1789" s="383"/>
      <c r="C1789" s="2071"/>
      <c r="D1789" s="2071"/>
      <c r="E1789" s="2071"/>
      <c r="F1789" s="2071"/>
      <c r="G1789" s="2071"/>
      <c r="H1789" s="2071"/>
      <c r="I1789" s="384"/>
      <c r="J1789" s="3382" t="s">
        <v>2773</v>
      </c>
      <c r="K1789" s="385"/>
      <c r="L1789" s="385"/>
      <c r="M1789" s="2129"/>
      <c r="N1789" s="385"/>
      <c r="O1789" s="385"/>
      <c r="P1789" s="1941"/>
      <c r="Q1789" s="385"/>
      <c r="R1789" s="2047"/>
      <c r="S1789" s="1454"/>
      <c r="T1789" s="1454"/>
      <c r="U1789" s="3509"/>
      <c r="V1789" s="3509"/>
      <c r="W1789" s="3509"/>
      <c r="X1789" s="3509"/>
      <c r="Y1789" s="3511">
        <f t="shared" si="593"/>
        <v>0</v>
      </c>
      <c r="Z1789" s="2927">
        <f t="shared" si="593"/>
        <v>0</v>
      </c>
      <c r="AA1789" s="3512">
        <f t="shared" si="594"/>
        <v>0</v>
      </c>
      <c r="AB1789" s="3298">
        <f t="shared" si="594"/>
        <v>0</v>
      </c>
      <c r="AC1789" s="2723"/>
      <c r="AD1789" s="2723"/>
      <c r="AE1789" s="3373"/>
    </row>
    <row r="1790" spans="1:31" ht="42.75" customHeight="1">
      <c r="A1790" s="385"/>
      <c r="B1790" s="383"/>
      <c r="C1790" s="2071" t="s">
        <v>66</v>
      </c>
      <c r="D1790" s="2071" t="s">
        <v>2558</v>
      </c>
      <c r="E1790" s="2071" t="s">
        <v>107</v>
      </c>
      <c r="F1790" s="2071" t="s">
        <v>66</v>
      </c>
      <c r="G1790" s="2071" t="s">
        <v>347</v>
      </c>
      <c r="H1790" s="2071" t="s">
        <v>196</v>
      </c>
      <c r="I1790" s="384" t="s">
        <v>2774</v>
      </c>
      <c r="J1790" s="3382" t="s">
        <v>2775</v>
      </c>
      <c r="K1790" s="2119">
        <v>90</v>
      </c>
      <c r="L1790" s="2144">
        <v>1180000000</v>
      </c>
      <c r="M1790" s="2129">
        <v>30</v>
      </c>
      <c r="N1790" s="2119">
        <f>127025300+161638647</f>
        <v>288663947</v>
      </c>
      <c r="O1790" s="2119">
        <v>15</v>
      </c>
      <c r="P1790" s="1941">
        <v>46463665.5</v>
      </c>
      <c r="Q1790" s="2129">
        <v>4</v>
      </c>
      <c r="R1790" s="2047">
        <v>9026000</v>
      </c>
      <c r="S1790" s="1454">
        <f>5-Q1790</f>
        <v>1</v>
      </c>
      <c r="T1790" s="2927">
        <v>9547000</v>
      </c>
      <c r="U1790" s="3509">
        <f>12-Q1790-S1790</f>
        <v>7</v>
      </c>
      <c r="V1790" s="3510">
        <v>9901000</v>
      </c>
      <c r="W1790" s="3509"/>
      <c r="X1790" s="3509"/>
      <c r="Y1790" s="3511">
        <f>Q1790+S1790+U1790</f>
        <v>12</v>
      </c>
      <c r="Z1790" s="2927">
        <f>R1790+T1790+V1790</f>
        <v>28474000</v>
      </c>
      <c r="AA1790" s="3512">
        <f t="shared" si="594"/>
        <v>42</v>
      </c>
      <c r="AB1790" s="3298">
        <f t="shared" si="594"/>
        <v>317137947</v>
      </c>
      <c r="AC1790" s="2723">
        <f>AA1790/K1790*100</f>
        <v>46.666666666666664</v>
      </c>
      <c r="AD1790" s="2723">
        <f>AB1790/L1790*100</f>
        <v>26.876097203389833</v>
      </c>
      <c r="AE1790" s="3373"/>
    </row>
    <row r="1791" spans="1:31" ht="46.5" customHeight="1">
      <c r="A1791" s="385"/>
      <c r="B1791" s="383"/>
      <c r="C1791" s="2071"/>
      <c r="D1791" s="2071"/>
      <c r="E1791" s="2071"/>
      <c r="F1791" s="2071"/>
      <c r="G1791" s="2071"/>
      <c r="H1791" s="2071"/>
      <c r="I1791" s="384"/>
      <c r="J1791" s="3382" t="s">
        <v>2776</v>
      </c>
      <c r="K1791" s="2148"/>
      <c r="L1791" s="2144"/>
      <c r="M1791" s="2129"/>
      <c r="N1791" s="2148"/>
      <c r="O1791" s="2148"/>
      <c r="P1791" s="1941"/>
      <c r="Q1791" s="385"/>
      <c r="R1791" s="2047"/>
      <c r="S1791" s="1454"/>
      <c r="T1791" s="1454"/>
      <c r="U1791" s="3509"/>
      <c r="V1791" s="3509"/>
      <c r="W1791" s="3509"/>
      <c r="X1791" s="3509"/>
      <c r="Y1791" s="3511">
        <f t="shared" si="593"/>
        <v>0</v>
      </c>
      <c r="Z1791" s="2927">
        <f t="shared" si="593"/>
        <v>0</v>
      </c>
      <c r="AA1791" s="3512">
        <f t="shared" si="594"/>
        <v>0</v>
      </c>
      <c r="AB1791" s="3298">
        <f t="shared" si="594"/>
        <v>0</v>
      </c>
      <c r="AC1791" s="2723"/>
      <c r="AD1791" s="2723"/>
      <c r="AE1791" s="3373"/>
    </row>
    <row r="1792" spans="1:31" ht="46.5" customHeight="1">
      <c r="A1792" s="385"/>
      <c r="B1792" s="383"/>
      <c r="C1792" s="2071" t="s">
        <v>66</v>
      </c>
      <c r="D1792" s="2071" t="s">
        <v>2558</v>
      </c>
      <c r="E1792" s="2071" t="s">
        <v>107</v>
      </c>
      <c r="F1792" s="2071" t="s">
        <v>66</v>
      </c>
      <c r="G1792" s="2071" t="s">
        <v>347</v>
      </c>
      <c r="H1792" s="2071" t="s">
        <v>93</v>
      </c>
      <c r="I1792" s="384" t="s">
        <v>2777</v>
      </c>
      <c r="J1792" s="3382" t="s">
        <v>2778</v>
      </c>
      <c r="K1792" s="2148">
        <v>6</v>
      </c>
      <c r="L1792" s="2155">
        <v>237000000</v>
      </c>
      <c r="M1792" s="2129">
        <v>2</v>
      </c>
      <c r="N1792" s="2047">
        <f>69652800+76491427</f>
        <v>146144227</v>
      </c>
      <c r="O1792" s="2148">
        <v>1</v>
      </c>
      <c r="P1792" s="1941">
        <v>58162656.25</v>
      </c>
      <c r="Q1792" s="2129">
        <v>1</v>
      </c>
      <c r="R1792" s="2047">
        <v>20651800</v>
      </c>
      <c r="S1792" s="1454"/>
      <c r="T1792" s="2927">
        <v>12769000</v>
      </c>
      <c r="U1792" s="3509"/>
      <c r="V1792" s="3510">
        <v>21221100</v>
      </c>
      <c r="W1792" s="3509"/>
      <c r="X1792" s="3509"/>
      <c r="Y1792" s="3511">
        <f t="shared" si="593"/>
        <v>1</v>
      </c>
      <c r="Z1792" s="2927">
        <f>R1792+T1792+V1792</f>
        <v>54641900</v>
      </c>
      <c r="AA1792" s="3512">
        <f t="shared" si="594"/>
        <v>3</v>
      </c>
      <c r="AB1792" s="3298">
        <f t="shared" si="594"/>
        <v>200786127</v>
      </c>
      <c r="AC1792" s="2723">
        <f>AA1792/K1792*100</f>
        <v>50</v>
      </c>
      <c r="AD1792" s="2723">
        <f>AB1792/L1792*100</f>
        <v>84.719884810126572</v>
      </c>
      <c r="AE1792" s="3373"/>
    </row>
    <row r="1793" spans="1:31" ht="42" customHeight="1">
      <c r="A1793" s="385"/>
      <c r="B1793" s="383"/>
      <c r="C1793" s="2071" t="s">
        <v>66</v>
      </c>
      <c r="D1793" s="2071" t="s">
        <v>2558</v>
      </c>
      <c r="E1793" s="2071" t="s">
        <v>107</v>
      </c>
      <c r="F1793" s="2071" t="s">
        <v>66</v>
      </c>
      <c r="G1793" s="2071" t="s">
        <v>347</v>
      </c>
      <c r="H1793" s="2071" t="s">
        <v>201</v>
      </c>
      <c r="I1793" s="384" t="s">
        <v>2779</v>
      </c>
      <c r="J1793" s="3382" t="s">
        <v>2780</v>
      </c>
      <c r="K1793" s="2713">
        <f>8*4+1</f>
        <v>33</v>
      </c>
      <c r="L1793" s="2144">
        <v>100000000</v>
      </c>
      <c r="M1793" s="2129">
        <v>1</v>
      </c>
      <c r="N1793" s="2047">
        <v>78521841</v>
      </c>
      <c r="O1793" s="2713">
        <v>8</v>
      </c>
      <c r="P1793" s="1941">
        <v>48879711.5</v>
      </c>
      <c r="Q1793" s="2129">
        <v>1</v>
      </c>
      <c r="R1793" s="2047">
        <v>5720000</v>
      </c>
      <c r="S1793" s="1454"/>
      <c r="T1793" s="2927">
        <v>912500</v>
      </c>
      <c r="U1793" s="3509">
        <f>4-Q1793</f>
        <v>3</v>
      </c>
      <c r="V1793" s="3510">
        <v>15196000</v>
      </c>
      <c r="W1793" s="3509"/>
      <c r="X1793" s="3509"/>
      <c r="Y1793" s="3511">
        <f>U1793+Q1793</f>
        <v>4</v>
      </c>
      <c r="Z1793" s="2927">
        <f>R1793+T1793+V1793</f>
        <v>21828500</v>
      </c>
      <c r="AA1793" s="3512">
        <f t="shared" si="594"/>
        <v>5</v>
      </c>
      <c r="AB1793" s="3298">
        <f t="shared" si="594"/>
        <v>100350341</v>
      </c>
      <c r="AC1793" s="2723">
        <f>AA1793/K1793*100</f>
        <v>15.151515151515152</v>
      </c>
      <c r="AD1793" s="2723">
        <f>AB1793/L1793*100</f>
        <v>100.350341</v>
      </c>
      <c r="AE1793" s="3373"/>
    </row>
    <row r="1794" spans="1:31" ht="46.5" customHeight="1">
      <c r="A1794" s="385"/>
      <c r="B1794" s="383"/>
      <c r="C1794" s="2071"/>
      <c r="D1794" s="2071"/>
      <c r="E1794" s="2071"/>
      <c r="F1794" s="2071"/>
      <c r="G1794" s="2071"/>
      <c r="H1794" s="2071"/>
      <c r="I1794" s="384"/>
      <c r="J1794" s="3382" t="s">
        <v>2781</v>
      </c>
      <c r="K1794" s="3089"/>
      <c r="L1794" s="2144"/>
      <c r="M1794" s="2129"/>
      <c r="N1794" s="385"/>
      <c r="O1794" s="3089"/>
      <c r="P1794" s="1941"/>
      <c r="Q1794" s="385"/>
      <c r="R1794" s="2047"/>
      <c r="S1794" s="1454"/>
      <c r="T1794" s="1454"/>
      <c r="U1794" s="3509"/>
      <c r="V1794" s="3509"/>
      <c r="W1794" s="3509"/>
      <c r="X1794" s="3509"/>
      <c r="Y1794" s="3511">
        <f t="shared" si="593"/>
        <v>0</v>
      </c>
      <c r="Z1794" s="2927">
        <f t="shared" si="593"/>
        <v>0</v>
      </c>
      <c r="AA1794" s="3512">
        <f t="shared" si="594"/>
        <v>0</v>
      </c>
      <c r="AB1794" s="3298">
        <f t="shared" si="594"/>
        <v>0</v>
      </c>
      <c r="AC1794" s="2723"/>
      <c r="AD1794" s="2723"/>
      <c r="AE1794" s="3373"/>
    </row>
    <row r="1795" spans="1:31" s="63" customFormat="1" ht="46.5" customHeight="1">
      <c r="A1795" s="385"/>
      <c r="B1795" s="383"/>
      <c r="C1795" s="2071" t="s">
        <v>66</v>
      </c>
      <c r="D1795" s="2071" t="s">
        <v>2558</v>
      </c>
      <c r="E1795" s="2071" t="s">
        <v>107</v>
      </c>
      <c r="F1795" s="2071" t="s">
        <v>66</v>
      </c>
      <c r="G1795" s="2071" t="s">
        <v>347</v>
      </c>
      <c r="H1795" s="2071" t="s">
        <v>202</v>
      </c>
      <c r="I1795" s="3382" t="s">
        <v>2782</v>
      </c>
      <c r="J1795" s="3382" t="s">
        <v>2783</v>
      </c>
      <c r="K1795" s="385">
        <v>18</v>
      </c>
      <c r="L1795" s="2155">
        <v>340000000</v>
      </c>
      <c r="M1795" s="2129">
        <v>6</v>
      </c>
      <c r="N1795" s="2156">
        <f>132655856</f>
        <v>132655856</v>
      </c>
      <c r="O1795" s="2148">
        <v>3</v>
      </c>
      <c r="P1795" s="1941">
        <v>160786958.19999999</v>
      </c>
      <c r="Q1795" s="2124"/>
      <c r="R1795" s="2047">
        <v>952000</v>
      </c>
      <c r="S1795" s="1454">
        <v>3</v>
      </c>
      <c r="T1795" s="2927">
        <v>44500200</v>
      </c>
      <c r="U1795" s="3509"/>
      <c r="V1795" s="3510">
        <v>100551409</v>
      </c>
      <c r="W1795" s="3509"/>
      <c r="X1795" s="3509"/>
      <c r="Y1795" s="3511">
        <f t="shared" si="593"/>
        <v>3</v>
      </c>
      <c r="Z1795" s="2927">
        <f>R1795+T1795+V1795</f>
        <v>146003609</v>
      </c>
      <c r="AA1795" s="3512">
        <f t="shared" si="594"/>
        <v>9</v>
      </c>
      <c r="AB1795" s="3298">
        <f t="shared" si="594"/>
        <v>278659465</v>
      </c>
      <c r="AC1795" s="2723">
        <f>AA1795/K1795*100</f>
        <v>50</v>
      </c>
      <c r="AD1795" s="2723">
        <f>AB1795/L1795*100</f>
        <v>81.958666176470587</v>
      </c>
      <c r="AE1795" s="3373"/>
    </row>
    <row r="1796" spans="1:31" ht="33.75" customHeight="1">
      <c r="A1796" s="385"/>
      <c r="B1796" s="383"/>
      <c r="C1796" s="2071"/>
      <c r="D1796" s="2071"/>
      <c r="E1796" s="2071"/>
      <c r="F1796" s="2071"/>
      <c r="G1796" s="2071"/>
      <c r="H1796" s="2071"/>
      <c r="I1796" s="384"/>
      <c r="J1796" s="3382" t="s">
        <v>2784</v>
      </c>
      <c r="K1796" s="385"/>
      <c r="L1796" s="385"/>
      <c r="M1796" s="2129"/>
      <c r="N1796" s="385"/>
      <c r="O1796" s="2148" t="s">
        <v>2785</v>
      </c>
      <c r="P1796" s="1941"/>
      <c r="Q1796" s="385"/>
      <c r="R1796" s="2047"/>
      <c r="S1796" s="385"/>
      <c r="T1796" s="385"/>
      <c r="U1796" s="3509"/>
      <c r="V1796" s="3509"/>
      <c r="W1796" s="3509"/>
      <c r="X1796" s="3509"/>
      <c r="Y1796" s="3511">
        <f t="shared" si="593"/>
        <v>0</v>
      </c>
      <c r="Z1796" s="2927">
        <f t="shared" si="593"/>
        <v>0</v>
      </c>
      <c r="AA1796" s="3512">
        <f t="shared" si="594"/>
        <v>0</v>
      </c>
      <c r="AB1796" s="3298">
        <f t="shared" si="594"/>
        <v>0</v>
      </c>
      <c r="AC1796" s="2723"/>
      <c r="AD1796" s="2723"/>
      <c r="AE1796" s="3373"/>
    </row>
    <row r="1797" spans="1:31" ht="28.5" customHeight="1">
      <c r="A1797" s="385"/>
      <c r="B1797" s="383"/>
      <c r="C1797" s="2071"/>
      <c r="D1797" s="2071"/>
      <c r="E1797" s="2071"/>
      <c r="F1797" s="2071"/>
      <c r="G1797" s="2071"/>
      <c r="H1797" s="2071"/>
      <c r="I1797" s="384"/>
      <c r="J1797" s="3382" t="s">
        <v>2786</v>
      </c>
      <c r="K1797" s="385"/>
      <c r="L1797" s="385"/>
      <c r="M1797" s="2129"/>
      <c r="N1797" s="385"/>
      <c r="O1797" s="2148" t="s">
        <v>2787</v>
      </c>
      <c r="P1797" s="1941"/>
      <c r="Q1797" s="385"/>
      <c r="R1797" s="2047"/>
      <c r="S1797" s="385"/>
      <c r="T1797" s="385"/>
      <c r="U1797" s="3509"/>
      <c r="V1797" s="3509"/>
      <c r="W1797" s="3509"/>
      <c r="X1797" s="3509"/>
      <c r="Y1797" s="3511">
        <f t="shared" si="593"/>
        <v>0</v>
      </c>
      <c r="Z1797" s="2927">
        <f t="shared" si="593"/>
        <v>0</v>
      </c>
      <c r="AA1797" s="3512">
        <f t="shared" si="594"/>
        <v>0</v>
      </c>
      <c r="AB1797" s="3298">
        <f t="shared" si="594"/>
        <v>0</v>
      </c>
      <c r="AC1797" s="2723"/>
      <c r="AD1797" s="2723"/>
      <c r="AE1797" s="3373"/>
    </row>
    <row r="1798" spans="1:31" ht="45" customHeight="1">
      <c r="A1798" s="385"/>
      <c r="B1798" s="383"/>
      <c r="C1798" s="2071" t="s">
        <v>66</v>
      </c>
      <c r="D1798" s="2071" t="s">
        <v>2558</v>
      </c>
      <c r="E1798" s="2071" t="s">
        <v>107</v>
      </c>
      <c r="F1798" s="2071" t="s">
        <v>66</v>
      </c>
      <c r="G1798" s="2071" t="s">
        <v>347</v>
      </c>
      <c r="H1798" s="2071" t="s">
        <v>160</v>
      </c>
      <c r="I1798" s="384" t="s">
        <v>2788</v>
      </c>
      <c r="J1798" s="3382" t="s">
        <v>2789</v>
      </c>
      <c r="K1798" s="2148">
        <v>5</v>
      </c>
      <c r="L1798" s="2144">
        <v>495000000</v>
      </c>
      <c r="M1798" s="2129">
        <v>1</v>
      </c>
      <c r="N1798" s="2047">
        <f>129120950</f>
        <v>129120950</v>
      </c>
      <c r="O1798" s="2148">
        <v>1</v>
      </c>
      <c r="P1798" s="1941">
        <v>46343569.25</v>
      </c>
      <c r="Q1798" s="2124"/>
      <c r="R1798" s="2047"/>
      <c r="S1798" s="385"/>
      <c r="T1798" s="386">
        <v>17789000</v>
      </c>
      <c r="U1798" s="3509"/>
      <c r="V1798" s="3510">
        <v>900000</v>
      </c>
      <c r="W1798" s="3509"/>
      <c r="X1798" s="3509"/>
      <c r="Y1798" s="3511">
        <f t="shared" si="593"/>
        <v>0</v>
      </c>
      <c r="Z1798" s="2927">
        <f>R1798+T1798+V1798</f>
        <v>18689000</v>
      </c>
      <c r="AA1798" s="3512">
        <f t="shared" si="594"/>
        <v>1</v>
      </c>
      <c r="AB1798" s="3298">
        <f t="shared" si="594"/>
        <v>147809950</v>
      </c>
      <c r="AC1798" s="2723">
        <f t="shared" ref="AC1798:AC1806" si="595">AA1798/K1798*100</f>
        <v>20</v>
      </c>
      <c r="AD1798" s="2723">
        <f>AB1798/L1798*100</f>
        <v>29.860595959595958</v>
      </c>
      <c r="AE1798" s="3373"/>
    </row>
    <row r="1799" spans="1:31" s="63" customFormat="1" ht="51">
      <c r="A1799" s="385"/>
      <c r="B1799" s="383"/>
      <c r="C1799" s="2071" t="s">
        <v>66</v>
      </c>
      <c r="D1799" s="2071" t="s">
        <v>2558</v>
      </c>
      <c r="E1799" s="2071" t="s">
        <v>107</v>
      </c>
      <c r="F1799" s="2071" t="s">
        <v>66</v>
      </c>
      <c r="G1799" s="2071" t="s">
        <v>347</v>
      </c>
      <c r="H1799" s="2071" t="s">
        <v>391</v>
      </c>
      <c r="I1799" s="384" t="s">
        <v>2790</v>
      </c>
      <c r="J1799" s="3382" t="s">
        <v>2791</v>
      </c>
      <c r="K1799" s="2148">
        <v>70</v>
      </c>
      <c r="L1799" s="2144">
        <v>520000000</v>
      </c>
      <c r="M1799" s="2129">
        <v>0</v>
      </c>
      <c r="N1799" s="385"/>
      <c r="O1799" s="2148">
        <v>10</v>
      </c>
      <c r="P1799" s="1941">
        <v>51940078.75</v>
      </c>
      <c r="Q1799" s="2129">
        <v>40</v>
      </c>
      <c r="R1799" s="2047">
        <v>11695500</v>
      </c>
      <c r="S1799" s="385">
        <v>5</v>
      </c>
      <c r="T1799" s="386">
        <v>4022000</v>
      </c>
      <c r="U1799" s="3509"/>
      <c r="V1799" s="3510">
        <v>28762000</v>
      </c>
      <c r="W1799" s="3509"/>
      <c r="X1799" s="3509"/>
      <c r="Y1799" s="3511">
        <f t="shared" si="593"/>
        <v>45</v>
      </c>
      <c r="Z1799" s="2927">
        <f>R1799+T1799+V1799</f>
        <v>44479500</v>
      </c>
      <c r="AA1799" s="3512">
        <f t="shared" si="594"/>
        <v>45</v>
      </c>
      <c r="AB1799" s="3298">
        <f t="shared" si="594"/>
        <v>44479500</v>
      </c>
      <c r="AC1799" s="2723">
        <f t="shared" si="595"/>
        <v>64.285714285714292</v>
      </c>
      <c r="AD1799" s="2723">
        <f>AB1799/L1799*100</f>
        <v>8.5537500000000009</v>
      </c>
      <c r="AE1799" s="3373"/>
    </row>
    <row r="1800" spans="1:31" s="63" customFormat="1" ht="45" customHeight="1">
      <c r="A1800" s="385"/>
      <c r="B1800" s="383"/>
      <c r="C1800" s="2071" t="s">
        <v>66</v>
      </c>
      <c r="D1800" s="2071" t="s">
        <v>2558</v>
      </c>
      <c r="E1800" s="2071" t="s">
        <v>107</v>
      </c>
      <c r="F1800" s="2071" t="s">
        <v>66</v>
      </c>
      <c r="G1800" s="2071" t="s">
        <v>347</v>
      </c>
      <c r="H1800" s="2071" t="s">
        <v>396</v>
      </c>
      <c r="I1800" s="3382" t="s">
        <v>2792</v>
      </c>
      <c r="J1800" s="3382" t="s">
        <v>2793</v>
      </c>
      <c r="K1800" s="385">
        <v>1</v>
      </c>
      <c r="L1800" s="2155">
        <v>50000000</v>
      </c>
      <c r="M1800" s="2129"/>
      <c r="N1800" s="385"/>
      <c r="O1800" s="2148">
        <v>1</v>
      </c>
      <c r="P1800" s="1941">
        <v>48682581.75</v>
      </c>
      <c r="Q1800" s="2129">
        <v>1</v>
      </c>
      <c r="R1800" s="2047">
        <v>15218000</v>
      </c>
      <c r="S1800" s="385"/>
      <c r="T1800" s="386">
        <v>13200000</v>
      </c>
      <c r="U1800" s="3509"/>
      <c r="V1800" s="3510">
        <v>0</v>
      </c>
      <c r="W1800" s="3509"/>
      <c r="X1800" s="3509"/>
      <c r="Y1800" s="3511">
        <f t="shared" si="593"/>
        <v>1</v>
      </c>
      <c r="Z1800" s="2927">
        <f>R1800+T1800+V1800</f>
        <v>28418000</v>
      </c>
      <c r="AA1800" s="3512">
        <f t="shared" si="594"/>
        <v>1</v>
      </c>
      <c r="AB1800" s="3298">
        <f t="shared" si="594"/>
        <v>28418000</v>
      </c>
      <c r="AC1800" s="2723">
        <f t="shared" si="595"/>
        <v>100</v>
      </c>
      <c r="AD1800" s="2723">
        <f>AB1800/L1800*100</f>
        <v>56.835999999999999</v>
      </c>
      <c r="AE1800" s="3373"/>
    </row>
    <row r="1801" spans="1:31" s="63" customFormat="1" ht="57" customHeight="1">
      <c r="A1801" s="385"/>
      <c r="B1801" s="383"/>
      <c r="C1801" s="2071" t="s">
        <v>66</v>
      </c>
      <c r="D1801" s="2071" t="s">
        <v>2558</v>
      </c>
      <c r="E1801" s="2071" t="s">
        <v>107</v>
      </c>
      <c r="F1801" s="2071" t="s">
        <v>66</v>
      </c>
      <c r="G1801" s="2071" t="s">
        <v>347</v>
      </c>
      <c r="H1801" s="2071" t="s">
        <v>155</v>
      </c>
      <c r="I1801" s="384" t="s">
        <v>2794</v>
      </c>
      <c r="J1801" s="3382" t="s">
        <v>2795</v>
      </c>
      <c r="K1801" s="2119">
        <v>12</v>
      </c>
      <c r="L1801" s="2144">
        <v>550000000</v>
      </c>
      <c r="M1801" s="2129"/>
      <c r="N1801" s="385"/>
      <c r="O1801" s="2119">
        <v>3</v>
      </c>
      <c r="P1801" s="1941">
        <v>52636433.5</v>
      </c>
      <c r="Q1801" s="2129">
        <v>1</v>
      </c>
      <c r="R1801" s="2047">
        <v>6042000</v>
      </c>
      <c r="S1801" s="385"/>
      <c r="T1801" s="386">
        <v>4259000</v>
      </c>
      <c r="U1801" s="3509"/>
      <c r="V1801" s="3510">
        <v>4151900</v>
      </c>
      <c r="W1801" s="3509"/>
      <c r="X1801" s="3509"/>
      <c r="Y1801" s="3511">
        <f t="shared" si="593"/>
        <v>1</v>
      </c>
      <c r="Z1801" s="2927">
        <f>R1801+T1801+V1801</f>
        <v>14452900</v>
      </c>
      <c r="AA1801" s="3512">
        <f t="shared" si="594"/>
        <v>1</v>
      </c>
      <c r="AB1801" s="3298">
        <f t="shared" si="594"/>
        <v>14452900</v>
      </c>
      <c r="AC1801" s="2723">
        <f t="shared" si="595"/>
        <v>8.3333333333333321</v>
      </c>
      <c r="AD1801" s="2723">
        <f>AB1801/L1801*100</f>
        <v>2.6278000000000001</v>
      </c>
      <c r="AE1801" s="3373"/>
    </row>
    <row r="1802" spans="1:31" s="63" customFormat="1" ht="100.5" customHeight="1">
      <c r="A1802" s="3461">
        <v>29</v>
      </c>
      <c r="B1802" s="3462" t="s">
        <v>4222</v>
      </c>
      <c r="C1802" s="3844" t="s">
        <v>66</v>
      </c>
      <c r="D1802" s="3844" t="s">
        <v>2558</v>
      </c>
      <c r="E1802" s="3844" t="s">
        <v>107</v>
      </c>
      <c r="F1802" s="3844" t="s">
        <v>66</v>
      </c>
      <c r="G1802" s="3844" t="s">
        <v>479</v>
      </c>
      <c r="H1802" s="3844"/>
      <c r="I1802" s="3502" t="s">
        <v>2796</v>
      </c>
      <c r="J1802" s="3462" t="s">
        <v>2797</v>
      </c>
      <c r="K1802" s="3513">
        <v>580</v>
      </c>
      <c r="L1802" s="3466">
        <f>L1806</f>
        <v>1450000000</v>
      </c>
      <c r="M1802" s="3513">
        <f>90+90</f>
        <v>180</v>
      </c>
      <c r="N1802" s="3468">
        <f>N1806</f>
        <v>341863118</v>
      </c>
      <c r="O1802" s="3513">
        <v>100</v>
      </c>
      <c r="P1802" s="3468">
        <f>P1806</f>
        <v>126472964.5</v>
      </c>
      <c r="Q1802" s="3468"/>
      <c r="R1802" s="3469">
        <f>R1806</f>
        <v>15920000</v>
      </c>
      <c r="S1802" s="3483"/>
      <c r="T1802" s="3489">
        <f>T1806</f>
        <v>25412700</v>
      </c>
      <c r="U1802" s="3490">
        <v>95</v>
      </c>
      <c r="V1802" s="3469">
        <f>V1806</f>
        <v>46895800</v>
      </c>
      <c r="W1802" s="3490"/>
      <c r="X1802" s="3490"/>
      <c r="Y1802" s="3470">
        <v>95</v>
      </c>
      <c r="Z1802" s="3471">
        <f>R1802+T1802+V1802</f>
        <v>88228500</v>
      </c>
      <c r="AA1802" s="3467">
        <f t="shared" ref="AA1802:AB1806" si="596">M1802+Y1802</f>
        <v>275</v>
      </c>
      <c r="AB1802" s="3471">
        <f t="shared" si="596"/>
        <v>430091618</v>
      </c>
      <c r="AC1802" s="3474">
        <f t="shared" si="595"/>
        <v>47.413793103448278</v>
      </c>
      <c r="AD1802" s="3474">
        <f>AB1802/L1802*100</f>
        <v>29.661490896551722</v>
      </c>
      <c r="AE1802" s="3475"/>
    </row>
    <row r="1803" spans="1:31" ht="38.25" customHeight="1">
      <c r="A1803" s="3494"/>
      <c r="B1803" s="3463"/>
      <c r="C1803" s="3844"/>
      <c r="D1803" s="3844"/>
      <c r="E1803" s="3844"/>
      <c r="F1803" s="3844"/>
      <c r="G1803" s="3844"/>
      <c r="H1803" s="3844"/>
      <c r="I1803" s="3502"/>
      <c r="J1803" s="3462" t="s">
        <v>2798</v>
      </c>
      <c r="K1803" s="3514">
        <v>5</v>
      </c>
      <c r="L1803" s="3483"/>
      <c r="M1803" s="3465">
        <v>6</v>
      </c>
      <c r="N1803" s="3483"/>
      <c r="O1803" s="3514">
        <v>5</v>
      </c>
      <c r="P1803" s="3468"/>
      <c r="Q1803" s="3483"/>
      <c r="R1803" s="3469"/>
      <c r="S1803" s="3483"/>
      <c r="T1803" s="3483"/>
      <c r="U1803" s="3490"/>
      <c r="V1803" s="3490"/>
      <c r="W1803" s="3490"/>
      <c r="X1803" s="3490"/>
      <c r="Y1803" s="3515">
        <f t="shared" ref="Y1803:Z1805" si="597">Q1803</f>
        <v>0</v>
      </c>
      <c r="Z1803" s="3516">
        <f t="shared" si="597"/>
        <v>0</v>
      </c>
      <c r="AA1803" s="3467">
        <f t="shared" si="596"/>
        <v>6</v>
      </c>
      <c r="AB1803" s="3471">
        <f t="shared" si="596"/>
        <v>0</v>
      </c>
      <c r="AC1803" s="3474">
        <f t="shared" si="595"/>
        <v>120</v>
      </c>
      <c r="AD1803" s="3493"/>
      <c r="AE1803" s="3475"/>
    </row>
    <row r="1804" spans="1:31" ht="71.25" customHeight="1">
      <c r="A1804" s="3494"/>
      <c r="B1804" s="3463"/>
      <c r="C1804" s="3844"/>
      <c r="D1804" s="3844"/>
      <c r="E1804" s="3844"/>
      <c r="F1804" s="3844"/>
      <c r="G1804" s="3844"/>
      <c r="H1804" s="3844"/>
      <c r="I1804" s="3502"/>
      <c r="J1804" s="3462" t="s">
        <v>2799</v>
      </c>
      <c r="K1804" s="3517">
        <v>380</v>
      </c>
      <c r="L1804" s="3483"/>
      <c r="M1804" s="3465">
        <f>50+55</f>
        <v>105</v>
      </c>
      <c r="N1804" s="3483"/>
      <c r="O1804" s="3517">
        <v>80</v>
      </c>
      <c r="P1804" s="3468"/>
      <c r="Q1804" s="3483"/>
      <c r="R1804" s="3469"/>
      <c r="S1804" s="3483">
        <v>60</v>
      </c>
      <c r="T1804" s="3483"/>
      <c r="U1804" s="3490">
        <v>10</v>
      </c>
      <c r="V1804" s="3490"/>
      <c r="W1804" s="3490"/>
      <c r="X1804" s="3490"/>
      <c r="Y1804" s="3518">
        <f>S1804+U1804</f>
        <v>70</v>
      </c>
      <c r="Z1804" s="3516">
        <f t="shared" si="597"/>
        <v>0</v>
      </c>
      <c r="AA1804" s="3467">
        <f t="shared" si="596"/>
        <v>175</v>
      </c>
      <c r="AB1804" s="3471">
        <f t="shared" si="596"/>
        <v>0</v>
      </c>
      <c r="AC1804" s="3474">
        <f>AA1804/K1804*100</f>
        <v>46.05263157894737</v>
      </c>
      <c r="AD1804" s="3493"/>
      <c r="AE1804" s="3475"/>
    </row>
    <row r="1805" spans="1:31" ht="61.5" customHeight="1">
      <c r="A1805" s="3494"/>
      <c r="B1805" s="3463"/>
      <c r="C1805" s="3844"/>
      <c r="D1805" s="3844"/>
      <c r="E1805" s="3844"/>
      <c r="F1805" s="3844"/>
      <c r="G1805" s="3844"/>
      <c r="H1805" s="3844"/>
      <c r="I1805" s="3502"/>
      <c r="J1805" s="3462" t="s">
        <v>2800</v>
      </c>
      <c r="K1805" s="3517">
        <v>415</v>
      </c>
      <c r="L1805" s="3483"/>
      <c r="M1805" s="3465">
        <v>120</v>
      </c>
      <c r="N1805" s="3471"/>
      <c r="O1805" s="3517">
        <v>80</v>
      </c>
      <c r="P1805" s="3468"/>
      <c r="Q1805" s="3483"/>
      <c r="R1805" s="3469"/>
      <c r="S1805" s="3483">
        <v>60</v>
      </c>
      <c r="T1805" s="3483"/>
      <c r="U1805" s="3490">
        <v>10</v>
      </c>
      <c r="V1805" s="3490"/>
      <c r="W1805" s="3490"/>
      <c r="X1805" s="3490"/>
      <c r="Y1805" s="3518">
        <f>S1805+U1805</f>
        <v>70</v>
      </c>
      <c r="Z1805" s="3516">
        <f t="shared" si="597"/>
        <v>0</v>
      </c>
      <c r="AA1805" s="3467">
        <f t="shared" si="596"/>
        <v>190</v>
      </c>
      <c r="AB1805" s="3471">
        <f t="shared" si="596"/>
        <v>0</v>
      </c>
      <c r="AC1805" s="3474">
        <f t="shared" si="595"/>
        <v>45.783132530120483</v>
      </c>
      <c r="AD1805" s="3493"/>
      <c r="AE1805" s="3475"/>
    </row>
    <row r="1806" spans="1:31" ht="70.5" customHeight="1">
      <c r="A1806" s="385"/>
      <c r="B1806" s="383"/>
      <c r="C1806" s="2071" t="s">
        <v>66</v>
      </c>
      <c r="D1806" s="2071" t="s">
        <v>2558</v>
      </c>
      <c r="E1806" s="2071" t="s">
        <v>107</v>
      </c>
      <c r="F1806" s="2071" t="s">
        <v>66</v>
      </c>
      <c r="G1806" s="2071" t="s">
        <v>479</v>
      </c>
      <c r="H1806" s="2071" t="s">
        <v>66</v>
      </c>
      <c r="I1806" s="3382" t="s">
        <v>2801</v>
      </c>
      <c r="J1806" s="3382" t="s">
        <v>2802</v>
      </c>
      <c r="K1806" s="2119">
        <f>24*6</f>
        <v>144</v>
      </c>
      <c r="L1806" s="2144">
        <v>1450000000</v>
      </c>
      <c r="M1806" s="2129">
        <f>24*2</f>
        <v>48</v>
      </c>
      <c r="N1806" s="2047">
        <f>183419238+158443880</f>
        <v>341863118</v>
      </c>
      <c r="O1806" s="2119">
        <v>24</v>
      </c>
      <c r="P1806" s="1941">
        <v>126472964.5</v>
      </c>
      <c r="Q1806" s="2129">
        <v>6</v>
      </c>
      <c r="R1806" s="2047">
        <v>15920000</v>
      </c>
      <c r="S1806" s="385">
        <v>6</v>
      </c>
      <c r="T1806" s="386">
        <v>25412700</v>
      </c>
      <c r="U1806" s="3454">
        <f>16-Q1806-S1806</f>
        <v>4</v>
      </c>
      <c r="V1806" s="3455">
        <v>46895800</v>
      </c>
      <c r="W1806" s="3454"/>
      <c r="X1806" s="3454"/>
      <c r="Y1806" s="1945">
        <f>Q1806+S1806+U1806</f>
        <v>16</v>
      </c>
      <c r="Z1806" s="1942">
        <f>R1806+T1806+V1806</f>
        <v>88228500</v>
      </c>
      <c r="AA1806" s="1943">
        <f t="shared" si="596"/>
        <v>64</v>
      </c>
      <c r="AB1806" s="1944">
        <f t="shared" si="596"/>
        <v>430091618</v>
      </c>
      <c r="AC1806" s="2723">
        <f t="shared" si="595"/>
        <v>44.444444444444443</v>
      </c>
      <c r="AD1806" s="2723">
        <f>AB1806/L1806*100</f>
        <v>29.661490896551722</v>
      </c>
      <c r="AE1806" s="3373"/>
    </row>
    <row r="1807" spans="1:31" ht="57.75" customHeight="1">
      <c r="A1807" s="3461">
        <v>30</v>
      </c>
      <c r="B1807" s="3462" t="s">
        <v>4217</v>
      </c>
      <c r="C1807" s="3844" t="s">
        <v>66</v>
      </c>
      <c r="D1807" s="3844" t="s">
        <v>2558</v>
      </c>
      <c r="E1807" s="3844" t="s">
        <v>107</v>
      </c>
      <c r="F1807" s="3844" t="s">
        <v>66</v>
      </c>
      <c r="G1807" s="3844" t="s">
        <v>2803</v>
      </c>
      <c r="H1807" s="3844"/>
      <c r="I1807" s="3463" t="s">
        <v>2804</v>
      </c>
      <c r="J1807" s="3463" t="s">
        <v>2805</v>
      </c>
      <c r="K1807" s="3483" t="s">
        <v>2181</v>
      </c>
      <c r="L1807" s="3469">
        <f>L1810+L1811</f>
        <v>1495000000</v>
      </c>
      <c r="M1807" s="3519" t="s">
        <v>2806</v>
      </c>
      <c r="N1807" s="3469">
        <f>N1810+N1811</f>
        <v>201389735</v>
      </c>
      <c r="O1807" s="3483" t="s">
        <v>2806</v>
      </c>
      <c r="P1807" s="3469">
        <f>P1810+P1811</f>
        <v>134555028.25</v>
      </c>
      <c r="Q1807" s="3467"/>
      <c r="R1807" s="3469">
        <f>R1810+R1811</f>
        <v>17219626</v>
      </c>
      <c r="S1807" s="3483"/>
      <c r="T1807" s="3489">
        <f>SUM(T1810:T1811)</f>
        <v>23295400</v>
      </c>
      <c r="U1807" s="3484"/>
      <c r="V1807" s="3469">
        <f>V1810+V1811</f>
        <v>26863500</v>
      </c>
      <c r="W1807" s="3484"/>
      <c r="X1807" s="3484"/>
      <c r="Y1807" s="3470">
        <f t="shared" ref="Y1807:Z1811" si="598">Q1807+S1807</f>
        <v>0</v>
      </c>
      <c r="Z1807" s="3471">
        <f>R1807+T1807+V1807</f>
        <v>67378526</v>
      </c>
      <c r="AA1807" s="3465" t="s">
        <v>2183</v>
      </c>
      <c r="AB1807" s="3471">
        <f>N1807+Z1807</f>
        <v>268768261</v>
      </c>
      <c r="AC1807" s="3474">
        <v>70</v>
      </c>
      <c r="AD1807" s="3474">
        <f>AB1807/L1807*100</f>
        <v>17.977810100334448</v>
      </c>
      <c r="AE1807" s="3475"/>
    </row>
    <row r="1808" spans="1:31" ht="45" customHeight="1">
      <c r="A1808" s="3483"/>
      <c r="B1808" s="3463"/>
      <c r="C1808" s="3844"/>
      <c r="D1808" s="3844"/>
      <c r="E1808" s="3844"/>
      <c r="F1808" s="3844"/>
      <c r="G1808" s="3844"/>
      <c r="H1808" s="3844"/>
      <c r="I1808" s="3463"/>
      <c r="J1808" s="3463" t="s">
        <v>2807</v>
      </c>
      <c r="K1808" s="3520">
        <v>3.35</v>
      </c>
      <c r="L1808" s="3483"/>
      <c r="M1808" s="3465"/>
      <c r="N1808" s="3483"/>
      <c r="O1808" s="3483"/>
      <c r="P1808" s="3481"/>
      <c r="Q1808" s="3483"/>
      <c r="R1808" s="3483"/>
      <c r="S1808" s="3483"/>
      <c r="T1808" s="3483"/>
      <c r="U1808" s="3484"/>
      <c r="V1808" s="3484"/>
      <c r="W1808" s="3484"/>
      <c r="X1808" s="3484"/>
      <c r="Y1808" s="3470">
        <f t="shared" si="598"/>
        <v>0</v>
      </c>
      <c r="Z1808" s="3471">
        <f t="shared" si="598"/>
        <v>0</v>
      </c>
      <c r="AA1808" s="3467">
        <f t="shared" ref="AA1808:AB1811" si="599">M1808+Y1808</f>
        <v>0</v>
      </c>
      <c r="AB1808" s="3471">
        <f>N1808+Z1808</f>
        <v>0</v>
      </c>
      <c r="AC1808" s="3474"/>
      <c r="AD1808" s="3474"/>
      <c r="AE1808" s="3475"/>
    </row>
    <row r="1809" spans="1:33" ht="78" customHeight="1">
      <c r="A1809" s="3483"/>
      <c r="B1809" s="3463"/>
      <c r="C1809" s="3844"/>
      <c r="D1809" s="3844"/>
      <c r="E1809" s="3844"/>
      <c r="F1809" s="3844"/>
      <c r="G1809" s="3844"/>
      <c r="H1809" s="3844"/>
      <c r="I1809" s="3463"/>
      <c r="J1809" s="3463" t="s">
        <v>2808</v>
      </c>
      <c r="K1809" s="3465">
        <v>400</v>
      </c>
      <c r="L1809" s="3483"/>
      <c r="M1809" s="3465"/>
      <c r="N1809" s="3483"/>
      <c r="O1809" s="3483"/>
      <c r="P1809" s="3481"/>
      <c r="Q1809" s="3483"/>
      <c r="R1809" s="3483"/>
      <c r="S1809" s="3483">
        <v>100</v>
      </c>
      <c r="T1809" s="3483"/>
      <c r="U1809" s="3484"/>
      <c r="V1809" s="3484"/>
      <c r="W1809" s="3484"/>
      <c r="X1809" s="3484"/>
      <c r="Y1809" s="3470">
        <f t="shared" si="598"/>
        <v>100</v>
      </c>
      <c r="Z1809" s="3471">
        <f t="shared" si="598"/>
        <v>0</v>
      </c>
      <c r="AA1809" s="3467">
        <f t="shared" si="599"/>
        <v>100</v>
      </c>
      <c r="AB1809" s="3471">
        <f>N1809+Z1809</f>
        <v>0</v>
      </c>
      <c r="AC1809" s="3474"/>
      <c r="AD1809" s="3474"/>
      <c r="AE1809" s="3475"/>
    </row>
    <row r="1810" spans="1:33" ht="55.5" customHeight="1">
      <c r="A1810" s="385"/>
      <c r="B1810" s="383"/>
      <c r="C1810" s="2071" t="s">
        <v>66</v>
      </c>
      <c r="D1810" s="2071" t="s">
        <v>2558</v>
      </c>
      <c r="E1810" s="2071" t="s">
        <v>107</v>
      </c>
      <c r="F1810" s="2071" t="s">
        <v>66</v>
      </c>
      <c r="G1810" s="2071" t="s">
        <v>2803</v>
      </c>
      <c r="H1810" s="2071" t="s">
        <v>66</v>
      </c>
      <c r="I1810" s="384" t="s">
        <v>2809</v>
      </c>
      <c r="J1810" s="384" t="s">
        <v>2810</v>
      </c>
      <c r="K1810" s="385">
        <f>45*5</f>
        <v>225</v>
      </c>
      <c r="L1810" s="2047">
        <v>955000000</v>
      </c>
      <c r="M1810" s="2129">
        <v>45</v>
      </c>
      <c r="N1810" s="2047">
        <v>149183985</v>
      </c>
      <c r="O1810" s="385">
        <v>45</v>
      </c>
      <c r="P1810" s="1941">
        <v>85189366.25</v>
      </c>
      <c r="Q1810" s="2129">
        <v>35</v>
      </c>
      <c r="R1810" s="2047">
        <v>12260898</v>
      </c>
      <c r="S1810" s="385">
        <v>10</v>
      </c>
      <c r="T1810" s="386">
        <v>10167800</v>
      </c>
      <c r="U1810" s="3454"/>
      <c r="V1810" s="3455">
        <v>12826000</v>
      </c>
      <c r="W1810" s="3454"/>
      <c r="X1810" s="3454"/>
      <c r="Y1810" s="1945">
        <f t="shared" si="598"/>
        <v>45</v>
      </c>
      <c r="Z1810" s="1942">
        <f>R1810+T1810+V1810</f>
        <v>35254698</v>
      </c>
      <c r="AA1810" s="1943">
        <f t="shared" si="599"/>
        <v>90</v>
      </c>
      <c r="AB1810" s="1944">
        <f t="shared" si="599"/>
        <v>184438683</v>
      </c>
      <c r="AC1810" s="2723">
        <f t="shared" ref="AC1810:AD1815" si="600">AA1810/K1810*100</f>
        <v>40</v>
      </c>
      <c r="AD1810" s="2723">
        <f t="shared" si="600"/>
        <v>19.31295109947644</v>
      </c>
      <c r="AE1810" s="3373"/>
    </row>
    <row r="1811" spans="1:33" ht="46.5" customHeight="1">
      <c r="A1811" s="385"/>
      <c r="B1811" s="383"/>
      <c r="C1811" s="2071" t="s">
        <v>66</v>
      </c>
      <c r="D1811" s="2071" t="s">
        <v>2558</v>
      </c>
      <c r="E1811" s="2071" t="s">
        <v>107</v>
      </c>
      <c r="F1811" s="2071" t="s">
        <v>66</v>
      </c>
      <c r="G1811" s="2071" t="s">
        <v>2803</v>
      </c>
      <c r="H1811" s="2071" t="s">
        <v>196</v>
      </c>
      <c r="I1811" s="385" t="s">
        <v>2811</v>
      </c>
      <c r="J1811" s="3382" t="s">
        <v>2812</v>
      </c>
      <c r="K1811" s="2148">
        <v>112</v>
      </c>
      <c r="L1811" s="2119">
        <v>540000000</v>
      </c>
      <c r="M1811" s="2165">
        <v>50</v>
      </c>
      <c r="N1811" s="2047">
        <v>52205750</v>
      </c>
      <c r="O1811" s="385">
        <v>50</v>
      </c>
      <c r="P1811" s="2047">
        <v>49365662</v>
      </c>
      <c r="Q1811" s="2124"/>
      <c r="R1811" s="2047">
        <v>4958728</v>
      </c>
      <c r="S1811" s="385">
        <v>50</v>
      </c>
      <c r="T1811" s="386">
        <v>13127600</v>
      </c>
      <c r="U1811" s="3454"/>
      <c r="V1811" s="3455">
        <v>14037500</v>
      </c>
      <c r="W1811" s="3454"/>
      <c r="X1811" s="3454"/>
      <c r="Y1811" s="1945">
        <f t="shared" si="598"/>
        <v>50</v>
      </c>
      <c r="Z1811" s="1942">
        <f>R1811+T1811+V1811</f>
        <v>32123828</v>
      </c>
      <c r="AA1811" s="1943">
        <f t="shared" si="599"/>
        <v>100</v>
      </c>
      <c r="AB1811" s="1944">
        <f t="shared" si="599"/>
        <v>84329578</v>
      </c>
      <c r="AC1811" s="2723">
        <f t="shared" si="600"/>
        <v>89.285714285714292</v>
      </c>
      <c r="AD1811" s="2723">
        <f t="shared" si="600"/>
        <v>15.616588518518517</v>
      </c>
      <c r="AE1811" s="3373"/>
    </row>
    <row r="1812" spans="1:33" ht="50.25" customHeight="1">
      <c r="A1812" s="3461">
        <v>31</v>
      </c>
      <c r="B1812" s="3462" t="s">
        <v>4226</v>
      </c>
      <c r="C1812" s="3844" t="s">
        <v>66</v>
      </c>
      <c r="D1812" s="3844" t="s">
        <v>2558</v>
      </c>
      <c r="E1812" s="3844" t="s">
        <v>107</v>
      </c>
      <c r="F1812" s="3844" t="s">
        <v>66</v>
      </c>
      <c r="G1812" s="3844" t="s">
        <v>321</v>
      </c>
      <c r="H1812" s="3844"/>
      <c r="I1812" s="3462" t="s">
        <v>2813</v>
      </c>
      <c r="J1812" s="3462" t="s">
        <v>2814</v>
      </c>
      <c r="K1812" s="3521" t="s">
        <v>2181</v>
      </c>
      <c r="L1812" s="3522">
        <f>SUM(L1813:L1815)</f>
        <v>1790000000</v>
      </c>
      <c r="M1812" s="3523" t="s">
        <v>2806</v>
      </c>
      <c r="N1812" s="3522">
        <f>SUM(N1813:N1815)</f>
        <v>33621900</v>
      </c>
      <c r="O1812" s="3521" t="s">
        <v>2806</v>
      </c>
      <c r="P1812" s="3524">
        <f>SUM(P1813:P1815)</f>
        <v>202796544.5</v>
      </c>
      <c r="Q1812" s="3524"/>
      <c r="R1812" s="3524">
        <f>SUM(R1813:R1815)</f>
        <v>16971613</v>
      </c>
      <c r="S1812" s="3521"/>
      <c r="T1812" s="3525">
        <f>SUM(T1813:T1815)</f>
        <v>64141700</v>
      </c>
      <c r="U1812" s="3490" t="s">
        <v>2183</v>
      </c>
      <c r="V1812" s="3468">
        <f>SUM(V1813:V1815)</f>
        <v>28467700</v>
      </c>
      <c r="W1812" s="3490"/>
      <c r="X1812" s="3490"/>
      <c r="Y1812" s="3470" t="s">
        <v>2183</v>
      </c>
      <c r="Z1812" s="3471">
        <f>R1812+T1812</f>
        <v>81113313</v>
      </c>
      <c r="AA1812" s="3465">
        <v>76</v>
      </c>
      <c r="AB1812" s="3471">
        <f>N1812+Z1812</f>
        <v>114735213</v>
      </c>
      <c r="AC1812" s="3500">
        <v>76</v>
      </c>
      <c r="AD1812" s="3500">
        <f t="shared" si="600"/>
        <v>6.409788435754189</v>
      </c>
      <c r="AE1812" s="3475"/>
    </row>
    <row r="1813" spans="1:33" ht="45" customHeight="1">
      <c r="A1813" s="385"/>
      <c r="B1813" s="383"/>
      <c r="C1813" s="2071" t="s">
        <v>66</v>
      </c>
      <c r="D1813" s="2071" t="s">
        <v>2558</v>
      </c>
      <c r="E1813" s="2071" t="s">
        <v>107</v>
      </c>
      <c r="F1813" s="2071" t="s">
        <v>66</v>
      </c>
      <c r="G1813" s="2071" t="s">
        <v>321</v>
      </c>
      <c r="H1813" s="2071" t="s">
        <v>66</v>
      </c>
      <c r="I1813" s="3382" t="s">
        <v>2815</v>
      </c>
      <c r="J1813" s="3382" t="s">
        <v>2816</v>
      </c>
      <c r="K1813" s="2402">
        <v>124</v>
      </c>
      <c r="L1813" s="2402">
        <v>530000000</v>
      </c>
      <c r="M1813" s="2164">
        <v>2</v>
      </c>
      <c r="N1813" s="2538">
        <f>33621900</f>
        <v>33621900</v>
      </c>
      <c r="O1813" s="2402">
        <v>17</v>
      </c>
      <c r="P1813" s="2536">
        <v>69324401.75</v>
      </c>
      <c r="Q1813" s="2166">
        <v>10</v>
      </c>
      <c r="R1813" s="2538">
        <v>11525613</v>
      </c>
      <c r="S1813" s="3374">
        <v>7</v>
      </c>
      <c r="T1813" s="3375">
        <v>19548200</v>
      </c>
      <c r="U1813" s="3454"/>
      <c r="V1813" s="3455">
        <v>14109000</v>
      </c>
      <c r="W1813" s="3454"/>
      <c r="X1813" s="3454"/>
      <c r="Y1813" s="1945">
        <f t="shared" ref="Y1813:Z1815" si="601">Q1813+S1813</f>
        <v>17</v>
      </c>
      <c r="Z1813" s="1942">
        <f t="shared" si="601"/>
        <v>31073813</v>
      </c>
      <c r="AA1813" s="1943">
        <f t="shared" ref="AA1813:AB1815" si="602">M1813+Y1813</f>
        <v>19</v>
      </c>
      <c r="AB1813" s="1944">
        <f t="shared" si="602"/>
        <v>64695713</v>
      </c>
      <c r="AC1813" s="2760">
        <f>AA1813/K1813*100</f>
        <v>15.32258064516129</v>
      </c>
      <c r="AD1813" s="2760">
        <f t="shared" si="600"/>
        <v>12.206738301886793</v>
      </c>
      <c r="AE1813" s="3373"/>
    </row>
    <row r="1814" spans="1:33" ht="49.5" customHeight="1">
      <c r="A1814" s="385"/>
      <c r="B1814" s="383"/>
      <c r="C1814" s="2071" t="s">
        <v>66</v>
      </c>
      <c r="D1814" s="2071" t="s">
        <v>2558</v>
      </c>
      <c r="E1814" s="2071" t="s">
        <v>107</v>
      </c>
      <c r="F1814" s="2071" t="s">
        <v>66</v>
      </c>
      <c r="G1814" s="2071" t="s">
        <v>321</v>
      </c>
      <c r="H1814" s="2071" t="s">
        <v>95</v>
      </c>
      <c r="I1814" s="1936" t="s">
        <v>2817</v>
      </c>
      <c r="J1814" s="3382" t="s">
        <v>2818</v>
      </c>
      <c r="K1814" s="2402">
        <v>8</v>
      </c>
      <c r="L1814" s="2537">
        <v>820000000</v>
      </c>
      <c r="M1814" s="2166" t="s">
        <v>2034</v>
      </c>
      <c r="N1814" s="3374"/>
      <c r="O1814" s="2402">
        <v>2</v>
      </c>
      <c r="P1814" s="2536">
        <v>59042996.25</v>
      </c>
      <c r="Q1814" s="2166">
        <v>4</v>
      </c>
      <c r="R1814" s="2538">
        <v>2992000</v>
      </c>
      <c r="S1814" s="3374"/>
      <c r="T1814" s="3375">
        <v>31638200</v>
      </c>
      <c r="U1814" s="3454"/>
      <c r="V1814" s="3455">
        <v>3257000</v>
      </c>
      <c r="W1814" s="3454"/>
      <c r="X1814" s="3454"/>
      <c r="Y1814" s="1945">
        <f t="shared" si="601"/>
        <v>4</v>
      </c>
      <c r="Z1814" s="1942">
        <f t="shared" si="601"/>
        <v>34630200</v>
      </c>
      <c r="AA1814" s="1943">
        <f t="shared" si="602"/>
        <v>4</v>
      </c>
      <c r="AB1814" s="1944">
        <f t="shared" si="602"/>
        <v>34630200</v>
      </c>
      <c r="AC1814" s="2760">
        <f>AA1814/K1814*100</f>
        <v>50</v>
      </c>
      <c r="AD1814" s="2760">
        <f t="shared" si="600"/>
        <v>4.2231951219512194</v>
      </c>
      <c r="AE1814" s="3373"/>
    </row>
    <row r="1815" spans="1:33" ht="33.75" customHeight="1">
      <c r="A1815" s="385"/>
      <c r="B1815" s="383"/>
      <c r="C1815" s="2071" t="s">
        <v>66</v>
      </c>
      <c r="D1815" s="2071" t="s">
        <v>2558</v>
      </c>
      <c r="E1815" s="2071" t="s">
        <v>107</v>
      </c>
      <c r="F1815" s="2071" t="s">
        <v>66</v>
      </c>
      <c r="G1815" s="2071" t="s">
        <v>321</v>
      </c>
      <c r="H1815" s="2071" t="s">
        <v>93</v>
      </c>
      <c r="I1815" s="1936" t="s">
        <v>2819</v>
      </c>
      <c r="J1815" s="3382" t="s">
        <v>2820</v>
      </c>
      <c r="K1815" s="2401">
        <v>16</v>
      </c>
      <c r="L1815" s="2537">
        <v>440000000</v>
      </c>
      <c r="M1815" s="2166" t="s">
        <v>2034</v>
      </c>
      <c r="N1815" s="3374"/>
      <c r="O1815" s="2401">
        <v>4</v>
      </c>
      <c r="P1815" s="2536">
        <v>74429146.5</v>
      </c>
      <c r="Q1815" s="2166">
        <v>2</v>
      </c>
      <c r="R1815" s="2538">
        <v>2454000</v>
      </c>
      <c r="S1815" s="3374">
        <v>2</v>
      </c>
      <c r="T1815" s="3375">
        <v>12955300</v>
      </c>
      <c r="U1815" s="3454"/>
      <c r="V1815" s="3455">
        <v>11101700</v>
      </c>
      <c r="W1815" s="3454"/>
      <c r="X1815" s="3454"/>
      <c r="Y1815" s="1945">
        <f t="shared" si="601"/>
        <v>4</v>
      </c>
      <c r="Z1815" s="1942">
        <f t="shared" si="601"/>
        <v>15409300</v>
      </c>
      <c r="AA1815" s="1943">
        <f t="shared" si="602"/>
        <v>4</v>
      </c>
      <c r="AB1815" s="1944">
        <f t="shared" si="602"/>
        <v>15409300</v>
      </c>
      <c r="AC1815" s="2760">
        <f>AA1815/K1815*100</f>
        <v>25</v>
      </c>
      <c r="AD1815" s="2760">
        <f t="shared" si="600"/>
        <v>3.5021136363636365</v>
      </c>
      <c r="AE1815" s="3373"/>
    </row>
    <row r="1816" spans="1:33" s="114" customFormat="1" ht="18.75" customHeight="1">
      <c r="A1816" s="4244" t="s">
        <v>89</v>
      </c>
      <c r="B1816" s="4244"/>
      <c r="C1816" s="4244"/>
      <c r="D1816" s="4244"/>
      <c r="E1816" s="4244"/>
      <c r="F1816" s="4244"/>
      <c r="G1816" s="4244"/>
      <c r="H1816" s="4244"/>
      <c r="I1816" s="4244"/>
      <c r="J1816" s="4244"/>
      <c r="K1816" s="4244"/>
      <c r="L1816" s="4244"/>
      <c r="M1816" s="4244"/>
      <c r="N1816" s="4244"/>
      <c r="O1816" s="4244"/>
      <c r="P1816" s="4244"/>
      <c r="Q1816" s="4244"/>
      <c r="R1816" s="4244"/>
      <c r="S1816" s="4244"/>
      <c r="T1816" s="4244"/>
      <c r="U1816" s="4244"/>
      <c r="V1816" s="4244"/>
      <c r="W1816" s="4244"/>
      <c r="X1816" s="4244"/>
      <c r="Y1816" s="4244"/>
      <c r="Z1816" s="4244"/>
      <c r="AA1816" s="4244"/>
      <c r="AB1816" s="4244"/>
      <c r="AC1816" s="2030">
        <f>(AC1653+AC1669+AC1683+AC1686+AC1689+AC1693+AC1690+AC1694+AC1700+AC1702+AC1704+AC1707+AC1710+AC1719+AC1726+AC1728+AC1730+AC1732+AC1738+AC1739+AC1747+AC1750+AC1756+AC1759+AC1761+AC1762+AC1767+AC1772+AC1775+AC1777+AC1779+AC1780+AC1781+AC1782+AC1783+AC1784+AC1802+AC1804+AC1805+AC1807+AC1812+AC1724)/42</f>
        <v>44.065338547908581</v>
      </c>
      <c r="AD1816" s="2030">
        <f>(AD1653+AD1669+AD1683+AD1686+AD1689+AD1693+AD1690+AD1694+AD1700+AD1702+AD1704+AD1707+AD1710+AD1719+AD1726+AD1728+AD1730+AD1732+AD1738+AD1739+AD1747+AD1750+AD1756+AD1759+AD1761+AD1762+AD1767+AD1772+AD1775+AD1777+AD1779+AD1780+AD1781+AD1782+AD1783+AD1784+AD1802+AD1804+AD1805+AD1807+AD1812+AD1724)/42</f>
        <v>24.509708990995154</v>
      </c>
      <c r="AE1816" s="3373"/>
    </row>
    <row r="1817" spans="1:33" s="475" customFormat="1" ht="15.75" customHeight="1">
      <c r="A1817" s="4244" t="s">
        <v>90</v>
      </c>
      <c r="B1817" s="4244"/>
      <c r="C1817" s="4244"/>
      <c r="D1817" s="4244"/>
      <c r="E1817" s="4244"/>
      <c r="F1817" s="4244"/>
      <c r="G1817" s="4244"/>
      <c r="H1817" s="4244"/>
      <c r="I1817" s="4244"/>
      <c r="J1817" s="4244"/>
      <c r="K1817" s="4244"/>
      <c r="L1817" s="4244"/>
      <c r="M1817" s="4244"/>
      <c r="N1817" s="4244"/>
      <c r="O1817" s="4244"/>
      <c r="P1817" s="4244"/>
      <c r="Q1817" s="4244"/>
      <c r="R1817" s="4244"/>
      <c r="S1817" s="4244"/>
      <c r="T1817" s="4244"/>
      <c r="U1817" s="4244"/>
      <c r="V1817" s="4244"/>
      <c r="W1817" s="4244"/>
      <c r="X1817" s="4244"/>
      <c r="Y1817" s="4244"/>
      <c r="Z1817" s="4244"/>
      <c r="AA1817" s="4244"/>
      <c r="AB1817" s="4244"/>
      <c r="AC1817" s="3378" t="str">
        <f>IF(AC1816&gt;=91,"ST",IF(AC1816&gt;=76,"T",IF(AC1816&gt;=66,"S",IF(AC1816&gt;=51,"R","SR"))))</f>
        <v>SR</v>
      </c>
      <c r="AD1817" s="3378" t="str">
        <f>IF(AD1816&gt;=91,"ST",IF(AD1816&gt;=76,"T",IF(AD1816&gt;=66,"S",IF(AD1816&gt;=51,"R","SR"))))</f>
        <v>SR</v>
      </c>
      <c r="AE1817" s="3373"/>
    </row>
    <row r="1818" spans="1:33" s="145" customFormat="1" ht="22.5" customHeight="1">
      <c r="A1818" s="2546" t="s">
        <v>31</v>
      </c>
      <c r="B1818" s="2918"/>
      <c r="C1818" s="2546"/>
      <c r="D1818" s="2546"/>
      <c r="E1818" s="2546"/>
      <c r="F1818" s="2546"/>
      <c r="G1818" s="2546"/>
      <c r="H1818" s="2546"/>
      <c r="I1818" s="2515" t="s">
        <v>1020</v>
      </c>
      <c r="J1818" s="2918"/>
      <c r="K1818" s="2918"/>
      <c r="L1818" s="3101">
        <f>L1819+L1834+L1844+L1846</f>
        <v>184463834000</v>
      </c>
      <c r="M1818" s="2918"/>
      <c r="N1818" s="2916">
        <f>N1819+N1834+N1844+N1846</f>
        <v>51871510000</v>
      </c>
      <c r="O1818" s="2918"/>
      <c r="P1818" s="2916">
        <f>P1819+P1834+P1844+P1846</f>
        <v>19974615410.5</v>
      </c>
      <c r="Q1818" s="2918"/>
      <c r="R1818" s="2916">
        <f>R1819+R1834+R1844+R1846</f>
        <v>6041289000</v>
      </c>
      <c r="S1818" s="2918"/>
      <c r="T1818" s="2916">
        <f>T1819+T1834+T1844+T1846</f>
        <v>5298858388</v>
      </c>
      <c r="U1818" s="2918"/>
      <c r="V1818" s="2916">
        <f>V1819+V1834+V1844+V1846</f>
        <v>1923400330</v>
      </c>
      <c r="W1818" s="2918"/>
      <c r="X1818" s="2918"/>
      <c r="Y1818" s="2546">
        <f t="shared" ref="Y1818:Y1856" si="603">Q1818+S1818+U1818+W1818</f>
        <v>0</v>
      </c>
      <c r="Z1818" s="2916">
        <f>R1818+T1818+V1818</f>
        <v>13263547718</v>
      </c>
      <c r="AA1818" s="2918"/>
      <c r="AB1818" s="2916">
        <f>AB1819+AB1834+AB1844+AB1846</f>
        <v>65135057718</v>
      </c>
      <c r="AC1818" s="2918"/>
      <c r="AD1818" s="2918"/>
      <c r="AE1818" s="3211"/>
    </row>
    <row r="1819" spans="1:33" s="639" customFormat="1" ht="66.75" customHeight="1">
      <c r="A1819" s="3155">
        <v>1</v>
      </c>
      <c r="B1819" s="3156" t="s">
        <v>438</v>
      </c>
      <c r="C1819" s="2567">
        <v>4</v>
      </c>
      <c r="D1819" s="2567" t="s">
        <v>107</v>
      </c>
      <c r="E1819" s="2567" t="s">
        <v>65</v>
      </c>
      <c r="F1819" s="2567" t="s">
        <v>66</v>
      </c>
      <c r="G1819" s="2567" t="s">
        <v>66</v>
      </c>
      <c r="H1819" s="3796"/>
      <c r="I1819" s="2335" t="s">
        <v>221</v>
      </c>
      <c r="J1819" s="2335" t="s">
        <v>3568</v>
      </c>
      <c r="K1819" s="2570">
        <v>72</v>
      </c>
      <c r="L1819" s="2594">
        <f>SUM(L1820:L1833)</f>
        <v>19315050000</v>
      </c>
      <c r="M1819" s="2570">
        <v>24</v>
      </c>
      <c r="N1819" s="2594">
        <f>SUM(N1820:N1833)</f>
        <v>6438930000</v>
      </c>
      <c r="O1819" s="2570">
        <v>12</v>
      </c>
      <c r="P1819" s="2594">
        <f>SUM(P1820:P1833)</f>
        <v>2198269463.5</v>
      </c>
      <c r="Q1819" s="2570">
        <v>3</v>
      </c>
      <c r="R1819" s="2569">
        <f>SUM(R1820:R1833)</f>
        <v>567881000</v>
      </c>
      <c r="S1819" s="2570">
        <v>3</v>
      </c>
      <c r="T1819" s="2594">
        <f>SUM(T1820:T1833)</f>
        <v>173586000</v>
      </c>
      <c r="U1819" s="2594">
        <v>3</v>
      </c>
      <c r="V1819" s="2571">
        <f>SUM(V1820:V1833)</f>
        <v>290117000</v>
      </c>
      <c r="W1819" s="2570"/>
      <c r="X1819" s="2570"/>
      <c r="Y1819" s="2570">
        <f t="shared" si="603"/>
        <v>9</v>
      </c>
      <c r="Z1819" s="2569">
        <f>R1819+T1819+V1819</f>
        <v>1031584000</v>
      </c>
      <c r="AA1819" s="2570">
        <f t="shared" ref="AA1819:AA1856" si="604">M1819+Q1819</f>
        <v>27</v>
      </c>
      <c r="AB1819" s="2571">
        <f t="shared" ref="AB1819:AB1856" si="605">N1819+Z1819</f>
        <v>7470514000</v>
      </c>
      <c r="AC1819" s="2722">
        <f t="shared" ref="AC1819:AC1856" si="606">AA1819/K1819*100</f>
        <v>37.5</v>
      </c>
      <c r="AD1819" s="2719">
        <f t="shared" ref="AD1819:AD1856" si="607">AB1819/L1819*100</f>
        <v>38.677166251187543</v>
      </c>
      <c r="AE1819" s="3138" t="s">
        <v>3524</v>
      </c>
      <c r="AG1819" s="2765"/>
    </row>
    <row r="1820" spans="1:33" s="639" customFormat="1" ht="51.75" customHeight="1">
      <c r="A1820" s="3134"/>
      <c r="B1820" s="3140"/>
      <c r="C1820" s="3792">
        <v>4</v>
      </c>
      <c r="D1820" s="3792" t="s">
        <v>107</v>
      </c>
      <c r="E1820" s="3792" t="s">
        <v>65</v>
      </c>
      <c r="F1820" s="3792" t="s">
        <v>66</v>
      </c>
      <c r="G1820" s="3792" t="s">
        <v>66</v>
      </c>
      <c r="H1820" s="3792" t="s">
        <v>66</v>
      </c>
      <c r="I1820" s="384" t="s">
        <v>3428</v>
      </c>
      <c r="J1820" s="384" t="s">
        <v>3525</v>
      </c>
      <c r="K1820" s="385">
        <v>72</v>
      </c>
      <c r="L1820" s="386">
        <v>49416000</v>
      </c>
      <c r="M1820" s="385">
        <v>24</v>
      </c>
      <c r="N1820" s="386">
        <v>16472000</v>
      </c>
      <c r="O1820" s="385">
        <v>12</v>
      </c>
      <c r="P1820" s="386">
        <v>12525000</v>
      </c>
      <c r="Q1820" s="385">
        <v>3</v>
      </c>
      <c r="R1820" s="387">
        <v>750000</v>
      </c>
      <c r="S1820" s="385">
        <v>3</v>
      </c>
      <c r="T1820" s="386">
        <v>1200000</v>
      </c>
      <c r="U1820" s="386">
        <v>3</v>
      </c>
      <c r="V1820" s="597">
        <v>0</v>
      </c>
      <c r="W1820" s="385"/>
      <c r="X1820" s="385"/>
      <c r="Y1820" s="385">
        <f t="shared" si="603"/>
        <v>9</v>
      </c>
      <c r="Z1820" s="387">
        <f t="shared" ref="Z1820:Z1856" si="608">R1820+T1820+V1820+X1820</f>
        <v>1950000</v>
      </c>
      <c r="AA1820" s="385">
        <f t="shared" si="604"/>
        <v>27</v>
      </c>
      <c r="AB1820" s="597">
        <f t="shared" si="605"/>
        <v>18422000</v>
      </c>
      <c r="AC1820" s="2723">
        <f t="shared" si="606"/>
        <v>37.5</v>
      </c>
      <c r="AD1820" s="389">
        <f t="shared" si="607"/>
        <v>37.279423668447464</v>
      </c>
      <c r="AE1820" s="390"/>
      <c r="AG1820" s="2765"/>
    </row>
    <row r="1821" spans="1:33" s="639" customFormat="1" ht="82.5" customHeight="1">
      <c r="A1821" s="3134"/>
      <c r="B1821" s="3140"/>
      <c r="C1821" s="3792">
        <v>4</v>
      </c>
      <c r="D1821" s="3792" t="s">
        <v>107</v>
      </c>
      <c r="E1821" s="3792" t="s">
        <v>65</v>
      </c>
      <c r="F1821" s="3792" t="s">
        <v>66</v>
      </c>
      <c r="G1821" s="3792" t="s">
        <v>66</v>
      </c>
      <c r="H1821" s="3792" t="s">
        <v>65</v>
      </c>
      <c r="I1821" s="3140" t="s">
        <v>147</v>
      </c>
      <c r="J1821" s="384" t="s">
        <v>441</v>
      </c>
      <c r="K1821" s="385">
        <v>72</v>
      </c>
      <c r="L1821" s="386">
        <v>1514716000</v>
      </c>
      <c r="M1821" s="385">
        <v>24</v>
      </c>
      <c r="N1821" s="386">
        <v>504900000</v>
      </c>
      <c r="O1821" s="385">
        <v>12</v>
      </c>
      <c r="P1821" s="386">
        <v>234000000</v>
      </c>
      <c r="Q1821" s="385">
        <v>3</v>
      </c>
      <c r="R1821" s="387">
        <v>71583000</v>
      </c>
      <c r="S1821" s="385">
        <v>3</v>
      </c>
      <c r="T1821" s="386">
        <v>13669000</v>
      </c>
      <c r="U1821" s="386">
        <v>3</v>
      </c>
      <c r="V1821" s="597">
        <v>439000</v>
      </c>
      <c r="W1821" s="385"/>
      <c r="X1821" s="385"/>
      <c r="Y1821" s="385">
        <f t="shared" si="603"/>
        <v>9</v>
      </c>
      <c r="Z1821" s="387">
        <f t="shared" si="608"/>
        <v>85691000</v>
      </c>
      <c r="AA1821" s="385">
        <f t="shared" si="604"/>
        <v>27</v>
      </c>
      <c r="AB1821" s="597">
        <f t="shared" si="605"/>
        <v>590591000</v>
      </c>
      <c r="AC1821" s="2723">
        <f t="shared" si="606"/>
        <v>37.5</v>
      </c>
      <c r="AD1821" s="389">
        <f t="shared" si="607"/>
        <v>38.990213346924442</v>
      </c>
      <c r="AE1821" s="384"/>
      <c r="AG1821" s="2765"/>
    </row>
    <row r="1822" spans="1:33" s="639" customFormat="1" ht="82.5" customHeight="1">
      <c r="A1822" s="3134"/>
      <c r="B1822" s="3140"/>
      <c r="C1822" s="3792">
        <v>4</v>
      </c>
      <c r="D1822" s="3792" t="s">
        <v>107</v>
      </c>
      <c r="E1822" s="3792" t="s">
        <v>65</v>
      </c>
      <c r="F1822" s="3792" t="s">
        <v>66</v>
      </c>
      <c r="G1822" s="3792" t="s">
        <v>66</v>
      </c>
      <c r="H1822" s="3792" t="s">
        <v>198</v>
      </c>
      <c r="I1822" s="3140" t="s">
        <v>148</v>
      </c>
      <c r="J1822" s="384" t="s">
        <v>442</v>
      </c>
      <c r="K1822" s="385">
        <v>72</v>
      </c>
      <c r="L1822" s="386">
        <v>4577604000</v>
      </c>
      <c r="M1822" s="385">
        <v>24</v>
      </c>
      <c r="N1822" s="386">
        <v>1525868000</v>
      </c>
      <c r="O1822" s="385">
        <v>12</v>
      </c>
      <c r="P1822" s="386">
        <v>173346152</v>
      </c>
      <c r="Q1822" s="385">
        <v>3</v>
      </c>
      <c r="R1822" s="387">
        <v>2650000</v>
      </c>
      <c r="S1822" s="385">
        <v>3</v>
      </c>
      <c r="T1822" s="386"/>
      <c r="U1822" s="386">
        <v>3</v>
      </c>
      <c r="V1822" s="597">
        <v>82300000</v>
      </c>
      <c r="W1822" s="385"/>
      <c r="X1822" s="385"/>
      <c r="Y1822" s="385">
        <f t="shared" si="603"/>
        <v>9</v>
      </c>
      <c r="Z1822" s="387">
        <f t="shared" si="608"/>
        <v>84950000</v>
      </c>
      <c r="AA1822" s="385">
        <f t="shared" si="604"/>
        <v>27</v>
      </c>
      <c r="AB1822" s="597">
        <f t="shared" si="605"/>
        <v>1610818000</v>
      </c>
      <c r="AC1822" s="2723">
        <f t="shared" si="606"/>
        <v>37.5</v>
      </c>
      <c r="AD1822" s="389">
        <f t="shared" si="607"/>
        <v>35.189107664184142</v>
      </c>
      <c r="AE1822" s="384"/>
      <c r="AG1822" s="2765"/>
    </row>
    <row r="1823" spans="1:33" s="639" customFormat="1" ht="51">
      <c r="A1823" s="3134"/>
      <c r="B1823" s="3140"/>
      <c r="C1823" s="3792">
        <v>4</v>
      </c>
      <c r="D1823" s="3792" t="s">
        <v>107</v>
      </c>
      <c r="E1823" s="3792" t="s">
        <v>65</v>
      </c>
      <c r="F1823" s="3792" t="s">
        <v>66</v>
      </c>
      <c r="G1823" s="3792" t="s">
        <v>66</v>
      </c>
      <c r="H1823" s="3792" t="s">
        <v>93</v>
      </c>
      <c r="I1823" s="3140" t="s">
        <v>149</v>
      </c>
      <c r="J1823" s="3140" t="s">
        <v>446</v>
      </c>
      <c r="K1823" s="385">
        <v>72</v>
      </c>
      <c r="L1823" s="386">
        <v>1272150000</v>
      </c>
      <c r="M1823" s="385">
        <v>24</v>
      </c>
      <c r="N1823" s="386">
        <v>424050000</v>
      </c>
      <c r="O1823" s="385">
        <v>12</v>
      </c>
      <c r="P1823" s="386">
        <v>198750000</v>
      </c>
      <c r="Q1823" s="385">
        <v>3</v>
      </c>
      <c r="R1823" s="387">
        <v>40395000</v>
      </c>
      <c r="S1823" s="385">
        <v>3</v>
      </c>
      <c r="T1823" s="386">
        <v>25464000</v>
      </c>
      <c r="U1823" s="386">
        <v>3</v>
      </c>
      <c r="V1823" s="597">
        <v>43117000</v>
      </c>
      <c r="W1823" s="385"/>
      <c r="X1823" s="385"/>
      <c r="Y1823" s="385">
        <f t="shared" si="603"/>
        <v>9</v>
      </c>
      <c r="Z1823" s="387">
        <f t="shared" si="608"/>
        <v>108976000</v>
      </c>
      <c r="AA1823" s="385">
        <f t="shared" si="604"/>
        <v>27</v>
      </c>
      <c r="AB1823" s="597">
        <f t="shared" si="605"/>
        <v>533026000</v>
      </c>
      <c r="AC1823" s="2723">
        <f t="shared" si="606"/>
        <v>37.5</v>
      </c>
      <c r="AD1823" s="389">
        <f t="shared" si="607"/>
        <v>41.89961875564989</v>
      </c>
      <c r="AE1823" s="384"/>
      <c r="AG1823" s="2765"/>
    </row>
    <row r="1824" spans="1:33" s="639" customFormat="1" ht="36" customHeight="1">
      <c r="A1824" s="3134"/>
      <c r="B1824" s="3140"/>
      <c r="C1824" s="3792">
        <v>4</v>
      </c>
      <c r="D1824" s="3792" t="s">
        <v>107</v>
      </c>
      <c r="E1824" s="3792" t="s">
        <v>65</v>
      </c>
      <c r="F1824" s="3792" t="s">
        <v>66</v>
      </c>
      <c r="G1824" s="3792" t="s">
        <v>66</v>
      </c>
      <c r="H1824" s="3792" t="s">
        <v>202</v>
      </c>
      <c r="I1824" s="3140" t="s">
        <v>150</v>
      </c>
      <c r="J1824" s="3140" t="s">
        <v>443</v>
      </c>
      <c r="K1824" s="385">
        <v>72</v>
      </c>
      <c r="L1824" s="386">
        <v>357768000</v>
      </c>
      <c r="M1824" s="385">
        <v>24</v>
      </c>
      <c r="N1824" s="386">
        <v>119256000</v>
      </c>
      <c r="O1824" s="385">
        <v>12</v>
      </c>
      <c r="P1824" s="386">
        <v>64871411.75</v>
      </c>
      <c r="Q1824" s="385">
        <v>3</v>
      </c>
      <c r="R1824" s="387">
        <v>60000000</v>
      </c>
      <c r="S1824" s="385">
        <v>3</v>
      </c>
      <c r="T1824" s="386"/>
      <c r="U1824" s="386">
        <v>3</v>
      </c>
      <c r="V1824" s="597">
        <v>0</v>
      </c>
      <c r="W1824" s="385"/>
      <c r="X1824" s="385"/>
      <c r="Y1824" s="385">
        <f t="shared" si="603"/>
        <v>9</v>
      </c>
      <c r="Z1824" s="387">
        <f t="shared" si="608"/>
        <v>60000000</v>
      </c>
      <c r="AA1824" s="385">
        <f t="shared" si="604"/>
        <v>27</v>
      </c>
      <c r="AB1824" s="597">
        <f t="shared" si="605"/>
        <v>179256000</v>
      </c>
      <c r="AC1824" s="2723">
        <f t="shared" si="606"/>
        <v>37.5</v>
      </c>
      <c r="AD1824" s="389">
        <f t="shared" si="607"/>
        <v>50.103977996914203</v>
      </c>
      <c r="AE1824" s="384"/>
      <c r="AG1824" s="2765"/>
    </row>
    <row r="1825" spans="1:33" s="639" customFormat="1" ht="60.75" customHeight="1">
      <c r="A1825" s="3134"/>
      <c r="B1825" s="3140"/>
      <c r="C1825" s="3792">
        <v>4</v>
      </c>
      <c r="D1825" s="3792" t="s">
        <v>107</v>
      </c>
      <c r="E1825" s="3792" t="s">
        <v>65</v>
      </c>
      <c r="F1825" s="3792" t="s">
        <v>66</v>
      </c>
      <c r="G1825" s="3792" t="s">
        <v>66</v>
      </c>
      <c r="H1825" s="3792" t="s">
        <v>417</v>
      </c>
      <c r="I1825" s="3140" t="s">
        <v>151</v>
      </c>
      <c r="J1825" s="3140" t="s">
        <v>444</v>
      </c>
      <c r="K1825" s="385">
        <v>72</v>
      </c>
      <c r="L1825" s="386">
        <v>349598000</v>
      </c>
      <c r="M1825" s="385">
        <v>24</v>
      </c>
      <c r="N1825" s="386">
        <v>117130000</v>
      </c>
      <c r="O1825" s="385">
        <v>12</v>
      </c>
      <c r="P1825" s="386">
        <v>28163800</v>
      </c>
      <c r="Q1825" s="385">
        <v>3</v>
      </c>
      <c r="R1825" s="387">
        <v>0</v>
      </c>
      <c r="S1825" s="385">
        <v>3</v>
      </c>
      <c r="T1825" s="386"/>
      <c r="U1825" s="386">
        <v>3</v>
      </c>
      <c r="V1825" s="597">
        <v>21700000</v>
      </c>
      <c r="W1825" s="385"/>
      <c r="X1825" s="385"/>
      <c r="Y1825" s="385">
        <f t="shared" si="603"/>
        <v>9</v>
      </c>
      <c r="Z1825" s="387">
        <f t="shared" si="608"/>
        <v>21700000</v>
      </c>
      <c r="AA1825" s="385">
        <f t="shared" si="604"/>
        <v>27</v>
      </c>
      <c r="AB1825" s="597">
        <f t="shared" si="605"/>
        <v>138830000</v>
      </c>
      <c r="AC1825" s="2723">
        <f t="shared" si="606"/>
        <v>37.5</v>
      </c>
      <c r="AD1825" s="389">
        <f t="shared" si="607"/>
        <v>39.711325579665782</v>
      </c>
      <c r="AE1825" s="384"/>
      <c r="AG1825" s="2765"/>
    </row>
    <row r="1826" spans="1:33" s="639" customFormat="1" ht="57.75" customHeight="1">
      <c r="A1826" s="3134"/>
      <c r="B1826" s="3140"/>
      <c r="C1826" s="3792">
        <v>4</v>
      </c>
      <c r="D1826" s="3792" t="s">
        <v>107</v>
      </c>
      <c r="E1826" s="3792" t="s">
        <v>65</v>
      </c>
      <c r="F1826" s="3792" t="s">
        <v>66</v>
      </c>
      <c r="G1826" s="3792" t="s">
        <v>66</v>
      </c>
      <c r="H1826" s="3792" t="s">
        <v>160</v>
      </c>
      <c r="I1826" s="3140" t="s">
        <v>152</v>
      </c>
      <c r="J1826" s="3140" t="s">
        <v>445</v>
      </c>
      <c r="K1826" s="385">
        <v>72</v>
      </c>
      <c r="L1826" s="386">
        <v>365140000</v>
      </c>
      <c r="M1826" s="385">
        <v>24</v>
      </c>
      <c r="N1826" s="386">
        <v>121710000</v>
      </c>
      <c r="O1826" s="385">
        <v>12</v>
      </c>
      <c r="P1826" s="386">
        <v>44200000</v>
      </c>
      <c r="Q1826" s="385">
        <v>3</v>
      </c>
      <c r="R1826" s="387">
        <v>500000</v>
      </c>
      <c r="S1826" s="385">
        <v>3</v>
      </c>
      <c r="T1826" s="386"/>
      <c r="U1826" s="386">
        <v>3</v>
      </c>
      <c r="V1826" s="597">
        <v>30000000</v>
      </c>
      <c r="W1826" s="385"/>
      <c r="X1826" s="385"/>
      <c r="Y1826" s="385">
        <f t="shared" si="603"/>
        <v>9</v>
      </c>
      <c r="Z1826" s="387">
        <f t="shared" si="608"/>
        <v>30500000</v>
      </c>
      <c r="AA1826" s="385">
        <f t="shared" si="604"/>
        <v>27</v>
      </c>
      <c r="AB1826" s="597">
        <f t="shared" si="605"/>
        <v>152210000</v>
      </c>
      <c r="AC1826" s="2723">
        <f t="shared" si="606"/>
        <v>37.5</v>
      </c>
      <c r="AD1826" s="389">
        <f t="shared" si="607"/>
        <v>41.685380949772686</v>
      </c>
      <c r="AE1826" s="384"/>
      <c r="AG1826" s="2765"/>
    </row>
    <row r="1827" spans="1:33" s="639" customFormat="1" ht="69.75" customHeight="1">
      <c r="A1827" s="3134"/>
      <c r="B1827" s="3140"/>
      <c r="C1827" s="3792">
        <v>4</v>
      </c>
      <c r="D1827" s="3792" t="s">
        <v>107</v>
      </c>
      <c r="E1827" s="3792" t="s">
        <v>65</v>
      </c>
      <c r="F1827" s="3792" t="s">
        <v>66</v>
      </c>
      <c r="G1827" s="3792" t="s">
        <v>66</v>
      </c>
      <c r="H1827" s="3792" t="s">
        <v>155</v>
      </c>
      <c r="I1827" s="3140" t="s">
        <v>156</v>
      </c>
      <c r="J1827" s="3140" t="s">
        <v>447</v>
      </c>
      <c r="K1827" s="385">
        <v>72</v>
      </c>
      <c r="L1827" s="386">
        <v>1321000000</v>
      </c>
      <c r="M1827" s="385">
        <v>24</v>
      </c>
      <c r="N1827" s="386">
        <v>440330000</v>
      </c>
      <c r="O1827" s="385">
        <v>12</v>
      </c>
      <c r="P1827" s="386">
        <v>160000000</v>
      </c>
      <c r="Q1827" s="385">
        <v>3</v>
      </c>
      <c r="R1827" s="387">
        <v>26920000</v>
      </c>
      <c r="S1827" s="385">
        <v>3</v>
      </c>
      <c r="T1827" s="386">
        <v>22800000</v>
      </c>
      <c r="U1827" s="386">
        <v>3</v>
      </c>
      <c r="V1827" s="597">
        <v>1275000</v>
      </c>
      <c r="W1827" s="385"/>
      <c r="X1827" s="385"/>
      <c r="Y1827" s="385">
        <f t="shared" si="603"/>
        <v>9</v>
      </c>
      <c r="Z1827" s="387">
        <f t="shared" si="608"/>
        <v>50995000</v>
      </c>
      <c r="AA1827" s="385">
        <f t="shared" si="604"/>
        <v>27</v>
      </c>
      <c r="AB1827" s="597">
        <f t="shared" si="605"/>
        <v>491325000</v>
      </c>
      <c r="AC1827" s="2723">
        <f t="shared" si="606"/>
        <v>37.5</v>
      </c>
      <c r="AD1827" s="389">
        <f t="shared" si="607"/>
        <v>37.193414080242242</v>
      </c>
      <c r="AE1827" s="384"/>
      <c r="AG1827" s="2765"/>
    </row>
    <row r="1828" spans="1:33" s="639" customFormat="1" ht="50.25" customHeight="1">
      <c r="A1828" s="3134"/>
      <c r="B1828" s="3140"/>
      <c r="C1828" s="3792">
        <v>4</v>
      </c>
      <c r="D1828" s="3792" t="s">
        <v>107</v>
      </c>
      <c r="E1828" s="3792" t="s">
        <v>65</v>
      </c>
      <c r="F1828" s="3792" t="s">
        <v>66</v>
      </c>
      <c r="G1828" s="3792" t="s">
        <v>66</v>
      </c>
      <c r="H1828" s="3792" t="s">
        <v>448</v>
      </c>
      <c r="I1828" s="3140" t="s">
        <v>157</v>
      </c>
      <c r="J1828" s="3140" t="s">
        <v>449</v>
      </c>
      <c r="K1828" s="385">
        <v>72</v>
      </c>
      <c r="L1828" s="386">
        <v>2950080000</v>
      </c>
      <c r="M1828" s="385">
        <v>24</v>
      </c>
      <c r="N1828" s="386">
        <v>983360000</v>
      </c>
      <c r="O1828" s="385">
        <v>12</v>
      </c>
      <c r="P1828" s="386">
        <v>500490000</v>
      </c>
      <c r="Q1828" s="385">
        <v>3</v>
      </c>
      <c r="R1828" s="387">
        <v>86523000</v>
      </c>
      <c r="S1828" s="385">
        <v>3</v>
      </c>
      <c r="T1828" s="386">
        <v>5358000</v>
      </c>
      <c r="U1828" s="386">
        <v>3</v>
      </c>
      <c r="V1828" s="597">
        <v>80851000</v>
      </c>
      <c r="W1828" s="385"/>
      <c r="X1828" s="385"/>
      <c r="Y1828" s="385">
        <f t="shared" si="603"/>
        <v>9</v>
      </c>
      <c r="Z1828" s="387">
        <f t="shared" si="608"/>
        <v>172732000</v>
      </c>
      <c r="AA1828" s="385">
        <f t="shared" si="604"/>
        <v>27</v>
      </c>
      <c r="AB1828" s="597">
        <f t="shared" si="605"/>
        <v>1156092000</v>
      </c>
      <c r="AC1828" s="2723">
        <f t="shared" si="606"/>
        <v>37.5</v>
      </c>
      <c r="AD1828" s="389">
        <f t="shared" si="607"/>
        <v>39.188496583143504</v>
      </c>
      <c r="AE1828" s="384"/>
      <c r="AG1828" s="2765"/>
    </row>
    <row r="1829" spans="1:33" s="639" customFormat="1" ht="81" customHeight="1">
      <c r="A1829" s="3134"/>
      <c r="B1829" s="3140"/>
      <c r="C1829" s="3792">
        <v>4</v>
      </c>
      <c r="D1829" s="3792" t="s">
        <v>107</v>
      </c>
      <c r="E1829" s="3792" t="s">
        <v>65</v>
      </c>
      <c r="F1829" s="3792" t="s">
        <v>66</v>
      </c>
      <c r="G1829" s="3792" t="s">
        <v>66</v>
      </c>
      <c r="H1829" s="3792" t="s">
        <v>167</v>
      </c>
      <c r="I1829" s="3140" t="s">
        <v>158</v>
      </c>
      <c r="J1829" s="3140" t="s">
        <v>450</v>
      </c>
      <c r="K1829" s="385">
        <v>72</v>
      </c>
      <c r="L1829" s="386">
        <v>1713296000</v>
      </c>
      <c r="M1829" s="385">
        <v>24</v>
      </c>
      <c r="N1829" s="386">
        <v>571096000</v>
      </c>
      <c r="O1829" s="385">
        <v>12</v>
      </c>
      <c r="P1829" s="386">
        <v>108440000</v>
      </c>
      <c r="Q1829" s="385">
        <v>3</v>
      </c>
      <c r="R1829" s="387">
        <v>89709000</v>
      </c>
      <c r="S1829" s="385">
        <v>3</v>
      </c>
      <c r="T1829" s="386">
        <v>9945000</v>
      </c>
      <c r="U1829" s="386">
        <v>3</v>
      </c>
      <c r="V1829" s="597">
        <v>0</v>
      </c>
      <c r="W1829" s="385"/>
      <c r="X1829" s="385"/>
      <c r="Y1829" s="385">
        <f t="shared" si="603"/>
        <v>9</v>
      </c>
      <c r="Z1829" s="387">
        <f t="shared" si="608"/>
        <v>99654000</v>
      </c>
      <c r="AA1829" s="385">
        <f t="shared" si="604"/>
        <v>27</v>
      </c>
      <c r="AB1829" s="597">
        <f t="shared" si="605"/>
        <v>670750000</v>
      </c>
      <c r="AC1829" s="2723">
        <f t="shared" si="606"/>
        <v>37.5</v>
      </c>
      <c r="AD1829" s="389">
        <f t="shared" si="607"/>
        <v>39.149685751907434</v>
      </c>
      <c r="AE1829" s="384"/>
      <c r="AG1829" s="2765"/>
    </row>
    <row r="1830" spans="1:33" s="639" customFormat="1" ht="58.5" customHeight="1">
      <c r="A1830" s="3134"/>
      <c r="B1830" s="3140"/>
      <c r="C1830" s="3792">
        <v>4</v>
      </c>
      <c r="D1830" s="3792" t="s">
        <v>107</v>
      </c>
      <c r="E1830" s="3792" t="s">
        <v>65</v>
      </c>
      <c r="F1830" s="3792" t="s">
        <v>66</v>
      </c>
      <c r="G1830" s="3792" t="s">
        <v>66</v>
      </c>
      <c r="H1830" s="3792" t="s">
        <v>357</v>
      </c>
      <c r="I1830" s="3140" t="s">
        <v>3255</v>
      </c>
      <c r="J1830" s="3140" t="s">
        <v>3526</v>
      </c>
      <c r="K1830" s="385">
        <v>72</v>
      </c>
      <c r="L1830" s="386">
        <v>585150000</v>
      </c>
      <c r="M1830" s="385">
        <v>24</v>
      </c>
      <c r="N1830" s="386">
        <v>195050000</v>
      </c>
      <c r="O1830" s="385">
        <v>12</v>
      </c>
      <c r="P1830" s="386">
        <v>199954741.75</v>
      </c>
      <c r="Q1830" s="385">
        <v>3</v>
      </c>
      <c r="R1830" s="387">
        <v>52250000</v>
      </c>
      <c r="S1830" s="385">
        <v>3</v>
      </c>
      <c r="T1830" s="386">
        <v>31780000</v>
      </c>
      <c r="U1830" s="386">
        <v>3</v>
      </c>
      <c r="V1830" s="597">
        <v>16000000</v>
      </c>
      <c r="W1830" s="385"/>
      <c r="X1830" s="385"/>
      <c r="Y1830" s="385">
        <f t="shared" si="603"/>
        <v>9</v>
      </c>
      <c r="Z1830" s="387">
        <f t="shared" si="608"/>
        <v>100030000</v>
      </c>
      <c r="AA1830" s="385">
        <f t="shared" si="604"/>
        <v>27</v>
      </c>
      <c r="AB1830" s="597">
        <f t="shared" si="605"/>
        <v>295080000</v>
      </c>
      <c r="AC1830" s="2723">
        <f t="shared" si="606"/>
        <v>37.5</v>
      </c>
      <c r="AD1830" s="389">
        <f t="shared" si="607"/>
        <v>50.428095360164058</v>
      </c>
      <c r="AE1830" s="384"/>
      <c r="AG1830" s="2765"/>
    </row>
    <row r="1831" spans="1:33" s="639" customFormat="1" ht="102" customHeight="1">
      <c r="A1831" s="3134"/>
      <c r="B1831" s="3140"/>
      <c r="C1831" s="3792">
        <v>4</v>
      </c>
      <c r="D1831" s="3792" t="s">
        <v>107</v>
      </c>
      <c r="E1831" s="3792" t="s">
        <v>65</v>
      </c>
      <c r="F1831" s="3792" t="s">
        <v>66</v>
      </c>
      <c r="G1831" s="3792" t="s">
        <v>66</v>
      </c>
      <c r="H1831" s="3792" t="s">
        <v>376</v>
      </c>
      <c r="I1831" s="3140" t="s">
        <v>3527</v>
      </c>
      <c r="J1831" s="3140" t="s">
        <v>3528</v>
      </c>
      <c r="K1831" s="385">
        <v>72</v>
      </c>
      <c r="L1831" s="386">
        <v>1241120000</v>
      </c>
      <c r="M1831" s="385">
        <v>24</v>
      </c>
      <c r="N1831" s="386">
        <v>413704000</v>
      </c>
      <c r="O1831" s="385">
        <v>12</v>
      </c>
      <c r="P1831" s="386">
        <v>21600000</v>
      </c>
      <c r="Q1831" s="385">
        <v>3</v>
      </c>
      <c r="R1831" s="387">
        <v>21600000</v>
      </c>
      <c r="S1831" s="385">
        <v>3</v>
      </c>
      <c r="T1831" s="386">
        <v>4875000</v>
      </c>
      <c r="U1831" s="386">
        <v>3</v>
      </c>
      <c r="V1831" s="597">
        <v>0</v>
      </c>
      <c r="W1831" s="385"/>
      <c r="X1831" s="385"/>
      <c r="Y1831" s="385">
        <f t="shared" si="603"/>
        <v>9</v>
      </c>
      <c r="Z1831" s="387">
        <f t="shared" si="608"/>
        <v>26475000</v>
      </c>
      <c r="AA1831" s="385">
        <f t="shared" si="604"/>
        <v>27</v>
      </c>
      <c r="AB1831" s="597">
        <f t="shared" si="605"/>
        <v>440179000</v>
      </c>
      <c r="AC1831" s="2723">
        <f t="shared" si="606"/>
        <v>37.5</v>
      </c>
      <c r="AD1831" s="389">
        <f t="shared" si="607"/>
        <v>35.466272399123369</v>
      </c>
      <c r="AE1831" s="384"/>
      <c r="AG1831" s="2765"/>
    </row>
    <row r="1832" spans="1:33" s="639" customFormat="1" ht="63.75">
      <c r="A1832" s="3134"/>
      <c r="B1832" s="3140"/>
      <c r="C1832" s="3792">
        <v>4</v>
      </c>
      <c r="D1832" s="3792" t="s">
        <v>107</v>
      </c>
      <c r="E1832" s="3792" t="s">
        <v>65</v>
      </c>
      <c r="F1832" s="3792" t="s">
        <v>66</v>
      </c>
      <c r="G1832" s="3792" t="s">
        <v>66</v>
      </c>
      <c r="H1832" s="3792" t="s">
        <v>163</v>
      </c>
      <c r="I1832" s="3140" t="s">
        <v>168</v>
      </c>
      <c r="J1832" s="3140" t="s">
        <v>3529</v>
      </c>
      <c r="K1832" s="385">
        <v>72</v>
      </c>
      <c r="L1832" s="386">
        <v>199404000</v>
      </c>
      <c r="M1832" s="385">
        <v>24</v>
      </c>
      <c r="N1832" s="386">
        <v>66468000</v>
      </c>
      <c r="O1832" s="385">
        <v>12</v>
      </c>
      <c r="P1832" s="386">
        <v>16560862.75</v>
      </c>
      <c r="Q1832" s="385">
        <v>3</v>
      </c>
      <c r="R1832" s="387">
        <v>0</v>
      </c>
      <c r="S1832" s="385">
        <v>3</v>
      </c>
      <c r="T1832" s="386">
        <v>10770000</v>
      </c>
      <c r="U1832" s="386">
        <v>3</v>
      </c>
      <c r="V1832" s="597">
        <v>0</v>
      </c>
      <c r="W1832" s="385"/>
      <c r="X1832" s="385"/>
      <c r="Y1832" s="385">
        <f t="shared" si="603"/>
        <v>9</v>
      </c>
      <c r="Z1832" s="387">
        <f t="shared" si="608"/>
        <v>10770000</v>
      </c>
      <c r="AA1832" s="385">
        <f t="shared" si="604"/>
        <v>27</v>
      </c>
      <c r="AB1832" s="597">
        <f t="shared" si="605"/>
        <v>77238000</v>
      </c>
      <c r="AC1832" s="2723">
        <f t="shared" si="606"/>
        <v>37.5</v>
      </c>
      <c r="AD1832" s="389">
        <f t="shared" si="607"/>
        <v>38.734428597219718</v>
      </c>
      <c r="AE1832" s="384"/>
      <c r="AG1832" s="2765"/>
    </row>
    <row r="1833" spans="1:33" s="639" customFormat="1" ht="51">
      <c r="A1833" s="3134"/>
      <c r="B1833" s="3140"/>
      <c r="C1833" s="3792">
        <v>4</v>
      </c>
      <c r="D1833" s="3792" t="s">
        <v>107</v>
      </c>
      <c r="E1833" s="3792" t="s">
        <v>65</v>
      </c>
      <c r="F1833" s="3792" t="s">
        <v>66</v>
      </c>
      <c r="G1833" s="3792" t="s">
        <v>66</v>
      </c>
      <c r="H1833" s="3792" t="s">
        <v>165</v>
      </c>
      <c r="I1833" s="3140" t="s">
        <v>3530</v>
      </c>
      <c r="J1833" s="3140" t="s">
        <v>3531</v>
      </c>
      <c r="K1833" s="385">
        <v>72</v>
      </c>
      <c r="L1833" s="386">
        <v>2818608000</v>
      </c>
      <c r="M1833" s="385">
        <v>24</v>
      </c>
      <c r="N1833" s="386">
        <v>939536000</v>
      </c>
      <c r="O1833" s="385">
        <v>12</v>
      </c>
      <c r="P1833" s="386">
        <v>435367495.25</v>
      </c>
      <c r="Q1833" s="385">
        <v>3</v>
      </c>
      <c r="R1833" s="387">
        <v>115001000</v>
      </c>
      <c r="S1833" s="385">
        <v>3</v>
      </c>
      <c r="T1833" s="386">
        <v>47725000</v>
      </c>
      <c r="U1833" s="386">
        <v>3</v>
      </c>
      <c r="V1833" s="597">
        <v>14435000</v>
      </c>
      <c r="W1833" s="385"/>
      <c r="X1833" s="385"/>
      <c r="Y1833" s="385">
        <f t="shared" si="603"/>
        <v>9</v>
      </c>
      <c r="Z1833" s="387">
        <f t="shared" si="608"/>
        <v>177161000</v>
      </c>
      <c r="AA1833" s="385">
        <f t="shared" si="604"/>
        <v>27</v>
      </c>
      <c r="AB1833" s="597">
        <f t="shared" si="605"/>
        <v>1116697000</v>
      </c>
      <c r="AC1833" s="2723">
        <f t="shared" si="606"/>
        <v>37.5</v>
      </c>
      <c r="AD1833" s="389">
        <f t="shared" si="607"/>
        <v>39.618740882024035</v>
      </c>
      <c r="AE1833" s="384"/>
      <c r="AG1833" s="2765"/>
    </row>
    <row r="1834" spans="1:33" s="639" customFormat="1" ht="63.75">
      <c r="A1834" s="3155">
        <v>2</v>
      </c>
      <c r="B1834" s="3156" t="s">
        <v>452</v>
      </c>
      <c r="C1834" s="2567">
        <v>4</v>
      </c>
      <c r="D1834" s="2567" t="s">
        <v>107</v>
      </c>
      <c r="E1834" s="2567" t="s">
        <v>65</v>
      </c>
      <c r="F1834" s="2567" t="s">
        <v>66</v>
      </c>
      <c r="G1834" s="2567" t="s">
        <v>65</v>
      </c>
      <c r="H1834" s="2567"/>
      <c r="I1834" s="3156" t="s">
        <v>257</v>
      </c>
      <c r="J1834" s="3156" t="s">
        <v>3569</v>
      </c>
      <c r="K1834" s="2594">
        <v>72</v>
      </c>
      <c r="L1834" s="2594">
        <v>12573889000</v>
      </c>
      <c r="M1834" s="2594">
        <v>24</v>
      </c>
      <c r="N1834" s="2594">
        <v>3364384000</v>
      </c>
      <c r="O1834" s="2594">
        <v>12</v>
      </c>
      <c r="P1834" s="2594">
        <f>SUM(P1835:P1843)</f>
        <v>1560963750</v>
      </c>
      <c r="Q1834" s="2594">
        <v>3</v>
      </c>
      <c r="R1834" s="2594">
        <v>348716000</v>
      </c>
      <c r="S1834" s="2570">
        <v>30</v>
      </c>
      <c r="T1834" s="2570"/>
      <c r="U1834" s="2570">
        <v>32</v>
      </c>
      <c r="V1834" s="2571">
        <f>SUM(V1835:V1843)</f>
        <v>305296000</v>
      </c>
      <c r="W1834" s="2570"/>
      <c r="X1834" s="2570"/>
      <c r="Y1834" s="2570">
        <f t="shared" si="603"/>
        <v>65</v>
      </c>
      <c r="Z1834" s="2569">
        <f t="shared" si="608"/>
        <v>654012000</v>
      </c>
      <c r="AA1834" s="2570">
        <f t="shared" si="604"/>
        <v>27</v>
      </c>
      <c r="AB1834" s="2571">
        <f t="shared" si="605"/>
        <v>4018396000</v>
      </c>
      <c r="AC1834" s="2722">
        <f t="shared" si="606"/>
        <v>37.5</v>
      </c>
      <c r="AD1834" s="2719">
        <f t="shared" si="607"/>
        <v>31.95825889667071</v>
      </c>
      <c r="AE1834" s="3138" t="s">
        <v>3524</v>
      </c>
      <c r="AG1834" s="2765"/>
    </row>
    <row r="1835" spans="1:33" s="639" customFormat="1" ht="51" customHeight="1">
      <c r="A1835" s="3134"/>
      <c r="B1835" s="1093"/>
      <c r="C1835" s="3792">
        <v>4</v>
      </c>
      <c r="D1835" s="3792" t="s">
        <v>107</v>
      </c>
      <c r="E1835" s="3792" t="s">
        <v>65</v>
      </c>
      <c r="F1835" s="3792" t="s">
        <v>66</v>
      </c>
      <c r="G1835" s="3792" t="s">
        <v>65</v>
      </c>
      <c r="H1835" s="3792" t="s">
        <v>197</v>
      </c>
      <c r="I1835" s="3140" t="s">
        <v>3532</v>
      </c>
      <c r="J1835" s="3140" t="s">
        <v>3533</v>
      </c>
      <c r="K1835" s="385">
        <v>12</v>
      </c>
      <c r="L1835" s="386">
        <v>1442780000</v>
      </c>
      <c r="M1835" s="385">
        <v>4</v>
      </c>
      <c r="N1835" s="386">
        <v>664900000</v>
      </c>
      <c r="O1835" s="385">
        <v>2</v>
      </c>
      <c r="P1835" s="386">
        <v>200750000</v>
      </c>
      <c r="Q1835" s="385">
        <v>0</v>
      </c>
      <c r="R1835" s="387">
        <v>0</v>
      </c>
      <c r="S1835" s="385">
        <v>0</v>
      </c>
      <c r="T1835" s="385"/>
      <c r="U1835" s="385">
        <v>0</v>
      </c>
      <c r="V1835" s="597"/>
      <c r="W1835" s="385"/>
      <c r="X1835" s="385"/>
      <c r="Y1835" s="385">
        <f t="shared" si="603"/>
        <v>0</v>
      </c>
      <c r="Z1835" s="387">
        <f t="shared" si="608"/>
        <v>0</v>
      </c>
      <c r="AA1835" s="385">
        <f t="shared" si="604"/>
        <v>4</v>
      </c>
      <c r="AB1835" s="597">
        <f t="shared" si="605"/>
        <v>664900000</v>
      </c>
      <c r="AC1835" s="2723">
        <f t="shared" si="606"/>
        <v>33.333333333333329</v>
      </c>
      <c r="AD1835" s="389">
        <f t="shared" si="607"/>
        <v>46.084642149184212</v>
      </c>
      <c r="AE1835" s="384"/>
      <c r="AG1835" s="2765"/>
    </row>
    <row r="1836" spans="1:33" s="639" customFormat="1" ht="51">
      <c r="A1836" s="3134"/>
      <c r="B1836" s="3140"/>
      <c r="C1836" s="3792">
        <v>4</v>
      </c>
      <c r="D1836" s="3792" t="s">
        <v>107</v>
      </c>
      <c r="E1836" s="3792" t="s">
        <v>65</v>
      </c>
      <c r="F1836" s="3792" t="s">
        <v>66</v>
      </c>
      <c r="G1836" s="3792" t="s">
        <v>65</v>
      </c>
      <c r="H1836" s="3792" t="s">
        <v>93</v>
      </c>
      <c r="I1836" s="3140" t="s">
        <v>3534</v>
      </c>
      <c r="J1836" s="3140" t="s">
        <v>3535</v>
      </c>
      <c r="K1836" s="385">
        <v>12</v>
      </c>
      <c r="L1836" s="386">
        <v>326407000</v>
      </c>
      <c r="M1836" s="385">
        <v>4</v>
      </c>
      <c r="N1836" s="386">
        <v>124586000</v>
      </c>
      <c r="O1836" s="385">
        <v>2</v>
      </c>
      <c r="P1836" s="386">
        <v>5050000</v>
      </c>
      <c r="Q1836" s="385">
        <v>0</v>
      </c>
      <c r="R1836" s="387">
        <v>1290000</v>
      </c>
      <c r="S1836" s="385">
        <v>0</v>
      </c>
      <c r="T1836" s="385"/>
      <c r="U1836" s="385">
        <v>0</v>
      </c>
      <c r="V1836" s="597"/>
      <c r="W1836" s="385"/>
      <c r="X1836" s="385"/>
      <c r="Y1836" s="385">
        <f t="shared" si="603"/>
        <v>0</v>
      </c>
      <c r="Z1836" s="387">
        <f t="shared" si="608"/>
        <v>1290000</v>
      </c>
      <c r="AA1836" s="385">
        <f t="shared" si="604"/>
        <v>4</v>
      </c>
      <c r="AB1836" s="597">
        <f t="shared" si="605"/>
        <v>125876000</v>
      </c>
      <c r="AC1836" s="2723">
        <f t="shared" si="606"/>
        <v>33.333333333333329</v>
      </c>
      <c r="AD1836" s="389">
        <f t="shared" si="607"/>
        <v>38.564123931165689</v>
      </c>
      <c r="AE1836" s="384"/>
      <c r="AG1836" s="2765"/>
    </row>
    <row r="1837" spans="1:33" s="639" customFormat="1" ht="45.75" customHeight="1">
      <c r="A1837" s="3134"/>
      <c r="B1837" s="3140"/>
      <c r="C1837" s="3792">
        <v>4</v>
      </c>
      <c r="D1837" s="3792" t="s">
        <v>107</v>
      </c>
      <c r="E1837" s="3792" t="s">
        <v>65</v>
      </c>
      <c r="F1837" s="3792" t="s">
        <v>66</v>
      </c>
      <c r="G1837" s="3792" t="s">
        <v>65</v>
      </c>
      <c r="H1837" s="3792" t="s">
        <v>201</v>
      </c>
      <c r="I1837" s="3140" t="s">
        <v>454</v>
      </c>
      <c r="J1837" s="3140" t="s">
        <v>3536</v>
      </c>
      <c r="K1837" s="385">
        <v>12</v>
      </c>
      <c r="L1837" s="386">
        <v>2227800000</v>
      </c>
      <c r="M1837" s="385">
        <v>4</v>
      </c>
      <c r="N1837" s="386">
        <v>742600000</v>
      </c>
      <c r="O1837" s="385">
        <v>2</v>
      </c>
      <c r="P1837" s="386">
        <v>192750000</v>
      </c>
      <c r="Q1837" s="385">
        <v>0</v>
      </c>
      <c r="R1837" s="387">
        <v>0</v>
      </c>
      <c r="S1837" s="385">
        <v>0</v>
      </c>
      <c r="T1837" s="385"/>
      <c r="U1837" s="385">
        <v>0</v>
      </c>
      <c r="V1837" s="597"/>
      <c r="W1837" s="385"/>
      <c r="X1837" s="385"/>
      <c r="Y1837" s="385">
        <f t="shared" si="603"/>
        <v>0</v>
      </c>
      <c r="Z1837" s="387">
        <f t="shared" si="608"/>
        <v>0</v>
      </c>
      <c r="AA1837" s="385">
        <f t="shared" si="604"/>
        <v>4</v>
      </c>
      <c r="AB1837" s="597">
        <f t="shared" si="605"/>
        <v>742600000</v>
      </c>
      <c r="AC1837" s="2723">
        <f t="shared" si="606"/>
        <v>33.333333333333329</v>
      </c>
      <c r="AD1837" s="389">
        <f t="shared" si="607"/>
        <v>33.333333333333329</v>
      </c>
      <c r="AE1837" s="384"/>
      <c r="AG1837" s="2765"/>
    </row>
    <row r="1838" spans="1:33" s="639" customFormat="1" ht="45.75" customHeight="1">
      <c r="A1838" s="3134"/>
      <c r="B1838" s="3140"/>
      <c r="C1838" s="3792">
        <v>4</v>
      </c>
      <c r="D1838" s="3792" t="s">
        <v>107</v>
      </c>
      <c r="E1838" s="3792" t="s">
        <v>65</v>
      </c>
      <c r="F1838" s="3792" t="s">
        <v>66</v>
      </c>
      <c r="G1838" s="3792" t="s">
        <v>65</v>
      </c>
      <c r="H1838" s="3792" t="s">
        <v>376</v>
      </c>
      <c r="I1838" s="3140" t="s">
        <v>2545</v>
      </c>
      <c r="J1838" s="3140" t="s">
        <v>3537</v>
      </c>
      <c r="K1838" s="385">
        <v>72</v>
      </c>
      <c r="L1838" s="386">
        <v>1254000000</v>
      </c>
      <c r="M1838" s="385">
        <v>24</v>
      </c>
      <c r="N1838" s="386">
        <v>418000000</v>
      </c>
      <c r="O1838" s="385">
        <v>12</v>
      </c>
      <c r="P1838" s="386">
        <v>50000000</v>
      </c>
      <c r="Q1838" s="385">
        <v>3</v>
      </c>
      <c r="R1838" s="387">
        <v>0</v>
      </c>
      <c r="S1838" s="385">
        <v>3</v>
      </c>
      <c r="T1838" s="385"/>
      <c r="U1838" s="385">
        <v>0</v>
      </c>
      <c r="V1838" s="597">
        <v>1290000</v>
      </c>
      <c r="W1838" s="385"/>
      <c r="X1838" s="385"/>
      <c r="Y1838" s="385">
        <f t="shared" si="603"/>
        <v>6</v>
      </c>
      <c r="Z1838" s="387">
        <f t="shared" si="608"/>
        <v>1290000</v>
      </c>
      <c r="AA1838" s="385">
        <f t="shared" si="604"/>
        <v>27</v>
      </c>
      <c r="AB1838" s="597">
        <f t="shared" si="605"/>
        <v>419290000</v>
      </c>
      <c r="AC1838" s="2723">
        <f t="shared" si="606"/>
        <v>37.5</v>
      </c>
      <c r="AD1838" s="389">
        <f t="shared" si="607"/>
        <v>33.436204146730461</v>
      </c>
      <c r="AE1838" s="384"/>
      <c r="AG1838" s="2765"/>
    </row>
    <row r="1839" spans="1:33" s="639" customFormat="1" ht="45.75" customHeight="1">
      <c r="A1839" s="3134"/>
      <c r="B1839" s="3140"/>
      <c r="C1839" s="3792">
        <v>4</v>
      </c>
      <c r="D1839" s="3792" t="s">
        <v>107</v>
      </c>
      <c r="E1839" s="3792" t="s">
        <v>65</v>
      </c>
      <c r="F1839" s="3792" t="s">
        <v>66</v>
      </c>
      <c r="G1839" s="3792" t="s">
        <v>65</v>
      </c>
      <c r="H1839" s="3792" t="s">
        <v>163</v>
      </c>
      <c r="I1839" s="3140" t="s">
        <v>258</v>
      </c>
      <c r="J1839" s="3140" t="s">
        <v>3538</v>
      </c>
      <c r="K1839" s="385">
        <v>72</v>
      </c>
      <c r="L1839" s="386">
        <v>1520000000</v>
      </c>
      <c r="M1839" s="385">
        <v>24</v>
      </c>
      <c r="N1839" s="386">
        <v>404000000</v>
      </c>
      <c r="O1839" s="385">
        <v>12</v>
      </c>
      <c r="P1839" s="386">
        <v>595000000</v>
      </c>
      <c r="Q1839" s="385">
        <v>3</v>
      </c>
      <c r="R1839" s="387">
        <v>153000000</v>
      </c>
      <c r="S1839" s="385">
        <v>3</v>
      </c>
      <c r="T1839" s="385"/>
      <c r="U1839" s="385">
        <v>2</v>
      </c>
      <c r="V1839" s="597">
        <v>189860000</v>
      </c>
      <c r="W1839" s="385"/>
      <c r="X1839" s="385"/>
      <c r="Y1839" s="385">
        <f t="shared" si="603"/>
        <v>8</v>
      </c>
      <c r="Z1839" s="387">
        <f t="shared" si="608"/>
        <v>342860000</v>
      </c>
      <c r="AA1839" s="385">
        <f t="shared" si="604"/>
        <v>27</v>
      </c>
      <c r="AB1839" s="597">
        <f t="shared" si="605"/>
        <v>746860000</v>
      </c>
      <c r="AC1839" s="2723">
        <f t="shared" si="606"/>
        <v>37.5</v>
      </c>
      <c r="AD1839" s="389">
        <f t="shared" si="607"/>
        <v>49.135526315789477</v>
      </c>
      <c r="AE1839" s="384"/>
      <c r="AG1839" s="2765"/>
    </row>
    <row r="1840" spans="1:33" s="639" customFormat="1" ht="45.75" customHeight="1">
      <c r="A1840" s="3134"/>
      <c r="B1840" s="3140"/>
      <c r="C1840" s="3792">
        <v>4</v>
      </c>
      <c r="D1840" s="3792" t="s">
        <v>107</v>
      </c>
      <c r="E1840" s="3792" t="s">
        <v>65</v>
      </c>
      <c r="F1840" s="3792" t="s">
        <v>66</v>
      </c>
      <c r="G1840" s="3792" t="s">
        <v>65</v>
      </c>
      <c r="H1840" s="3792" t="s">
        <v>360</v>
      </c>
      <c r="I1840" s="3140" t="s">
        <v>3539</v>
      </c>
      <c r="J1840" s="3140" t="s">
        <v>3540</v>
      </c>
      <c r="K1840" s="385">
        <v>72</v>
      </c>
      <c r="L1840" s="386">
        <v>2019022000</v>
      </c>
      <c r="M1840" s="385">
        <v>24</v>
      </c>
      <c r="N1840" s="386">
        <v>513004000</v>
      </c>
      <c r="O1840" s="385">
        <v>12</v>
      </c>
      <c r="P1840" s="386">
        <v>288288750</v>
      </c>
      <c r="Q1840" s="385">
        <v>3</v>
      </c>
      <c r="R1840" s="387">
        <v>149551000</v>
      </c>
      <c r="S1840" s="385">
        <v>3</v>
      </c>
      <c r="T1840" s="385"/>
      <c r="U1840" s="385">
        <v>3</v>
      </c>
      <c r="V1840" s="597">
        <v>49213000</v>
      </c>
      <c r="W1840" s="385"/>
      <c r="X1840" s="385"/>
      <c r="Y1840" s="385">
        <f t="shared" si="603"/>
        <v>9</v>
      </c>
      <c r="Z1840" s="387">
        <f t="shared" si="608"/>
        <v>198764000</v>
      </c>
      <c r="AA1840" s="385">
        <f t="shared" si="604"/>
        <v>27</v>
      </c>
      <c r="AB1840" s="597">
        <f t="shared" si="605"/>
        <v>711768000</v>
      </c>
      <c r="AC1840" s="2723">
        <f t="shared" si="606"/>
        <v>37.5</v>
      </c>
      <c r="AD1840" s="389">
        <f t="shared" si="607"/>
        <v>35.253107692734403</v>
      </c>
      <c r="AE1840" s="384"/>
      <c r="AG1840" s="2765"/>
    </row>
    <row r="1841" spans="1:76" s="639" customFormat="1" ht="84" customHeight="1">
      <c r="A1841" s="3134"/>
      <c r="B1841" s="3140"/>
      <c r="C1841" s="3792">
        <v>4</v>
      </c>
      <c r="D1841" s="3792" t="s">
        <v>107</v>
      </c>
      <c r="E1841" s="3792" t="s">
        <v>65</v>
      </c>
      <c r="F1841" s="3792" t="s">
        <v>66</v>
      </c>
      <c r="G1841" s="3792" t="s">
        <v>65</v>
      </c>
      <c r="H1841" s="3792" t="s">
        <v>165</v>
      </c>
      <c r="I1841" s="3140" t="s">
        <v>457</v>
      </c>
      <c r="J1841" s="3140" t="s">
        <v>458</v>
      </c>
      <c r="K1841" s="385">
        <v>72</v>
      </c>
      <c r="L1841" s="386">
        <v>1527880000</v>
      </c>
      <c r="M1841" s="385">
        <v>24</v>
      </c>
      <c r="N1841" s="386">
        <v>529290000</v>
      </c>
      <c r="O1841" s="385">
        <v>12</v>
      </c>
      <c r="P1841" s="386">
        <v>153125000</v>
      </c>
      <c r="Q1841" s="385">
        <v>3</v>
      </c>
      <c r="R1841" s="386">
        <v>26946000</v>
      </c>
      <c r="S1841" s="385">
        <v>3</v>
      </c>
      <c r="T1841" s="385"/>
      <c r="U1841" s="385">
        <v>3</v>
      </c>
      <c r="V1841" s="597">
        <v>37729000</v>
      </c>
      <c r="W1841" s="385"/>
      <c r="X1841" s="385"/>
      <c r="Y1841" s="385">
        <f t="shared" si="603"/>
        <v>9</v>
      </c>
      <c r="Z1841" s="387">
        <f t="shared" si="608"/>
        <v>64675000</v>
      </c>
      <c r="AA1841" s="385">
        <f t="shared" si="604"/>
        <v>27</v>
      </c>
      <c r="AB1841" s="597">
        <f t="shared" si="605"/>
        <v>593965000</v>
      </c>
      <c r="AC1841" s="2723">
        <f t="shared" si="606"/>
        <v>37.5</v>
      </c>
      <c r="AD1841" s="389">
        <f t="shared" si="607"/>
        <v>38.875107992774296</v>
      </c>
      <c r="AE1841" s="384"/>
      <c r="AG1841" s="2765"/>
    </row>
    <row r="1842" spans="1:76" s="639" customFormat="1" ht="45.75" customHeight="1">
      <c r="A1842" s="3134"/>
      <c r="B1842" s="3140"/>
      <c r="C1842" s="3792">
        <v>4</v>
      </c>
      <c r="D1842" s="3792" t="s">
        <v>107</v>
      </c>
      <c r="E1842" s="3792" t="s">
        <v>65</v>
      </c>
      <c r="F1842" s="3792" t="s">
        <v>66</v>
      </c>
      <c r="G1842" s="3792" t="s">
        <v>65</v>
      </c>
      <c r="H1842" s="3792" t="s">
        <v>459</v>
      </c>
      <c r="I1842" s="3140" t="s">
        <v>225</v>
      </c>
      <c r="J1842" s="3140" t="s">
        <v>460</v>
      </c>
      <c r="K1842" s="385">
        <v>72</v>
      </c>
      <c r="L1842" s="386">
        <v>270000000</v>
      </c>
      <c r="M1842" s="385">
        <v>24</v>
      </c>
      <c r="N1842" s="386">
        <v>90000000</v>
      </c>
      <c r="O1842" s="385">
        <v>12</v>
      </c>
      <c r="P1842" s="386">
        <v>44000000</v>
      </c>
      <c r="Q1842" s="385">
        <v>3</v>
      </c>
      <c r="R1842" s="387">
        <v>15499000</v>
      </c>
      <c r="S1842" s="385">
        <v>3</v>
      </c>
      <c r="T1842" s="385"/>
      <c r="U1842" s="385">
        <v>3</v>
      </c>
      <c r="V1842" s="597">
        <v>16586000</v>
      </c>
      <c r="W1842" s="385"/>
      <c r="X1842" s="385"/>
      <c r="Y1842" s="385">
        <f t="shared" si="603"/>
        <v>9</v>
      </c>
      <c r="Z1842" s="387">
        <f t="shared" si="608"/>
        <v>32085000</v>
      </c>
      <c r="AA1842" s="385">
        <f t="shared" si="604"/>
        <v>27</v>
      </c>
      <c r="AB1842" s="597">
        <f t="shared" si="605"/>
        <v>122085000</v>
      </c>
      <c r="AC1842" s="2723">
        <f t="shared" si="606"/>
        <v>37.5</v>
      </c>
      <c r="AD1842" s="389">
        <f t="shared" si="607"/>
        <v>45.216666666666669</v>
      </c>
      <c r="AE1842" s="384"/>
      <c r="AG1842" s="2765"/>
    </row>
    <row r="1843" spans="1:76" s="639" customFormat="1" ht="56.25" customHeight="1">
      <c r="A1843" s="3134"/>
      <c r="B1843" s="3140"/>
      <c r="C1843" s="3792">
        <v>4</v>
      </c>
      <c r="D1843" s="3792" t="s">
        <v>107</v>
      </c>
      <c r="E1843" s="3792" t="s">
        <v>65</v>
      </c>
      <c r="F1843" s="3792" t="s">
        <v>66</v>
      </c>
      <c r="G1843" s="3792" t="s">
        <v>65</v>
      </c>
      <c r="H1843" s="3792" t="s">
        <v>363</v>
      </c>
      <c r="I1843" s="3140" t="s">
        <v>3541</v>
      </c>
      <c r="J1843" s="3140" t="s">
        <v>3542</v>
      </c>
      <c r="K1843" s="385">
        <v>72</v>
      </c>
      <c r="L1843" s="386">
        <v>186000000</v>
      </c>
      <c r="M1843" s="385">
        <v>24</v>
      </c>
      <c r="N1843" s="386">
        <v>62000000</v>
      </c>
      <c r="O1843" s="385">
        <v>12</v>
      </c>
      <c r="P1843" s="386">
        <v>32000000</v>
      </c>
      <c r="Q1843" s="385">
        <v>3</v>
      </c>
      <c r="R1843" s="387">
        <v>2430000</v>
      </c>
      <c r="S1843" s="385">
        <v>3</v>
      </c>
      <c r="T1843" s="385"/>
      <c r="U1843" s="385">
        <v>3</v>
      </c>
      <c r="V1843" s="597">
        <v>10618000</v>
      </c>
      <c r="W1843" s="385"/>
      <c r="X1843" s="385"/>
      <c r="Y1843" s="385">
        <f t="shared" si="603"/>
        <v>9</v>
      </c>
      <c r="Z1843" s="387">
        <f t="shared" si="608"/>
        <v>13048000</v>
      </c>
      <c r="AA1843" s="385">
        <f t="shared" si="604"/>
        <v>27</v>
      </c>
      <c r="AB1843" s="597">
        <f t="shared" si="605"/>
        <v>75048000</v>
      </c>
      <c r="AC1843" s="2723">
        <f t="shared" si="606"/>
        <v>37.5</v>
      </c>
      <c r="AD1843" s="389">
        <f t="shared" si="607"/>
        <v>40.348387096774189</v>
      </c>
      <c r="AE1843" s="384"/>
      <c r="AG1843" s="2765"/>
    </row>
    <row r="1844" spans="1:76" s="639" customFormat="1" ht="65.25" customHeight="1">
      <c r="A1844" s="3155">
        <v>3</v>
      </c>
      <c r="B1844" s="3156" t="s">
        <v>3543</v>
      </c>
      <c r="C1844" s="2567" t="s">
        <v>2558</v>
      </c>
      <c r="D1844" s="2567" t="s">
        <v>107</v>
      </c>
      <c r="E1844" s="2567" t="s">
        <v>65</v>
      </c>
      <c r="F1844" s="2567" t="s">
        <v>66</v>
      </c>
      <c r="G1844" s="2567" t="s">
        <v>196</v>
      </c>
      <c r="H1844" s="2374"/>
      <c r="I1844" s="3156" t="s">
        <v>3544</v>
      </c>
      <c r="J1844" s="3156" t="s">
        <v>3570</v>
      </c>
      <c r="K1844" s="2335">
        <v>1530</v>
      </c>
      <c r="L1844" s="2340">
        <v>2868678000</v>
      </c>
      <c r="M1844" s="2335">
        <v>510</v>
      </c>
      <c r="N1844" s="2340">
        <v>813510000</v>
      </c>
      <c r="O1844" s="2335">
        <v>255</v>
      </c>
      <c r="P1844" s="2340">
        <v>595350000</v>
      </c>
      <c r="Q1844" s="2340">
        <f>SUM(Q1845)</f>
        <v>0</v>
      </c>
      <c r="R1844" s="2855"/>
      <c r="S1844" s="2701" t="s">
        <v>2034</v>
      </c>
      <c r="T1844" s="2347">
        <f>SUM(T1845)</f>
        <v>580388</v>
      </c>
      <c r="U1844" s="2335">
        <v>3</v>
      </c>
      <c r="V1844" s="2342">
        <f>SUM(V1845)</f>
        <v>1061800</v>
      </c>
      <c r="W1844" s="2335"/>
      <c r="X1844" s="2335"/>
      <c r="Y1844" s="2335">
        <f t="shared" si="603"/>
        <v>3</v>
      </c>
      <c r="Z1844" s="2340">
        <f t="shared" si="608"/>
        <v>1642188</v>
      </c>
      <c r="AA1844" s="2570">
        <f t="shared" si="604"/>
        <v>510</v>
      </c>
      <c r="AB1844" s="2571">
        <f t="shared" si="605"/>
        <v>815152188</v>
      </c>
      <c r="AC1844" s="2722">
        <f t="shared" si="606"/>
        <v>33.333333333333329</v>
      </c>
      <c r="AD1844" s="2719">
        <f t="shared" si="607"/>
        <v>28.415604260917398</v>
      </c>
      <c r="AE1844" s="3138" t="s">
        <v>3524</v>
      </c>
      <c r="AG1844" s="2765"/>
    </row>
    <row r="1845" spans="1:76" s="639" customFormat="1" ht="49.5" customHeight="1">
      <c r="A1845" s="385"/>
      <c r="B1845" s="384"/>
      <c r="C1845" s="3792" t="s">
        <v>2558</v>
      </c>
      <c r="D1845" s="3792" t="s">
        <v>107</v>
      </c>
      <c r="E1845" s="3792" t="s">
        <v>65</v>
      </c>
      <c r="F1845" s="3792" t="s">
        <v>66</v>
      </c>
      <c r="G1845" s="3792" t="s">
        <v>196</v>
      </c>
      <c r="H1845" s="1218" t="s">
        <v>65</v>
      </c>
      <c r="I1845" s="3140" t="s">
        <v>3545</v>
      </c>
      <c r="J1845" s="3140" t="s">
        <v>3546</v>
      </c>
      <c r="K1845" s="384">
        <v>1530</v>
      </c>
      <c r="L1845" s="590">
        <v>2868678000</v>
      </c>
      <c r="M1845" s="384">
        <v>510</v>
      </c>
      <c r="N1845" s="590">
        <v>813510000</v>
      </c>
      <c r="O1845" s="384">
        <v>255</v>
      </c>
      <c r="P1845" s="590">
        <v>595350000</v>
      </c>
      <c r="Q1845" s="384">
        <v>0</v>
      </c>
      <c r="R1845" s="590"/>
      <c r="S1845" s="2850">
        <v>0</v>
      </c>
      <c r="T1845" s="590">
        <v>580388</v>
      </c>
      <c r="U1845" s="384">
        <v>3</v>
      </c>
      <c r="V1845" s="1202">
        <v>1061800</v>
      </c>
      <c r="W1845" s="384"/>
      <c r="X1845" s="384"/>
      <c r="Y1845" s="384">
        <f t="shared" si="603"/>
        <v>3</v>
      </c>
      <c r="Z1845" s="590">
        <f t="shared" si="608"/>
        <v>1642188</v>
      </c>
      <c r="AA1845" s="385">
        <f t="shared" si="604"/>
        <v>510</v>
      </c>
      <c r="AB1845" s="597">
        <f t="shared" si="605"/>
        <v>815152188</v>
      </c>
      <c r="AC1845" s="2723">
        <f t="shared" si="606"/>
        <v>33.333333333333329</v>
      </c>
      <c r="AD1845" s="389">
        <f t="shared" si="607"/>
        <v>28.415604260917398</v>
      </c>
      <c r="AE1845" s="384"/>
      <c r="AG1845" s="2765"/>
    </row>
    <row r="1846" spans="1:76" s="639" customFormat="1" ht="70.5" customHeight="1">
      <c r="A1846" s="3155">
        <v>4</v>
      </c>
      <c r="B1846" s="3156" t="s">
        <v>3547</v>
      </c>
      <c r="C1846" s="2567" t="s">
        <v>2558</v>
      </c>
      <c r="D1846" s="2567" t="s">
        <v>107</v>
      </c>
      <c r="E1846" s="2567" t="s">
        <v>65</v>
      </c>
      <c r="F1846" s="2567" t="s">
        <v>66</v>
      </c>
      <c r="G1846" s="2567" t="s">
        <v>155</v>
      </c>
      <c r="H1846" s="2374"/>
      <c r="I1846" s="3156" t="s">
        <v>3548</v>
      </c>
      <c r="J1846" s="3156" t="s">
        <v>3571</v>
      </c>
      <c r="K1846" s="2335">
        <v>72</v>
      </c>
      <c r="L1846" s="2340">
        <v>149706217000</v>
      </c>
      <c r="M1846" s="2335">
        <v>24</v>
      </c>
      <c r="N1846" s="2340">
        <v>41254686000</v>
      </c>
      <c r="O1846" s="2335">
        <v>12</v>
      </c>
      <c r="P1846" s="2340">
        <f>SUM(P1847:P1856)</f>
        <v>15620032197</v>
      </c>
      <c r="Q1846" s="2335">
        <v>3</v>
      </c>
      <c r="R1846" s="2340">
        <v>5124692000</v>
      </c>
      <c r="S1846" s="2335"/>
      <c r="T1846" s="2340">
        <v>5124692000</v>
      </c>
      <c r="U1846" s="2335">
        <v>12</v>
      </c>
      <c r="V1846" s="2342">
        <f>SUM(V1847:V1856)</f>
        <v>1326925530</v>
      </c>
      <c r="W1846" s="2335"/>
      <c r="X1846" s="2335"/>
      <c r="Y1846" s="2335">
        <f t="shared" si="603"/>
        <v>15</v>
      </c>
      <c r="Z1846" s="2340">
        <f t="shared" si="608"/>
        <v>11576309530</v>
      </c>
      <c r="AA1846" s="2570">
        <f>M1846+Q1846</f>
        <v>27</v>
      </c>
      <c r="AB1846" s="2571">
        <f t="shared" si="605"/>
        <v>52830995530</v>
      </c>
      <c r="AC1846" s="2722">
        <f t="shared" si="606"/>
        <v>37.5</v>
      </c>
      <c r="AD1846" s="2719">
        <f t="shared" si="607"/>
        <v>35.289780604101431</v>
      </c>
      <c r="AE1846" s="3138" t="s">
        <v>3524</v>
      </c>
      <c r="AG1846" s="2765"/>
    </row>
    <row r="1847" spans="1:76" s="639" customFormat="1" ht="45.75" customHeight="1">
      <c r="A1847" s="385"/>
      <c r="B1847" s="1196"/>
      <c r="C1847" s="3792" t="s">
        <v>2558</v>
      </c>
      <c r="D1847" s="3792" t="s">
        <v>107</v>
      </c>
      <c r="E1847" s="3792" t="s">
        <v>65</v>
      </c>
      <c r="F1847" s="3792" t="s">
        <v>66</v>
      </c>
      <c r="G1847" s="3792" t="s">
        <v>155</v>
      </c>
      <c r="H1847" s="1218" t="s">
        <v>66</v>
      </c>
      <c r="I1847" s="3140" t="s">
        <v>3549</v>
      </c>
      <c r="J1847" s="3140" t="s">
        <v>3550</v>
      </c>
      <c r="K1847" s="384">
        <v>48</v>
      </c>
      <c r="L1847" s="590">
        <v>55680876000</v>
      </c>
      <c r="M1847" s="384">
        <v>24</v>
      </c>
      <c r="N1847" s="590">
        <v>14911310000</v>
      </c>
      <c r="O1847" s="384">
        <v>12</v>
      </c>
      <c r="P1847" s="590">
        <v>3283028300</v>
      </c>
      <c r="Q1847" s="384">
        <v>2</v>
      </c>
      <c r="R1847" s="590">
        <v>1248543000</v>
      </c>
      <c r="S1847" s="384">
        <v>2</v>
      </c>
      <c r="T1847" s="590">
        <v>83352000</v>
      </c>
      <c r="U1847" s="384">
        <v>2</v>
      </c>
      <c r="V1847" s="1202">
        <v>608409000</v>
      </c>
      <c r="W1847" s="384"/>
      <c r="X1847" s="384"/>
      <c r="Y1847" s="384">
        <f t="shared" si="603"/>
        <v>6</v>
      </c>
      <c r="Z1847" s="590">
        <f t="shared" si="608"/>
        <v>1940304000</v>
      </c>
      <c r="AA1847" s="385">
        <f t="shared" si="604"/>
        <v>26</v>
      </c>
      <c r="AB1847" s="597">
        <f t="shared" si="605"/>
        <v>16851614000</v>
      </c>
      <c r="AC1847" s="2723">
        <f t="shared" si="606"/>
        <v>54.166666666666664</v>
      </c>
      <c r="AD1847" s="389">
        <f t="shared" si="607"/>
        <v>30.264635204374301</v>
      </c>
      <c r="AE1847" s="384"/>
      <c r="AG1847" s="2765"/>
    </row>
    <row r="1848" spans="1:76" s="639" customFormat="1" ht="58.5" customHeight="1">
      <c r="A1848" s="385"/>
      <c r="B1848" s="384"/>
      <c r="C1848" s="3792" t="s">
        <v>2558</v>
      </c>
      <c r="D1848" s="3792" t="s">
        <v>107</v>
      </c>
      <c r="E1848" s="3792" t="s">
        <v>65</v>
      </c>
      <c r="F1848" s="3792" t="s">
        <v>66</v>
      </c>
      <c r="G1848" s="3792" t="s">
        <v>155</v>
      </c>
      <c r="H1848" s="1218" t="s">
        <v>65</v>
      </c>
      <c r="I1848" s="3140" t="s">
        <v>3551</v>
      </c>
      <c r="J1848" s="3140" t="s">
        <v>3552</v>
      </c>
      <c r="K1848" s="384">
        <v>48</v>
      </c>
      <c r="L1848" s="590">
        <v>505068000</v>
      </c>
      <c r="M1848" s="384">
        <v>16</v>
      </c>
      <c r="N1848" s="590">
        <v>168356000</v>
      </c>
      <c r="O1848" s="384">
        <v>8</v>
      </c>
      <c r="P1848" s="590">
        <v>99848100</v>
      </c>
      <c r="Q1848" s="384">
        <v>2</v>
      </c>
      <c r="R1848" s="590">
        <v>20700000</v>
      </c>
      <c r="S1848" s="421">
        <v>2</v>
      </c>
      <c r="T1848" s="590">
        <v>3870000</v>
      </c>
      <c r="U1848" s="384"/>
      <c r="V1848" s="1202"/>
      <c r="W1848" s="384"/>
      <c r="X1848" s="384"/>
      <c r="Y1848" s="384">
        <f t="shared" si="603"/>
        <v>4</v>
      </c>
      <c r="Z1848" s="590">
        <f t="shared" si="608"/>
        <v>24570000</v>
      </c>
      <c r="AA1848" s="385">
        <f t="shared" si="604"/>
        <v>18</v>
      </c>
      <c r="AB1848" s="597">
        <f t="shared" si="605"/>
        <v>192926000</v>
      </c>
      <c r="AC1848" s="2723">
        <f t="shared" si="606"/>
        <v>37.5</v>
      </c>
      <c r="AD1848" s="389">
        <f t="shared" si="607"/>
        <v>38.198024820420223</v>
      </c>
      <c r="AE1848" s="384"/>
      <c r="AG1848" s="2765"/>
    </row>
    <row r="1849" spans="1:76" s="639" customFormat="1" ht="61.5" customHeight="1">
      <c r="A1849" s="385"/>
      <c r="B1849" s="384"/>
      <c r="C1849" s="3792" t="s">
        <v>2558</v>
      </c>
      <c r="D1849" s="3792" t="s">
        <v>107</v>
      </c>
      <c r="E1849" s="3792" t="s">
        <v>65</v>
      </c>
      <c r="F1849" s="3792" t="s">
        <v>66</v>
      </c>
      <c r="G1849" s="3792" t="s">
        <v>155</v>
      </c>
      <c r="H1849" s="1218" t="s">
        <v>196</v>
      </c>
      <c r="I1849" s="3140" t="s">
        <v>3553</v>
      </c>
      <c r="J1849" s="3140" t="s">
        <v>508</v>
      </c>
      <c r="K1849" s="384">
        <v>156</v>
      </c>
      <c r="L1849" s="590">
        <v>642204000</v>
      </c>
      <c r="M1849" s="384">
        <v>52</v>
      </c>
      <c r="N1849" s="590">
        <v>214068000</v>
      </c>
      <c r="O1849" s="384">
        <v>26</v>
      </c>
      <c r="P1849" s="590">
        <v>89195600</v>
      </c>
      <c r="Q1849" s="384">
        <v>8</v>
      </c>
      <c r="R1849" s="590">
        <v>9033000</v>
      </c>
      <c r="S1849" s="384">
        <v>3</v>
      </c>
      <c r="T1849" s="590">
        <v>10437000</v>
      </c>
      <c r="U1849" s="384"/>
      <c r="V1849" s="1202"/>
      <c r="W1849" s="384"/>
      <c r="X1849" s="384"/>
      <c r="Y1849" s="384">
        <f t="shared" si="603"/>
        <v>11</v>
      </c>
      <c r="Z1849" s="590">
        <f t="shared" si="608"/>
        <v>19470000</v>
      </c>
      <c r="AA1849" s="385">
        <f t="shared" si="604"/>
        <v>60</v>
      </c>
      <c r="AB1849" s="597">
        <f t="shared" si="605"/>
        <v>233538000</v>
      </c>
      <c r="AC1849" s="2723">
        <f t="shared" si="606"/>
        <v>38.461538461538467</v>
      </c>
      <c r="AD1849" s="389">
        <f t="shared" si="607"/>
        <v>36.365080254872282</v>
      </c>
      <c r="AE1849" s="384"/>
      <c r="AG1849" s="2765"/>
    </row>
    <row r="1850" spans="1:76" s="639" customFormat="1" ht="36" customHeight="1">
      <c r="A1850" s="385"/>
      <c r="B1850" s="384"/>
      <c r="C1850" s="3792" t="s">
        <v>2558</v>
      </c>
      <c r="D1850" s="3792" t="s">
        <v>107</v>
      </c>
      <c r="E1850" s="3792" t="s">
        <v>65</v>
      </c>
      <c r="F1850" s="3792" t="s">
        <v>66</v>
      </c>
      <c r="G1850" s="3792" t="s">
        <v>155</v>
      </c>
      <c r="H1850" s="1218" t="s">
        <v>95</v>
      </c>
      <c r="I1850" s="3140" t="s">
        <v>3554</v>
      </c>
      <c r="J1850" s="3140" t="s">
        <v>3555</v>
      </c>
      <c r="K1850" s="384">
        <v>180</v>
      </c>
      <c r="L1850" s="590">
        <v>1181982000</v>
      </c>
      <c r="M1850" s="384">
        <v>58</v>
      </c>
      <c r="N1850" s="590">
        <v>393994000</v>
      </c>
      <c r="O1850" s="384">
        <v>29</v>
      </c>
      <c r="P1850" s="590">
        <v>129344400</v>
      </c>
      <c r="Q1850" s="384">
        <v>12</v>
      </c>
      <c r="R1850" s="590">
        <v>11075000</v>
      </c>
      <c r="S1850" s="384">
        <v>12</v>
      </c>
      <c r="T1850" s="590">
        <v>59169000</v>
      </c>
      <c r="U1850" s="384">
        <v>4</v>
      </c>
      <c r="V1850" s="1202">
        <v>3929000</v>
      </c>
      <c r="W1850" s="384"/>
      <c r="X1850" s="384"/>
      <c r="Y1850" s="384">
        <f t="shared" si="603"/>
        <v>28</v>
      </c>
      <c r="Z1850" s="590">
        <f t="shared" si="608"/>
        <v>74173000</v>
      </c>
      <c r="AA1850" s="385">
        <f t="shared" si="604"/>
        <v>70</v>
      </c>
      <c r="AB1850" s="597">
        <f t="shared" si="605"/>
        <v>468167000</v>
      </c>
      <c r="AC1850" s="2723">
        <f t="shared" si="606"/>
        <v>38.888888888888893</v>
      </c>
      <c r="AD1850" s="389">
        <f t="shared" si="607"/>
        <v>39.608640402307309</v>
      </c>
      <c r="AE1850" s="384"/>
      <c r="AG1850" s="2765"/>
    </row>
    <row r="1851" spans="1:76" s="639" customFormat="1" ht="57.75" customHeight="1">
      <c r="A1851" s="385"/>
      <c r="B1851" s="384"/>
      <c r="C1851" s="3792" t="s">
        <v>2558</v>
      </c>
      <c r="D1851" s="3792" t="s">
        <v>107</v>
      </c>
      <c r="E1851" s="3792" t="s">
        <v>65</v>
      </c>
      <c r="F1851" s="3792" t="s">
        <v>66</v>
      </c>
      <c r="G1851" s="3792" t="s">
        <v>155</v>
      </c>
      <c r="H1851" s="1218" t="s">
        <v>161</v>
      </c>
      <c r="I1851" s="3140" t="s">
        <v>3556</v>
      </c>
      <c r="J1851" s="3140" t="s">
        <v>3557</v>
      </c>
      <c r="K1851" s="384">
        <v>18</v>
      </c>
      <c r="L1851" s="590">
        <v>14175000000</v>
      </c>
      <c r="M1851" s="384">
        <v>6</v>
      </c>
      <c r="N1851" s="590">
        <v>4725000000</v>
      </c>
      <c r="O1851" s="384">
        <v>3</v>
      </c>
      <c r="P1851" s="590">
        <v>1575000000</v>
      </c>
      <c r="Q1851" s="384">
        <v>1</v>
      </c>
      <c r="R1851" s="590">
        <v>0</v>
      </c>
      <c r="S1851" s="384">
        <v>1</v>
      </c>
      <c r="T1851" s="590">
        <v>736175000</v>
      </c>
      <c r="U1851" s="384"/>
      <c r="V1851" s="1202"/>
      <c r="W1851" s="384"/>
      <c r="X1851" s="384"/>
      <c r="Y1851" s="384">
        <f t="shared" si="603"/>
        <v>2</v>
      </c>
      <c r="Z1851" s="590">
        <f t="shared" si="608"/>
        <v>736175000</v>
      </c>
      <c r="AA1851" s="385">
        <f t="shared" si="604"/>
        <v>7</v>
      </c>
      <c r="AB1851" s="597">
        <f t="shared" si="605"/>
        <v>5461175000</v>
      </c>
      <c r="AC1851" s="2723">
        <f t="shared" si="606"/>
        <v>38.888888888888893</v>
      </c>
      <c r="AD1851" s="389">
        <f t="shared" si="607"/>
        <v>38.526807760141089</v>
      </c>
      <c r="AE1851" s="384"/>
      <c r="AG1851" s="2765"/>
    </row>
    <row r="1852" spans="1:76" s="2548" customFormat="1" ht="56.25" customHeight="1">
      <c r="A1852" s="385"/>
      <c r="B1852" s="384"/>
      <c r="C1852" s="3792" t="s">
        <v>2558</v>
      </c>
      <c r="D1852" s="3792" t="s">
        <v>107</v>
      </c>
      <c r="E1852" s="3792" t="s">
        <v>65</v>
      </c>
      <c r="F1852" s="3792" t="s">
        <v>66</v>
      </c>
      <c r="G1852" s="3792" t="s">
        <v>155</v>
      </c>
      <c r="H1852" s="1218" t="s">
        <v>198</v>
      </c>
      <c r="I1852" s="3140" t="s">
        <v>3558</v>
      </c>
      <c r="J1852" s="3140" t="s">
        <v>3559</v>
      </c>
      <c r="K1852" s="384">
        <v>48</v>
      </c>
      <c r="L1852" s="590">
        <v>20616508000</v>
      </c>
      <c r="M1852" s="384">
        <v>16</v>
      </c>
      <c r="N1852" s="590">
        <v>5873768000</v>
      </c>
      <c r="O1852" s="384">
        <v>8</v>
      </c>
      <c r="P1852" s="590">
        <v>2253792009.25</v>
      </c>
      <c r="Q1852" s="384">
        <v>2</v>
      </c>
      <c r="R1852" s="590">
        <v>1380227000</v>
      </c>
      <c r="S1852" s="384">
        <v>2</v>
      </c>
      <c r="T1852" s="590">
        <v>39993000</v>
      </c>
      <c r="U1852" s="384">
        <v>1</v>
      </c>
      <c r="V1852" s="1202">
        <v>452040000</v>
      </c>
      <c r="W1852" s="384"/>
      <c r="X1852" s="384"/>
      <c r="Y1852" s="384">
        <f t="shared" si="603"/>
        <v>5</v>
      </c>
      <c r="Z1852" s="590">
        <f t="shared" si="608"/>
        <v>1872260000</v>
      </c>
      <c r="AA1852" s="385">
        <f t="shared" si="604"/>
        <v>18</v>
      </c>
      <c r="AB1852" s="597">
        <f t="shared" si="605"/>
        <v>7746028000</v>
      </c>
      <c r="AC1852" s="2723">
        <f t="shared" si="606"/>
        <v>37.5</v>
      </c>
      <c r="AD1852" s="389">
        <f t="shared" si="607"/>
        <v>37.571969025986363</v>
      </c>
      <c r="AE1852" s="384"/>
      <c r="AF1852" s="639"/>
      <c r="AG1852" s="2765"/>
      <c r="AH1852" s="639"/>
      <c r="AI1852" s="639"/>
      <c r="AJ1852" s="639"/>
      <c r="AK1852" s="639"/>
      <c r="AL1852" s="639"/>
      <c r="AM1852" s="639"/>
      <c r="AN1852" s="639"/>
      <c r="AO1852" s="639"/>
      <c r="AP1852" s="639"/>
      <c r="AQ1852" s="639"/>
      <c r="AR1852" s="639"/>
      <c r="AS1852" s="639"/>
      <c r="AT1852" s="639"/>
      <c r="AU1852" s="639"/>
      <c r="AV1852" s="639"/>
      <c r="AW1852" s="639"/>
      <c r="AX1852" s="639"/>
      <c r="AY1852" s="639"/>
      <c r="AZ1852" s="639"/>
      <c r="BA1852" s="639"/>
      <c r="BB1852" s="639"/>
      <c r="BC1852" s="639"/>
      <c r="BD1852" s="639"/>
      <c r="BE1852" s="639"/>
      <c r="BF1852" s="639"/>
      <c r="BG1852" s="639"/>
      <c r="BH1852" s="639"/>
      <c r="BI1852" s="639"/>
      <c r="BJ1852" s="639"/>
      <c r="BK1852" s="639"/>
      <c r="BL1852" s="639"/>
      <c r="BM1852" s="639"/>
      <c r="BN1852" s="639"/>
      <c r="BO1852" s="639"/>
      <c r="BP1852" s="639"/>
      <c r="BQ1852" s="639"/>
      <c r="BR1852" s="639"/>
      <c r="BS1852" s="639"/>
      <c r="BT1852" s="639"/>
      <c r="BU1852" s="639"/>
      <c r="BV1852" s="639"/>
      <c r="BW1852" s="639"/>
      <c r="BX1852" s="639"/>
    </row>
    <row r="1853" spans="1:76" s="2548" customFormat="1" ht="62.25" customHeight="1">
      <c r="A1853" s="385"/>
      <c r="B1853" s="384"/>
      <c r="C1853" s="3792" t="s">
        <v>2558</v>
      </c>
      <c r="D1853" s="3792" t="s">
        <v>107</v>
      </c>
      <c r="E1853" s="3792" t="s">
        <v>65</v>
      </c>
      <c r="F1853" s="3792" t="s">
        <v>66</v>
      </c>
      <c r="G1853" s="3792" t="s">
        <v>155</v>
      </c>
      <c r="H1853" s="1218" t="s">
        <v>417</v>
      </c>
      <c r="I1853" s="3140" t="s">
        <v>3560</v>
      </c>
      <c r="J1853" s="3140" t="s">
        <v>3561</v>
      </c>
      <c r="K1853" s="384">
        <v>96</v>
      </c>
      <c r="L1853" s="590">
        <v>20252597000</v>
      </c>
      <c r="M1853" s="384">
        <v>32</v>
      </c>
      <c r="N1853" s="590">
        <v>4750864000</v>
      </c>
      <c r="O1853" s="384">
        <v>16</v>
      </c>
      <c r="P1853" s="590">
        <v>2366374800</v>
      </c>
      <c r="Q1853" s="384">
        <v>2</v>
      </c>
      <c r="R1853" s="590">
        <v>905022000</v>
      </c>
      <c r="S1853" s="384">
        <v>2</v>
      </c>
      <c r="T1853" s="590">
        <v>703095000</v>
      </c>
      <c r="U1853" s="384">
        <v>1</v>
      </c>
      <c r="V1853" s="1202">
        <v>800000</v>
      </c>
      <c r="W1853" s="384"/>
      <c r="X1853" s="384"/>
      <c r="Y1853" s="384">
        <f t="shared" si="603"/>
        <v>5</v>
      </c>
      <c r="Z1853" s="590">
        <f t="shared" si="608"/>
        <v>1608917000</v>
      </c>
      <c r="AA1853" s="385">
        <f t="shared" si="604"/>
        <v>34</v>
      </c>
      <c r="AB1853" s="597">
        <f t="shared" si="605"/>
        <v>6359781000</v>
      </c>
      <c r="AC1853" s="2723">
        <f t="shared" si="606"/>
        <v>35.416666666666671</v>
      </c>
      <c r="AD1853" s="389">
        <f t="shared" si="607"/>
        <v>31.402298678041141</v>
      </c>
      <c r="AE1853" s="384"/>
      <c r="AF1853" s="639"/>
      <c r="AG1853" s="2765"/>
      <c r="AH1853" s="639"/>
      <c r="AI1853" s="639"/>
      <c r="AJ1853" s="639"/>
      <c r="AK1853" s="639"/>
      <c r="AL1853" s="639"/>
      <c r="AM1853" s="639"/>
      <c r="AN1853" s="639"/>
      <c r="AO1853" s="639"/>
      <c r="AP1853" s="639"/>
      <c r="AQ1853" s="639"/>
      <c r="AR1853" s="639"/>
      <c r="AS1853" s="639"/>
      <c r="AT1853" s="639"/>
      <c r="AU1853" s="639"/>
      <c r="AV1853" s="639"/>
      <c r="AW1853" s="639"/>
      <c r="AX1853" s="639"/>
      <c r="AY1853" s="639"/>
      <c r="AZ1853" s="639"/>
      <c r="BA1853" s="639"/>
      <c r="BB1853" s="639"/>
      <c r="BC1853" s="639"/>
      <c r="BD1853" s="639"/>
      <c r="BE1853" s="639"/>
      <c r="BF1853" s="639"/>
      <c r="BG1853" s="639"/>
      <c r="BH1853" s="639"/>
      <c r="BI1853" s="639"/>
      <c r="BJ1853" s="639"/>
      <c r="BK1853" s="639"/>
      <c r="BL1853" s="639"/>
      <c r="BM1853" s="639"/>
      <c r="BN1853" s="639"/>
      <c r="BO1853" s="639"/>
      <c r="BP1853" s="639"/>
      <c r="BQ1853" s="639"/>
      <c r="BR1853" s="639"/>
      <c r="BS1853" s="639"/>
      <c r="BT1853" s="639"/>
      <c r="BU1853" s="639"/>
      <c r="BV1853" s="639"/>
      <c r="BW1853" s="639"/>
      <c r="BX1853" s="639"/>
    </row>
    <row r="1854" spans="1:76" s="2548" customFormat="1" ht="69" customHeight="1">
      <c r="A1854" s="385"/>
      <c r="B1854" s="384" t="e">
        <f>SUM(I1651+T160433)</f>
        <v>#VALUE!</v>
      </c>
      <c r="C1854" s="3792" t="s">
        <v>2558</v>
      </c>
      <c r="D1854" s="3792" t="s">
        <v>107</v>
      </c>
      <c r="E1854" s="3792" t="s">
        <v>65</v>
      </c>
      <c r="F1854" s="3792" t="s">
        <v>66</v>
      </c>
      <c r="G1854" s="3792" t="s">
        <v>155</v>
      </c>
      <c r="H1854" s="1218" t="s">
        <v>160</v>
      </c>
      <c r="I1854" s="3140" t="s">
        <v>3562</v>
      </c>
      <c r="J1854" s="3140" t="s">
        <v>3563</v>
      </c>
      <c r="K1854" s="384">
        <v>450</v>
      </c>
      <c r="L1854" s="590">
        <v>13249356000</v>
      </c>
      <c r="M1854" s="384">
        <v>150</v>
      </c>
      <c r="N1854" s="590">
        <v>3416452000</v>
      </c>
      <c r="O1854" s="384">
        <v>75</v>
      </c>
      <c r="P1854" s="590">
        <v>879361900</v>
      </c>
      <c r="Q1854" s="384">
        <v>20</v>
      </c>
      <c r="R1854" s="590">
        <v>249462000</v>
      </c>
      <c r="S1854" s="384">
        <v>20</v>
      </c>
      <c r="T1854" s="590">
        <v>324197000</v>
      </c>
      <c r="U1854" s="384">
        <v>20</v>
      </c>
      <c r="V1854" s="1202">
        <v>258004000</v>
      </c>
      <c r="W1854" s="384"/>
      <c r="X1854" s="384"/>
      <c r="Y1854" s="384">
        <f t="shared" si="603"/>
        <v>60</v>
      </c>
      <c r="Z1854" s="590">
        <f t="shared" si="608"/>
        <v>831663000</v>
      </c>
      <c r="AA1854" s="385">
        <f t="shared" si="604"/>
        <v>170</v>
      </c>
      <c r="AB1854" s="597">
        <f t="shared" si="605"/>
        <v>4248115000</v>
      </c>
      <c r="AC1854" s="2723">
        <f t="shared" si="606"/>
        <v>37.777777777777779</v>
      </c>
      <c r="AD1854" s="389">
        <f t="shared" si="607"/>
        <v>32.062803656268272</v>
      </c>
      <c r="AE1854" s="384"/>
      <c r="AF1854" s="639"/>
      <c r="AG1854" s="2765"/>
      <c r="AH1854" s="639"/>
      <c r="AI1854" s="639"/>
      <c r="AJ1854" s="639"/>
      <c r="AK1854" s="639"/>
      <c r="AL1854" s="639"/>
      <c r="AM1854" s="639"/>
      <c r="AN1854" s="639"/>
      <c r="AO1854" s="639"/>
      <c r="AP1854" s="639"/>
      <c r="AQ1854" s="639"/>
      <c r="AR1854" s="639"/>
      <c r="AS1854" s="639"/>
      <c r="AT1854" s="639"/>
      <c r="AU1854" s="639"/>
      <c r="AV1854" s="639"/>
      <c r="AW1854" s="639"/>
      <c r="AX1854" s="639"/>
      <c r="AY1854" s="639"/>
      <c r="AZ1854" s="639"/>
      <c r="BA1854" s="639"/>
      <c r="BB1854" s="639"/>
      <c r="BC1854" s="639"/>
      <c r="BD1854" s="639"/>
      <c r="BE1854" s="639"/>
      <c r="BF1854" s="639"/>
      <c r="BG1854" s="639"/>
      <c r="BH1854" s="639"/>
      <c r="BI1854" s="639"/>
      <c r="BJ1854" s="639"/>
      <c r="BK1854" s="639"/>
      <c r="BL1854" s="639"/>
      <c r="BM1854" s="639"/>
      <c r="BN1854" s="639"/>
      <c r="BO1854" s="639"/>
      <c r="BP1854" s="639"/>
      <c r="BQ1854" s="639"/>
      <c r="BR1854" s="639"/>
      <c r="BS1854" s="639"/>
      <c r="BT1854" s="639"/>
      <c r="BU1854" s="639"/>
      <c r="BV1854" s="639"/>
      <c r="BW1854" s="639"/>
      <c r="BX1854" s="639"/>
    </row>
    <row r="1855" spans="1:76" s="2548" customFormat="1" ht="57.75" customHeight="1">
      <c r="A1855" s="385"/>
      <c r="B1855" s="384"/>
      <c r="C1855" s="3792" t="s">
        <v>2558</v>
      </c>
      <c r="D1855" s="3792" t="s">
        <v>107</v>
      </c>
      <c r="E1855" s="3792" t="s">
        <v>65</v>
      </c>
      <c r="F1855" s="3792" t="s">
        <v>66</v>
      </c>
      <c r="G1855" s="3792" t="s">
        <v>155</v>
      </c>
      <c r="H1855" s="1218" t="s">
        <v>391</v>
      </c>
      <c r="I1855" s="3140" t="s">
        <v>3564</v>
      </c>
      <c r="J1855" s="3140" t="s">
        <v>3565</v>
      </c>
      <c r="K1855" s="384">
        <v>60</v>
      </c>
      <c r="L1855" s="590">
        <v>22302646000</v>
      </c>
      <c r="M1855" s="384">
        <v>20</v>
      </c>
      <c r="N1855" s="590">
        <v>6434214000</v>
      </c>
      <c r="O1855" s="384">
        <v>10</v>
      </c>
      <c r="P1855" s="590">
        <v>4740956287.75</v>
      </c>
      <c r="Q1855" s="384">
        <v>6</v>
      </c>
      <c r="R1855" s="590">
        <v>1300630000</v>
      </c>
      <c r="S1855" s="384">
        <v>6</v>
      </c>
      <c r="T1855" s="590">
        <v>654441000</v>
      </c>
      <c r="U1855" s="384">
        <v>2</v>
      </c>
      <c r="V1855" s="1202">
        <v>1543530</v>
      </c>
      <c r="W1855" s="384"/>
      <c r="X1855" s="384"/>
      <c r="Y1855" s="384">
        <f t="shared" si="603"/>
        <v>14</v>
      </c>
      <c r="Z1855" s="590">
        <f t="shared" si="608"/>
        <v>1956614530</v>
      </c>
      <c r="AA1855" s="385">
        <f t="shared" si="604"/>
        <v>26</v>
      </c>
      <c r="AB1855" s="597">
        <f t="shared" si="605"/>
        <v>8390828530</v>
      </c>
      <c r="AC1855" s="2723">
        <f t="shared" si="606"/>
        <v>43.333333333333336</v>
      </c>
      <c r="AD1855" s="389">
        <f t="shared" si="607"/>
        <v>37.62256967177796</v>
      </c>
      <c r="AE1855" s="384"/>
      <c r="AF1855" s="639"/>
      <c r="AG1855" s="2765"/>
      <c r="AH1855" s="639"/>
      <c r="AI1855" s="639"/>
      <c r="AJ1855" s="639"/>
      <c r="AK1855" s="639"/>
      <c r="AL1855" s="639"/>
      <c r="AM1855" s="639"/>
      <c r="AN1855" s="639"/>
      <c r="AO1855" s="639"/>
      <c r="AP1855" s="639"/>
      <c r="AQ1855" s="639"/>
      <c r="AR1855" s="639"/>
      <c r="AS1855" s="639"/>
      <c r="AT1855" s="639"/>
      <c r="AU1855" s="639"/>
      <c r="AV1855" s="639"/>
      <c r="AW1855" s="639"/>
      <c r="AX1855" s="639"/>
      <c r="AY1855" s="639"/>
      <c r="AZ1855" s="639"/>
      <c r="BA1855" s="639"/>
      <c r="BB1855" s="639"/>
      <c r="BC1855" s="639"/>
      <c r="BD1855" s="639"/>
      <c r="BE1855" s="639"/>
      <c r="BF1855" s="639"/>
      <c r="BG1855" s="639"/>
      <c r="BH1855" s="639"/>
      <c r="BI1855" s="639"/>
      <c r="BJ1855" s="639"/>
      <c r="BK1855" s="639"/>
      <c r="BL1855" s="639"/>
      <c r="BM1855" s="639"/>
      <c r="BN1855" s="639"/>
      <c r="BO1855" s="639"/>
      <c r="BP1855" s="639"/>
      <c r="BQ1855" s="639"/>
      <c r="BR1855" s="639"/>
      <c r="BS1855" s="639"/>
      <c r="BT1855" s="639"/>
      <c r="BU1855" s="639"/>
      <c r="BV1855" s="639"/>
      <c r="BW1855" s="639"/>
      <c r="BX1855" s="639"/>
    </row>
    <row r="1856" spans="1:76" s="2548" customFormat="1" ht="66.75" customHeight="1">
      <c r="A1856" s="385"/>
      <c r="B1856" s="384"/>
      <c r="C1856" s="3792" t="s">
        <v>2558</v>
      </c>
      <c r="D1856" s="3792" t="s">
        <v>107</v>
      </c>
      <c r="E1856" s="3792" t="s">
        <v>65</v>
      </c>
      <c r="F1856" s="3792" t="s">
        <v>66</v>
      </c>
      <c r="G1856" s="3792" t="s">
        <v>155</v>
      </c>
      <c r="H1856" s="1218" t="s">
        <v>396</v>
      </c>
      <c r="I1856" s="3140" t="s">
        <v>3566</v>
      </c>
      <c r="J1856" s="3140" t="s">
        <v>3567</v>
      </c>
      <c r="K1856" s="384">
        <v>6</v>
      </c>
      <c r="L1856" s="590">
        <v>1099980000</v>
      </c>
      <c r="M1856" s="384">
        <v>2</v>
      </c>
      <c r="N1856" s="590">
        <v>366660000</v>
      </c>
      <c r="O1856" s="384">
        <v>1</v>
      </c>
      <c r="P1856" s="590">
        <v>203130800</v>
      </c>
      <c r="Q1856" s="384">
        <v>0</v>
      </c>
      <c r="R1856" s="590">
        <v>0</v>
      </c>
      <c r="S1856" s="384"/>
      <c r="T1856" s="384"/>
      <c r="U1856" s="384">
        <v>1</v>
      </c>
      <c r="V1856" s="1202">
        <v>2200000</v>
      </c>
      <c r="W1856" s="384"/>
      <c r="X1856" s="384"/>
      <c r="Y1856" s="384">
        <f t="shared" si="603"/>
        <v>1</v>
      </c>
      <c r="Z1856" s="590">
        <f t="shared" si="608"/>
        <v>2200000</v>
      </c>
      <c r="AA1856" s="385">
        <f t="shared" si="604"/>
        <v>2</v>
      </c>
      <c r="AB1856" s="597">
        <f t="shared" si="605"/>
        <v>368860000</v>
      </c>
      <c r="AC1856" s="2723">
        <f t="shared" si="606"/>
        <v>33.333333333333329</v>
      </c>
      <c r="AD1856" s="389">
        <f t="shared" si="607"/>
        <v>33.533336969763091</v>
      </c>
      <c r="AE1856" s="384"/>
      <c r="AF1856" s="639"/>
      <c r="AG1856" s="2765"/>
      <c r="AH1856" s="639"/>
      <c r="AI1856" s="639"/>
      <c r="AJ1856" s="639"/>
      <c r="AK1856" s="639"/>
      <c r="AL1856" s="639"/>
      <c r="AM1856" s="639"/>
      <c r="AN1856" s="639"/>
      <c r="AO1856" s="639"/>
      <c r="AP1856" s="639"/>
      <c r="AQ1856" s="639"/>
      <c r="AR1856" s="639"/>
      <c r="AS1856" s="639"/>
      <c r="AT1856" s="639"/>
      <c r="AU1856" s="639"/>
      <c r="AV1856" s="639"/>
      <c r="AW1856" s="639"/>
      <c r="AX1856" s="639"/>
      <c r="AY1856" s="639"/>
      <c r="AZ1856" s="639"/>
      <c r="BA1856" s="639"/>
      <c r="BB1856" s="639"/>
      <c r="BC1856" s="639"/>
      <c r="BD1856" s="639"/>
      <c r="BE1856" s="639"/>
      <c r="BF1856" s="639"/>
      <c r="BG1856" s="639"/>
      <c r="BH1856" s="639"/>
      <c r="BI1856" s="639"/>
      <c r="BJ1856" s="639"/>
      <c r="BK1856" s="639"/>
      <c r="BL1856" s="639"/>
      <c r="BM1856" s="639"/>
      <c r="BN1856" s="639"/>
      <c r="BO1856" s="639"/>
      <c r="BP1856" s="639"/>
      <c r="BQ1856" s="639"/>
      <c r="BR1856" s="639"/>
      <c r="BS1856" s="639"/>
      <c r="BT1856" s="639"/>
      <c r="BU1856" s="639"/>
      <c r="BV1856" s="639"/>
      <c r="BW1856" s="639"/>
      <c r="BX1856" s="639"/>
    </row>
    <row r="1857" spans="1:76" s="114" customFormat="1" ht="18.75" customHeight="1">
      <c r="A1857" s="4244" t="s">
        <v>89</v>
      </c>
      <c r="B1857" s="4244"/>
      <c r="C1857" s="4244"/>
      <c r="D1857" s="4244"/>
      <c r="E1857" s="4244"/>
      <c r="F1857" s="4244"/>
      <c r="G1857" s="4244"/>
      <c r="H1857" s="4244"/>
      <c r="I1857" s="4244"/>
      <c r="J1857" s="4244"/>
      <c r="K1857" s="4244"/>
      <c r="L1857" s="4244"/>
      <c r="M1857" s="4244"/>
      <c r="N1857" s="4244"/>
      <c r="O1857" s="4244"/>
      <c r="P1857" s="4244"/>
      <c r="Q1857" s="4244"/>
      <c r="R1857" s="4244"/>
      <c r="S1857" s="4244"/>
      <c r="T1857" s="4244"/>
      <c r="U1857" s="4244"/>
      <c r="V1857" s="4244"/>
      <c r="W1857" s="4244"/>
      <c r="X1857" s="4244"/>
      <c r="Y1857" s="4244"/>
      <c r="Z1857" s="4244"/>
      <c r="AA1857" s="4244"/>
      <c r="AB1857" s="4244"/>
      <c r="AC1857" s="2030">
        <f>(AC1819+AC1834+AC1844+AC1846)/4</f>
        <v>36.458333333333329</v>
      </c>
      <c r="AD1857" s="2030">
        <f>(AD1819+AD1834+AD1844+AD1846)/4</f>
        <v>33.585202503219271</v>
      </c>
      <c r="AE1857" s="390"/>
    </row>
    <row r="1858" spans="1:76" s="475" customFormat="1" ht="15.75" customHeight="1">
      <c r="A1858" s="4244" t="s">
        <v>90</v>
      </c>
      <c r="B1858" s="4244"/>
      <c r="C1858" s="4244"/>
      <c r="D1858" s="4244"/>
      <c r="E1858" s="4244"/>
      <c r="F1858" s="4244"/>
      <c r="G1858" s="4244"/>
      <c r="H1858" s="4244"/>
      <c r="I1858" s="4244"/>
      <c r="J1858" s="4244"/>
      <c r="K1858" s="4244"/>
      <c r="L1858" s="4244"/>
      <c r="M1858" s="4244"/>
      <c r="N1858" s="4244"/>
      <c r="O1858" s="4244"/>
      <c r="P1858" s="4244"/>
      <c r="Q1858" s="4244"/>
      <c r="R1858" s="4244"/>
      <c r="S1858" s="4244"/>
      <c r="T1858" s="4244"/>
      <c r="U1858" s="4244"/>
      <c r="V1858" s="4244"/>
      <c r="W1858" s="4244"/>
      <c r="X1858" s="4244"/>
      <c r="Y1858" s="4244"/>
      <c r="Z1858" s="4244"/>
      <c r="AA1858" s="4244"/>
      <c r="AB1858" s="4244"/>
      <c r="AC1858" s="3152" t="str">
        <f>IF(AC1857&gt;=91,"ST",IF(AC1857&gt;=76,"T",IF(AC1857&gt;=66,"S",IF(AC1857&gt;=51,"R","SR"))))</f>
        <v>SR</v>
      </c>
      <c r="AD1858" s="3152" t="str">
        <f>IF(AD1857&gt;=91,"ST",IF(AD1857&gt;=76,"T",IF(AD1857&gt;=66,"S",IF(AD1857&gt;=51,"R","SR"))))</f>
        <v>SR</v>
      </c>
      <c r="AE1858" s="390"/>
    </row>
    <row r="1859" spans="1:76" s="3981" customFormat="1" ht="21" customHeight="1">
      <c r="A1859" s="3975"/>
      <c r="B1859" s="3975"/>
      <c r="C1859" s="3976"/>
      <c r="D1859" s="3976"/>
      <c r="E1859" s="3976"/>
      <c r="F1859" s="3976"/>
      <c r="G1859" s="3976"/>
      <c r="H1859" s="3976"/>
      <c r="I1859" s="3977" t="s">
        <v>4572</v>
      </c>
      <c r="J1859" s="3975"/>
      <c r="K1859" s="3975"/>
      <c r="L1859" s="3975"/>
      <c r="M1859" s="3975"/>
      <c r="N1859" s="3975"/>
      <c r="O1859" s="3975"/>
      <c r="P1859" s="3978"/>
      <c r="Q1859" s="3975"/>
      <c r="R1859" s="3975"/>
      <c r="S1859" s="3975"/>
      <c r="T1859" s="3975"/>
      <c r="U1859" s="3975"/>
      <c r="V1859" s="3979"/>
      <c r="W1859" s="3975"/>
      <c r="X1859" s="3975"/>
      <c r="Y1859" s="3976"/>
      <c r="Z1859" s="3975"/>
      <c r="AA1859" s="3975"/>
      <c r="AB1859" s="3975"/>
      <c r="AC1859" s="3975"/>
      <c r="AD1859" s="3975"/>
      <c r="AE1859" s="3980"/>
    </row>
    <row r="1860" spans="1:76" s="55" customFormat="1" ht="25.5" customHeight="1">
      <c r="A1860" s="2546" t="s">
        <v>30</v>
      </c>
      <c r="B1860" s="2918"/>
      <c r="C1860" s="2546"/>
      <c r="D1860" s="2546"/>
      <c r="E1860" s="2546"/>
      <c r="F1860" s="2546"/>
      <c r="G1860" s="2546"/>
      <c r="H1860" s="2546"/>
      <c r="I1860" s="2515" t="s">
        <v>1021</v>
      </c>
      <c r="J1860" s="2918"/>
      <c r="K1860" s="2918"/>
      <c r="L1860" s="3238">
        <f>L1861+L1874+L1880+L1882+L1884+L1887+L1889+L1892+L1897+L1899+L1905+L1907+L1909</f>
        <v>4185123800</v>
      </c>
      <c r="M1860" s="2918"/>
      <c r="N1860" s="2916">
        <f>N1861+N1874+N1880+N1882+N1884+N1887+N1889+N1892+N1897+N1899+N1905+N1907+N1909</f>
        <v>1152634300</v>
      </c>
      <c r="O1860" s="2918"/>
      <c r="P1860" s="2916">
        <f>P1861+P1874+P1880+P1882+P1884+P1887+P1889+P1892+P1897+P1899+P1905+P1907+P1909</f>
        <v>470987700</v>
      </c>
      <c r="Q1860" s="2918"/>
      <c r="R1860" s="2916">
        <f>R1861+R1874+R1880+R1882+R1884+R1887+R1889+R1892+R1897+R1899+R1905+R1907+R1909</f>
        <v>56912036</v>
      </c>
      <c r="S1860" s="2918"/>
      <c r="T1860" s="2916">
        <f>T1861+T1874+T1880+T1882+T1884+T1887+T1889+T1892+T1897+T1899+T1905+T1907+T1909</f>
        <v>86012736</v>
      </c>
      <c r="U1860" s="2918"/>
      <c r="V1860" s="2916">
        <f>V1861+V1874+V1880+V1882+V1884+V1887+V1889+V1892+V1897+V1899+V1905+V1907+V1909</f>
        <v>154054686</v>
      </c>
      <c r="W1860" s="2918"/>
      <c r="X1860" s="2918">
        <f>X1861+X1874+X1880+X1882+X1884+X1887+X1889+X1892+X1897+X1899+X1905+X1907+X1909</f>
        <v>0</v>
      </c>
      <c r="Y1860" s="2546">
        <f>Q1860+S1860+U1860+W1860</f>
        <v>0</v>
      </c>
      <c r="Z1860" s="2916">
        <f>Z1861+Z1874+Z1880+Z1882+Z1884+Z1887+Z1889+Z1892+Z1897+Z1899+Z1905+Z1907+Z1909</f>
        <v>296979458</v>
      </c>
      <c r="AA1860" s="2918"/>
      <c r="AB1860" s="2916">
        <f>AB1861+AB1874+AB1880+AB1882+AB1884+AB1887+AB1889+AB1892+AB1897+AB1899+AB1905+AB1907+AB1909</f>
        <v>1449613758</v>
      </c>
      <c r="AC1860" s="2918"/>
      <c r="AD1860" s="2918"/>
      <c r="AE1860" s="3211"/>
      <c r="AF1860" s="145"/>
      <c r="AG1860" s="145"/>
      <c r="AH1860" s="145"/>
      <c r="AI1860" s="145"/>
      <c r="AJ1860" s="145"/>
      <c r="AK1860" s="145"/>
      <c r="AL1860" s="145"/>
      <c r="AM1860" s="145"/>
      <c r="AN1860" s="145"/>
      <c r="AO1860" s="145"/>
      <c r="AP1860" s="145"/>
      <c r="AQ1860" s="145"/>
      <c r="AR1860" s="145"/>
      <c r="AS1860" s="145"/>
      <c r="AT1860" s="145"/>
      <c r="AU1860" s="145"/>
      <c r="AV1860" s="145"/>
      <c r="AW1860" s="145"/>
      <c r="AX1860" s="145"/>
      <c r="AY1860" s="145"/>
      <c r="AZ1860" s="145"/>
      <c r="BA1860" s="145"/>
      <c r="BB1860" s="145"/>
      <c r="BC1860" s="145"/>
      <c r="BD1860" s="145"/>
      <c r="BE1860" s="145"/>
      <c r="BF1860" s="145"/>
      <c r="BG1860" s="145"/>
      <c r="BH1860" s="145"/>
      <c r="BI1860" s="145"/>
      <c r="BJ1860" s="145"/>
      <c r="BK1860" s="145"/>
      <c r="BL1860" s="145"/>
      <c r="BM1860" s="145"/>
      <c r="BN1860" s="145"/>
      <c r="BO1860" s="145"/>
      <c r="BP1860" s="145"/>
      <c r="BQ1860" s="145"/>
      <c r="BR1860" s="145"/>
      <c r="BS1860" s="145"/>
      <c r="BT1860" s="145"/>
      <c r="BU1860" s="145"/>
      <c r="BV1860" s="145"/>
      <c r="BW1860" s="145"/>
      <c r="BX1860" s="145"/>
    </row>
    <row r="1861" spans="1:76" s="3655" customFormat="1" ht="82.5">
      <c r="A1861" s="3657">
        <v>1</v>
      </c>
      <c r="B1861" s="3658"/>
      <c r="C1861" s="3659">
        <v>5</v>
      </c>
      <c r="D1861" s="3659" t="s">
        <v>107</v>
      </c>
      <c r="E1861" s="3659" t="s">
        <v>66</v>
      </c>
      <c r="F1861" s="3659">
        <v>15</v>
      </c>
      <c r="G1861" s="3659" t="s">
        <v>66</v>
      </c>
      <c r="H1861" s="3657"/>
      <c r="I1861" s="3660" t="s">
        <v>221</v>
      </c>
      <c r="J1861" s="3660" t="s">
        <v>4312</v>
      </c>
      <c r="K1861" s="3661">
        <v>72</v>
      </c>
      <c r="L1861" s="3662">
        <f>SUM(L1862:L1873)</f>
        <v>1423839200</v>
      </c>
      <c r="M1861" s="3661">
        <v>24</v>
      </c>
      <c r="N1861" s="3662">
        <f>SUM(N1862:N1873)</f>
        <v>406142700</v>
      </c>
      <c r="O1861" s="3661">
        <v>12</v>
      </c>
      <c r="P1861" s="3662">
        <f>SUM(P1862:P1873)</f>
        <v>209262700</v>
      </c>
      <c r="Q1861" s="3661">
        <v>3</v>
      </c>
      <c r="R1861" s="3663">
        <f>SUM(R1862:R1873)</f>
        <v>34187036</v>
      </c>
      <c r="S1861" s="3661">
        <v>3</v>
      </c>
      <c r="T1861" s="3663">
        <f>SUM(T1862:T1873)</f>
        <v>69677736</v>
      </c>
      <c r="U1861" s="3661">
        <v>3</v>
      </c>
      <c r="V1861" s="3663">
        <f>SUM(V1862:V1873)</f>
        <v>60804686</v>
      </c>
      <c r="W1861" s="3661"/>
      <c r="X1861" s="3661"/>
      <c r="Y1861" s="3661">
        <f t="shared" ref="Y1861:Z1873" si="609">Q1861+S1861+U1861+W1861</f>
        <v>9</v>
      </c>
      <c r="Z1861" s="3663">
        <f>SUM(Z1862:Z1873)</f>
        <v>164669458</v>
      </c>
      <c r="AA1861" s="3661">
        <f t="shared" ref="AA1861:AB1873" si="610">M1861+Y1861</f>
        <v>33</v>
      </c>
      <c r="AB1861" s="3662">
        <f>SUM(AB1862:AB1873)</f>
        <v>570812158</v>
      </c>
      <c r="AC1861" s="3664">
        <f t="shared" ref="AC1861:AD1873" si="611">(AA1861/K1861)*100</f>
        <v>45.833333333333329</v>
      </c>
      <c r="AD1861" s="3664">
        <f t="shared" si="611"/>
        <v>40.089650432436471</v>
      </c>
      <c r="AE1861" s="3661" t="s">
        <v>4230</v>
      </c>
    </row>
    <row r="1862" spans="1:76" ht="38.25">
      <c r="A1862" s="1713"/>
      <c r="B1862" s="1714"/>
      <c r="C1862" s="1727"/>
      <c r="D1862" s="1727"/>
      <c r="E1862" s="3791"/>
      <c r="F1862" s="1727"/>
      <c r="G1862" s="1727"/>
      <c r="H1862" s="1727" t="s">
        <v>66</v>
      </c>
      <c r="I1862" s="1716" t="s">
        <v>4231</v>
      </c>
      <c r="J1862" s="1716" t="s">
        <v>4232</v>
      </c>
      <c r="K1862" s="1713">
        <v>72</v>
      </c>
      <c r="L1862" s="1725">
        <v>9600000</v>
      </c>
      <c r="M1862" s="3637">
        <v>24</v>
      </c>
      <c r="N1862" s="3637">
        <v>0</v>
      </c>
      <c r="O1862" s="1713">
        <v>12</v>
      </c>
      <c r="P1862" s="1723">
        <v>4800000</v>
      </c>
      <c r="Q1862" s="3637">
        <v>3</v>
      </c>
      <c r="R1862" s="1725">
        <v>1030000</v>
      </c>
      <c r="S1862" s="1713">
        <v>3</v>
      </c>
      <c r="T1862" s="1725">
        <v>1630000</v>
      </c>
      <c r="U1862" s="1713">
        <v>3</v>
      </c>
      <c r="V1862" s="1725">
        <v>650000</v>
      </c>
      <c r="W1862" s="1713"/>
      <c r="X1862" s="1713"/>
      <c r="Y1862" s="1713">
        <f t="shared" si="609"/>
        <v>9</v>
      </c>
      <c r="Z1862" s="1725">
        <f>R1862+T1862+V1862+X1862</f>
        <v>3310000</v>
      </c>
      <c r="AA1862" s="1713">
        <f t="shared" si="610"/>
        <v>33</v>
      </c>
      <c r="AB1862" s="1725">
        <f t="shared" si="610"/>
        <v>3310000</v>
      </c>
      <c r="AC1862" s="3638">
        <f t="shared" si="611"/>
        <v>45.833333333333329</v>
      </c>
      <c r="AD1862" s="3639">
        <f t="shared" si="611"/>
        <v>34.479166666666664</v>
      </c>
      <c r="AE1862" s="1713" t="s">
        <v>4230</v>
      </c>
      <c r="AF1862" s="54"/>
      <c r="AG1862" s="3656"/>
      <c r="AH1862" s="54"/>
      <c r="AI1862" s="54"/>
      <c r="AJ1862" s="54"/>
      <c r="AK1862" s="54"/>
      <c r="AL1862" s="54"/>
      <c r="AM1862" s="54"/>
      <c r="AN1862" s="54"/>
      <c r="AO1862" s="54"/>
      <c r="AP1862" s="54"/>
      <c r="AQ1862" s="54"/>
      <c r="AR1862" s="54"/>
      <c r="AS1862" s="54"/>
      <c r="AT1862" s="54"/>
      <c r="AU1862" s="54"/>
      <c r="AV1862" s="54"/>
      <c r="AW1862" s="54"/>
      <c r="AX1862" s="54"/>
      <c r="AY1862" s="54"/>
      <c r="AZ1862" s="54"/>
      <c r="BA1862" s="54"/>
      <c r="BB1862" s="54"/>
      <c r="BC1862" s="54"/>
      <c r="BD1862" s="54"/>
      <c r="BE1862" s="54"/>
      <c r="BF1862" s="54"/>
      <c r="BG1862" s="54"/>
      <c r="BH1862" s="54"/>
      <c r="BI1862" s="54"/>
      <c r="BJ1862" s="54"/>
      <c r="BK1862" s="54"/>
      <c r="BL1862" s="54"/>
      <c r="BM1862" s="54"/>
      <c r="BN1862" s="54"/>
      <c r="BO1862" s="54"/>
      <c r="BP1862" s="54"/>
      <c r="BQ1862" s="54"/>
      <c r="BR1862" s="54"/>
      <c r="BS1862" s="54"/>
      <c r="BT1862" s="54"/>
      <c r="BU1862" s="54"/>
      <c r="BV1862" s="54"/>
      <c r="BW1862" s="54"/>
      <c r="BX1862" s="54"/>
    </row>
    <row r="1863" spans="1:76" s="65" customFormat="1" ht="51">
      <c r="A1863" s="2632"/>
      <c r="B1863" s="1726"/>
      <c r="C1863" s="1727"/>
      <c r="D1863" s="1727"/>
      <c r="E1863" s="3792"/>
      <c r="F1863" s="1727"/>
      <c r="G1863" s="1727"/>
      <c r="H1863" s="3640" t="s">
        <v>4233</v>
      </c>
      <c r="I1863" s="2632" t="s">
        <v>4234</v>
      </c>
      <c r="J1863" s="2632" t="s">
        <v>4235</v>
      </c>
      <c r="K1863" s="2632">
        <v>72</v>
      </c>
      <c r="L1863" s="1731">
        <v>59050000</v>
      </c>
      <c r="M1863" s="2632">
        <v>24</v>
      </c>
      <c r="N1863" s="1731">
        <v>21050000</v>
      </c>
      <c r="O1863" s="2632">
        <v>12</v>
      </c>
      <c r="P1863" s="1731">
        <v>9000000</v>
      </c>
      <c r="Q1863" s="2632">
        <v>3</v>
      </c>
      <c r="R1863" s="1731">
        <v>1452636</v>
      </c>
      <c r="S1863" s="2632">
        <v>3</v>
      </c>
      <c r="T1863" s="1725">
        <v>1452636</v>
      </c>
      <c r="U1863" s="2632">
        <v>3</v>
      </c>
      <c r="V1863" s="1725">
        <v>3450586</v>
      </c>
      <c r="W1863" s="2632"/>
      <c r="X1863" s="2632"/>
      <c r="Y1863" s="1731">
        <f t="shared" si="609"/>
        <v>9</v>
      </c>
      <c r="Z1863" s="1731">
        <f>R1863+T1863+V1863+X1863</f>
        <v>6355858</v>
      </c>
      <c r="AA1863" s="1731">
        <f t="shared" si="610"/>
        <v>33</v>
      </c>
      <c r="AB1863" s="1731">
        <f t="shared" si="610"/>
        <v>27405858</v>
      </c>
      <c r="AC1863" s="3641">
        <f t="shared" si="611"/>
        <v>45.833333333333329</v>
      </c>
      <c r="AD1863" s="3641">
        <f t="shared" si="611"/>
        <v>46.411275190516513</v>
      </c>
      <c r="AE1863" s="64" t="s">
        <v>4230</v>
      </c>
      <c r="AG1863" s="3656"/>
    </row>
    <row r="1864" spans="1:76" ht="76.5">
      <c r="A1864" s="64"/>
      <c r="B1864" s="2632"/>
      <c r="C1864" s="1727"/>
      <c r="D1864" s="1727"/>
      <c r="E1864" s="3792"/>
      <c r="F1864" s="1727"/>
      <c r="G1864" s="1727"/>
      <c r="H1864" s="1727" t="s">
        <v>198</v>
      </c>
      <c r="I1864" s="2632" t="s">
        <v>148</v>
      </c>
      <c r="J1864" s="2632" t="s">
        <v>4308</v>
      </c>
      <c r="K1864" s="2632">
        <v>72</v>
      </c>
      <c r="L1864" s="1731">
        <v>184900000</v>
      </c>
      <c r="M1864" s="2632">
        <v>24</v>
      </c>
      <c r="N1864" s="1731">
        <v>43800000</v>
      </c>
      <c r="O1864" s="2632">
        <v>12</v>
      </c>
      <c r="P1864" s="1731">
        <v>47800000</v>
      </c>
      <c r="Q1864" s="2632">
        <v>3</v>
      </c>
      <c r="R1864" s="1731">
        <v>11550000</v>
      </c>
      <c r="S1864" s="2632">
        <v>3</v>
      </c>
      <c r="T1864" s="1725">
        <v>19250000</v>
      </c>
      <c r="U1864" s="2632">
        <v>3</v>
      </c>
      <c r="V1864" s="1725">
        <v>4000000</v>
      </c>
      <c r="W1864" s="2632"/>
      <c r="X1864" s="2632"/>
      <c r="Y1864" s="2632">
        <f t="shared" si="609"/>
        <v>9</v>
      </c>
      <c r="Z1864" s="1731">
        <f t="shared" si="609"/>
        <v>34800000</v>
      </c>
      <c r="AA1864" s="2632">
        <f t="shared" si="610"/>
        <v>33</v>
      </c>
      <c r="AB1864" s="1731">
        <f t="shared" si="610"/>
        <v>78600000</v>
      </c>
      <c r="AC1864" s="2305">
        <f t="shared" si="611"/>
        <v>45.833333333333329</v>
      </c>
      <c r="AD1864" s="2305">
        <f t="shared" si="611"/>
        <v>42.509464575446188</v>
      </c>
      <c r="AE1864" s="64" t="s">
        <v>4230</v>
      </c>
      <c r="AF1864" s="54"/>
      <c r="AG1864" s="3656"/>
      <c r="AH1864" s="54"/>
      <c r="AI1864" s="54"/>
      <c r="AJ1864" s="54"/>
      <c r="AK1864" s="54"/>
      <c r="AL1864" s="54"/>
      <c r="AM1864" s="54"/>
      <c r="AN1864" s="54"/>
      <c r="AO1864" s="54"/>
      <c r="AP1864" s="54"/>
      <c r="AQ1864" s="54"/>
      <c r="AR1864" s="54"/>
      <c r="AS1864" s="54"/>
      <c r="AT1864" s="54"/>
      <c r="AU1864" s="54"/>
      <c r="AV1864" s="54"/>
      <c r="AW1864" s="54"/>
      <c r="AX1864" s="54"/>
      <c r="AY1864" s="54"/>
      <c r="AZ1864" s="54"/>
      <c r="BA1864" s="54"/>
      <c r="BB1864" s="54"/>
      <c r="BC1864" s="54"/>
      <c r="BD1864" s="54"/>
      <c r="BE1864" s="54"/>
      <c r="BF1864" s="54"/>
      <c r="BG1864" s="54"/>
      <c r="BH1864" s="54"/>
      <c r="BI1864" s="54"/>
      <c r="BJ1864" s="54"/>
      <c r="BK1864" s="54"/>
      <c r="BL1864" s="54"/>
      <c r="BM1864" s="54"/>
      <c r="BN1864" s="54"/>
      <c r="BO1864" s="54"/>
      <c r="BP1864" s="54"/>
      <c r="BQ1864" s="54"/>
      <c r="BR1864" s="54"/>
      <c r="BS1864" s="54"/>
      <c r="BT1864" s="54"/>
      <c r="BU1864" s="54"/>
      <c r="BV1864" s="54"/>
      <c r="BW1864" s="54"/>
      <c r="BX1864" s="54"/>
    </row>
    <row r="1865" spans="1:76" ht="38.25">
      <c r="A1865" s="64"/>
      <c r="B1865" s="1726"/>
      <c r="C1865" s="1727"/>
      <c r="D1865" s="1727"/>
      <c r="E1865" s="3792"/>
      <c r="F1865" s="1727"/>
      <c r="G1865" s="1727"/>
      <c r="H1865" s="1727" t="s">
        <v>93</v>
      </c>
      <c r="I1865" s="2632" t="s">
        <v>876</v>
      </c>
      <c r="J1865" s="2632" t="s">
        <v>4236</v>
      </c>
      <c r="K1865" s="2632">
        <v>72</v>
      </c>
      <c r="L1865" s="1731">
        <v>79360100</v>
      </c>
      <c r="M1865" s="2632">
        <v>24</v>
      </c>
      <c r="N1865" s="1731">
        <v>23560200</v>
      </c>
      <c r="O1865" s="2632">
        <v>12</v>
      </c>
      <c r="P1865" s="1731">
        <v>11800100</v>
      </c>
      <c r="Q1865" s="2632">
        <v>3</v>
      </c>
      <c r="R1865" s="1731">
        <v>3574900</v>
      </c>
      <c r="S1865" s="2632"/>
      <c r="T1865" s="1725">
        <v>5606900</v>
      </c>
      <c r="U1865" s="2632"/>
      <c r="V1865" s="1725">
        <v>2893900</v>
      </c>
      <c r="W1865" s="2632"/>
      <c r="X1865" s="2632"/>
      <c r="Y1865" s="2632">
        <f t="shared" si="609"/>
        <v>3</v>
      </c>
      <c r="Z1865" s="1731">
        <f t="shared" si="609"/>
        <v>12075700</v>
      </c>
      <c r="AA1865" s="2632">
        <f t="shared" si="610"/>
        <v>27</v>
      </c>
      <c r="AB1865" s="1731">
        <f t="shared" si="610"/>
        <v>35635900</v>
      </c>
      <c r="AC1865" s="2305">
        <f t="shared" si="611"/>
        <v>37.5</v>
      </c>
      <c r="AD1865" s="2305">
        <f t="shared" si="611"/>
        <v>44.90405128017732</v>
      </c>
      <c r="AE1865" s="64" t="s">
        <v>4230</v>
      </c>
      <c r="AF1865" s="54"/>
      <c r="AG1865" s="3656"/>
      <c r="AH1865" s="54"/>
      <c r="AI1865" s="54"/>
      <c r="AJ1865" s="54"/>
      <c r="AK1865" s="54"/>
      <c r="AL1865" s="54"/>
      <c r="AM1865" s="54"/>
      <c r="AN1865" s="54"/>
      <c r="AO1865" s="54"/>
      <c r="AP1865" s="54"/>
      <c r="AQ1865" s="54"/>
      <c r="AR1865" s="54"/>
      <c r="AS1865" s="54"/>
      <c r="AT1865" s="54"/>
      <c r="AU1865" s="54"/>
      <c r="AV1865" s="54"/>
      <c r="AW1865" s="54"/>
      <c r="AX1865" s="54"/>
      <c r="AY1865" s="54"/>
      <c r="AZ1865" s="54"/>
      <c r="BA1865" s="54"/>
      <c r="BB1865" s="54"/>
      <c r="BC1865" s="54"/>
      <c r="BD1865" s="54"/>
      <c r="BE1865" s="54"/>
      <c r="BF1865" s="54"/>
      <c r="BG1865" s="54"/>
      <c r="BH1865" s="54"/>
      <c r="BI1865" s="54"/>
      <c r="BJ1865" s="54"/>
      <c r="BK1865" s="54"/>
      <c r="BL1865" s="54"/>
      <c r="BM1865" s="54"/>
      <c r="BN1865" s="54"/>
      <c r="BO1865" s="54"/>
      <c r="BP1865" s="54"/>
      <c r="BQ1865" s="54"/>
      <c r="BR1865" s="54"/>
      <c r="BS1865" s="54"/>
      <c r="BT1865" s="54"/>
      <c r="BU1865" s="54"/>
      <c r="BV1865" s="54"/>
      <c r="BW1865" s="54"/>
      <c r="BX1865" s="54"/>
    </row>
    <row r="1866" spans="1:76" ht="25.5">
      <c r="A1866" s="64"/>
      <c r="B1866" s="1726"/>
      <c r="C1866" s="1727"/>
      <c r="D1866" s="1727"/>
      <c r="E1866" s="3792"/>
      <c r="F1866" s="1727"/>
      <c r="G1866" s="1727"/>
      <c r="H1866" s="1727" t="s">
        <v>202</v>
      </c>
      <c r="I1866" s="2632" t="s">
        <v>880</v>
      </c>
      <c r="J1866" s="2632" t="s">
        <v>4237</v>
      </c>
      <c r="K1866" s="2632">
        <v>250</v>
      </c>
      <c r="L1866" s="1731">
        <v>64539880</v>
      </c>
      <c r="M1866" s="2632">
        <v>24</v>
      </c>
      <c r="N1866" s="1731">
        <v>13765000</v>
      </c>
      <c r="O1866" s="2632">
        <v>12</v>
      </c>
      <c r="P1866" s="1731">
        <v>16324880</v>
      </c>
      <c r="Q1866" s="2632">
        <v>3</v>
      </c>
      <c r="R1866" s="1731">
        <v>4412000</v>
      </c>
      <c r="S1866" s="2632"/>
      <c r="T1866" s="1725">
        <v>7306700</v>
      </c>
      <c r="U1866" s="2632"/>
      <c r="V1866" s="1725">
        <v>2689400</v>
      </c>
      <c r="W1866" s="2632"/>
      <c r="X1866" s="2632"/>
      <c r="Y1866" s="2632">
        <f t="shared" si="609"/>
        <v>3</v>
      </c>
      <c r="Z1866" s="1731">
        <f t="shared" si="609"/>
        <v>14408100</v>
      </c>
      <c r="AA1866" s="2632">
        <f t="shared" si="610"/>
        <v>27</v>
      </c>
      <c r="AB1866" s="1731">
        <f t="shared" si="610"/>
        <v>28173100</v>
      </c>
      <c r="AC1866" s="2305">
        <f t="shared" si="611"/>
        <v>10.8</v>
      </c>
      <c r="AD1866" s="2305">
        <f t="shared" si="611"/>
        <v>43.652234866256336</v>
      </c>
      <c r="AE1866" s="64" t="s">
        <v>4230</v>
      </c>
      <c r="AF1866" s="54"/>
      <c r="AG1866" s="3656"/>
      <c r="AH1866" s="54"/>
      <c r="AI1866" s="54"/>
      <c r="AJ1866" s="54"/>
      <c r="AK1866" s="54"/>
      <c r="AL1866" s="54"/>
      <c r="AM1866" s="54"/>
      <c r="AN1866" s="54"/>
      <c r="AO1866" s="54"/>
      <c r="AP1866" s="54"/>
      <c r="AQ1866" s="54"/>
      <c r="AR1866" s="54"/>
      <c r="AS1866" s="54"/>
      <c r="AT1866" s="54"/>
      <c r="AU1866" s="54"/>
      <c r="AV1866" s="54"/>
      <c r="AW1866" s="54"/>
      <c r="AX1866" s="54"/>
      <c r="AY1866" s="54"/>
      <c r="AZ1866" s="54"/>
      <c r="BA1866" s="54"/>
      <c r="BB1866" s="54"/>
      <c r="BC1866" s="54"/>
      <c r="BD1866" s="54"/>
      <c r="BE1866" s="54"/>
      <c r="BF1866" s="54"/>
      <c r="BG1866" s="54"/>
      <c r="BH1866" s="54"/>
      <c r="BI1866" s="54"/>
      <c r="BJ1866" s="54"/>
      <c r="BK1866" s="54"/>
      <c r="BL1866" s="54"/>
      <c r="BM1866" s="54"/>
      <c r="BN1866" s="54"/>
      <c r="BO1866" s="54"/>
      <c r="BP1866" s="54"/>
      <c r="BQ1866" s="54"/>
      <c r="BR1866" s="54"/>
      <c r="BS1866" s="54"/>
      <c r="BT1866" s="54"/>
      <c r="BU1866" s="54"/>
      <c r="BV1866" s="54"/>
      <c r="BW1866" s="54"/>
      <c r="BX1866" s="54"/>
    </row>
    <row r="1867" spans="1:76" ht="95.25" customHeight="1">
      <c r="A1867" s="64"/>
      <c r="B1867" s="1726"/>
      <c r="C1867" s="1727"/>
      <c r="D1867" s="1727"/>
      <c r="E1867" s="3792"/>
      <c r="F1867" s="1727"/>
      <c r="G1867" s="1727"/>
      <c r="H1867" s="1727" t="s">
        <v>417</v>
      </c>
      <c r="I1867" s="2632" t="s">
        <v>4238</v>
      </c>
      <c r="J1867" s="2632" t="s">
        <v>4309</v>
      </c>
      <c r="K1867" s="2632">
        <v>72</v>
      </c>
      <c r="L1867" s="1731">
        <v>104658600</v>
      </c>
      <c r="M1867" s="2632">
        <v>24</v>
      </c>
      <c r="N1867" s="1731">
        <v>24200000</v>
      </c>
      <c r="O1867" s="2632">
        <v>12</v>
      </c>
      <c r="P1867" s="1731">
        <v>13598600</v>
      </c>
      <c r="Q1867" s="2632">
        <v>3</v>
      </c>
      <c r="R1867" s="1731">
        <v>2800000</v>
      </c>
      <c r="S1867" s="2632">
        <v>3</v>
      </c>
      <c r="T1867" s="1725">
        <v>0</v>
      </c>
      <c r="U1867" s="2632">
        <v>3</v>
      </c>
      <c r="V1867" s="1725">
        <v>6110000</v>
      </c>
      <c r="W1867" s="2632"/>
      <c r="X1867" s="2632"/>
      <c r="Y1867" s="2632">
        <f t="shared" si="609"/>
        <v>9</v>
      </c>
      <c r="Z1867" s="1731">
        <f t="shared" si="609"/>
        <v>8910000</v>
      </c>
      <c r="AA1867" s="2632">
        <f t="shared" si="610"/>
        <v>33</v>
      </c>
      <c r="AB1867" s="1731">
        <f t="shared" si="610"/>
        <v>33110000</v>
      </c>
      <c r="AC1867" s="2305">
        <f t="shared" si="611"/>
        <v>45.833333333333329</v>
      </c>
      <c r="AD1867" s="2305">
        <f t="shared" si="611"/>
        <v>31.636196165436953</v>
      </c>
      <c r="AE1867" s="64" t="s">
        <v>4230</v>
      </c>
      <c r="AF1867" s="54"/>
      <c r="AG1867" s="3656"/>
      <c r="AH1867" s="54"/>
      <c r="AI1867" s="54"/>
      <c r="AJ1867" s="54"/>
      <c r="AK1867" s="54"/>
      <c r="AL1867" s="54"/>
      <c r="AM1867" s="54"/>
      <c r="AN1867" s="54"/>
      <c r="AO1867" s="54"/>
      <c r="AP1867" s="54"/>
      <c r="AQ1867" s="54"/>
      <c r="AR1867" s="54"/>
      <c r="AS1867" s="54"/>
      <c r="AT1867" s="54"/>
      <c r="AU1867" s="54"/>
      <c r="AV1867" s="54"/>
      <c r="AW1867" s="54"/>
      <c r="AX1867" s="54"/>
      <c r="AY1867" s="54"/>
      <c r="AZ1867" s="54"/>
      <c r="BA1867" s="54"/>
      <c r="BB1867" s="54"/>
      <c r="BC1867" s="54"/>
      <c r="BD1867" s="54"/>
      <c r="BE1867" s="54"/>
      <c r="BF1867" s="54"/>
      <c r="BG1867" s="54"/>
      <c r="BH1867" s="54"/>
      <c r="BI1867" s="54"/>
      <c r="BJ1867" s="54"/>
      <c r="BK1867" s="54"/>
      <c r="BL1867" s="54"/>
      <c r="BM1867" s="54"/>
      <c r="BN1867" s="54"/>
      <c r="BO1867" s="54"/>
      <c r="BP1867" s="54"/>
      <c r="BQ1867" s="54"/>
      <c r="BR1867" s="54"/>
      <c r="BS1867" s="54"/>
      <c r="BT1867" s="54"/>
      <c r="BU1867" s="54"/>
      <c r="BV1867" s="54"/>
      <c r="BW1867" s="54"/>
      <c r="BX1867" s="54"/>
    </row>
    <row r="1868" spans="1:76" ht="51">
      <c r="A1868" s="64"/>
      <c r="B1868" s="1726"/>
      <c r="C1868" s="1727"/>
      <c r="D1868" s="1727"/>
      <c r="E1868" s="3792"/>
      <c r="F1868" s="1727"/>
      <c r="G1868" s="1727"/>
      <c r="H1868" s="1727" t="s">
        <v>160</v>
      </c>
      <c r="I1868" s="2632" t="s">
        <v>4239</v>
      </c>
      <c r="J1868" s="2632" t="s">
        <v>4311</v>
      </c>
      <c r="K1868" s="2632">
        <v>70</v>
      </c>
      <c r="L1868" s="1731">
        <v>16000000</v>
      </c>
      <c r="M1868" s="2632">
        <v>24</v>
      </c>
      <c r="N1868" s="1731">
        <v>6000000</v>
      </c>
      <c r="O1868" s="2632">
        <v>12</v>
      </c>
      <c r="P1868" s="1731">
        <v>1500000</v>
      </c>
      <c r="Q1868" s="2632">
        <v>3</v>
      </c>
      <c r="R1868" s="1731">
        <v>767500</v>
      </c>
      <c r="S1868" s="2632"/>
      <c r="T1868" s="1725">
        <v>1051500</v>
      </c>
      <c r="U1868" s="2632"/>
      <c r="V1868" s="1725">
        <v>274500</v>
      </c>
      <c r="W1868" s="2632"/>
      <c r="X1868" s="2632"/>
      <c r="Y1868" s="2632">
        <f t="shared" si="609"/>
        <v>3</v>
      </c>
      <c r="Z1868" s="1731">
        <f t="shared" si="609"/>
        <v>2093500</v>
      </c>
      <c r="AA1868" s="2632">
        <f t="shared" si="610"/>
        <v>27</v>
      </c>
      <c r="AB1868" s="1731">
        <f t="shared" si="610"/>
        <v>8093500</v>
      </c>
      <c r="AC1868" s="2305">
        <f t="shared" si="611"/>
        <v>38.571428571428577</v>
      </c>
      <c r="AD1868" s="2305">
        <f t="shared" si="611"/>
        <v>50.584375000000001</v>
      </c>
      <c r="AE1868" s="64" t="s">
        <v>4230</v>
      </c>
      <c r="AF1868" s="54"/>
      <c r="AG1868" s="3656"/>
      <c r="AH1868" s="54"/>
      <c r="AI1868" s="54"/>
      <c r="AJ1868" s="54"/>
      <c r="AK1868" s="54"/>
      <c r="AL1868" s="54"/>
      <c r="AM1868" s="54"/>
      <c r="AN1868" s="54"/>
      <c r="AO1868" s="54"/>
      <c r="AP1868" s="54"/>
      <c r="AQ1868" s="54"/>
      <c r="AR1868" s="54"/>
      <c r="AS1868" s="54"/>
      <c r="AT1868" s="54"/>
      <c r="AU1868" s="54"/>
      <c r="AV1868" s="54"/>
      <c r="AW1868" s="54"/>
      <c r="AX1868" s="54"/>
      <c r="AY1868" s="54"/>
      <c r="AZ1868" s="54"/>
      <c r="BA1868" s="54"/>
      <c r="BB1868" s="54"/>
      <c r="BC1868" s="54"/>
      <c r="BD1868" s="54"/>
      <c r="BE1868" s="54"/>
      <c r="BF1868" s="54"/>
      <c r="BG1868" s="54"/>
      <c r="BH1868" s="54"/>
      <c r="BI1868" s="54"/>
      <c r="BJ1868" s="54"/>
      <c r="BK1868" s="54"/>
      <c r="BL1868" s="54"/>
      <c r="BM1868" s="54"/>
      <c r="BN1868" s="54"/>
      <c r="BO1868" s="54"/>
      <c r="BP1868" s="54"/>
      <c r="BQ1868" s="54"/>
      <c r="BR1868" s="54"/>
      <c r="BS1868" s="54"/>
      <c r="BT1868" s="54"/>
      <c r="BU1868" s="54"/>
      <c r="BV1868" s="54"/>
      <c r="BW1868" s="54"/>
      <c r="BX1868" s="54"/>
    </row>
    <row r="1869" spans="1:76" ht="63.75">
      <c r="A1869" s="64"/>
      <c r="B1869" s="1726"/>
      <c r="C1869" s="1727"/>
      <c r="D1869" s="1727"/>
      <c r="E1869" s="3792"/>
      <c r="F1869" s="1727"/>
      <c r="G1869" s="1727"/>
      <c r="H1869" s="1727" t="s">
        <v>155</v>
      </c>
      <c r="I1869" s="2632" t="s">
        <v>2830</v>
      </c>
      <c r="J1869" s="2632" t="s">
        <v>4310</v>
      </c>
      <c r="K1869" s="2632">
        <v>72</v>
      </c>
      <c r="L1869" s="1731">
        <v>50269120</v>
      </c>
      <c r="M1869" s="2632">
        <v>24</v>
      </c>
      <c r="N1869" s="1731">
        <v>15180000</v>
      </c>
      <c r="O1869" s="2632">
        <v>12</v>
      </c>
      <c r="P1869" s="1731">
        <v>8589120</v>
      </c>
      <c r="Q1869" s="2632">
        <v>3</v>
      </c>
      <c r="R1869" s="1731">
        <v>1080000</v>
      </c>
      <c r="S1869" s="2632"/>
      <c r="T1869" s="1725">
        <v>2160000</v>
      </c>
      <c r="U1869" s="2632"/>
      <c r="V1869" s="1725">
        <v>1620000</v>
      </c>
      <c r="W1869" s="2632"/>
      <c r="X1869" s="2632"/>
      <c r="Y1869" s="2632">
        <f t="shared" si="609"/>
        <v>3</v>
      </c>
      <c r="Z1869" s="1731">
        <f>R1869+T1869+V1869+X1869</f>
        <v>4860000</v>
      </c>
      <c r="AA1869" s="2632">
        <f t="shared" si="610"/>
        <v>27</v>
      </c>
      <c r="AB1869" s="1731">
        <f t="shared" si="610"/>
        <v>20040000</v>
      </c>
      <c r="AC1869" s="2305">
        <f t="shared" si="611"/>
        <v>37.5</v>
      </c>
      <c r="AD1869" s="2305">
        <f t="shared" si="611"/>
        <v>39.865428318617873</v>
      </c>
      <c r="AE1869" s="64" t="s">
        <v>4230</v>
      </c>
      <c r="AF1869" s="54"/>
      <c r="AG1869" s="3656"/>
      <c r="AH1869" s="54"/>
      <c r="AI1869" s="54"/>
      <c r="AJ1869" s="54"/>
      <c r="AK1869" s="54"/>
      <c r="AL1869" s="54"/>
      <c r="AM1869" s="54"/>
      <c r="AN1869" s="54"/>
      <c r="AO1869" s="54"/>
      <c r="AP1869" s="54"/>
      <c r="AQ1869" s="54"/>
      <c r="AR1869" s="54"/>
      <c r="AS1869" s="54"/>
      <c r="AT1869" s="54"/>
      <c r="AU1869" s="54"/>
      <c r="AV1869" s="54"/>
      <c r="AW1869" s="54"/>
      <c r="AX1869" s="54"/>
      <c r="AY1869" s="54"/>
      <c r="AZ1869" s="54"/>
      <c r="BA1869" s="54"/>
      <c r="BB1869" s="54"/>
      <c r="BC1869" s="54"/>
      <c r="BD1869" s="54"/>
      <c r="BE1869" s="54"/>
      <c r="BF1869" s="54"/>
      <c r="BG1869" s="54"/>
      <c r="BH1869" s="54"/>
      <c r="BI1869" s="54"/>
      <c r="BJ1869" s="54"/>
      <c r="BK1869" s="54"/>
      <c r="BL1869" s="54"/>
      <c r="BM1869" s="54"/>
      <c r="BN1869" s="54"/>
      <c r="BO1869" s="54"/>
      <c r="BP1869" s="54"/>
      <c r="BQ1869" s="54"/>
      <c r="BR1869" s="54"/>
      <c r="BS1869" s="54"/>
      <c r="BT1869" s="54"/>
      <c r="BU1869" s="54"/>
      <c r="BV1869" s="54"/>
      <c r="BW1869" s="54"/>
      <c r="BX1869" s="54"/>
    </row>
    <row r="1870" spans="1:76" s="75" customFormat="1" ht="75.75" customHeight="1">
      <c r="A1870" s="64"/>
      <c r="B1870" s="1726"/>
      <c r="C1870" s="1727"/>
      <c r="D1870" s="1727"/>
      <c r="E1870" s="3792"/>
      <c r="F1870" s="1727"/>
      <c r="G1870" s="1727"/>
      <c r="H1870" s="1727" t="s">
        <v>448</v>
      </c>
      <c r="I1870" s="2632" t="s">
        <v>223</v>
      </c>
      <c r="J1870" s="2632" t="s">
        <v>4240</v>
      </c>
      <c r="K1870" s="2632">
        <v>72</v>
      </c>
      <c r="L1870" s="1731">
        <v>207277500</v>
      </c>
      <c r="M1870" s="2632">
        <v>24</v>
      </c>
      <c r="N1870" s="1731">
        <v>73227500</v>
      </c>
      <c r="O1870" s="2632">
        <v>12</v>
      </c>
      <c r="P1870" s="1731">
        <v>18050000</v>
      </c>
      <c r="Q1870" s="2632">
        <v>3</v>
      </c>
      <c r="R1870" s="1731">
        <v>1595000</v>
      </c>
      <c r="S1870" s="2632">
        <v>3</v>
      </c>
      <c r="T1870" s="1725">
        <v>0</v>
      </c>
      <c r="U1870" s="2632">
        <v>3</v>
      </c>
      <c r="V1870" s="1725">
        <v>10477500</v>
      </c>
      <c r="W1870" s="2632"/>
      <c r="X1870" s="2632"/>
      <c r="Y1870" s="2632">
        <f t="shared" si="609"/>
        <v>9</v>
      </c>
      <c r="Z1870" s="1731">
        <f>R1870+T1870+V1870+X1870</f>
        <v>12072500</v>
      </c>
      <c r="AA1870" s="2632">
        <f t="shared" si="610"/>
        <v>33</v>
      </c>
      <c r="AB1870" s="1731">
        <f t="shared" si="610"/>
        <v>85300000</v>
      </c>
      <c r="AC1870" s="2305">
        <f t="shared" si="611"/>
        <v>45.833333333333329</v>
      </c>
      <c r="AD1870" s="2305">
        <f t="shared" si="611"/>
        <v>41.152561180060552</v>
      </c>
      <c r="AE1870" s="64" t="s">
        <v>4230</v>
      </c>
      <c r="AG1870" s="3656"/>
    </row>
    <row r="1871" spans="1:76" s="75" customFormat="1" ht="51">
      <c r="A1871" s="64"/>
      <c r="B1871" s="1726"/>
      <c r="C1871" s="1727"/>
      <c r="D1871" s="1727"/>
      <c r="E1871" s="3792"/>
      <c r="F1871" s="1727"/>
      <c r="G1871" s="1727"/>
      <c r="H1871" s="1727" t="s">
        <v>167</v>
      </c>
      <c r="I1871" s="2632" t="s">
        <v>4241</v>
      </c>
      <c r="J1871" s="2632" t="s">
        <v>4242</v>
      </c>
      <c r="K1871" s="2632">
        <v>72</v>
      </c>
      <c r="L1871" s="1731">
        <v>170500000</v>
      </c>
      <c r="M1871" s="2632">
        <v>24</v>
      </c>
      <c r="N1871" s="1731">
        <v>57700000</v>
      </c>
      <c r="O1871" s="2632">
        <v>12</v>
      </c>
      <c r="P1871" s="1731">
        <v>23800000</v>
      </c>
      <c r="Q1871" s="2632">
        <v>3</v>
      </c>
      <c r="R1871" s="1731">
        <v>0</v>
      </c>
      <c r="S1871" s="2632">
        <v>3</v>
      </c>
      <c r="T1871" s="1725">
        <v>1000000</v>
      </c>
      <c r="U1871" s="2632">
        <v>3</v>
      </c>
      <c r="V1871" s="1725">
        <v>14253800</v>
      </c>
      <c r="W1871" s="2632"/>
      <c r="X1871" s="2632"/>
      <c r="Y1871" s="2632">
        <f t="shared" si="609"/>
        <v>9</v>
      </c>
      <c r="Z1871" s="1731">
        <f t="shared" si="609"/>
        <v>15253800</v>
      </c>
      <c r="AA1871" s="2632">
        <f t="shared" si="610"/>
        <v>33</v>
      </c>
      <c r="AB1871" s="1731">
        <f t="shared" si="610"/>
        <v>72953800</v>
      </c>
      <c r="AC1871" s="2305">
        <f t="shared" si="611"/>
        <v>45.833333333333329</v>
      </c>
      <c r="AD1871" s="2305">
        <f t="shared" si="611"/>
        <v>42.788152492668623</v>
      </c>
      <c r="AE1871" s="64" t="s">
        <v>4230</v>
      </c>
      <c r="AG1871" s="3656"/>
    </row>
    <row r="1872" spans="1:76" s="75" customFormat="1" ht="94.5" customHeight="1">
      <c r="A1872" s="64"/>
      <c r="B1872" s="1726"/>
      <c r="C1872" s="1727"/>
      <c r="D1872" s="1727"/>
      <c r="E1872" s="3792"/>
      <c r="F1872" s="1727"/>
      <c r="G1872" s="1727"/>
      <c r="H1872" s="1727" t="s">
        <v>376</v>
      </c>
      <c r="I1872" s="2632" t="s">
        <v>4243</v>
      </c>
      <c r="J1872" s="2632" t="s">
        <v>4244</v>
      </c>
      <c r="K1872" s="2632">
        <v>72</v>
      </c>
      <c r="L1872" s="1731">
        <v>387660000</v>
      </c>
      <c r="M1872" s="2632">
        <v>24</v>
      </c>
      <c r="N1872" s="1731">
        <v>117160000</v>
      </c>
      <c r="O1872" s="2632">
        <v>12</v>
      </c>
      <c r="P1872" s="1731">
        <v>48000000</v>
      </c>
      <c r="Q1872" s="2632">
        <v>3</v>
      </c>
      <c r="R1872" s="1731">
        <v>5925000</v>
      </c>
      <c r="S1872" s="2632"/>
      <c r="T1872" s="1725">
        <v>30220000</v>
      </c>
      <c r="U1872" s="2632"/>
      <c r="V1872" s="1725">
        <v>14385000</v>
      </c>
      <c r="W1872" s="2632"/>
      <c r="X1872" s="2632"/>
      <c r="Y1872" s="2632">
        <f t="shared" si="609"/>
        <v>3</v>
      </c>
      <c r="Z1872" s="1731">
        <f t="shared" si="609"/>
        <v>50530000</v>
      </c>
      <c r="AA1872" s="2632">
        <f t="shared" si="610"/>
        <v>27</v>
      </c>
      <c r="AB1872" s="1731">
        <f t="shared" si="610"/>
        <v>167690000</v>
      </c>
      <c r="AC1872" s="2305">
        <f t="shared" si="611"/>
        <v>37.5</v>
      </c>
      <c r="AD1872" s="2305">
        <f t="shared" si="611"/>
        <v>43.256977764020014</v>
      </c>
      <c r="AE1872" s="64" t="s">
        <v>4230</v>
      </c>
      <c r="AG1872" s="3656"/>
    </row>
    <row r="1873" spans="1:33" s="75" customFormat="1" ht="63.75">
      <c r="A1873" s="64"/>
      <c r="B1873" s="1726"/>
      <c r="C1873" s="1727"/>
      <c r="D1873" s="1727"/>
      <c r="E1873" s="3792"/>
      <c r="F1873" s="1727"/>
      <c r="G1873" s="1727"/>
      <c r="H1873" s="1727" t="s">
        <v>163</v>
      </c>
      <c r="I1873" s="2632" t="s">
        <v>4245</v>
      </c>
      <c r="J1873" s="2632" t="s">
        <v>4246</v>
      </c>
      <c r="K1873" s="2632">
        <v>36</v>
      </c>
      <c r="L1873" s="1731">
        <v>90024000</v>
      </c>
      <c r="M1873" s="2632">
        <v>10</v>
      </c>
      <c r="N1873" s="1731">
        <v>10500000</v>
      </c>
      <c r="O1873" s="2632">
        <v>12</v>
      </c>
      <c r="P1873" s="1731">
        <v>6000000</v>
      </c>
      <c r="Q1873" s="2632">
        <v>0</v>
      </c>
      <c r="R1873" s="1731">
        <v>0</v>
      </c>
      <c r="S1873" s="2632"/>
      <c r="T1873" s="1725">
        <v>0</v>
      </c>
      <c r="U1873" s="2632"/>
      <c r="V1873" s="1725">
        <v>0</v>
      </c>
      <c r="W1873" s="2632"/>
      <c r="X1873" s="2632"/>
      <c r="Y1873" s="2632">
        <f t="shared" si="609"/>
        <v>0</v>
      </c>
      <c r="Z1873" s="1731">
        <f t="shared" si="609"/>
        <v>0</v>
      </c>
      <c r="AA1873" s="2632">
        <f t="shared" si="610"/>
        <v>10</v>
      </c>
      <c r="AB1873" s="1731">
        <f t="shared" si="610"/>
        <v>10500000</v>
      </c>
      <c r="AC1873" s="2305">
        <f t="shared" si="611"/>
        <v>27.777777777777779</v>
      </c>
      <c r="AD1873" s="2305">
        <f t="shared" si="611"/>
        <v>11.663556384964009</v>
      </c>
      <c r="AE1873" s="64" t="s">
        <v>4230</v>
      </c>
      <c r="AG1873" s="3656"/>
    </row>
    <row r="1874" spans="1:33" s="75" customFormat="1" ht="135" customHeight="1">
      <c r="A1874" s="3657">
        <v>2</v>
      </c>
      <c r="B1874" s="3660"/>
      <c r="C1874" s="3659">
        <v>5</v>
      </c>
      <c r="D1874" s="3659" t="s">
        <v>107</v>
      </c>
      <c r="E1874" s="3659" t="s">
        <v>66</v>
      </c>
      <c r="F1874" s="3659" t="s">
        <v>66</v>
      </c>
      <c r="G1874" s="3659" t="s">
        <v>65</v>
      </c>
      <c r="H1874" s="3657"/>
      <c r="I1874" s="3660" t="s">
        <v>4247</v>
      </c>
      <c r="J1874" s="3660" t="s">
        <v>4313</v>
      </c>
      <c r="K1874" s="3661">
        <v>72</v>
      </c>
      <c r="L1874" s="3662">
        <f>SUM(L1875:L1879)</f>
        <v>658831000</v>
      </c>
      <c r="M1874" s="3661">
        <v>24</v>
      </c>
      <c r="N1874" s="3662">
        <f>SUM(N1875:N1879)</f>
        <v>235341000</v>
      </c>
      <c r="O1874" s="3661">
        <v>12</v>
      </c>
      <c r="P1874" s="3662">
        <f>SUM(P1875:P1879)</f>
        <v>37040000</v>
      </c>
      <c r="Q1874" s="3661">
        <v>3</v>
      </c>
      <c r="R1874" s="3663">
        <f>SUM(R1875:R1879)</f>
        <v>0</v>
      </c>
      <c r="S1874" s="3661">
        <v>3</v>
      </c>
      <c r="T1874" s="3661">
        <f>SUM(T1875:T1879)</f>
        <v>0</v>
      </c>
      <c r="U1874" s="3661">
        <v>3</v>
      </c>
      <c r="V1874" s="3663">
        <f>SUM(V1875:V1879)</f>
        <v>15340000</v>
      </c>
      <c r="W1874" s="3661"/>
      <c r="X1874" s="3661"/>
      <c r="Y1874" s="3661">
        <f t="shared" ref="Y1874:Y1879" si="612">Q1874+S1874+U1874+W1874</f>
        <v>9</v>
      </c>
      <c r="Z1874" s="3663">
        <f>SUM(Z1875:Z1879)</f>
        <v>15340000</v>
      </c>
      <c r="AA1874" s="3661">
        <f t="shared" ref="AA1874:AB1879" si="613">M1874+Y1874</f>
        <v>33</v>
      </c>
      <c r="AB1874" s="3662">
        <f>SUM(AB1875:AB1879)</f>
        <v>250681000</v>
      </c>
      <c r="AC1874" s="3664">
        <f>SUM(AG1875)</f>
        <v>0</v>
      </c>
      <c r="AD1874" s="3664">
        <f t="shared" ref="AD1874:AD1878" si="614">(AB1874/L1874)*100</f>
        <v>38.049363190256678</v>
      </c>
      <c r="AE1874" s="3661" t="s">
        <v>4230</v>
      </c>
      <c r="AG1874" s="3656"/>
    </row>
    <row r="1875" spans="1:33" s="75" customFormat="1" ht="63.75">
      <c r="A1875" s="1688"/>
      <c r="B1875" s="3146"/>
      <c r="C1875" s="1382"/>
      <c r="D1875" s="1382"/>
      <c r="E1875" s="1381"/>
      <c r="F1875" s="1382"/>
      <c r="G1875" s="1382"/>
      <c r="H1875" s="1382" t="s">
        <v>198</v>
      </c>
      <c r="I1875" s="3642" t="s">
        <v>4248</v>
      </c>
      <c r="J1875" s="3642" t="s">
        <v>4249</v>
      </c>
      <c r="K1875" s="3643">
        <v>72</v>
      </c>
      <c r="L1875" s="3644">
        <v>312600000</v>
      </c>
      <c r="M1875" s="1389">
        <v>24</v>
      </c>
      <c r="N1875" s="3644">
        <v>98800000</v>
      </c>
      <c r="O1875" s="1389">
        <v>0</v>
      </c>
      <c r="P1875" s="3644">
        <v>0</v>
      </c>
      <c r="Q1875" s="1389">
        <v>0</v>
      </c>
      <c r="R1875" s="3001">
        <v>0</v>
      </c>
      <c r="S1875" s="3643"/>
      <c r="T1875" s="3643">
        <v>0</v>
      </c>
      <c r="U1875" s="3643"/>
      <c r="V1875" s="3643">
        <v>0</v>
      </c>
      <c r="W1875" s="3643"/>
      <c r="X1875" s="3643"/>
      <c r="Y1875" s="1389">
        <f t="shared" si="612"/>
        <v>0</v>
      </c>
      <c r="Z1875" s="1725">
        <f>R1875+T1875+V1875+X1875</f>
        <v>0</v>
      </c>
      <c r="AA1875" s="1389">
        <f t="shared" si="613"/>
        <v>24</v>
      </c>
      <c r="AB1875" s="1731">
        <f t="shared" si="613"/>
        <v>98800000</v>
      </c>
      <c r="AC1875" s="3645">
        <f t="shared" ref="AC1875:AC1879" si="615">(AA1875/K1875)*100</f>
        <v>33.333333333333329</v>
      </c>
      <c r="AD1875" s="3645">
        <f t="shared" si="614"/>
        <v>31.60588611644274</v>
      </c>
      <c r="AE1875" s="64" t="s">
        <v>4230</v>
      </c>
      <c r="AG1875" s="3656"/>
    </row>
    <row r="1876" spans="1:33" s="75" customFormat="1" ht="51">
      <c r="A1876" s="1688"/>
      <c r="B1876" s="3146"/>
      <c r="C1876" s="1727"/>
      <c r="D1876" s="1727"/>
      <c r="E1876" s="3792"/>
      <c r="F1876" s="1727"/>
      <c r="G1876" s="1727"/>
      <c r="H1876" s="1727" t="s">
        <v>163</v>
      </c>
      <c r="I1876" s="3642" t="s">
        <v>1566</v>
      </c>
      <c r="J1876" s="3642" t="s">
        <v>4250</v>
      </c>
      <c r="K1876" s="3643">
        <v>12</v>
      </c>
      <c r="L1876" s="3646">
        <v>43500000</v>
      </c>
      <c r="M1876" s="3643">
        <v>4</v>
      </c>
      <c r="N1876" s="3646">
        <v>24000000</v>
      </c>
      <c r="O1876" s="3643">
        <v>1</v>
      </c>
      <c r="P1876" s="3646">
        <v>1500000</v>
      </c>
      <c r="Q1876" s="3643">
        <v>0</v>
      </c>
      <c r="R1876" s="3647">
        <v>0</v>
      </c>
      <c r="S1876" s="3643"/>
      <c r="T1876" s="3643">
        <v>0</v>
      </c>
      <c r="U1876" s="3643"/>
      <c r="V1876" s="1725">
        <v>957000</v>
      </c>
      <c r="W1876" s="3643"/>
      <c r="X1876" s="3643"/>
      <c r="Y1876" s="1389">
        <f t="shared" si="612"/>
        <v>0</v>
      </c>
      <c r="Z1876" s="1725">
        <f>R1876+T1876+V1876+X1876</f>
        <v>957000</v>
      </c>
      <c r="AA1876" s="1389">
        <f t="shared" si="613"/>
        <v>4</v>
      </c>
      <c r="AB1876" s="1731">
        <f t="shared" si="613"/>
        <v>24957000</v>
      </c>
      <c r="AC1876" s="3645">
        <f t="shared" si="615"/>
        <v>33.333333333333329</v>
      </c>
      <c r="AD1876" s="3645">
        <f t="shared" si="614"/>
        <v>57.372413793103448</v>
      </c>
      <c r="AE1876" s="64" t="s">
        <v>4230</v>
      </c>
      <c r="AG1876" s="3656"/>
    </row>
    <row r="1877" spans="1:33" s="75" customFormat="1" ht="51">
      <c r="A1877" s="1688"/>
      <c r="B1877" s="3146"/>
      <c r="C1877" s="1727"/>
      <c r="D1877" s="1727"/>
      <c r="E1877" s="3792"/>
      <c r="F1877" s="1727"/>
      <c r="G1877" s="1727"/>
      <c r="H1877" s="1727" t="s">
        <v>165</v>
      </c>
      <c r="I1877" s="3642" t="s">
        <v>4251</v>
      </c>
      <c r="J1877" s="3642" t="s">
        <v>4314</v>
      </c>
      <c r="K1877" s="3643">
        <v>72</v>
      </c>
      <c r="L1877" s="3646">
        <v>287781000</v>
      </c>
      <c r="M1877" s="3643">
        <v>24</v>
      </c>
      <c r="N1877" s="3646">
        <v>89391000</v>
      </c>
      <c r="O1877" s="3643">
        <v>12</v>
      </c>
      <c r="P1877" s="3646">
        <v>32540000</v>
      </c>
      <c r="Q1877" s="3643">
        <v>3</v>
      </c>
      <c r="R1877" s="3647">
        <v>0</v>
      </c>
      <c r="S1877" s="3643">
        <v>3</v>
      </c>
      <c r="T1877" s="3643">
        <v>0</v>
      </c>
      <c r="U1877" s="3643">
        <v>3</v>
      </c>
      <c r="V1877" s="1725">
        <v>14383000</v>
      </c>
      <c r="W1877" s="3643"/>
      <c r="X1877" s="3643"/>
      <c r="Y1877" s="1713">
        <f t="shared" si="612"/>
        <v>9</v>
      </c>
      <c r="Z1877" s="1725">
        <f>R1877+T1877+V1877+X1877</f>
        <v>14383000</v>
      </c>
      <c r="AA1877" s="1713">
        <f t="shared" si="613"/>
        <v>33</v>
      </c>
      <c r="AB1877" s="1731">
        <f t="shared" si="613"/>
        <v>103774000</v>
      </c>
      <c r="AC1877" s="3638">
        <f t="shared" si="615"/>
        <v>45.833333333333329</v>
      </c>
      <c r="AD1877" s="3639">
        <f t="shared" si="614"/>
        <v>36.060059559178683</v>
      </c>
      <c r="AE1877" s="64" t="s">
        <v>4230</v>
      </c>
      <c r="AG1877" s="3656"/>
    </row>
    <row r="1878" spans="1:33" s="75" customFormat="1" ht="51">
      <c r="A1878" s="1688"/>
      <c r="B1878" s="3648"/>
      <c r="C1878" s="1727"/>
      <c r="D1878" s="1727"/>
      <c r="E1878" s="3792"/>
      <c r="F1878" s="1727"/>
      <c r="G1878" s="1727"/>
      <c r="H1878" s="1727" t="s">
        <v>178</v>
      </c>
      <c r="I1878" s="1716" t="s">
        <v>4252</v>
      </c>
      <c r="J1878" s="3642" t="s">
        <v>4253</v>
      </c>
      <c r="K1878" s="1713">
        <v>6</v>
      </c>
      <c r="L1878" s="1725">
        <v>14950000</v>
      </c>
      <c r="M1878" s="3637">
        <v>2</v>
      </c>
      <c r="N1878" s="3646">
        <v>1950000</v>
      </c>
      <c r="O1878" s="1713">
        <v>1</v>
      </c>
      <c r="P1878" s="1723">
        <v>3000000</v>
      </c>
      <c r="Q1878" s="3637">
        <v>0</v>
      </c>
      <c r="R1878" s="1725">
        <v>0</v>
      </c>
      <c r="S1878" s="1713"/>
      <c r="T1878" s="1713">
        <v>0</v>
      </c>
      <c r="U1878" s="1713"/>
      <c r="V1878" s="1713">
        <v>0</v>
      </c>
      <c r="W1878" s="1713"/>
      <c r="X1878" s="1713"/>
      <c r="Y1878" s="1713">
        <f t="shared" si="612"/>
        <v>0</v>
      </c>
      <c r="Z1878" s="1725">
        <f>R1878+T1878+V1878+X1878</f>
        <v>0</v>
      </c>
      <c r="AA1878" s="1713">
        <f t="shared" si="613"/>
        <v>2</v>
      </c>
      <c r="AB1878" s="1725">
        <f>N1878+Z1878</f>
        <v>1950000</v>
      </c>
      <c r="AC1878" s="3638">
        <f t="shared" si="615"/>
        <v>33.333333333333329</v>
      </c>
      <c r="AD1878" s="3639">
        <f t="shared" si="614"/>
        <v>13.043478260869565</v>
      </c>
      <c r="AE1878" s="64" t="s">
        <v>4230</v>
      </c>
      <c r="AG1878" s="3656"/>
    </row>
    <row r="1879" spans="1:33" s="75" customFormat="1" ht="38.25">
      <c r="A1879" s="1713"/>
      <c r="B1879" s="1726"/>
      <c r="C1879" s="1727"/>
      <c r="D1879" s="1727"/>
      <c r="E1879" s="3792"/>
      <c r="F1879" s="1727"/>
      <c r="G1879" s="1727"/>
      <c r="H1879" s="1727" t="s">
        <v>4254</v>
      </c>
      <c r="I1879" s="1716" t="s">
        <v>4255</v>
      </c>
      <c r="J1879" s="3642" t="s">
        <v>4315</v>
      </c>
      <c r="K1879" s="1713">
        <v>1</v>
      </c>
      <c r="L1879" s="1725">
        <v>0</v>
      </c>
      <c r="M1879" s="3637">
        <v>1</v>
      </c>
      <c r="N1879" s="3646">
        <v>21200000</v>
      </c>
      <c r="O1879" s="1713">
        <v>0</v>
      </c>
      <c r="P1879" s="1723">
        <v>0</v>
      </c>
      <c r="Q1879" s="3637">
        <v>0</v>
      </c>
      <c r="R1879" s="1725">
        <v>0</v>
      </c>
      <c r="S1879" s="1713"/>
      <c r="T1879" s="1713">
        <v>0</v>
      </c>
      <c r="U1879" s="1713"/>
      <c r="V1879" s="1713">
        <v>0</v>
      </c>
      <c r="W1879" s="1713"/>
      <c r="X1879" s="1713"/>
      <c r="Y1879" s="1713">
        <f t="shared" si="612"/>
        <v>0</v>
      </c>
      <c r="Z1879" s="1725">
        <f>R1879+T1879+V1879+X1879</f>
        <v>0</v>
      </c>
      <c r="AA1879" s="1713">
        <f t="shared" si="613"/>
        <v>1</v>
      </c>
      <c r="AB1879" s="1725">
        <f>N1879+Z1879</f>
        <v>21200000</v>
      </c>
      <c r="AC1879" s="3638">
        <f t="shared" si="615"/>
        <v>100</v>
      </c>
      <c r="AD1879" s="3639">
        <v>0</v>
      </c>
      <c r="AE1879" s="64" t="s">
        <v>4230</v>
      </c>
      <c r="AG1879" s="3656"/>
    </row>
    <row r="1880" spans="1:33" s="75" customFormat="1" ht="93.75" customHeight="1">
      <c r="A1880" s="3657">
        <v>3</v>
      </c>
      <c r="B1880" s="3660"/>
      <c r="C1880" s="3659">
        <v>5</v>
      </c>
      <c r="D1880" s="3659" t="s">
        <v>107</v>
      </c>
      <c r="E1880" s="3659" t="s">
        <v>66</v>
      </c>
      <c r="F1880" s="3659" t="s">
        <v>66</v>
      </c>
      <c r="G1880" s="3659" t="s">
        <v>66</v>
      </c>
      <c r="H1880" s="3659" t="s">
        <v>161</v>
      </c>
      <c r="I1880" s="3660" t="s">
        <v>4256</v>
      </c>
      <c r="J1880" s="3660" t="s">
        <v>4257</v>
      </c>
      <c r="K1880" s="3661">
        <v>100</v>
      </c>
      <c r="L1880" s="3662">
        <f>SUM(L1881)</f>
        <v>64450000</v>
      </c>
      <c r="M1880" s="3661">
        <v>20</v>
      </c>
      <c r="N1880" s="3662">
        <f>SUM(N1881)</f>
        <v>20000000</v>
      </c>
      <c r="O1880" s="3661">
        <v>0</v>
      </c>
      <c r="P1880" s="3662">
        <f>SUM(P1881)</f>
        <v>0</v>
      </c>
      <c r="Q1880" s="3661">
        <v>12</v>
      </c>
      <c r="R1880" s="3663">
        <f>SUM(R1881)</f>
        <v>0</v>
      </c>
      <c r="S1880" s="3661"/>
      <c r="T1880" s="3661">
        <f>SUM(T1881)</f>
        <v>0</v>
      </c>
      <c r="U1880" s="3661"/>
      <c r="V1880" s="3661"/>
      <c r="W1880" s="3661"/>
      <c r="X1880" s="3661"/>
      <c r="Y1880" s="3661">
        <f t="shared" ref="Y1880:Y1893" si="616">Q1880+S1880+U1880+W1880</f>
        <v>12</v>
      </c>
      <c r="Z1880" s="3663">
        <f>SUM(Z1881:Z1881)</f>
        <v>0</v>
      </c>
      <c r="AA1880" s="3661">
        <f t="shared" ref="AA1880:AA1893" si="617">M1880+Y1880</f>
        <v>32</v>
      </c>
      <c r="AB1880" s="3662">
        <f>SUM(AB1881)</f>
        <v>20000000</v>
      </c>
      <c r="AC1880" s="3664">
        <f t="shared" ref="AC1880:AC1893" si="618">(AA1880/K1880)*100</f>
        <v>32</v>
      </c>
      <c r="AD1880" s="3664">
        <f t="shared" ref="AD1880:AD1881" si="619">(AB1880/L1880)*100</f>
        <v>31.03180760279286</v>
      </c>
      <c r="AE1880" s="3661" t="s">
        <v>4230</v>
      </c>
      <c r="AG1880" s="3656"/>
    </row>
    <row r="1881" spans="1:33" s="75" customFormat="1" ht="32.25" customHeight="1">
      <c r="A1881" s="1713"/>
      <c r="B1881" s="3649"/>
      <c r="C1881" s="1727"/>
      <c r="D1881" s="1727"/>
      <c r="E1881" s="3792"/>
      <c r="F1881" s="1727"/>
      <c r="G1881" s="1727"/>
      <c r="H1881" s="1727" t="s">
        <v>66</v>
      </c>
      <c r="I1881" s="1716" t="s">
        <v>4316</v>
      </c>
      <c r="J1881" s="3642" t="s">
        <v>4258</v>
      </c>
      <c r="K1881" s="1713">
        <v>6</v>
      </c>
      <c r="L1881" s="1725">
        <v>64450000</v>
      </c>
      <c r="M1881" s="3637">
        <v>2</v>
      </c>
      <c r="N1881" s="3644">
        <v>20000000</v>
      </c>
      <c r="O1881" s="1713">
        <v>0</v>
      </c>
      <c r="P1881" s="1723">
        <v>0</v>
      </c>
      <c r="Q1881" s="3637">
        <v>0</v>
      </c>
      <c r="R1881" s="1725">
        <v>0</v>
      </c>
      <c r="S1881" s="1713"/>
      <c r="T1881" s="1713">
        <v>0</v>
      </c>
      <c r="U1881" s="1713"/>
      <c r="V1881" s="1713"/>
      <c r="W1881" s="1713"/>
      <c r="X1881" s="1713"/>
      <c r="Y1881" s="1713">
        <f t="shared" si="616"/>
        <v>0</v>
      </c>
      <c r="Z1881" s="1725">
        <f>R1881+T1881+V1881+X1881</f>
        <v>0</v>
      </c>
      <c r="AA1881" s="1713">
        <f t="shared" si="617"/>
        <v>2</v>
      </c>
      <c r="AB1881" s="1725">
        <f>N1881+Z1881</f>
        <v>20000000</v>
      </c>
      <c r="AC1881" s="3638">
        <f t="shared" si="618"/>
        <v>33.333333333333329</v>
      </c>
      <c r="AD1881" s="3639">
        <f t="shared" si="619"/>
        <v>31.03180760279286</v>
      </c>
      <c r="AE1881" s="64" t="s">
        <v>4230</v>
      </c>
      <c r="AG1881" s="3656"/>
    </row>
    <row r="1882" spans="1:33" s="75" customFormat="1" ht="82.5">
      <c r="A1882" s="3657">
        <v>4</v>
      </c>
      <c r="B1882" s="3660"/>
      <c r="C1882" s="3659">
        <v>5</v>
      </c>
      <c r="D1882" s="3659" t="s">
        <v>107</v>
      </c>
      <c r="E1882" s="3659" t="s">
        <v>66</v>
      </c>
      <c r="F1882" s="3659" t="s">
        <v>66</v>
      </c>
      <c r="G1882" s="3659" t="s">
        <v>376</v>
      </c>
      <c r="H1882" s="3657"/>
      <c r="I1882" s="3660" t="s">
        <v>4259</v>
      </c>
      <c r="J1882" s="3660" t="s">
        <v>4260</v>
      </c>
      <c r="K1882" s="3661">
        <v>100</v>
      </c>
      <c r="L1882" s="3662">
        <f>SUM(L1883)</f>
        <v>225000000</v>
      </c>
      <c r="M1882" s="3661">
        <v>70</v>
      </c>
      <c r="N1882" s="3662">
        <f>SUM(N1883)</f>
        <v>50000000</v>
      </c>
      <c r="O1882" s="3661">
        <v>0</v>
      </c>
      <c r="P1882" s="3662">
        <f>SUM(P1883)</f>
        <v>0</v>
      </c>
      <c r="Q1882" s="3661">
        <v>0</v>
      </c>
      <c r="R1882" s="3663">
        <f>SUM(P1883)</f>
        <v>0</v>
      </c>
      <c r="S1882" s="3661"/>
      <c r="T1882" s="3661">
        <f>SUM(T1883)</f>
        <v>0</v>
      </c>
      <c r="U1882" s="3661"/>
      <c r="V1882" s="3661"/>
      <c r="W1882" s="3661"/>
      <c r="X1882" s="3661"/>
      <c r="Y1882" s="3661">
        <f t="shared" si="616"/>
        <v>0</v>
      </c>
      <c r="Z1882" s="3663">
        <f>SUM(Z1883:Z1883)</f>
        <v>0</v>
      </c>
      <c r="AA1882" s="3661">
        <f t="shared" si="617"/>
        <v>70</v>
      </c>
      <c r="AB1882" s="3662">
        <f>SUM(AB1883)</f>
        <v>50000000</v>
      </c>
      <c r="AC1882" s="3664">
        <f t="shared" si="618"/>
        <v>70</v>
      </c>
      <c r="AD1882" s="3664">
        <f>(AB1882/L1882)*100</f>
        <v>22.222222222222221</v>
      </c>
      <c r="AE1882" s="3661" t="s">
        <v>4230</v>
      </c>
      <c r="AG1882" s="3656"/>
    </row>
    <row r="1883" spans="1:33" s="75" customFormat="1" ht="25.5">
      <c r="A1883" s="1713"/>
      <c r="B1883" s="3649"/>
      <c r="C1883" s="1727"/>
      <c r="D1883" s="1727"/>
      <c r="E1883" s="3792"/>
      <c r="F1883" s="1727"/>
      <c r="G1883" s="1727"/>
      <c r="H1883" s="1727" t="s">
        <v>368</v>
      </c>
      <c r="I1883" s="1716" t="s">
        <v>4261</v>
      </c>
      <c r="J1883" s="3642" t="s">
        <v>4262</v>
      </c>
      <c r="K1883" s="1713">
        <v>6</v>
      </c>
      <c r="L1883" s="1725">
        <v>225000000</v>
      </c>
      <c r="M1883" s="3637">
        <v>1</v>
      </c>
      <c r="N1883" s="3644">
        <v>50000000</v>
      </c>
      <c r="O1883" s="1713">
        <v>0</v>
      </c>
      <c r="P1883" s="1723">
        <v>0</v>
      </c>
      <c r="Q1883" s="3637">
        <v>0</v>
      </c>
      <c r="R1883" s="1725">
        <v>0</v>
      </c>
      <c r="S1883" s="1713"/>
      <c r="T1883" s="1713">
        <v>0</v>
      </c>
      <c r="U1883" s="1713"/>
      <c r="V1883" s="1713"/>
      <c r="W1883" s="1713"/>
      <c r="X1883" s="1713"/>
      <c r="Y1883" s="1713">
        <f t="shared" si="616"/>
        <v>0</v>
      </c>
      <c r="Z1883" s="1725">
        <f>R1883+T1883+V1883+X1883</f>
        <v>0</v>
      </c>
      <c r="AA1883" s="1713">
        <f t="shared" si="617"/>
        <v>1</v>
      </c>
      <c r="AB1883" s="1725">
        <f>N1883+Z1883</f>
        <v>50000000</v>
      </c>
      <c r="AC1883" s="3638">
        <f t="shared" si="618"/>
        <v>16.666666666666664</v>
      </c>
      <c r="AD1883" s="3639">
        <f t="shared" ref="AD1883" si="620">(AB1883/L1883)*100</f>
        <v>22.222222222222221</v>
      </c>
      <c r="AE1883" s="64" t="s">
        <v>4230</v>
      </c>
      <c r="AG1883" s="3656"/>
    </row>
    <row r="1884" spans="1:33" s="75" customFormat="1" ht="49.5">
      <c r="A1884" s="3657">
        <v>5</v>
      </c>
      <c r="B1884" s="3660"/>
      <c r="C1884" s="3659">
        <v>5</v>
      </c>
      <c r="D1884" s="3659" t="s">
        <v>107</v>
      </c>
      <c r="E1884" s="3659" t="s">
        <v>66</v>
      </c>
      <c r="F1884" s="3659" t="s">
        <v>155</v>
      </c>
      <c r="G1884" s="3659" t="s">
        <v>67</v>
      </c>
      <c r="H1884" s="3657"/>
      <c r="I1884" s="3660" t="s">
        <v>4263</v>
      </c>
      <c r="J1884" s="3660" t="s">
        <v>4317</v>
      </c>
      <c r="K1884" s="3661">
        <v>70</v>
      </c>
      <c r="L1884" s="3662">
        <f>SUM(L1885:L1886)</f>
        <v>190875000</v>
      </c>
      <c r="M1884" s="3661">
        <v>35</v>
      </c>
      <c r="N1884" s="3662">
        <f>SUM(N1885:N1886)</f>
        <v>78500000</v>
      </c>
      <c r="O1884" s="3661">
        <v>10</v>
      </c>
      <c r="P1884" s="3662">
        <f>SUM(P1885:P1886)</f>
        <v>9520000</v>
      </c>
      <c r="Q1884" s="3661">
        <v>2</v>
      </c>
      <c r="R1884" s="3663">
        <f>SUM(R1885:R1886)</f>
        <v>825000</v>
      </c>
      <c r="S1884" s="3661">
        <v>2</v>
      </c>
      <c r="T1884" s="3663">
        <f>SUM(T1885:T1886)</f>
        <v>3950000</v>
      </c>
      <c r="U1884" s="3661">
        <v>2</v>
      </c>
      <c r="V1884" s="3663">
        <f>SUM(V1885:V1886)</f>
        <v>0</v>
      </c>
      <c r="W1884" s="3661"/>
      <c r="X1884" s="3661"/>
      <c r="Y1884" s="3661">
        <f t="shared" si="616"/>
        <v>6</v>
      </c>
      <c r="Z1884" s="3663">
        <f>SUM(Z1885:Z1886)</f>
        <v>4775000</v>
      </c>
      <c r="AA1884" s="3661">
        <f t="shared" si="617"/>
        <v>41</v>
      </c>
      <c r="AB1884" s="3662">
        <f>SUM(AB1885:AB1886)</f>
        <v>83275000</v>
      </c>
      <c r="AC1884" s="3664">
        <f t="shared" si="618"/>
        <v>58.571428571428577</v>
      </c>
      <c r="AD1884" s="3664">
        <f t="shared" ref="AD1884:AD1886" si="621">(AB1884/L1884)*100</f>
        <v>43.628028814669285</v>
      </c>
      <c r="AE1884" s="3661" t="s">
        <v>4264</v>
      </c>
      <c r="AG1884" s="3656"/>
    </row>
    <row r="1885" spans="1:33" s="75" customFormat="1" ht="58.5" customHeight="1">
      <c r="A1885" s="1713"/>
      <c r="B1885" s="1726"/>
      <c r="C1885" s="1727"/>
      <c r="D1885" s="1727"/>
      <c r="E1885" s="3792"/>
      <c r="F1885" s="1727"/>
      <c r="G1885" s="1727"/>
      <c r="H1885" s="1727" t="s">
        <v>66</v>
      </c>
      <c r="I1885" s="1716" t="s">
        <v>4265</v>
      </c>
      <c r="J1885" s="1716" t="s">
        <v>4266</v>
      </c>
      <c r="K1885" s="1713">
        <v>3</v>
      </c>
      <c r="L1885" s="1725">
        <v>83725000</v>
      </c>
      <c r="M1885" s="3637">
        <v>1</v>
      </c>
      <c r="N1885" s="3644">
        <v>78500000</v>
      </c>
      <c r="O1885" s="1713">
        <v>1</v>
      </c>
      <c r="P1885" s="1723">
        <v>2725000</v>
      </c>
      <c r="Q1885" s="3637">
        <v>0</v>
      </c>
      <c r="R1885" s="1725">
        <v>0</v>
      </c>
      <c r="S1885" s="1713"/>
      <c r="T1885" s="1713">
        <v>0</v>
      </c>
      <c r="U1885" s="1713"/>
      <c r="V1885" s="1713">
        <v>0</v>
      </c>
      <c r="W1885" s="1713"/>
      <c r="X1885" s="1713"/>
      <c r="Y1885" s="1713">
        <f t="shared" si="616"/>
        <v>0</v>
      </c>
      <c r="Z1885" s="1725">
        <f>R1885+T1885+V1885+X1885</f>
        <v>0</v>
      </c>
      <c r="AA1885" s="1713">
        <f t="shared" si="617"/>
        <v>1</v>
      </c>
      <c r="AB1885" s="1725">
        <f>N1885+Z1885</f>
        <v>78500000</v>
      </c>
      <c r="AC1885" s="3638">
        <f t="shared" si="618"/>
        <v>33.333333333333329</v>
      </c>
      <c r="AD1885" s="3639">
        <f t="shared" si="621"/>
        <v>93.759331143624962</v>
      </c>
      <c r="AE1885" s="1713" t="s">
        <v>4264</v>
      </c>
      <c r="AG1885" s="3656"/>
    </row>
    <row r="1886" spans="1:33" s="75" customFormat="1" ht="60" customHeight="1">
      <c r="A1886" s="3648"/>
      <c r="B1886" s="1381"/>
      <c r="C1886" s="1382"/>
      <c r="D1886" s="1381"/>
      <c r="E1886" s="1382"/>
      <c r="F1886" s="1382"/>
      <c r="G1886" s="1688"/>
      <c r="H1886" s="3845" t="s">
        <v>360</v>
      </c>
      <c r="I1886" s="3642" t="s">
        <v>4267</v>
      </c>
      <c r="J1886" s="1716" t="s">
        <v>4268</v>
      </c>
      <c r="K1886" s="3646">
        <v>12</v>
      </c>
      <c r="L1886" s="1725">
        <v>107150000</v>
      </c>
      <c r="M1886" s="3644">
        <v>0</v>
      </c>
      <c r="N1886" s="3643">
        <v>0</v>
      </c>
      <c r="O1886" s="3646">
        <v>6</v>
      </c>
      <c r="P1886" s="1723">
        <v>6795000</v>
      </c>
      <c r="Q1886" s="3647">
        <v>3</v>
      </c>
      <c r="R1886" s="1725">
        <v>825000</v>
      </c>
      <c r="S1886" s="3643"/>
      <c r="T1886" s="1725">
        <v>3950000</v>
      </c>
      <c r="U1886" s="3643"/>
      <c r="V1886" s="1725">
        <v>0</v>
      </c>
      <c r="W1886" s="3643"/>
      <c r="X1886" s="3643"/>
      <c r="Y1886" s="1713">
        <f t="shared" si="616"/>
        <v>3</v>
      </c>
      <c r="Z1886" s="1725">
        <f>R1886+T1886+V1886+X1886</f>
        <v>4775000</v>
      </c>
      <c r="AA1886" s="1713">
        <f t="shared" si="617"/>
        <v>3</v>
      </c>
      <c r="AB1886" s="1725">
        <f>N1886+Z1886</f>
        <v>4775000</v>
      </c>
      <c r="AC1886" s="3638">
        <f t="shared" si="618"/>
        <v>25</v>
      </c>
      <c r="AD1886" s="3639">
        <f t="shared" si="621"/>
        <v>4.4563695753616424</v>
      </c>
      <c r="AE1886" s="1713" t="s">
        <v>4264</v>
      </c>
      <c r="AG1886" s="3656"/>
    </row>
    <row r="1887" spans="1:33" s="75" customFormat="1" ht="82.5" customHeight="1">
      <c r="A1887" s="3657">
        <v>6</v>
      </c>
      <c r="B1887" s="3660"/>
      <c r="C1887" s="3659">
        <v>2</v>
      </c>
      <c r="D1887" s="3659" t="s">
        <v>107</v>
      </c>
      <c r="E1887" s="3659" t="s">
        <v>65</v>
      </c>
      <c r="F1887" s="3659" t="s">
        <v>155</v>
      </c>
      <c r="G1887" s="3659" t="s">
        <v>155</v>
      </c>
      <c r="H1887" s="3657"/>
      <c r="I1887" s="3660" t="s">
        <v>4269</v>
      </c>
      <c r="J1887" s="3660" t="s">
        <v>4270</v>
      </c>
      <c r="K1887" s="3661">
        <v>50</v>
      </c>
      <c r="L1887" s="3662">
        <f>SUM(L1888)</f>
        <v>56125000</v>
      </c>
      <c r="M1887" s="3661">
        <v>0</v>
      </c>
      <c r="N1887" s="3662">
        <f>SUM(N1888)</f>
        <v>0</v>
      </c>
      <c r="O1887" s="3661">
        <v>5</v>
      </c>
      <c r="P1887" s="3662">
        <f>SUM(P1888)</f>
        <v>21125000</v>
      </c>
      <c r="Q1887" s="3661">
        <v>1</v>
      </c>
      <c r="R1887" s="3663">
        <f>SUM(R1888)</f>
        <v>0</v>
      </c>
      <c r="S1887" s="3661"/>
      <c r="T1887" s="3661">
        <f>SUM(T1888)</f>
        <v>0</v>
      </c>
      <c r="U1887" s="3661"/>
      <c r="V1887" s="3662">
        <f>SUM(V1888)</f>
        <v>18875000</v>
      </c>
      <c r="W1887" s="3661"/>
      <c r="X1887" s="3661"/>
      <c r="Y1887" s="3661">
        <f t="shared" si="616"/>
        <v>1</v>
      </c>
      <c r="Z1887" s="3662">
        <f>SUM(Z1888)</f>
        <v>18875000</v>
      </c>
      <c r="AA1887" s="3661">
        <f t="shared" si="617"/>
        <v>1</v>
      </c>
      <c r="AB1887" s="3662">
        <f>SUM(AB1888)</f>
        <v>18875000</v>
      </c>
      <c r="AC1887" s="3664">
        <f t="shared" si="618"/>
        <v>2</v>
      </c>
      <c r="AD1887" s="3664">
        <f>(AB1887/L1887)*100</f>
        <v>33.630289532293986</v>
      </c>
      <c r="AE1887" s="3661" t="s">
        <v>4230</v>
      </c>
      <c r="AG1887" s="3656"/>
    </row>
    <row r="1888" spans="1:33" s="75" customFormat="1" ht="51">
      <c r="A1888" s="1688"/>
      <c r="B1888" s="3648"/>
      <c r="C1888" s="1382"/>
      <c r="D1888" s="1382"/>
      <c r="E1888" s="1381"/>
      <c r="F1888" s="1382"/>
      <c r="G1888" s="1382"/>
      <c r="H1888" s="1382" t="s">
        <v>376</v>
      </c>
      <c r="I1888" s="3642" t="s">
        <v>4271</v>
      </c>
      <c r="J1888" s="3642" t="s">
        <v>4318</v>
      </c>
      <c r="K1888" s="3643">
        <v>6</v>
      </c>
      <c r="L1888" s="3646">
        <v>56125000</v>
      </c>
      <c r="M1888" s="3643">
        <v>0</v>
      </c>
      <c r="N1888" s="3644">
        <v>0</v>
      </c>
      <c r="O1888" s="3643">
        <v>1</v>
      </c>
      <c r="P1888" s="3646">
        <v>21125000</v>
      </c>
      <c r="Q1888" s="3643">
        <v>0</v>
      </c>
      <c r="R1888" s="3647">
        <v>0</v>
      </c>
      <c r="S1888" s="3643">
        <v>1</v>
      </c>
      <c r="T1888" s="3643">
        <v>0</v>
      </c>
      <c r="U1888" s="3643">
        <v>0</v>
      </c>
      <c r="V1888" s="3646">
        <v>18875000</v>
      </c>
      <c r="W1888" s="3643"/>
      <c r="X1888" s="3643"/>
      <c r="Y1888" s="1713">
        <f t="shared" si="616"/>
        <v>1</v>
      </c>
      <c r="Z1888" s="1725">
        <f>R1888+T1888+V1888+X1888</f>
        <v>18875000</v>
      </c>
      <c r="AA1888" s="1713">
        <f t="shared" si="617"/>
        <v>1</v>
      </c>
      <c r="AB1888" s="1725">
        <f>N1888+Z1888</f>
        <v>18875000</v>
      </c>
      <c r="AC1888" s="3638">
        <f t="shared" si="618"/>
        <v>16.666666666666664</v>
      </c>
      <c r="AD1888" s="3639">
        <f t="shared" ref="AD1888" si="622">(AB1888/L1888)*100</f>
        <v>33.630289532293986</v>
      </c>
      <c r="AE1888" s="64" t="s">
        <v>4230</v>
      </c>
      <c r="AG1888" s="3656"/>
    </row>
    <row r="1889" spans="1:33" s="75" customFormat="1" ht="49.5">
      <c r="A1889" s="3657">
        <v>7</v>
      </c>
      <c r="B1889" s="3660"/>
      <c r="C1889" s="3659">
        <v>5</v>
      </c>
      <c r="D1889" s="3659" t="s">
        <v>107</v>
      </c>
      <c r="E1889" s="3659" t="s">
        <v>66</v>
      </c>
      <c r="F1889" s="3659" t="s">
        <v>155</v>
      </c>
      <c r="G1889" s="3659">
        <v>19</v>
      </c>
      <c r="H1889" s="3659"/>
      <c r="I1889" s="3660" t="s">
        <v>4272</v>
      </c>
      <c r="J1889" s="3660" t="s">
        <v>4273</v>
      </c>
      <c r="K1889" s="3661">
        <v>100</v>
      </c>
      <c r="L1889" s="3662">
        <f>SUM(L1890:L1891)</f>
        <v>360670000</v>
      </c>
      <c r="M1889" s="3661">
        <v>50</v>
      </c>
      <c r="N1889" s="3662">
        <f>SUM(N1890:N1891)</f>
        <v>63560000</v>
      </c>
      <c r="O1889" s="3661">
        <v>20</v>
      </c>
      <c r="P1889" s="3662">
        <f>SUM(P1890:P1891)</f>
        <v>49535000</v>
      </c>
      <c r="Q1889" s="3661">
        <v>3</v>
      </c>
      <c r="R1889" s="3663">
        <f>SUM(R1890:R1891)</f>
        <v>4582500</v>
      </c>
      <c r="S1889" s="3661">
        <v>3</v>
      </c>
      <c r="T1889" s="3663">
        <f>SUM(T1890:T1891)</f>
        <v>0</v>
      </c>
      <c r="U1889" s="3661">
        <v>3</v>
      </c>
      <c r="V1889" s="3663">
        <f>SUM(V1890:V1891)</f>
        <v>9305000</v>
      </c>
      <c r="W1889" s="3661"/>
      <c r="X1889" s="3661"/>
      <c r="Y1889" s="3661">
        <f t="shared" si="616"/>
        <v>9</v>
      </c>
      <c r="Z1889" s="3663">
        <f>SUM(Z1890:Z1891)</f>
        <v>13887500</v>
      </c>
      <c r="AA1889" s="3661">
        <f t="shared" si="617"/>
        <v>59</v>
      </c>
      <c r="AB1889" s="3662">
        <f>SUM(AB1890:AB1891)</f>
        <v>77447500</v>
      </c>
      <c r="AC1889" s="3664">
        <f t="shared" si="618"/>
        <v>59</v>
      </c>
      <c r="AD1889" s="3664">
        <f>(AB1889/L1889)*100</f>
        <v>21.473230376798735</v>
      </c>
      <c r="AE1889" s="3661" t="s">
        <v>4230</v>
      </c>
      <c r="AG1889" s="3656"/>
    </row>
    <row r="1890" spans="1:33" s="75" customFormat="1" ht="63.75">
      <c r="A1890" s="3650"/>
      <c r="B1890" s="3651"/>
      <c r="C1890" s="1727"/>
      <c r="D1890" s="1727"/>
      <c r="E1890" s="3792"/>
      <c r="F1890" s="1727"/>
      <c r="G1890" s="1727"/>
      <c r="H1890" s="1727" t="s">
        <v>66</v>
      </c>
      <c r="I1890" s="3642" t="s">
        <v>4274</v>
      </c>
      <c r="J1890" s="3642" t="s">
        <v>4319</v>
      </c>
      <c r="K1890" s="3643">
        <v>72</v>
      </c>
      <c r="L1890" s="3646">
        <v>326670000</v>
      </c>
      <c r="M1890" s="3643">
        <v>24</v>
      </c>
      <c r="N1890" s="3644">
        <v>63560000</v>
      </c>
      <c r="O1890" s="3643">
        <v>12</v>
      </c>
      <c r="P1890" s="3646">
        <v>32610000</v>
      </c>
      <c r="Q1890" s="3643">
        <v>3</v>
      </c>
      <c r="R1890" s="3647">
        <v>4005000</v>
      </c>
      <c r="S1890" s="3652">
        <v>3</v>
      </c>
      <c r="T1890" s="3647">
        <v>0</v>
      </c>
      <c r="U1890" s="3665">
        <v>3</v>
      </c>
      <c r="V1890" s="3647">
        <v>5840000</v>
      </c>
      <c r="W1890" s="3652"/>
      <c r="X1890" s="3652"/>
      <c r="Y1890" s="1713">
        <f t="shared" si="616"/>
        <v>9</v>
      </c>
      <c r="Z1890" s="1725">
        <f>R1890+T1890+V1890+X1890</f>
        <v>9845000</v>
      </c>
      <c r="AA1890" s="1713">
        <f t="shared" si="617"/>
        <v>33</v>
      </c>
      <c r="AB1890" s="1725">
        <f>N1890+Z1890</f>
        <v>73405000</v>
      </c>
      <c r="AC1890" s="3638">
        <f t="shared" si="618"/>
        <v>45.833333333333329</v>
      </c>
      <c r="AD1890" s="3639">
        <f t="shared" ref="AD1890:AD1891" si="623">(AB1890/L1890)*100</f>
        <v>22.470689074601282</v>
      </c>
      <c r="AE1890" s="64" t="s">
        <v>4230</v>
      </c>
      <c r="AG1890" s="3656"/>
    </row>
    <row r="1891" spans="1:33" s="75" customFormat="1" ht="63.75">
      <c r="A1891" s="1688"/>
      <c r="B1891" s="3146"/>
      <c r="C1891" s="1727"/>
      <c r="D1891" s="1727"/>
      <c r="E1891" s="3792"/>
      <c r="F1891" s="1727"/>
      <c r="G1891" s="1727"/>
      <c r="H1891" s="1727" t="s">
        <v>201</v>
      </c>
      <c r="I1891" s="3642" t="s">
        <v>4275</v>
      </c>
      <c r="J1891" s="3642" t="s">
        <v>4320</v>
      </c>
      <c r="K1891" s="3643">
        <v>72</v>
      </c>
      <c r="L1891" s="3646">
        <v>34000000</v>
      </c>
      <c r="M1891" s="3643">
        <v>0</v>
      </c>
      <c r="N1891" s="3644">
        <v>0</v>
      </c>
      <c r="O1891" s="3643">
        <v>12</v>
      </c>
      <c r="P1891" s="3646">
        <v>16925000</v>
      </c>
      <c r="Q1891" s="3643">
        <v>3</v>
      </c>
      <c r="R1891" s="3647">
        <v>577500</v>
      </c>
      <c r="S1891" s="3643">
        <v>3</v>
      </c>
      <c r="T1891" s="3643">
        <v>0</v>
      </c>
      <c r="U1891" s="3643">
        <v>3</v>
      </c>
      <c r="V1891" s="3647">
        <v>3465000</v>
      </c>
      <c r="W1891" s="3643"/>
      <c r="X1891" s="3643"/>
      <c r="Y1891" s="1713">
        <f t="shared" si="616"/>
        <v>9</v>
      </c>
      <c r="Z1891" s="1725">
        <f>R1891+T1891+V1891+X1891</f>
        <v>4042500</v>
      </c>
      <c r="AA1891" s="1713">
        <f t="shared" si="617"/>
        <v>9</v>
      </c>
      <c r="AB1891" s="1725">
        <f>N1891+Z1891</f>
        <v>4042500</v>
      </c>
      <c r="AC1891" s="3638">
        <f t="shared" si="618"/>
        <v>12.5</v>
      </c>
      <c r="AD1891" s="3639">
        <f t="shared" si="623"/>
        <v>11.889705882352942</v>
      </c>
      <c r="AE1891" s="64" t="s">
        <v>4230</v>
      </c>
      <c r="AG1891" s="3656"/>
    </row>
    <row r="1892" spans="1:33" s="3666" customFormat="1" ht="51">
      <c r="A1892" s="3618">
        <v>8</v>
      </c>
      <c r="B1892" s="2335"/>
      <c r="C1892" s="2567">
        <v>5</v>
      </c>
      <c r="D1892" s="2567" t="s">
        <v>107</v>
      </c>
      <c r="E1892" s="2567" t="s">
        <v>66</v>
      </c>
      <c r="F1892" s="2567" t="s">
        <v>155</v>
      </c>
      <c r="G1892" s="2567">
        <v>17</v>
      </c>
      <c r="H1892" s="3796"/>
      <c r="I1892" s="2335" t="s">
        <v>4276</v>
      </c>
      <c r="J1892" s="2335" t="s">
        <v>4277</v>
      </c>
      <c r="K1892" s="2570">
        <v>60</v>
      </c>
      <c r="L1892" s="2582">
        <f>SUM(L1893)</f>
        <v>108698000</v>
      </c>
      <c r="M1892" s="2570">
        <v>2</v>
      </c>
      <c r="N1892" s="2594">
        <f>SUM(N1893)</f>
        <v>1050000</v>
      </c>
      <c r="O1892" s="2570">
        <v>1</v>
      </c>
      <c r="P1892" s="2594">
        <f>SUM(P1893)</f>
        <v>15000000</v>
      </c>
      <c r="Q1892" s="2570">
        <v>12</v>
      </c>
      <c r="R1892" s="2569">
        <f>SUM(R1893)</f>
        <v>0</v>
      </c>
      <c r="S1892" s="2570"/>
      <c r="T1892" s="2570">
        <f>SUM(T1893)</f>
        <v>0</v>
      </c>
      <c r="U1892" s="2570"/>
      <c r="V1892" s="2594">
        <f>SUM(V1893)</f>
        <v>14950000</v>
      </c>
      <c r="W1892" s="2570"/>
      <c r="X1892" s="2570"/>
      <c r="Y1892" s="2570">
        <f t="shared" si="616"/>
        <v>12</v>
      </c>
      <c r="Z1892" s="2569">
        <f>SUM(Z1893)</f>
        <v>14950000</v>
      </c>
      <c r="AA1892" s="2570">
        <f t="shared" si="617"/>
        <v>14</v>
      </c>
      <c r="AB1892" s="2594">
        <f>SUM(AB1893)</f>
        <v>16000000</v>
      </c>
      <c r="AC1892" s="2719">
        <f t="shared" si="618"/>
        <v>23.333333333333332</v>
      </c>
      <c r="AD1892" s="2719">
        <f>(AB1892/L1892)*100</f>
        <v>14.719682054867613</v>
      </c>
      <c r="AE1892" s="2570" t="s">
        <v>4230</v>
      </c>
      <c r="AG1892" s="3667"/>
    </row>
    <row r="1893" spans="1:33" s="75" customFormat="1" ht="64.5" customHeight="1">
      <c r="A1893" s="1688"/>
      <c r="B1893" s="3648"/>
      <c r="C1893" s="1727"/>
      <c r="D1893" s="1727"/>
      <c r="E1893" s="3792"/>
      <c r="F1893" s="1727"/>
      <c r="G1893" s="1727"/>
      <c r="H1893" s="1727" t="s">
        <v>197</v>
      </c>
      <c r="I1893" s="3642" t="s">
        <v>4278</v>
      </c>
      <c r="J1893" s="3642" t="s">
        <v>4321</v>
      </c>
      <c r="K1893" s="3643">
        <v>6</v>
      </c>
      <c r="L1893" s="3646">
        <v>108698000</v>
      </c>
      <c r="M1893" s="3643">
        <v>2</v>
      </c>
      <c r="N1893" s="3644">
        <v>1050000</v>
      </c>
      <c r="O1893" s="3643">
        <v>1</v>
      </c>
      <c r="P1893" s="3646">
        <v>15000000</v>
      </c>
      <c r="Q1893" s="3643">
        <v>0</v>
      </c>
      <c r="R1893" s="3647">
        <v>0</v>
      </c>
      <c r="S1893" s="3643"/>
      <c r="T1893" s="3643">
        <v>0</v>
      </c>
      <c r="U1893" s="3643">
        <v>1</v>
      </c>
      <c r="V1893" s="3646">
        <v>14950000</v>
      </c>
      <c r="W1893" s="3643"/>
      <c r="X1893" s="3643"/>
      <c r="Y1893" s="1713">
        <f t="shared" si="616"/>
        <v>1</v>
      </c>
      <c r="Z1893" s="1725">
        <f>R1893+T1893+V1893+X1893</f>
        <v>14950000</v>
      </c>
      <c r="AA1893" s="1713">
        <f t="shared" si="617"/>
        <v>3</v>
      </c>
      <c r="AB1893" s="1725">
        <f>N1893+Z1893</f>
        <v>16000000</v>
      </c>
      <c r="AC1893" s="3638">
        <f t="shared" si="618"/>
        <v>50</v>
      </c>
      <c r="AD1893" s="3639">
        <f t="shared" ref="AD1893" si="624">(AB1893/L1893)*100</f>
        <v>14.719682054867613</v>
      </c>
      <c r="AE1893" s="64" t="s">
        <v>4230</v>
      </c>
      <c r="AG1893" s="3656"/>
    </row>
    <row r="1894" spans="1:33" s="75" customFormat="1" ht="0.75" hidden="1" customHeight="1">
      <c r="C1894" s="3846"/>
      <c r="D1894" s="3846"/>
      <c r="E1894" s="3846"/>
      <c r="F1894" s="3846"/>
      <c r="G1894" s="3846"/>
      <c r="H1894" s="3846"/>
      <c r="AG1894" s="3656"/>
    </row>
    <row r="1895" spans="1:33" s="75" customFormat="1" hidden="1">
      <c r="C1895" s="3846"/>
      <c r="D1895" s="3846"/>
      <c r="E1895" s="3846"/>
      <c r="F1895" s="3846"/>
      <c r="G1895" s="3846"/>
      <c r="H1895" s="3846"/>
      <c r="AG1895" s="3656"/>
    </row>
    <row r="1896" spans="1:33" s="75" customFormat="1" hidden="1">
      <c r="C1896" s="3846"/>
      <c r="D1896" s="3846"/>
      <c r="E1896" s="3846"/>
      <c r="F1896" s="3846"/>
      <c r="G1896" s="3846"/>
      <c r="H1896" s="3846"/>
      <c r="AG1896" s="3656"/>
    </row>
    <row r="1897" spans="1:33" s="75" customFormat="1" ht="82.5">
      <c r="A1897" s="3657">
        <v>9</v>
      </c>
      <c r="B1897" s="3660"/>
      <c r="C1897" s="3659">
        <v>1</v>
      </c>
      <c r="D1897" s="3659" t="s">
        <v>66</v>
      </c>
      <c r="E1897" s="3659" t="s">
        <v>161</v>
      </c>
      <c r="F1897" s="3659" t="s">
        <v>67</v>
      </c>
      <c r="G1897" s="3659"/>
      <c r="H1897" s="3657"/>
      <c r="I1897" s="3660" t="s">
        <v>4279</v>
      </c>
      <c r="J1897" s="3660" t="s">
        <v>4280</v>
      </c>
      <c r="K1897" s="3661">
        <v>100</v>
      </c>
      <c r="L1897" s="3662">
        <f>SUM(L1898)</f>
        <v>14050000</v>
      </c>
      <c r="M1897" s="3661">
        <v>0</v>
      </c>
      <c r="N1897" s="3662">
        <f>SUM(N1898)</f>
        <v>0</v>
      </c>
      <c r="O1897" s="3661">
        <v>100</v>
      </c>
      <c r="P1897" s="3662">
        <f>SUM(P1898)</f>
        <v>7025000</v>
      </c>
      <c r="Q1897" s="3661">
        <v>0</v>
      </c>
      <c r="R1897" s="3663">
        <f>SUM(R1898)</f>
        <v>0</v>
      </c>
      <c r="S1897" s="3661"/>
      <c r="T1897" s="3661">
        <f>SUM(T1898)</f>
        <v>0</v>
      </c>
      <c r="U1897" s="3661">
        <v>100</v>
      </c>
      <c r="V1897" s="3662">
        <f>SUM(V1898)</f>
        <v>7025000</v>
      </c>
      <c r="W1897" s="3661"/>
      <c r="X1897" s="3661"/>
      <c r="Y1897" s="3661">
        <f>Q1897+S1897+U1897+W1897</f>
        <v>100</v>
      </c>
      <c r="Z1897" s="3663">
        <f>SUM(Z1898)</f>
        <v>7025000</v>
      </c>
      <c r="AA1897" s="3661">
        <f>M1897+Y1897</f>
        <v>100</v>
      </c>
      <c r="AB1897" s="3663">
        <f>SUM(AB1898)</f>
        <v>7025000</v>
      </c>
      <c r="AC1897" s="3664">
        <f>(AA1897/K1897)*100</f>
        <v>100</v>
      </c>
      <c r="AD1897" s="3664">
        <f>(AB1897/L1897)*100</f>
        <v>50</v>
      </c>
      <c r="AE1897" s="3661" t="s">
        <v>4230</v>
      </c>
      <c r="AG1897" s="3656"/>
    </row>
    <row r="1898" spans="1:33" s="75" customFormat="1" ht="25.5">
      <c r="A1898" s="3146"/>
      <c r="B1898" s="3146"/>
      <c r="C1898" s="1715"/>
      <c r="D1898" s="1715"/>
      <c r="E1898" s="3792"/>
      <c r="F1898" s="1715"/>
      <c r="G1898" s="1715"/>
      <c r="H1898" s="1715" t="s">
        <v>363</v>
      </c>
      <c r="I1898" s="2516" t="s">
        <v>4281</v>
      </c>
      <c r="J1898" s="2516" t="s">
        <v>4282</v>
      </c>
      <c r="K1898" s="1389">
        <v>2</v>
      </c>
      <c r="L1898" s="3644">
        <v>14050000</v>
      </c>
      <c r="M1898" s="1389">
        <v>0</v>
      </c>
      <c r="N1898" s="3644">
        <v>0</v>
      </c>
      <c r="O1898" s="1389">
        <v>1</v>
      </c>
      <c r="P1898" s="3644">
        <v>7025000</v>
      </c>
      <c r="Q1898" s="1389">
        <v>0</v>
      </c>
      <c r="R1898" s="3001">
        <v>0</v>
      </c>
      <c r="S1898" s="1389"/>
      <c r="T1898" s="1389">
        <v>0</v>
      </c>
      <c r="U1898" s="1389"/>
      <c r="V1898" s="3644">
        <v>7025000</v>
      </c>
      <c r="W1898" s="1389"/>
      <c r="X1898" s="1389"/>
      <c r="Y1898" s="64">
        <f>Q1898+S1898+U1898+W1898</f>
        <v>0</v>
      </c>
      <c r="Z1898" s="1689">
        <f>R1898+T1898+V1898+X1898</f>
        <v>7025000</v>
      </c>
      <c r="AA1898" s="64">
        <f>M1898+Y1898</f>
        <v>0</v>
      </c>
      <c r="AB1898" s="1689">
        <f>N1898+Z1898</f>
        <v>7025000</v>
      </c>
      <c r="AC1898" s="3668">
        <f t="shared" ref="AC1898:AC1910" si="625">(AA1898/K1898)*100</f>
        <v>0</v>
      </c>
      <c r="AD1898" s="1946">
        <f t="shared" ref="AD1898" si="626">(AB1898/L1898)*100</f>
        <v>50</v>
      </c>
      <c r="AE1898" s="64" t="s">
        <v>4230</v>
      </c>
      <c r="AG1898" s="3656"/>
    </row>
    <row r="1899" spans="1:33" s="75" customFormat="1" ht="109.5" customHeight="1">
      <c r="A1899" s="3657">
        <v>10</v>
      </c>
      <c r="B1899" s="3660"/>
      <c r="C1899" s="3659">
        <v>5</v>
      </c>
      <c r="D1899" s="3659" t="s">
        <v>107</v>
      </c>
      <c r="E1899" s="3659" t="s">
        <v>66</v>
      </c>
      <c r="F1899" s="3659" t="s">
        <v>155</v>
      </c>
      <c r="G1899" s="3659">
        <v>56</v>
      </c>
      <c r="H1899" s="3657"/>
      <c r="I1899" s="3660" t="s">
        <v>4283</v>
      </c>
      <c r="J1899" s="3660" t="s">
        <v>4284</v>
      </c>
      <c r="K1899" s="3661">
        <v>100</v>
      </c>
      <c r="L1899" s="3662">
        <f>SUM(L1900:L1904)</f>
        <v>834184000</v>
      </c>
      <c r="M1899" s="3661">
        <v>35</v>
      </c>
      <c r="N1899" s="3662">
        <f>SUM(N1900:N1904)</f>
        <v>244184000</v>
      </c>
      <c r="O1899" s="3661">
        <v>40</v>
      </c>
      <c r="P1899" s="3662">
        <f>SUM(P1900:P1904)</f>
        <v>80600000</v>
      </c>
      <c r="Q1899" s="3661">
        <v>12</v>
      </c>
      <c r="R1899" s="3663">
        <f>SUM(R1900:R1904)</f>
        <v>14757500</v>
      </c>
      <c r="S1899" s="3661">
        <v>12</v>
      </c>
      <c r="T1899" s="3663">
        <f>SUM(T1900:T1904)</f>
        <v>12385000</v>
      </c>
      <c r="U1899" s="3661">
        <v>12</v>
      </c>
      <c r="V1899" s="3663">
        <f>SUM(V1900:V1904)</f>
        <v>16285000</v>
      </c>
      <c r="W1899" s="3661"/>
      <c r="X1899" s="3661"/>
      <c r="Y1899" s="3661">
        <f t="shared" ref="Y1899:Y1904" si="627">Q1899+S1899+U1899+W1899</f>
        <v>36</v>
      </c>
      <c r="Z1899" s="3663">
        <f>SUM(Z1900:Z1904)</f>
        <v>43427500</v>
      </c>
      <c r="AA1899" s="3661">
        <f t="shared" ref="AA1899:AA1904" si="628">M1899+Y1899</f>
        <v>71</v>
      </c>
      <c r="AB1899" s="3662">
        <f>SUM(AB1900:AB1904)</f>
        <v>287611500</v>
      </c>
      <c r="AC1899" s="3664">
        <f t="shared" si="625"/>
        <v>71</v>
      </c>
      <c r="AD1899" s="3664">
        <f>(AB1899/L1899)*100</f>
        <v>34.478184669089792</v>
      </c>
      <c r="AE1899" s="3661" t="s">
        <v>4230</v>
      </c>
      <c r="AG1899" s="3656"/>
    </row>
    <row r="1900" spans="1:33" s="75" customFormat="1" ht="25.5">
      <c r="A1900" s="1688"/>
      <c r="B1900" s="3146"/>
      <c r="C1900" s="1727"/>
      <c r="D1900" s="1727"/>
      <c r="E1900" s="3792"/>
      <c r="F1900" s="1727"/>
      <c r="G1900" s="1727"/>
      <c r="H1900" s="1727" t="s">
        <v>66</v>
      </c>
      <c r="I1900" s="3653" t="s">
        <v>4285</v>
      </c>
      <c r="J1900" s="3642" t="s">
        <v>4286</v>
      </c>
      <c r="K1900" s="3643">
        <v>138</v>
      </c>
      <c r="L1900" s="3646">
        <v>383336000</v>
      </c>
      <c r="M1900" s="3643">
        <v>46</v>
      </c>
      <c r="N1900" s="3644">
        <v>103911000</v>
      </c>
      <c r="O1900" s="3643">
        <v>23</v>
      </c>
      <c r="P1900" s="3646">
        <v>40725000</v>
      </c>
      <c r="Q1900" s="3643">
        <v>10</v>
      </c>
      <c r="R1900" s="3647">
        <v>4160000</v>
      </c>
      <c r="S1900" s="3643"/>
      <c r="T1900" s="3647">
        <v>5735000</v>
      </c>
      <c r="U1900" s="3643"/>
      <c r="V1900" s="3647">
        <v>10885000</v>
      </c>
      <c r="W1900" s="3643"/>
      <c r="X1900" s="3643"/>
      <c r="Y1900" s="1713">
        <f t="shared" si="627"/>
        <v>10</v>
      </c>
      <c r="Z1900" s="1725">
        <f>R1900+T1900+V1900+X1900</f>
        <v>20780000</v>
      </c>
      <c r="AA1900" s="1713">
        <f t="shared" si="628"/>
        <v>56</v>
      </c>
      <c r="AB1900" s="1725">
        <f>N1900+Z1900</f>
        <v>124691000</v>
      </c>
      <c r="AC1900" s="3638">
        <f t="shared" si="625"/>
        <v>40.579710144927539</v>
      </c>
      <c r="AD1900" s="3639">
        <f t="shared" ref="AD1900:AD1904" si="629">(AB1900/L1900)*100</f>
        <v>32.527860675751818</v>
      </c>
      <c r="AE1900" s="64" t="s">
        <v>4230</v>
      </c>
      <c r="AG1900" s="3656"/>
    </row>
    <row r="1901" spans="1:33" s="75" customFormat="1" ht="38.25">
      <c r="A1901" s="1688"/>
      <c r="B1901" s="3146"/>
      <c r="C1901" s="1727"/>
      <c r="D1901" s="1727"/>
      <c r="E1901" s="3792"/>
      <c r="F1901" s="1727"/>
      <c r="G1901" s="1727"/>
      <c r="H1901" s="1727" t="s">
        <v>65</v>
      </c>
      <c r="I1901" s="3653" t="s">
        <v>4287</v>
      </c>
      <c r="J1901" s="3642" t="s">
        <v>4288</v>
      </c>
      <c r="K1901" s="3643">
        <v>6</v>
      </c>
      <c r="L1901" s="3646">
        <v>72548000</v>
      </c>
      <c r="M1901" s="3643">
        <v>2</v>
      </c>
      <c r="N1901" s="3644">
        <v>24998000</v>
      </c>
      <c r="O1901" s="3643">
        <v>1</v>
      </c>
      <c r="P1901" s="3646">
        <v>3050000</v>
      </c>
      <c r="Q1901" s="3643">
        <v>0</v>
      </c>
      <c r="R1901" s="3647">
        <v>0</v>
      </c>
      <c r="S1901" s="3643"/>
      <c r="T1901" s="3643">
        <v>0</v>
      </c>
      <c r="U1901" s="3643"/>
      <c r="V1901" s="3643">
        <v>0</v>
      </c>
      <c r="W1901" s="3643"/>
      <c r="X1901" s="3643"/>
      <c r="Y1901" s="1713">
        <f t="shared" si="627"/>
        <v>0</v>
      </c>
      <c r="Z1901" s="1725">
        <f>R1901+T1901+V1901+X1901</f>
        <v>0</v>
      </c>
      <c r="AA1901" s="1713">
        <f t="shared" si="628"/>
        <v>2</v>
      </c>
      <c r="AB1901" s="1725">
        <f>N1901+Z1901</f>
        <v>24998000</v>
      </c>
      <c r="AC1901" s="3638">
        <f t="shared" si="625"/>
        <v>33.333333333333329</v>
      </c>
      <c r="AD1901" s="3639">
        <f t="shared" si="629"/>
        <v>34.457186965870875</v>
      </c>
      <c r="AE1901" s="64" t="s">
        <v>4230</v>
      </c>
      <c r="AG1901" s="3656"/>
    </row>
    <row r="1902" spans="1:33" s="75" customFormat="1" ht="51">
      <c r="A1902" s="1688"/>
      <c r="B1902" s="3146"/>
      <c r="C1902" s="1727"/>
      <c r="D1902" s="1727"/>
      <c r="E1902" s="3792"/>
      <c r="F1902" s="1727"/>
      <c r="G1902" s="1727"/>
      <c r="H1902" s="1727" t="s">
        <v>196</v>
      </c>
      <c r="I1902" s="3653" t="s">
        <v>4289</v>
      </c>
      <c r="J1902" s="3642" t="s">
        <v>4290</v>
      </c>
      <c r="K1902" s="3643">
        <v>6</v>
      </c>
      <c r="L1902" s="3646">
        <v>117850000</v>
      </c>
      <c r="M1902" s="3643">
        <v>2</v>
      </c>
      <c r="N1902" s="3644">
        <v>36420000</v>
      </c>
      <c r="O1902" s="3643">
        <v>1</v>
      </c>
      <c r="P1902" s="3646">
        <v>12430000</v>
      </c>
      <c r="Q1902" s="3643">
        <v>1</v>
      </c>
      <c r="R1902" s="3647">
        <v>8280000</v>
      </c>
      <c r="S1902" s="3643"/>
      <c r="T1902" s="3643">
        <v>0</v>
      </c>
      <c r="U1902" s="3643"/>
      <c r="V1902" s="3647">
        <v>0</v>
      </c>
      <c r="W1902" s="3643"/>
      <c r="X1902" s="3643"/>
      <c r="Y1902" s="1713">
        <f t="shared" si="627"/>
        <v>1</v>
      </c>
      <c r="Z1902" s="1725">
        <f>R1902+T1902+V1902+X1902</f>
        <v>8280000</v>
      </c>
      <c r="AA1902" s="1713">
        <f t="shared" si="628"/>
        <v>3</v>
      </c>
      <c r="AB1902" s="1725">
        <f>N1902+Z1902</f>
        <v>44700000</v>
      </c>
      <c r="AC1902" s="3638">
        <f t="shared" si="625"/>
        <v>50</v>
      </c>
      <c r="AD1902" s="3639">
        <f t="shared" si="629"/>
        <v>37.929571489181164</v>
      </c>
      <c r="AE1902" s="64" t="s">
        <v>4230</v>
      </c>
      <c r="AG1902" s="3656"/>
    </row>
    <row r="1903" spans="1:33" s="75" customFormat="1" ht="51">
      <c r="A1903" s="1688"/>
      <c r="B1903" s="3648"/>
      <c r="C1903" s="1727"/>
      <c r="D1903" s="1727"/>
      <c r="E1903" s="3792"/>
      <c r="F1903" s="1727"/>
      <c r="G1903" s="1727"/>
      <c r="H1903" s="1727" t="s">
        <v>95</v>
      </c>
      <c r="I1903" s="3653" t="s">
        <v>4291</v>
      </c>
      <c r="J1903" s="3642" t="s">
        <v>4292</v>
      </c>
      <c r="K1903" s="3643">
        <v>72</v>
      </c>
      <c r="L1903" s="3646">
        <v>168380000</v>
      </c>
      <c r="M1903" s="3643">
        <v>24</v>
      </c>
      <c r="N1903" s="3644">
        <v>48255000</v>
      </c>
      <c r="O1903" s="3643">
        <v>12</v>
      </c>
      <c r="P1903" s="3646">
        <v>15125000</v>
      </c>
      <c r="Q1903" s="3643">
        <v>3</v>
      </c>
      <c r="R1903" s="3647">
        <v>292500</v>
      </c>
      <c r="S1903" s="3643">
        <v>3</v>
      </c>
      <c r="T1903" s="3647">
        <v>3375000</v>
      </c>
      <c r="U1903" s="3643">
        <v>3</v>
      </c>
      <c r="V1903" s="3647">
        <v>4375000</v>
      </c>
      <c r="W1903" s="3643"/>
      <c r="X1903" s="3643"/>
      <c r="Y1903" s="1713">
        <f t="shared" si="627"/>
        <v>9</v>
      </c>
      <c r="Z1903" s="1725">
        <f>R1903+T1903+V1903+X1903</f>
        <v>8042500</v>
      </c>
      <c r="AA1903" s="1713">
        <f t="shared" si="628"/>
        <v>33</v>
      </c>
      <c r="AB1903" s="1725">
        <f>N1903+Z1903</f>
        <v>56297500</v>
      </c>
      <c r="AC1903" s="3638">
        <f t="shared" si="625"/>
        <v>45.833333333333329</v>
      </c>
      <c r="AD1903" s="3639">
        <f t="shared" si="629"/>
        <v>33.434790355149069</v>
      </c>
      <c r="AE1903" s="64" t="s">
        <v>4230</v>
      </c>
      <c r="AG1903" s="3656"/>
    </row>
    <row r="1904" spans="1:33" s="75" customFormat="1" ht="25.5">
      <c r="A1904" s="1713"/>
      <c r="B1904" s="1726"/>
      <c r="C1904" s="1727"/>
      <c r="D1904" s="1727"/>
      <c r="E1904" s="3792"/>
      <c r="F1904" s="1727"/>
      <c r="G1904" s="1727"/>
      <c r="H1904" s="1727" t="s">
        <v>161</v>
      </c>
      <c r="I1904" s="1716" t="s">
        <v>4293</v>
      </c>
      <c r="J1904" s="3642" t="s">
        <v>4294</v>
      </c>
      <c r="K1904" s="1713">
        <v>72</v>
      </c>
      <c r="L1904" s="1725">
        <v>92070000</v>
      </c>
      <c r="M1904" s="3637">
        <v>24</v>
      </c>
      <c r="N1904" s="3644">
        <v>30600000</v>
      </c>
      <c r="O1904" s="1713">
        <v>12</v>
      </c>
      <c r="P1904" s="3654">
        <v>9270000</v>
      </c>
      <c r="Q1904" s="3637">
        <v>3</v>
      </c>
      <c r="R1904" s="1725">
        <v>2025000</v>
      </c>
      <c r="S1904" s="1713">
        <v>3</v>
      </c>
      <c r="T1904" s="3647">
        <v>3275000</v>
      </c>
      <c r="U1904" s="1713">
        <v>3</v>
      </c>
      <c r="V1904" s="3647">
        <v>1025000</v>
      </c>
      <c r="W1904" s="1713"/>
      <c r="X1904" s="1713"/>
      <c r="Y1904" s="1713">
        <f t="shared" si="627"/>
        <v>9</v>
      </c>
      <c r="Z1904" s="1725">
        <f>R1904+T1904+V1904+X1904</f>
        <v>6325000</v>
      </c>
      <c r="AA1904" s="1713">
        <f t="shared" si="628"/>
        <v>33</v>
      </c>
      <c r="AB1904" s="1725">
        <f>N1904+Z1904</f>
        <v>36925000</v>
      </c>
      <c r="AC1904" s="3638">
        <f t="shared" si="625"/>
        <v>45.833333333333329</v>
      </c>
      <c r="AD1904" s="3639">
        <f t="shared" si="629"/>
        <v>40.105354621483649</v>
      </c>
      <c r="AE1904" s="64" t="s">
        <v>4230</v>
      </c>
      <c r="AG1904" s="3656"/>
    </row>
    <row r="1905" spans="1:76" s="75" customFormat="1" ht="103.5" customHeight="1">
      <c r="A1905" s="3657">
        <v>11</v>
      </c>
      <c r="B1905" s="3660"/>
      <c r="C1905" s="3659" t="s">
        <v>107</v>
      </c>
      <c r="D1905" s="3659" t="s">
        <v>66</v>
      </c>
      <c r="E1905" s="3659" t="s">
        <v>66</v>
      </c>
      <c r="F1905" s="3659" t="s">
        <v>351</v>
      </c>
      <c r="G1905" s="3659"/>
      <c r="H1905" s="3657"/>
      <c r="I1905" s="3660" t="s">
        <v>4295</v>
      </c>
      <c r="J1905" s="3660" t="s">
        <v>4296</v>
      </c>
      <c r="K1905" s="3661">
        <v>100</v>
      </c>
      <c r="L1905" s="3662">
        <f>SUM(L1906)</f>
        <v>102306600</v>
      </c>
      <c r="M1905" s="3661">
        <v>24</v>
      </c>
      <c r="N1905" s="3662">
        <f>SUM(N1906)</f>
        <v>36401600</v>
      </c>
      <c r="O1905" s="3661">
        <v>12</v>
      </c>
      <c r="P1905" s="3662">
        <f>SUM(P1906)</f>
        <v>14605000</v>
      </c>
      <c r="Q1905" s="3661">
        <v>12</v>
      </c>
      <c r="R1905" s="3663">
        <f>SUM(R1906)</f>
        <v>0</v>
      </c>
      <c r="S1905" s="3661"/>
      <c r="T1905" s="3661">
        <f>SUM(T1906)</f>
        <v>0</v>
      </c>
      <c r="U1905" s="3661"/>
      <c r="V1905" s="3662">
        <f>SUM(V1906)</f>
        <v>5935000</v>
      </c>
      <c r="W1905" s="3661"/>
      <c r="X1905" s="3661"/>
      <c r="Y1905" s="3661">
        <f t="shared" ref="Y1905:Y1910" si="630">Q1905+S1905+U1905+W1905</f>
        <v>12</v>
      </c>
      <c r="Z1905" s="3663">
        <f>SUM(Z1906)</f>
        <v>5935000</v>
      </c>
      <c r="AA1905" s="3661">
        <f t="shared" ref="AA1905:AA1910" si="631">M1905+Y1905</f>
        <v>36</v>
      </c>
      <c r="AB1905" s="3662">
        <f>SUM(AB1906)</f>
        <v>42336600</v>
      </c>
      <c r="AC1905" s="3664">
        <f t="shared" si="625"/>
        <v>36</v>
      </c>
      <c r="AD1905" s="3664">
        <f>(AB1905/L1905)*100</f>
        <v>41.382080921465473</v>
      </c>
      <c r="AE1905" s="3661" t="s">
        <v>4230</v>
      </c>
      <c r="AG1905" s="3656"/>
    </row>
    <row r="1906" spans="1:76" s="75" customFormat="1" ht="51">
      <c r="A1906" s="1688"/>
      <c r="B1906" s="3648"/>
      <c r="C1906" s="1382"/>
      <c r="D1906" s="1382"/>
      <c r="E1906" s="1381"/>
      <c r="F1906" s="1382"/>
      <c r="G1906" s="1382"/>
      <c r="H1906" s="1382" t="s">
        <v>93</v>
      </c>
      <c r="I1906" s="3653" t="s">
        <v>4297</v>
      </c>
      <c r="J1906" s="3642" t="s">
        <v>4298</v>
      </c>
      <c r="K1906" s="3643">
        <v>72</v>
      </c>
      <c r="L1906" s="3646">
        <v>102306600</v>
      </c>
      <c r="M1906" s="3643">
        <v>24</v>
      </c>
      <c r="N1906" s="3644">
        <v>36401600</v>
      </c>
      <c r="O1906" s="3643">
        <v>12</v>
      </c>
      <c r="P1906" s="3646">
        <v>14605000</v>
      </c>
      <c r="Q1906" s="3643">
        <v>3</v>
      </c>
      <c r="R1906" s="3647">
        <v>0</v>
      </c>
      <c r="S1906" s="3643">
        <v>3</v>
      </c>
      <c r="T1906" s="3643">
        <v>0</v>
      </c>
      <c r="U1906" s="3643">
        <v>3</v>
      </c>
      <c r="V1906" s="3647">
        <v>5935000</v>
      </c>
      <c r="W1906" s="3643"/>
      <c r="X1906" s="3643"/>
      <c r="Y1906" s="1713">
        <f t="shared" si="630"/>
        <v>9</v>
      </c>
      <c r="Z1906" s="1725">
        <f>R1906+T1906+V1906+X1906</f>
        <v>5935000</v>
      </c>
      <c r="AA1906" s="1713">
        <f t="shared" si="631"/>
        <v>33</v>
      </c>
      <c r="AB1906" s="1725">
        <f>N1906+Z1906</f>
        <v>42336600</v>
      </c>
      <c r="AC1906" s="3638">
        <f t="shared" si="625"/>
        <v>45.833333333333329</v>
      </c>
      <c r="AD1906" s="3639">
        <f t="shared" ref="AD1906" si="632">(AB1906/L1906)*100</f>
        <v>41.382080921465473</v>
      </c>
      <c r="AE1906" s="64" t="s">
        <v>4230</v>
      </c>
      <c r="AG1906" s="3656"/>
    </row>
    <row r="1907" spans="1:76" s="75" customFormat="1" ht="100.5" customHeight="1">
      <c r="A1907" s="3657">
        <v>12</v>
      </c>
      <c r="B1907" s="3660" t="s">
        <v>4299</v>
      </c>
      <c r="C1907" s="3659" t="s">
        <v>107</v>
      </c>
      <c r="D1907" s="3659" t="s">
        <v>66</v>
      </c>
      <c r="E1907" s="3659" t="s">
        <v>66</v>
      </c>
      <c r="F1907" s="3659" t="s">
        <v>293</v>
      </c>
      <c r="G1907" s="3659"/>
      <c r="H1907" s="3657"/>
      <c r="I1907" s="3660" t="s">
        <v>4300</v>
      </c>
      <c r="J1907" s="3660" t="s">
        <v>4301</v>
      </c>
      <c r="K1907" s="3661">
        <v>100</v>
      </c>
      <c r="L1907" s="3662">
        <f>SUM(L1908)</f>
        <v>86610000</v>
      </c>
      <c r="M1907" s="3661">
        <v>0</v>
      </c>
      <c r="N1907" s="3662">
        <f>SUM(N1908)</f>
        <v>0</v>
      </c>
      <c r="O1907" s="3661">
        <v>12</v>
      </c>
      <c r="P1907" s="3662">
        <f>SUM(P1908)</f>
        <v>14635000</v>
      </c>
      <c r="Q1907" s="3661">
        <v>12</v>
      </c>
      <c r="R1907" s="3663">
        <f>SUM(R1908)</f>
        <v>600000</v>
      </c>
      <c r="S1907" s="3661"/>
      <c r="T1907" s="3661">
        <f>SUM(T1908)</f>
        <v>0</v>
      </c>
      <c r="U1907" s="3661"/>
      <c r="V1907" s="3663">
        <f>SUM(V1908)</f>
        <v>1500000</v>
      </c>
      <c r="W1907" s="3661"/>
      <c r="X1907" s="3661"/>
      <c r="Y1907" s="3661">
        <f t="shared" si="630"/>
        <v>12</v>
      </c>
      <c r="Z1907" s="3663">
        <f>SUM(Z1908)</f>
        <v>2100000</v>
      </c>
      <c r="AA1907" s="3661">
        <f t="shared" si="631"/>
        <v>12</v>
      </c>
      <c r="AB1907" s="3662">
        <f>SUM(AB1908)</f>
        <v>2100000</v>
      </c>
      <c r="AC1907" s="3664">
        <f t="shared" si="625"/>
        <v>12</v>
      </c>
      <c r="AD1907" s="3664">
        <f>(AB1907/L1907)*100</f>
        <v>2.4246622791825425</v>
      </c>
      <c r="AE1907" s="3661" t="s">
        <v>4230</v>
      </c>
      <c r="AG1907" s="3656"/>
    </row>
    <row r="1908" spans="1:76" s="75" customFormat="1" ht="25.5">
      <c r="A1908" s="1688"/>
      <c r="B1908" s="3648"/>
      <c r="C1908" s="1382"/>
      <c r="D1908" s="1382"/>
      <c r="E1908" s="1381"/>
      <c r="F1908" s="1382"/>
      <c r="G1908" s="1382"/>
      <c r="H1908" s="1382" t="s">
        <v>66</v>
      </c>
      <c r="I1908" s="3653" t="s">
        <v>4302</v>
      </c>
      <c r="J1908" s="3642" t="s">
        <v>4303</v>
      </c>
      <c r="K1908" s="3643">
        <v>60</v>
      </c>
      <c r="L1908" s="3646">
        <v>86610000</v>
      </c>
      <c r="M1908" s="3643">
        <v>0</v>
      </c>
      <c r="N1908" s="3644">
        <v>0</v>
      </c>
      <c r="O1908" s="3643">
        <v>12</v>
      </c>
      <c r="P1908" s="3646">
        <v>14635000</v>
      </c>
      <c r="Q1908" s="3643">
        <v>4</v>
      </c>
      <c r="R1908" s="3647">
        <v>600000</v>
      </c>
      <c r="S1908" s="3643"/>
      <c r="T1908" s="3643">
        <v>0</v>
      </c>
      <c r="U1908" s="3643">
        <v>4</v>
      </c>
      <c r="V1908" s="3647">
        <v>1500000</v>
      </c>
      <c r="W1908" s="3643"/>
      <c r="X1908" s="3643"/>
      <c r="Y1908" s="1713">
        <f t="shared" si="630"/>
        <v>8</v>
      </c>
      <c r="Z1908" s="1725">
        <f>R1908+T1908+V1908+X1908</f>
        <v>2100000</v>
      </c>
      <c r="AA1908" s="1713">
        <f t="shared" si="631"/>
        <v>8</v>
      </c>
      <c r="AB1908" s="1725">
        <f>N1908+Z1908</f>
        <v>2100000</v>
      </c>
      <c r="AC1908" s="3638">
        <f t="shared" si="625"/>
        <v>13.333333333333334</v>
      </c>
      <c r="AD1908" s="3639">
        <f t="shared" ref="AD1908" si="633">(AB1908/L1908)*100</f>
        <v>2.4246622791825425</v>
      </c>
      <c r="AE1908" s="64" t="s">
        <v>4230</v>
      </c>
      <c r="AG1908" s="3656"/>
    </row>
    <row r="1909" spans="1:76" s="75" customFormat="1" ht="66">
      <c r="A1909" s="3657">
        <v>13</v>
      </c>
      <c r="B1909" s="3660"/>
      <c r="C1909" s="3659" t="s">
        <v>146</v>
      </c>
      <c r="D1909" s="3659" t="s">
        <v>66</v>
      </c>
      <c r="E1909" s="3659" t="s">
        <v>161</v>
      </c>
      <c r="F1909" s="3659" t="s">
        <v>166</v>
      </c>
      <c r="G1909" s="3659"/>
      <c r="H1909" s="3657"/>
      <c r="I1909" s="3660" t="s">
        <v>4304</v>
      </c>
      <c r="J1909" s="3660" t="s">
        <v>4305</v>
      </c>
      <c r="K1909" s="3661">
        <v>100</v>
      </c>
      <c r="L1909" s="3662">
        <f>SUM(L1910)</f>
        <v>59485000</v>
      </c>
      <c r="M1909" s="3661">
        <v>24</v>
      </c>
      <c r="N1909" s="3662">
        <f>SUM(N1910)</f>
        <v>17455000</v>
      </c>
      <c r="O1909" s="3661">
        <v>12</v>
      </c>
      <c r="P1909" s="3662">
        <f>SUM(P1910)</f>
        <v>12640000</v>
      </c>
      <c r="Q1909" s="3661">
        <v>3</v>
      </c>
      <c r="R1909" s="3663">
        <f>SUM(R1910)</f>
        <v>1960000</v>
      </c>
      <c r="S1909" s="3661"/>
      <c r="T1909" s="3661">
        <f>SUM(T1910)</f>
        <v>0</v>
      </c>
      <c r="U1909" s="3661">
        <v>3</v>
      </c>
      <c r="V1909" s="3663">
        <f>SUM(V1910)</f>
        <v>4035000</v>
      </c>
      <c r="W1909" s="3661"/>
      <c r="X1909" s="3661"/>
      <c r="Y1909" s="3661">
        <f t="shared" si="630"/>
        <v>6</v>
      </c>
      <c r="Z1909" s="3663">
        <f>SUM(Z1910)</f>
        <v>5995000</v>
      </c>
      <c r="AA1909" s="3661">
        <f t="shared" si="631"/>
        <v>30</v>
      </c>
      <c r="AB1909" s="3662">
        <f>SUM(AB1910)</f>
        <v>23450000</v>
      </c>
      <c r="AC1909" s="3664">
        <f t="shared" si="625"/>
        <v>30</v>
      </c>
      <c r="AD1909" s="3664">
        <f>(AB1909/L1909)*100</f>
        <v>39.421702950323613</v>
      </c>
      <c r="AE1909" s="3661" t="s">
        <v>4230</v>
      </c>
      <c r="AG1909" s="3656"/>
    </row>
    <row r="1910" spans="1:76" s="75" customFormat="1" ht="38.25">
      <c r="A1910" s="1688"/>
      <c r="B1910" s="3648"/>
      <c r="C1910" s="1382"/>
      <c r="D1910" s="1382"/>
      <c r="E1910" s="1381"/>
      <c r="F1910" s="1382"/>
      <c r="G1910" s="1382"/>
      <c r="H1910" s="1382" t="s">
        <v>401</v>
      </c>
      <c r="I1910" s="3653" t="s">
        <v>4306</v>
      </c>
      <c r="J1910" s="3642" t="s">
        <v>4307</v>
      </c>
      <c r="K1910" s="3643">
        <v>72</v>
      </c>
      <c r="L1910" s="3646">
        <v>59485000</v>
      </c>
      <c r="M1910" s="3643">
        <v>24</v>
      </c>
      <c r="N1910" s="3644">
        <v>17455000</v>
      </c>
      <c r="O1910" s="3643">
        <v>12</v>
      </c>
      <c r="P1910" s="3646">
        <v>12640000</v>
      </c>
      <c r="Q1910" s="3643">
        <v>15</v>
      </c>
      <c r="R1910" s="3647">
        <v>1960000</v>
      </c>
      <c r="S1910" s="3643"/>
      <c r="T1910" s="3643">
        <v>0</v>
      </c>
      <c r="U1910" s="3643"/>
      <c r="V1910" s="3647">
        <v>4035000</v>
      </c>
      <c r="W1910" s="3643"/>
      <c r="X1910" s="3643"/>
      <c r="Y1910" s="1713">
        <f t="shared" si="630"/>
        <v>15</v>
      </c>
      <c r="Z1910" s="1725">
        <f>R1910+T1910+V1910+X1910</f>
        <v>5995000</v>
      </c>
      <c r="AA1910" s="1713">
        <f t="shared" si="631"/>
        <v>39</v>
      </c>
      <c r="AB1910" s="1725">
        <f>N1910+Z1910</f>
        <v>23450000</v>
      </c>
      <c r="AC1910" s="3638">
        <f t="shared" si="625"/>
        <v>54.166666666666664</v>
      </c>
      <c r="AD1910" s="3639">
        <f t="shared" ref="AD1910" si="634">(AB1910/L1910)*100</f>
        <v>39.421702950323613</v>
      </c>
      <c r="AE1910" s="64" t="s">
        <v>4230</v>
      </c>
      <c r="AG1910" s="3656"/>
    </row>
    <row r="1911" spans="1:76" s="114" customFormat="1" ht="18.75" customHeight="1">
      <c r="A1911" s="4244" t="s">
        <v>89</v>
      </c>
      <c r="B1911" s="4244"/>
      <c r="C1911" s="4244"/>
      <c r="D1911" s="4244"/>
      <c r="E1911" s="4244"/>
      <c r="F1911" s="4244"/>
      <c r="G1911" s="4244"/>
      <c r="H1911" s="4244"/>
      <c r="I1911" s="4244"/>
      <c r="J1911" s="4244"/>
      <c r="K1911" s="4244"/>
      <c r="L1911" s="4244"/>
      <c r="M1911" s="4244"/>
      <c r="N1911" s="4244"/>
      <c r="O1911" s="4244"/>
      <c r="P1911" s="4244"/>
      <c r="Q1911" s="4244"/>
      <c r="R1911" s="4244"/>
      <c r="S1911" s="4244"/>
      <c r="T1911" s="4244"/>
      <c r="U1911" s="4244"/>
      <c r="V1911" s="4244"/>
      <c r="W1911" s="4244"/>
      <c r="X1911" s="4244"/>
      <c r="Y1911" s="4244"/>
      <c r="Z1911" s="4244"/>
      <c r="AA1911" s="4244"/>
      <c r="AB1911" s="4244"/>
      <c r="AC1911" s="2030">
        <f>(AC1861+AC1874+AC1880+AC1882+AC1884+AC1887+AC1889+AC1892+AC1897+AC1899+AC1905+AC1907+AC1909)/13</f>
        <v>41.518315018315015</v>
      </c>
      <c r="AD1911" s="2030">
        <f>(AD1861+AD1874+AD1880+AD1882+AD1884+AD1887+AD1889+AD1892+AD1897+AD1899+AD1905+AD1907+AD1909)/13</f>
        <v>31.734685003569172</v>
      </c>
      <c r="AE1911" s="3616"/>
    </row>
    <row r="1912" spans="1:76" s="475" customFormat="1" ht="15.75" customHeight="1">
      <c r="A1912" s="4244" t="s">
        <v>90</v>
      </c>
      <c r="B1912" s="4244"/>
      <c r="C1912" s="4244"/>
      <c r="D1912" s="4244"/>
      <c r="E1912" s="4244"/>
      <c r="F1912" s="4244"/>
      <c r="G1912" s="4244"/>
      <c r="H1912" s="4244"/>
      <c r="I1912" s="4244"/>
      <c r="J1912" s="4244"/>
      <c r="K1912" s="4244"/>
      <c r="L1912" s="4244"/>
      <c r="M1912" s="4244"/>
      <c r="N1912" s="4244"/>
      <c r="O1912" s="4244"/>
      <c r="P1912" s="4244"/>
      <c r="Q1912" s="4244"/>
      <c r="R1912" s="4244"/>
      <c r="S1912" s="4244"/>
      <c r="T1912" s="4244"/>
      <c r="U1912" s="4244"/>
      <c r="V1912" s="4244"/>
      <c r="W1912" s="4244"/>
      <c r="X1912" s="4244"/>
      <c r="Y1912" s="4244"/>
      <c r="Z1912" s="4244"/>
      <c r="AA1912" s="4244"/>
      <c r="AB1912" s="4244"/>
      <c r="AC1912" s="3617" t="str">
        <f>IF(AC1911&gt;=91,"ST",IF(AC1911&gt;=76,"T",IF(AC1911&gt;=66,"S",IF(AC1911&gt;=51,"R","SR"))))</f>
        <v>SR</v>
      </c>
      <c r="AD1912" s="3617" t="str">
        <f>IF(AD1911&gt;=91,"ST",IF(AD1911&gt;=76,"T",IF(AD1911&gt;=66,"S",IF(AD1911&gt;=51,"R","SR"))))</f>
        <v>SR</v>
      </c>
      <c r="AE1912" s="3616"/>
    </row>
    <row r="1913" spans="1:76" s="55" customFormat="1" ht="25.5" customHeight="1">
      <c r="A1913" s="2546" t="s">
        <v>31</v>
      </c>
      <c r="B1913" s="2918"/>
      <c r="C1913" s="2546"/>
      <c r="D1913" s="2546"/>
      <c r="E1913" s="2546"/>
      <c r="F1913" s="2546"/>
      <c r="G1913" s="2546"/>
      <c r="H1913" s="2546"/>
      <c r="I1913" s="2515" t="s">
        <v>4229</v>
      </c>
      <c r="J1913" s="2918"/>
      <c r="K1913" s="2918"/>
      <c r="L1913" s="3238">
        <f>L1914+L1925+L1930+L1932+L1934+L1936+L1939</f>
        <v>2845778440</v>
      </c>
      <c r="M1913" s="2918"/>
      <c r="N1913" s="2916">
        <f>N1914+N1925+N1930+N1932+N1934+N1936+N1939</f>
        <v>775620900</v>
      </c>
      <c r="O1913" s="2918"/>
      <c r="P1913" s="2916">
        <f>P1914+P1925+P1930+P1932+P1934+P1936+P1939</f>
        <v>417910420</v>
      </c>
      <c r="Q1913" s="2918"/>
      <c r="R1913" s="2916">
        <f>R1914+R1925+R1930+R1932+R1934+R1936+R1939</f>
        <v>31968500</v>
      </c>
      <c r="S1913" s="2918"/>
      <c r="T1913" s="2916">
        <f>T1914+T1925+T1930+T1932+T1934+T1936+T1939</f>
        <v>110299600</v>
      </c>
      <c r="U1913" s="2918"/>
      <c r="V1913" s="2916">
        <f>V1914+V1925+V1930+V1932+V1934+V1936+V1939</f>
        <v>103258850</v>
      </c>
      <c r="W1913" s="2918"/>
      <c r="X1913" s="2918"/>
      <c r="Y1913" s="2546">
        <f>Q1913+S1913+U1913+W1913</f>
        <v>0</v>
      </c>
      <c r="Z1913" s="2916">
        <f>Z1914+Z1925+Z1930+Z1932+Z1934+Z1936+Z1939</f>
        <v>245526950</v>
      </c>
      <c r="AA1913" s="2918"/>
      <c r="AB1913" s="2916" t="e">
        <f>AB1914+AB1925+AB1930+AB1932+AB1934+AB1936+#REF!+AB1939+#REF!</f>
        <v>#REF!</v>
      </c>
      <c r="AC1913" s="2918"/>
      <c r="AD1913" s="2918"/>
      <c r="AE1913" s="3211"/>
      <c r="AF1913" s="145"/>
      <c r="AG1913" s="145"/>
      <c r="AH1913" s="145"/>
      <c r="AI1913" s="145"/>
      <c r="AJ1913" s="145"/>
      <c r="AK1913" s="145"/>
      <c r="AL1913" s="145"/>
      <c r="AM1913" s="145"/>
      <c r="AN1913" s="145"/>
      <c r="AO1913" s="145"/>
      <c r="AP1913" s="145"/>
      <c r="AQ1913" s="145"/>
      <c r="AR1913" s="145"/>
      <c r="AS1913" s="145"/>
      <c r="AT1913" s="145"/>
      <c r="AU1913" s="145"/>
      <c r="AV1913" s="145"/>
      <c r="AW1913" s="145"/>
      <c r="AX1913" s="145"/>
      <c r="AY1913" s="145"/>
      <c r="AZ1913" s="145"/>
      <c r="BA1913" s="145"/>
      <c r="BB1913" s="145"/>
      <c r="BC1913" s="145"/>
      <c r="BD1913" s="145"/>
      <c r="BE1913" s="145"/>
      <c r="BF1913" s="145"/>
      <c r="BG1913" s="145"/>
      <c r="BH1913" s="145"/>
      <c r="BI1913" s="145"/>
      <c r="BJ1913" s="145"/>
      <c r="BK1913" s="145"/>
      <c r="BL1913" s="145"/>
      <c r="BM1913" s="145"/>
      <c r="BN1913" s="145"/>
      <c r="BO1913" s="145"/>
      <c r="BP1913" s="145"/>
      <c r="BQ1913" s="145"/>
      <c r="BR1913" s="145"/>
      <c r="BS1913" s="145"/>
      <c r="BT1913" s="145"/>
      <c r="BU1913" s="145"/>
      <c r="BV1913" s="145"/>
      <c r="BW1913" s="145"/>
      <c r="BX1913" s="145"/>
    </row>
    <row r="1914" spans="1:76" s="3802" customFormat="1" ht="92.25" customHeight="1">
      <c r="A1914" s="3657">
        <v>1</v>
      </c>
      <c r="B1914" s="3835"/>
      <c r="C1914" s="3659">
        <v>5</v>
      </c>
      <c r="D1914" s="3659" t="s">
        <v>107</v>
      </c>
      <c r="E1914" s="3659" t="s">
        <v>66</v>
      </c>
      <c r="F1914" s="3659" t="s">
        <v>155</v>
      </c>
      <c r="G1914" s="3659" t="s">
        <v>66</v>
      </c>
      <c r="H1914" s="3657"/>
      <c r="I1914" s="3660" t="s">
        <v>4326</v>
      </c>
      <c r="J1914" s="3660" t="s">
        <v>4529</v>
      </c>
      <c r="K1914" s="3657">
        <v>72</v>
      </c>
      <c r="L1914" s="3662">
        <f>SUM(L1915:L1924)</f>
        <v>1286260600</v>
      </c>
      <c r="M1914" s="3657">
        <v>24</v>
      </c>
      <c r="N1914" s="3662">
        <f>SUM(N1915:N1924)</f>
        <v>384099500</v>
      </c>
      <c r="O1914" s="3657">
        <v>12</v>
      </c>
      <c r="P1914" s="3662">
        <f>SUM(P1915:P1924)</f>
        <v>194318920</v>
      </c>
      <c r="Q1914" s="3657">
        <v>3</v>
      </c>
      <c r="R1914" s="3662">
        <f>SUM(R1915:R1924)</f>
        <v>8678500</v>
      </c>
      <c r="S1914" s="3657">
        <v>3</v>
      </c>
      <c r="T1914" s="3662">
        <f>SUM(T1915:T1924)</f>
        <v>39459600</v>
      </c>
      <c r="U1914" s="3657">
        <v>3</v>
      </c>
      <c r="V1914" s="3662">
        <f>SUM(V1915:V1924)</f>
        <v>68173350</v>
      </c>
      <c r="W1914" s="3661"/>
      <c r="X1914" s="3661"/>
      <c r="Y1914" s="3836">
        <f>Q1914+S1914+U1914+W1914</f>
        <v>9</v>
      </c>
      <c r="Z1914" s="3662">
        <f>SUM(Z1915:Z1924)</f>
        <v>116311450</v>
      </c>
      <c r="AA1914" s="3836">
        <f>M1914+Y1914</f>
        <v>33</v>
      </c>
      <c r="AB1914" s="3662">
        <f>SUM(AB1915:AB1924)</f>
        <v>500410950</v>
      </c>
      <c r="AC1914" s="3664">
        <f>(AA1914/K1914)*100</f>
        <v>45.833333333333329</v>
      </c>
      <c r="AD1914" s="3664">
        <f>AB1914/L1914*100</f>
        <v>38.904320788493408</v>
      </c>
      <c r="AE1914" s="3661" t="s">
        <v>4562</v>
      </c>
    </row>
    <row r="1915" spans="1:76" s="2117" customFormat="1" ht="81.75" customHeight="1">
      <c r="A1915" s="3803"/>
      <c r="B1915" s="3678"/>
      <c r="C1915" s="36">
        <v>5</v>
      </c>
      <c r="D1915" s="36" t="s">
        <v>107</v>
      </c>
      <c r="E1915" s="36" t="s">
        <v>66</v>
      </c>
      <c r="F1915" s="36" t="s">
        <v>155</v>
      </c>
      <c r="G1915" s="36" t="s">
        <v>66</v>
      </c>
      <c r="H1915" s="3804" t="s">
        <v>65</v>
      </c>
      <c r="I1915" s="3690" t="s">
        <v>4330</v>
      </c>
      <c r="J1915" s="3690" t="s">
        <v>4331</v>
      </c>
      <c r="K1915" s="3805">
        <v>72</v>
      </c>
      <c r="L1915" s="3691">
        <v>74170000</v>
      </c>
      <c r="M1915" s="3804">
        <v>24</v>
      </c>
      <c r="N1915" s="3806">
        <v>16763500</v>
      </c>
      <c r="O1915" s="3805">
        <v>12</v>
      </c>
      <c r="P1915" s="3807">
        <v>7440000</v>
      </c>
      <c r="Q1915" s="3804">
        <v>3</v>
      </c>
      <c r="R1915" s="3691">
        <v>154500</v>
      </c>
      <c r="S1915" s="3805">
        <v>3</v>
      </c>
      <c r="T1915" s="3691">
        <f>1965600-R1915</f>
        <v>1811100</v>
      </c>
      <c r="U1915" s="3805">
        <v>3</v>
      </c>
      <c r="V1915" s="3807">
        <f>3069450-T1915-R1915</f>
        <v>1103850</v>
      </c>
      <c r="W1915" s="3803"/>
      <c r="X1915" s="3803"/>
      <c r="Y1915" s="3679">
        <f t="shared" ref="Y1915:Y1916" si="635">Q1915+S1915+U1915+W1915</f>
        <v>9</v>
      </c>
      <c r="Z1915" s="3691">
        <f>R1915+T1915+V1915+X1915</f>
        <v>3069450</v>
      </c>
      <c r="AA1915" s="3679">
        <f t="shared" ref="AA1915:AA1917" si="636">M1915+Y1915</f>
        <v>33</v>
      </c>
      <c r="AB1915" s="3691">
        <f t="shared" ref="AB1915:AB1924" si="637">N1915+Z1915</f>
        <v>19832950</v>
      </c>
      <c r="AC1915" s="3684">
        <f>(AA1915/K1915)*100</f>
        <v>45.833333333333329</v>
      </c>
      <c r="AD1915" s="3684">
        <f t="shared" ref="AD1915:AD1924" si="638">AB1915/L1915*100</f>
        <v>26.739854388566808</v>
      </c>
      <c r="AE1915" s="3803" t="s">
        <v>4562</v>
      </c>
    </row>
    <row r="1916" spans="1:76" s="2117" customFormat="1" ht="105">
      <c r="A1916" s="3803"/>
      <c r="B1916" s="3678"/>
      <c r="C1916" s="36">
        <v>5</v>
      </c>
      <c r="D1916" s="36" t="s">
        <v>107</v>
      </c>
      <c r="E1916" s="36" t="s">
        <v>66</v>
      </c>
      <c r="F1916" s="36" t="s">
        <v>155</v>
      </c>
      <c r="G1916" s="36" t="s">
        <v>66</v>
      </c>
      <c r="H1916" s="3804" t="s">
        <v>198</v>
      </c>
      <c r="I1916" s="3690" t="s">
        <v>4332</v>
      </c>
      <c r="J1916" s="3690" t="s">
        <v>4333</v>
      </c>
      <c r="K1916" s="3805">
        <v>72</v>
      </c>
      <c r="L1916" s="3691">
        <v>199260600</v>
      </c>
      <c r="M1916" s="3804">
        <v>24</v>
      </c>
      <c r="N1916" s="3806">
        <f>29350000+39600000</f>
        <v>68950000</v>
      </c>
      <c r="O1916" s="3805">
        <v>12</v>
      </c>
      <c r="P1916" s="3807">
        <v>44400000</v>
      </c>
      <c r="Q1916" s="3804">
        <v>3</v>
      </c>
      <c r="R1916" s="3691"/>
      <c r="S1916" s="3805">
        <v>3</v>
      </c>
      <c r="T1916" s="3691">
        <v>6800000</v>
      </c>
      <c r="U1916" s="3805">
        <v>3</v>
      </c>
      <c r="V1916" s="3807">
        <v>24350000</v>
      </c>
      <c r="W1916" s="3803"/>
      <c r="X1916" s="3803"/>
      <c r="Y1916" s="3679">
        <f t="shared" si="635"/>
        <v>9</v>
      </c>
      <c r="Z1916" s="3691">
        <f t="shared" ref="Z1916:Z1924" si="639">R1916+T1916+V1916+X1916</f>
        <v>31150000</v>
      </c>
      <c r="AA1916" s="3679">
        <f t="shared" si="636"/>
        <v>33</v>
      </c>
      <c r="AB1916" s="3691">
        <f t="shared" si="637"/>
        <v>100100000</v>
      </c>
      <c r="AC1916" s="3684">
        <f t="shared" ref="AC1916" si="640">(AA1916/K1916)*100</f>
        <v>45.833333333333329</v>
      </c>
      <c r="AD1916" s="3684">
        <f t="shared" si="638"/>
        <v>50.23572146224592</v>
      </c>
      <c r="AE1916" s="3803" t="s">
        <v>4562</v>
      </c>
    </row>
    <row r="1917" spans="1:76" s="2117" customFormat="1" ht="66.75" customHeight="1">
      <c r="A1917" s="2116"/>
      <c r="B1917" s="3678"/>
      <c r="C1917" s="36">
        <v>5</v>
      </c>
      <c r="D1917" s="36" t="s">
        <v>107</v>
      </c>
      <c r="E1917" s="36" t="s">
        <v>66</v>
      </c>
      <c r="F1917" s="36" t="s">
        <v>155</v>
      </c>
      <c r="G1917" s="36" t="s">
        <v>66</v>
      </c>
      <c r="H1917" s="36" t="s">
        <v>93</v>
      </c>
      <c r="I1917" s="3680" t="s">
        <v>876</v>
      </c>
      <c r="J1917" s="3680" t="s">
        <v>4334</v>
      </c>
      <c r="K1917" s="36">
        <v>72</v>
      </c>
      <c r="L1917" s="3682">
        <v>93500000</v>
      </c>
      <c r="M1917" s="36">
        <v>24</v>
      </c>
      <c r="N1917" s="3808">
        <v>26825000</v>
      </c>
      <c r="O1917" s="3679">
        <v>12</v>
      </c>
      <c r="P1917" s="3683">
        <v>13398000</v>
      </c>
      <c r="Q1917" s="36">
        <v>3</v>
      </c>
      <c r="R1917" s="3682">
        <v>2600500</v>
      </c>
      <c r="S1917" s="3679">
        <v>3</v>
      </c>
      <c r="T1917" s="3682">
        <v>3226000</v>
      </c>
      <c r="U1917" s="3679">
        <v>3</v>
      </c>
      <c r="V1917" s="3683">
        <f>8076500-T1917-R1917</f>
        <v>2250000</v>
      </c>
      <c r="W1917" s="2116"/>
      <c r="X1917" s="2116"/>
      <c r="Y1917" s="3679">
        <f>Q1917+S1917+U1917+W1917</f>
        <v>9</v>
      </c>
      <c r="Z1917" s="3682">
        <f t="shared" si="639"/>
        <v>8076500</v>
      </c>
      <c r="AA1917" s="3679">
        <f t="shared" si="636"/>
        <v>33</v>
      </c>
      <c r="AB1917" s="3682">
        <f t="shared" si="637"/>
        <v>34901500</v>
      </c>
      <c r="AC1917" s="3684">
        <f>(AA1917/K1917)*100</f>
        <v>45.833333333333329</v>
      </c>
      <c r="AD1917" s="3684">
        <f t="shared" si="638"/>
        <v>37.327807486631016</v>
      </c>
      <c r="AE1917" s="2116" t="s">
        <v>4562</v>
      </c>
    </row>
    <row r="1918" spans="1:76" s="2117" customFormat="1" ht="45">
      <c r="A1918" s="3803"/>
      <c r="B1918" s="3809"/>
      <c r="C1918" s="3804">
        <v>5</v>
      </c>
      <c r="D1918" s="3804" t="s">
        <v>107</v>
      </c>
      <c r="E1918" s="3804" t="s">
        <v>66</v>
      </c>
      <c r="F1918" s="3804" t="s">
        <v>155</v>
      </c>
      <c r="G1918" s="3804" t="s">
        <v>66</v>
      </c>
      <c r="H1918" s="3804" t="s">
        <v>202</v>
      </c>
      <c r="I1918" s="3690" t="s">
        <v>880</v>
      </c>
      <c r="J1918" s="3690" t="s">
        <v>443</v>
      </c>
      <c r="K1918" s="3805">
        <v>72</v>
      </c>
      <c r="L1918" s="3691">
        <v>132600000</v>
      </c>
      <c r="M1918" s="3804">
        <v>24</v>
      </c>
      <c r="N1918" s="3806">
        <v>39955000</v>
      </c>
      <c r="O1918" s="3805">
        <v>12</v>
      </c>
      <c r="P1918" s="3807">
        <v>17677420</v>
      </c>
      <c r="Q1918" s="3804">
        <v>3</v>
      </c>
      <c r="R1918" s="3691">
        <v>1848500</v>
      </c>
      <c r="S1918" s="3805">
        <v>3</v>
      </c>
      <c r="T1918" s="3691">
        <v>6154000</v>
      </c>
      <c r="U1918" s="3805">
        <v>3</v>
      </c>
      <c r="V1918" s="3807">
        <v>74000</v>
      </c>
      <c r="W1918" s="3803"/>
      <c r="X1918" s="3803"/>
      <c r="Y1918" s="3805">
        <f t="shared" ref="Y1918:Y1919" si="641">Q1918+S1918+U1918+W1918</f>
        <v>9</v>
      </c>
      <c r="Z1918" s="3691">
        <f t="shared" si="639"/>
        <v>8076500</v>
      </c>
      <c r="AA1918" s="3805">
        <f>M1918+Y1918</f>
        <v>33</v>
      </c>
      <c r="AB1918" s="3691">
        <f t="shared" si="637"/>
        <v>48031500</v>
      </c>
      <c r="AC1918" s="3810">
        <f>(AA1918/K1918)*100</f>
        <v>45.833333333333329</v>
      </c>
      <c r="AD1918" s="3810">
        <f t="shared" si="638"/>
        <v>36.222850678733032</v>
      </c>
      <c r="AE1918" s="3803" t="s">
        <v>4562</v>
      </c>
    </row>
    <row r="1919" spans="1:76" s="2117" customFormat="1" ht="75">
      <c r="A1919" s="2116"/>
      <c r="B1919" s="3678"/>
      <c r="C1919" s="36">
        <v>5</v>
      </c>
      <c r="D1919" s="36" t="s">
        <v>107</v>
      </c>
      <c r="E1919" s="36" t="s">
        <v>66</v>
      </c>
      <c r="F1919" s="36" t="s">
        <v>155</v>
      </c>
      <c r="G1919" s="36" t="s">
        <v>66</v>
      </c>
      <c r="H1919" s="36" t="s">
        <v>417</v>
      </c>
      <c r="I1919" s="3680" t="s">
        <v>882</v>
      </c>
      <c r="J1919" s="3681" t="s">
        <v>4547</v>
      </c>
      <c r="K1919" s="3679">
        <v>72</v>
      </c>
      <c r="L1919" s="3682">
        <v>65400000</v>
      </c>
      <c r="M1919" s="36">
        <v>24</v>
      </c>
      <c r="N1919" s="3808">
        <v>21002000</v>
      </c>
      <c r="O1919" s="3679">
        <v>12</v>
      </c>
      <c r="P1919" s="3683">
        <v>12141500</v>
      </c>
      <c r="Q1919" s="36">
        <v>3</v>
      </c>
      <c r="R1919" s="3682">
        <v>380000</v>
      </c>
      <c r="S1919" s="3679">
        <v>3</v>
      </c>
      <c r="T1919" s="3682">
        <v>2598000</v>
      </c>
      <c r="U1919" s="3679">
        <v>3</v>
      </c>
      <c r="V1919" s="3682">
        <v>2240000</v>
      </c>
      <c r="W1919" s="2116"/>
      <c r="X1919" s="2116"/>
      <c r="Y1919" s="3679">
        <f t="shared" si="641"/>
        <v>9</v>
      </c>
      <c r="Z1919" s="3682">
        <f t="shared" si="639"/>
        <v>5218000</v>
      </c>
      <c r="AA1919" s="3679">
        <f t="shared" ref="AA1919:AA1921" si="642">M1919+Y1919</f>
        <v>33</v>
      </c>
      <c r="AB1919" s="3682">
        <f t="shared" si="637"/>
        <v>26220000</v>
      </c>
      <c r="AC1919" s="3684">
        <f t="shared" ref="AC1919:AC1921" si="643">(AA1919/K1919)*100</f>
        <v>45.833333333333329</v>
      </c>
      <c r="AD1919" s="3684">
        <f t="shared" si="638"/>
        <v>40.091743119266056</v>
      </c>
      <c r="AE1919" s="2116" t="s">
        <v>4562</v>
      </c>
    </row>
    <row r="1920" spans="1:76" s="2117" customFormat="1" ht="92.25" customHeight="1">
      <c r="A1920" s="2116"/>
      <c r="B1920" s="3678"/>
      <c r="C1920" s="36">
        <v>5</v>
      </c>
      <c r="D1920" s="36" t="s">
        <v>107</v>
      </c>
      <c r="E1920" s="36" t="s">
        <v>66</v>
      </c>
      <c r="F1920" s="36" t="s">
        <v>155</v>
      </c>
      <c r="G1920" s="36" t="s">
        <v>66</v>
      </c>
      <c r="H1920" s="36" t="s">
        <v>160</v>
      </c>
      <c r="I1920" s="3680" t="s">
        <v>4339</v>
      </c>
      <c r="J1920" s="3680" t="s">
        <v>4519</v>
      </c>
      <c r="K1920" s="3679">
        <v>72</v>
      </c>
      <c r="L1920" s="3682">
        <v>15000000</v>
      </c>
      <c r="M1920" s="36">
        <v>24</v>
      </c>
      <c r="N1920" s="3808">
        <v>3931000</v>
      </c>
      <c r="O1920" s="3679">
        <v>12</v>
      </c>
      <c r="P1920" s="3683">
        <v>2016000</v>
      </c>
      <c r="Q1920" s="36">
        <v>3</v>
      </c>
      <c r="R1920" s="3682">
        <v>230000</v>
      </c>
      <c r="S1920" s="3679">
        <v>3</v>
      </c>
      <c r="T1920" s="3682">
        <v>248000</v>
      </c>
      <c r="U1920" s="3679">
        <v>3</v>
      </c>
      <c r="V1920" s="3683">
        <v>859000</v>
      </c>
      <c r="W1920" s="2116"/>
      <c r="X1920" s="2116"/>
      <c r="Y1920" s="3679">
        <f>Q1920+S1920+U1920+W1920</f>
        <v>9</v>
      </c>
      <c r="Z1920" s="3682">
        <f t="shared" si="639"/>
        <v>1337000</v>
      </c>
      <c r="AA1920" s="3679">
        <f t="shared" si="642"/>
        <v>33</v>
      </c>
      <c r="AB1920" s="3682">
        <f t="shared" si="637"/>
        <v>5268000</v>
      </c>
      <c r="AC1920" s="3684">
        <f t="shared" si="643"/>
        <v>45.833333333333329</v>
      </c>
      <c r="AD1920" s="3684">
        <f t="shared" si="638"/>
        <v>35.120000000000005</v>
      </c>
      <c r="AE1920" s="2116" t="s">
        <v>4562</v>
      </c>
    </row>
    <row r="1921" spans="1:31" s="2117" customFormat="1" ht="75">
      <c r="A1921" s="3803"/>
      <c r="B1921" s="3678"/>
      <c r="C1921" s="36">
        <v>5</v>
      </c>
      <c r="D1921" s="36" t="s">
        <v>107</v>
      </c>
      <c r="E1921" s="36" t="s">
        <v>66</v>
      </c>
      <c r="F1921" s="36" t="s">
        <v>155</v>
      </c>
      <c r="G1921" s="36" t="s">
        <v>66</v>
      </c>
      <c r="H1921" s="3804" t="s">
        <v>155</v>
      </c>
      <c r="I1921" s="3690" t="s">
        <v>4341</v>
      </c>
      <c r="J1921" s="3690" t="s">
        <v>4548</v>
      </c>
      <c r="K1921" s="3805">
        <v>72</v>
      </c>
      <c r="L1921" s="3691">
        <v>20130000</v>
      </c>
      <c r="M1921" s="3804">
        <v>24</v>
      </c>
      <c r="N1921" s="3806">
        <v>5640000</v>
      </c>
      <c r="O1921" s="3805">
        <v>12</v>
      </c>
      <c r="P1921" s="3807">
        <v>2880000</v>
      </c>
      <c r="Q1921" s="3804">
        <v>3</v>
      </c>
      <c r="R1921" s="3691">
        <v>480000</v>
      </c>
      <c r="S1921" s="3805">
        <v>3</v>
      </c>
      <c r="T1921" s="3691">
        <v>510000</v>
      </c>
      <c r="U1921" s="3805">
        <v>3</v>
      </c>
      <c r="V1921" s="3807">
        <v>450000</v>
      </c>
      <c r="W1921" s="3803"/>
      <c r="X1921" s="3803"/>
      <c r="Y1921" s="3679">
        <f t="shared" ref="Y1921:Y1922" si="644">Q1921+S1921+U1921+W1921</f>
        <v>9</v>
      </c>
      <c r="Z1921" s="3691">
        <f t="shared" si="639"/>
        <v>1440000</v>
      </c>
      <c r="AA1921" s="3679">
        <f t="shared" si="642"/>
        <v>33</v>
      </c>
      <c r="AB1921" s="3691">
        <f t="shared" si="637"/>
        <v>7080000</v>
      </c>
      <c r="AC1921" s="3684">
        <f t="shared" si="643"/>
        <v>45.833333333333329</v>
      </c>
      <c r="AD1921" s="3684">
        <f t="shared" si="638"/>
        <v>35.171385991058123</v>
      </c>
      <c r="AE1921" s="3803" t="s">
        <v>4562</v>
      </c>
    </row>
    <row r="1922" spans="1:31" s="2117" customFormat="1" ht="52.5" customHeight="1">
      <c r="A1922" s="2116"/>
      <c r="B1922" s="3678"/>
      <c r="C1922" s="36">
        <v>5</v>
      </c>
      <c r="D1922" s="36" t="s">
        <v>107</v>
      </c>
      <c r="E1922" s="36" t="s">
        <v>66</v>
      </c>
      <c r="F1922" s="36" t="s">
        <v>155</v>
      </c>
      <c r="G1922" s="36" t="s">
        <v>66</v>
      </c>
      <c r="H1922" s="36" t="s">
        <v>448</v>
      </c>
      <c r="I1922" s="3680" t="s">
        <v>223</v>
      </c>
      <c r="J1922" s="3681" t="s">
        <v>4343</v>
      </c>
      <c r="K1922" s="3679">
        <v>72</v>
      </c>
      <c r="L1922" s="3682">
        <v>196500000</v>
      </c>
      <c r="M1922" s="36">
        <v>24</v>
      </c>
      <c r="N1922" s="3808">
        <v>59575000</v>
      </c>
      <c r="O1922" s="3679">
        <v>12</v>
      </c>
      <c r="P1922" s="3683">
        <v>16776000</v>
      </c>
      <c r="Q1922" s="36">
        <v>3</v>
      </c>
      <c r="R1922" s="3682">
        <v>2860000</v>
      </c>
      <c r="S1922" s="3679">
        <v>3</v>
      </c>
      <c r="T1922" s="3682">
        <v>4922500</v>
      </c>
      <c r="U1922" s="3679">
        <v>3</v>
      </c>
      <c r="V1922" s="3683">
        <v>8442500</v>
      </c>
      <c r="W1922" s="2116"/>
      <c r="X1922" s="2116"/>
      <c r="Y1922" s="3679">
        <f t="shared" si="644"/>
        <v>9</v>
      </c>
      <c r="Z1922" s="3682">
        <f t="shared" si="639"/>
        <v>16225000</v>
      </c>
      <c r="AA1922" s="3679">
        <f>M1922+Y1922</f>
        <v>33</v>
      </c>
      <c r="AB1922" s="3682">
        <f t="shared" si="637"/>
        <v>75800000</v>
      </c>
      <c r="AC1922" s="3684">
        <f>(AA1922/K1922)*100</f>
        <v>45.833333333333329</v>
      </c>
      <c r="AD1922" s="3684">
        <f t="shared" si="638"/>
        <v>38.575063613231549</v>
      </c>
      <c r="AE1922" s="2116" t="s">
        <v>4562</v>
      </c>
    </row>
    <row r="1923" spans="1:31" s="2117" customFormat="1" ht="64.5" customHeight="1">
      <c r="A1923" s="2116"/>
      <c r="B1923" s="3678"/>
      <c r="C1923" s="36">
        <v>5</v>
      </c>
      <c r="D1923" s="36" t="s">
        <v>107</v>
      </c>
      <c r="E1923" s="36" t="s">
        <v>66</v>
      </c>
      <c r="F1923" s="36" t="s">
        <v>155</v>
      </c>
      <c r="G1923" s="36" t="s">
        <v>66</v>
      </c>
      <c r="H1923" s="36" t="s">
        <v>167</v>
      </c>
      <c r="I1923" s="3680" t="s">
        <v>973</v>
      </c>
      <c r="J1923" s="3680" t="s">
        <v>4345</v>
      </c>
      <c r="K1923" s="3679">
        <v>72</v>
      </c>
      <c r="L1923" s="3682">
        <v>195000000</v>
      </c>
      <c r="M1923" s="36">
        <v>24</v>
      </c>
      <c r="N1923" s="3808">
        <v>55578000</v>
      </c>
      <c r="O1923" s="3679">
        <v>12</v>
      </c>
      <c r="P1923" s="3683">
        <v>22200000</v>
      </c>
      <c r="Q1923" s="36">
        <v>3</v>
      </c>
      <c r="R1923" s="3682"/>
      <c r="S1923" s="3679">
        <v>3</v>
      </c>
      <c r="T1923" s="3682">
        <v>1000000</v>
      </c>
      <c r="U1923" s="3679">
        <v>3</v>
      </c>
      <c r="V1923" s="3683">
        <v>15654000</v>
      </c>
      <c r="W1923" s="2116"/>
      <c r="X1923" s="2116"/>
      <c r="Y1923" s="3679">
        <f>Q1923+S1923+U1923+W1923</f>
        <v>9</v>
      </c>
      <c r="Z1923" s="3682">
        <f t="shared" si="639"/>
        <v>16654000</v>
      </c>
      <c r="AA1923" s="3679">
        <f t="shared" ref="AA1923:AA1924" si="645">M1923+Y1923</f>
        <v>33</v>
      </c>
      <c r="AB1923" s="3682">
        <f t="shared" si="637"/>
        <v>72232000</v>
      </c>
      <c r="AC1923" s="3684">
        <f t="shared" ref="AC1923:AC1924" si="646">(AA1923/K1923)*100</f>
        <v>45.833333333333329</v>
      </c>
      <c r="AD1923" s="3684">
        <f t="shared" si="638"/>
        <v>37.042051282051283</v>
      </c>
      <c r="AE1923" s="2116" t="s">
        <v>4562</v>
      </c>
    </row>
    <row r="1924" spans="1:31" s="2117" customFormat="1" ht="75">
      <c r="A1924" s="3803"/>
      <c r="B1924" s="3678"/>
      <c r="C1924" s="36">
        <v>5</v>
      </c>
      <c r="D1924" s="36" t="s">
        <v>107</v>
      </c>
      <c r="E1924" s="36" t="s">
        <v>66</v>
      </c>
      <c r="F1924" s="36" t="s">
        <v>155</v>
      </c>
      <c r="G1924" s="36" t="s">
        <v>66</v>
      </c>
      <c r="H1924" s="3804" t="s">
        <v>376</v>
      </c>
      <c r="I1924" s="3690" t="s">
        <v>4346</v>
      </c>
      <c r="J1924" s="3690" t="s">
        <v>4347</v>
      </c>
      <c r="K1924" s="3805">
        <v>72</v>
      </c>
      <c r="L1924" s="3691">
        <v>294700000</v>
      </c>
      <c r="M1924" s="3804">
        <v>24</v>
      </c>
      <c r="N1924" s="3806">
        <v>85880000</v>
      </c>
      <c r="O1924" s="3805">
        <v>12</v>
      </c>
      <c r="P1924" s="3807">
        <v>55390000</v>
      </c>
      <c r="Q1924" s="3804">
        <v>3</v>
      </c>
      <c r="R1924" s="3691">
        <v>125000</v>
      </c>
      <c r="S1924" s="3805">
        <v>3</v>
      </c>
      <c r="T1924" s="3691">
        <v>12190000</v>
      </c>
      <c r="U1924" s="3805">
        <v>3</v>
      </c>
      <c r="V1924" s="3807">
        <v>12750000</v>
      </c>
      <c r="W1924" s="3803"/>
      <c r="X1924" s="3803"/>
      <c r="Y1924" s="3679">
        <f t="shared" ref="Y1924" si="647">Q1924+S1924+U1924+W1924</f>
        <v>9</v>
      </c>
      <c r="Z1924" s="3691">
        <f t="shared" si="639"/>
        <v>25065000</v>
      </c>
      <c r="AA1924" s="3679">
        <f t="shared" si="645"/>
        <v>33</v>
      </c>
      <c r="AB1924" s="3691">
        <f t="shared" si="637"/>
        <v>110945000</v>
      </c>
      <c r="AC1924" s="3684">
        <f t="shared" si="646"/>
        <v>45.833333333333329</v>
      </c>
      <c r="AD1924" s="3684">
        <f t="shared" si="638"/>
        <v>37.646759416355621</v>
      </c>
      <c r="AE1924" s="3803" t="s">
        <v>4562</v>
      </c>
    </row>
    <row r="1925" spans="1:31" s="3837" customFormat="1" ht="99">
      <c r="A1925" s="3657">
        <v>2</v>
      </c>
      <c r="B1925" s="3835"/>
      <c r="C1925" s="3659">
        <v>5</v>
      </c>
      <c r="D1925" s="3659" t="s">
        <v>107</v>
      </c>
      <c r="E1925" s="3659" t="s">
        <v>66</v>
      </c>
      <c r="F1925" s="3659" t="s">
        <v>155</v>
      </c>
      <c r="G1925" s="3659" t="s">
        <v>65</v>
      </c>
      <c r="H1925" s="3657"/>
      <c r="I1925" s="3660" t="s">
        <v>4350</v>
      </c>
      <c r="J1925" s="3660" t="s">
        <v>4313</v>
      </c>
      <c r="K1925" s="3657">
        <v>72</v>
      </c>
      <c r="L1925" s="3662">
        <f>SUM(L1926:L1929)</f>
        <v>328106000</v>
      </c>
      <c r="M1925" s="3657">
        <v>24</v>
      </c>
      <c r="N1925" s="3662">
        <f>SUM(N1926:N1929)</f>
        <v>103949000</v>
      </c>
      <c r="O1925" s="3657">
        <v>12</v>
      </c>
      <c r="P1925" s="3662">
        <f>SUM(P1926:P1929)</f>
        <v>43750000</v>
      </c>
      <c r="Q1925" s="3657">
        <v>3</v>
      </c>
      <c r="R1925" s="3662">
        <f>SUM(R1926:R1929)</f>
        <v>9400000</v>
      </c>
      <c r="S1925" s="3657">
        <v>3</v>
      </c>
      <c r="T1925" s="3662">
        <f>SUM(T1926:T1929)</f>
        <v>5700000</v>
      </c>
      <c r="U1925" s="3661">
        <v>3</v>
      </c>
      <c r="V1925" s="3662">
        <f>SUM(V1926:V1929)</f>
        <v>12553000</v>
      </c>
      <c r="W1925" s="3661"/>
      <c r="X1925" s="3661"/>
      <c r="Y1925" s="3657">
        <f>Q1925+S1925+U1925+W1925</f>
        <v>9</v>
      </c>
      <c r="Z1925" s="3662">
        <f>SUM(Z1926:Z1929)</f>
        <v>27653000</v>
      </c>
      <c r="AA1925" s="3657">
        <f>M1925+Y1925</f>
        <v>33</v>
      </c>
      <c r="AB1925" s="3662">
        <f>SUM(AB1926:AB1929)</f>
        <v>131602000</v>
      </c>
      <c r="AC1925" s="3664">
        <f>(AA1925/K1925)*100</f>
        <v>45.833333333333329</v>
      </c>
      <c r="AD1925" s="3664">
        <f>(AB1925/L1925)*100</f>
        <v>40.109598727240588</v>
      </c>
      <c r="AE1925" s="3661" t="s">
        <v>4562</v>
      </c>
    </row>
    <row r="1926" spans="1:31" s="2117" customFormat="1" ht="64.5" customHeight="1">
      <c r="A1926" s="3803"/>
      <c r="B1926" s="3678"/>
      <c r="C1926" s="36">
        <v>5</v>
      </c>
      <c r="D1926" s="36" t="s">
        <v>107</v>
      </c>
      <c r="E1926" s="36" t="s">
        <v>66</v>
      </c>
      <c r="F1926" s="36" t="s">
        <v>155</v>
      </c>
      <c r="G1926" s="36" t="s">
        <v>65</v>
      </c>
      <c r="H1926" s="36" t="s">
        <v>163</v>
      </c>
      <c r="I1926" s="3690" t="s">
        <v>4549</v>
      </c>
      <c r="J1926" s="3690" t="s">
        <v>4550</v>
      </c>
      <c r="K1926" s="3805">
        <v>6</v>
      </c>
      <c r="L1926" s="3691">
        <v>27000000</v>
      </c>
      <c r="M1926" s="3804">
        <v>2</v>
      </c>
      <c r="N1926" s="3806">
        <v>13125000</v>
      </c>
      <c r="O1926" s="3805">
        <v>1</v>
      </c>
      <c r="P1926" s="3807">
        <v>3500000</v>
      </c>
      <c r="Q1926" s="3804">
        <v>1</v>
      </c>
      <c r="R1926" s="3691">
        <v>0</v>
      </c>
      <c r="S1926" s="3805">
        <v>0</v>
      </c>
      <c r="T1926" s="3691">
        <v>0</v>
      </c>
      <c r="U1926" s="3805">
        <v>0</v>
      </c>
      <c r="V1926" s="3807">
        <v>0</v>
      </c>
      <c r="W1926" s="3803"/>
      <c r="X1926" s="3803"/>
      <c r="Y1926" s="3679">
        <f t="shared" ref="Y1926:Y1927" si="648">Q1926+S1926+U1926+W1926</f>
        <v>1</v>
      </c>
      <c r="Z1926" s="3691">
        <f t="shared" ref="Z1926:Z1928" si="649">R1926+T1926+V1926+X1926</f>
        <v>0</v>
      </c>
      <c r="AA1926" s="3679">
        <f t="shared" ref="AA1926:AA1938" si="650">M1926+Y1926</f>
        <v>3</v>
      </c>
      <c r="AB1926" s="3691">
        <f t="shared" ref="AB1926:AB1929" si="651">N1926+Z1926</f>
        <v>13125000</v>
      </c>
      <c r="AC1926" s="3684">
        <f t="shared" ref="AC1926:AC1938" si="652">(AA1926/K1926)*100</f>
        <v>50</v>
      </c>
      <c r="AD1926" s="3684">
        <f t="shared" ref="AD1926:AD1928" si="653">(AB1926/L1926)*100</f>
        <v>48.611111111111107</v>
      </c>
      <c r="AE1926" s="3803" t="s">
        <v>4562</v>
      </c>
    </row>
    <row r="1927" spans="1:31" s="2117" customFormat="1" ht="64.5" customHeight="1">
      <c r="A1927" s="3803"/>
      <c r="B1927" s="3678"/>
      <c r="C1927" s="36">
        <v>5</v>
      </c>
      <c r="D1927" s="36" t="s">
        <v>107</v>
      </c>
      <c r="E1927" s="36" t="s">
        <v>66</v>
      </c>
      <c r="F1927" s="36" t="s">
        <v>155</v>
      </c>
      <c r="G1927" s="36" t="s">
        <v>65</v>
      </c>
      <c r="H1927" s="36" t="s">
        <v>163</v>
      </c>
      <c r="I1927" s="3690" t="s">
        <v>1301</v>
      </c>
      <c r="J1927" s="3690" t="s">
        <v>4358</v>
      </c>
      <c r="K1927" s="3805">
        <v>6</v>
      </c>
      <c r="L1927" s="3691">
        <v>27000000</v>
      </c>
      <c r="M1927" s="3804">
        <v>2</v>
      </c>
      <c r="N1927" s="3806">
        <v>13125000</v>
      </c>
      <c r="O1927" s="3805">
        <v>1</v>
      </c>
      <c r="P1927" s="3807">
        <v>3000000</v>
      </c>
      <c r="Q1927" s="3804">
        <v>1</v>
      </c>
      <c r="R1927" s="3691">
        <v>500000</v>
      </c>
      <c r="S1927" s="3805">
        <v>0</v>
      </c>
      <c r="T1927" s="3691">
        <v>0</v>
      </c>
      <c r="U1927" s="3805">
        <v>0</v>
      </c>
      <c r="V1927" s="3807">
        <f>1250000</f>
        <v>1250000</v>
      </c>
      <c r="W1927" s="3803"/>
      <c r="X1927" s="3803"/>
      <c r="Y1927" s="3679">
        <f t="shared" si="648"/>
        <v>1</v>
      </c>
      <c r="Z1927" s="3691">
        <f t="shared" si="649"/>
        <v>1750000</v>
      </c>
      <c r="AA1927" s="3679">
        <f t="shared" si="650"/>
        <v>3</v>
      </c>
      <c r="AB1927" s="3691">
        <f t="shared" si="651"/>
        <v>14875000</v>
      </c>
      <c r="AC1927" s="3684">
        <f t="shared" si="652"/>
        <v>50</v>
      </c>
      <c r="AD1927" s="3684">
        <f t="shared" si="653"/>
        <v>55.092592592592595</v>
      </c>
      <c r="AE1927" s="3803" t="s">
        <v>4562</v>
      </c>
    </row>
    <row r="1928" spans="1:31" s="2117" customFormat="1" ht="90">
      <c r="A1928" s="3803"/>
      <c r="B1928" s="3678"/>
      <c r="C1928" s="36">
        <v>5</v>
      </c>
      <c r="D1928" s="36" t="s">
        <v>107</v>
      </c>
      <c r="E1928" s="36" t="s">
        <v>66</v>
      </c>
      <c r="F1928" s="36" t="s">
        <v>155</v>
      </c>
      <c r="G1928" s="36" t="s">
        <v>65</v>
      </c>
      <c r="H1928" s="36" t="s">
        <v>165</v>
      </c>
      <c r="I1928" s="3690" t="s">
        <v>4359</v>
      </c>
      <c r="J1928" s="3690" t="s">
        <v>4360</v>
      </c>
      <c r="K1928" s="3805">
        <v>24</v>
      </c>
      <c r="L1928" s="3691">
        <v>247106000</v>
      </c>
      <c r="M1928" s="3804">
        <v>8</v>
      </c>
      <c r="N1928" s="3806">
        <v>73919000</v>
      </c>
      <c r="O1928" s="3805">
        <v>4</v>
      </c>
      <c r="P1928" s="3807">
        <v>34450000</v>
      </c>
      <c r="Q1928" s="3804">
        <v>1</v>
      </c>
      <c r="R1928" s="3691">
        <v>8500000</v>
      </c>
      <c r="S1928" s="3805">
        <v>1</v>
      </c>
      <c r="T1928" s="3807">
        <f>13800000-R1928</f>
        <v>5300000</v>
      </c>
      <c r="U1928" s="3805">
        <v>1</v>
      </c>
      <c r="V1928" s="3807">
        <f>24503000-T1928-R1928</f>
        <v>10703000</v>
      </c>
      <c r="W1928" s="3803"/>
      <c r="X1928" s="3803"/>
      <c r="Y1928" s="3679">
        <v>1</v>
      </c>
      <c r="Z1928" s="3691">
        <f t="shared" si="649"/>
        <v>24503000</v>
      </c>
      <c r="AA1928" s="3679">
        <f t="shared" si="650"/>
        <v>9</v>
      </c>
      <c r="AB1928" s="3691">
        <f t="shared" si="651"/>
        <v>98422000</v>
      </c>
      <c r="AC1928" s="3684">
        <f t="shared" si="652"/>
        <v>37.5</v>
      </c>
      <c r="AD1928" s="3684">
        <f t="shared" si="653"/>
        <v>39.829870581855559</v>
      </c>
      <c r="AE1928" s="3803" t="s">
        <v>4562</v>
      </c>
    </row>
    <row r="1929" spans="1:31" s="2117" customFormat="1" ht="75">
      <c r="A1929" s="3803"/>
      <c r="B1929" s="3678"/>
      <c r="C1929" s="36">
        <v>5</v>
      </c>
      <c r="D1929" s="36" t="s">
        <v>107</v>
      </c>
      <c r="E1929" s="36" t="s">
        <v>66</v>
      </c>
      <c r="F1929" s="36" t="s">
        <v>155</v>
      </c>
      <c r="G1929" s="36" t="s">
        <v>65</v>
      </c>
      <c r="H1929" s="36" t="s">
        <v>178</v>
      </c>
      <c r="I1929" s="3690" t="s">
        <v>4361</v>
      </c>
      <c r="J1929" s="3690" t="s">
        <v>4362</v>
      </c>
      <c r="K1929" s="3805">
        <v>96</v>
      </c>
      <c r="L1929" s="3691">
        <v>27000000</v>
      </c>
      <c r="M1929" s="3804">
        <v>12</v>
      </c>
      <c r="N1929" s="3806">
        <v>3780000</v>
      </c>
      <c r="O1929" s="3805">
        <v>13</v>
      </c>
      <c r="P1929" s="3807">
        <v>2800000</v>
      </c>
      <c r="Q1929" s="3804">
        <v>3</v>
      </c>
      <c r="R1929" s="3691">
        <v>400000</v>
      </c>
      <c r="S1929" s="3805">
        <v>3</v>
      </c>
      <c r="T1929" s="3807">
        <v>400000</v>
      </c>
      <c r="U1929" s="3805">
        <v>3</v>
      </c>
      <c r="V1929" s="3807">
        <v>600000</v>
      </c>
      <c r="W1929" s="3803"/>
      <c r="X1929" s="3803"/>
      <c r="Y1929" s="3679">
        <f t="shared" ref="Y1929:Y1938" si="654">Q1929+S1929+U1929+W1929</f>
        <v>9</v>
      </c>
      <c r="Z1929" s="3691">
        <f>R1929+T1929+V1929+X1929</f>
        <v>1400000</v>
      </c>
      <c r="AA1929" s="3679">
        <f t="shared" si="650"/>
        <v>21</v>
      </c>
      <c r="AB1929" s="3691">
        <f t="shared" si="651"/>
        <v>5180000</v>
      </c>
      <c r="AC1929" s="3684">
        <f t="shared" si="652"/>
        <v>21.875</v>
      </c>
      <c r="AD1929" s="3684">
        <f>(AB1929/L1929)*100</f>
        <v>19.185185185185187</v>
      </c>
      <c r="AE1929" s="3803" t="s">
        <v>4562</v>
      </c>
    </row>
    <row r="1930" spans="1:31" s="3825" customFormat="1" ht="82.5">
      <c r="A1930" s="3657">
        <v>3</v>
      </c>
      <c r="B1930" s="3835"/>
      <c r="C1930" s="3659">
        <v>5</v>
      </c>
      <c r="D1930" s="3659" t="s">
        <v>107</v>
      </c>
      <c r="E1930" s="3659" t="s">
        <v>66</v>
      </c>
      <c r="F1930" s="3659" t="s">
        <v>155</v>
      </c>
      <c r="G1930" s="3659" t="s">
        <v>448</v>
      </c>
      <c r="H1930" s="3657"/>
      <c r="I1930" s="3660" t="s">
        <v>4364</v>
      </c>
      <c r="J1930" s="3660" t="s">
        <v>4365</v>
      </c>
      <c r="K1930" s="3657">
        <v>100</v>
      </c>
      <c r="L1930" s="3662">
        <f>SUM(L1931:L1931)</f>
        <v>174225000</v>
      </c>
      <c r="M1930" s="3657">
        <v>32</v>
      </c>
      <c r="N1930" s="3662">
        <f>SUM(N1931:N1931)</f>
        <v>41225000</v>
      </c>
      <c r="O1930" s="3657">
        <v>18</v>
      </c>
      <c r="P1930" s="3662">
        <f>SUM(P1931:P1931)</f>
        <v>28075000</v>
      </c>
      <c r="Q1930" s="3657">
        <v>0</v>
      </c>
      <c r="R1930" s="3662">
        <f>SUM(R1931:R1931)</f>
        <v>0</v>
      </c>
      <c r="S1930" s="3657">
        <v>0</v>
      </c>
      <c r="T1930" s="3662">
        <f>SUM(T1931:T1931)</f>
        <v>0</v>
      </c>
      <c r="U1930" s="3664">
        <f>V1930/P1930*100</f>
        <v>44.523597506678541</v>
      </c>
      <c r="V1930" s="3662">
        <f>SUM(V1931:V1931)</f>
        <v>12500000</v>
      </c>
      <c r="W1930" s="3661"/>
      <c r="X1930" s="3661"/>
      <c r="Y1930" s="3836">
        <f t="shared" si="654"/>
        <v>44.523597506678541</v>
      </c>
      <c r="Z1930" s="3662">
        <f>SUM(Z1931:Z1931)</f>
        <v>12500000</v>
      </c>
      <c r="AA1930" s="3836">
        <f t="shared" si="650"/>
        <v>76.523597506678541</v>
      </c>
      <c r="AB1930" s="3662">
        <f>SUM(AB1931:AB1931)</f>
        <v>53725000</v>
      </c>
      <c r="AC1930" s="3664">
        <f t="shared" si="652"/>
        <v>76.523597506678541</v>
      </c>
      <c r="AD1930" s="3664">
        <f t="shared" ref="AD1930" si="655">(AB1930/L1930)*100</f>
        <v>30.836561917061271</v>
      </c>
      <c r="AE1930" s="3661" t="s">
        <v>4562</v>
      </c>
    </row>
    <row r="1931" spans="1:31" s="2117" customFormat="1" ht="45">
      <c r="A1931" s="18"/>
      <c r="B1931" s="15"/>
      <c r="C1931" s="36">
        <v>5</v>
      </c>
      <c r="D1931" s="36" t="s">
        <v>107</v>
      </c>
      <c r="E1931" s="36" t="s">
        <v>66</v>
      </c>
      <c r="F1931" s="36" t="s">
        <v>155</v>
      </c>
      <c r="G1931" s="36" t="s">
        <v>448</v>
      </c>
      <c r="H1931" s="36" t="s">
        <v>197</v>
      </c>
      <c r="I1931" s="15" t="s">
        <v>4366</v>
      </c>
      <c r="J1931" s="15" t="s">
        <v>4367</v>
      </c>
      <c r="K1931" s="3826">
        <v>6</v>
      </c>
      <c r="L1931" s="16">
        <v>174225000</v>
      </c>
      <c r="M1931" s="3826">
        <v>2</v>
      </c>
      <c r="N1931" s="16">
        <v>41225000</v>
      </c>
      <c r="O1931" s="3826">
        <v>1</v>
      </c>
      <c r="P1931" s="16">
        <v>28075000</v>
      </c>
      <c r="Q1931" s="3826">
        <v>0</v>
      </c>
      <c r="R1931" s="16">
        <v>0</v>
      </c>
      <c r="S1931" s="3826">
        <v>0</v>
      </c>
      <c r="T1931" s="16">
        <v>0</v>
      </c>
      <c r="U1931" s="3826">
        <v>1</v>
      </c>
      <c r="V1931" s="3827">
        <v>12500000</v>
      </c>
      <c r="W1931" s="15"/>
      <c r="X1931" s="15"/>
      <c r="Y1931" s="3826">
        <f t="shared" si="654"/>
        <v>1</v>
      </c>
      <c r="Z1931" s="3691">
        <f>R1931+T1931+V1931+X1931</f>
        <v>12500000</v>
      </c>
      <c r="AA1931" s="3826">
        <f t="shared" si="650"/>
        <v>3</v>
      </c>
      <c r="AB1931" s="3691">
        <f t="shared" ref="AB1931" si="656">N1931+Z1931</f>
        <v>53725000</v>
      </c>
      <c r="AC1931" s="19">
        <f t="shared" si="652"/>
        <v>50</v>
      </c>
      <c r="AD1931" s="19">
        <f>(AB1931/L1931)*100</f>
        <v>30.836561917061271</v>
      </c>
      <c r="AE1931" s="18" t="s">
        <v>4562</v>
      </c>
    </row>
    <row r="1932" spans="1:31" s="3825" customFormat="1" ht="99">
      <c r="A1932" s="3657">
        <v>4</v>
      </c>
      <c r="B1932" s="3835"/>
      <c r="C1932" s="3659">
        <v>5</v>
      </c>
      <c r="D1932" s="3659" t="s">
        <v>107</v>
      </c>
      <c r="E1932" s="3659" t="s">
        <v>66</v>
      </c>
      <c r="F1932" s="3659" t="s">
        <v>155</v>
      </c>
      <c r="G1932" s="3659" t="s">
        <v>155</v>
      </c>
      <c r="H1932" s="3659"/>
      <c r="I1932" s="3660" t="s">
        <v>4369</v>
      </c>
      <c r="J1932" s="3660" t="s">
        <v>4370</v>
      </c>
      <c r="K1932" s="3657">
        <v>100</v>
      </c>
      <c r="L1932" s="3662">
        <f>SUM(L1933:L1933)</f>
        <v>75310000</v>
      </c>
      <c r="M1932" s="3657">
        <v>32</v>
      </c>
      <c r="N1932" s="3662">
        <f>SUM(N1933:N1933)</f>
        <v>20605000</v>
      </c>
      <c r="O1932" s="3657">
        <v>18</v>
      </c>
      <c r="P1932" s="3662">
        <f>SUM(P1933:P1933)</f>
        <v>13455000</v>
      </c>
      <c r="Q1932" s="3657">
        <v>0</v>
      </c>
      <c r="R1932" s="3662">
        <f>SUM(R1933:R1933)</f>
        <v>0</v>
      </c>
      <c r="S1932" s="3657">
        <v>15</v>
      </c>
      <c r="T1932" s="3663">
        <f>SUM(T1933)</f>
        <v>13455000</v>
      </c>
      <c r="U1932" s="3661">
        <v>3</v>
      </c>
      <c r="V1932" s="3663">
        <f>SUM(V1933)</f>
        <v>0</v>
      </c>
      <c r="W1932" s="3661"/>
      <c r="X1932" s="3661"/>
      <c r="Y1932" s="3657">
        <f t="shared" si="654"/>
        <v>18</v>
      </c>
      <c r="Z1932" s="3662">
        <f>SUM(Z1933:Z1933)</f>
        <v>13455000</v>
      </c>
      <c r="AA1932" s="3657">
        <f t="shared" si="650"/>
        <v>50</v>
      </c>
      <c r="AB1932" s="3662">
        <f>SUM(AB1933:AB1933)</f>
        <v>34060000</v>
      </c>
      <c r="AC1932" s="3664">
        <f t="shared" si="652"/>
        <v>50</v>
      </c>
      <c r="AD1932" s="3664">
        <f t="shared" ref="AD1932:AD1934" si="657">(AB1932/L1932)*100</f>
        <v>45.22639755676537</v>
      </c>
      <c r="AE1932" s="3661" t="s">
        <v>4562</v>
      </c>
    </row>
    <row r="1933" spans="1:31" s="2117" customFormat="1" ht="75">
      <c r="A1933" s="18"/>
      <c r="B1933" s="15"/>
      <c r="C1933" s="36">
        <v>5</v>
      </c>
      <c r="D1933" s="36" t="s">
        <v>107</v>
      </c>
      <c r="E1933" s="36" t="s">
        <v>66</v>
      </c>
      <c r="F1933" s="36" t="s">
        <v>155</v>
      </c>
      <c r="G1933" s="36" t="s">
        <v>155</v>
      </c>
      <c r="H1933" s="36" t="s">
        <v>202</v>
      </c>
      <c r="I1933" s="15" t="s">
        <v>4371</v>
      </c>
      <c r="J1933" s="15" t="s">
        <v>4565</v>
      </c>
      <c r="K1933" s="3826">
        <v>6</v>
      </c>
      <c r="L1933" s="16">
        <v>75310000</v>
      </c>
      <c r="M1933" s="3826">
        <v>2</v>
      </c>
      <c r="N1933" s="16">
        <v>20605000</v>
      </c>
      <c r="O1933" s="3826">
        <v>1</v>
      </c>
      <c r="P1933" s="16">
        <v>13455000</v>
      </c>
      <c r="Q1933" s="3826">
        <v>0</v>
      </c>
      <c r="R1933" s="16">
        <v>0</v>
      </c>
      <c r="S1933" s="3826">
        <v>1</v>
      </c>
      <c r="T1933" s="3827">
        <v>13455000</v>
      </c>
      <c r="U1933" s="3826">
        <v>1</v>
      </c>
      <c r="V1933" s="3827">
        <v>0</v>
      </c>
      <c r="W1933" s="15"/>
      <c r="X1933" s="15"/>
      <c r="Y1933" s="3679">
        <f t="shared" si="654"/>
        <v>2</v>
      </c>
      <c r="Z1933" s="3691">
        <f>R1933+T1933+V1933+X1933</f>
        <v>13455000</v>
      </c>
      <c r="AA1933" s="3679">
        <f t="shared" si="650"/>
        <v>4</v>
      </c>
      <c r="AB1933" s="3691">
        <f t="shared" ref="AB1933" si="658">N1933+Z1933</f>
        <v>34060000</v>
      </c>
      <c r="AC1933" s="3684">
        <f t="shared" si="652"/>
        <v>66.666666666666657</v>
      </c>
      <c r="AD1933" s="3684">
        <f t="shared" si="657"/>
        <v>45.22639755676537</v>
      </c>
      <c r="AE1933" s="18" t="s">
        <v>4562</v>
      </c>
    </row>
    <row r="1934" spans="1:31" s="3825" customFormat="1" ht="66">
      <c r="A1934" s="3657">
        <v>5</v>
      </c>
      <c r="B1934" s="3835"/>
      <c r="C1934" s="3659">
        <v>5</v>
      </c>
      <c r="D1934" s="3659" t="s">
        <v>107</v>
      </c>
      <c r="E1934" s="3659" t="s">
        <v>66</v>
      </c>
      <c r="F1934" s="3659" t="s">
        <v>155</v>
      </c>
      <c r="G1934" s="3659" t="s">
        <v>448</v>
      </c>
      <c r="H1934" s="3659"/>
      <c r="I1934" s="3660" t="s">
        <v>4555</v>
      </c>
      <c r="J1934" s="3660" t="s">
        <v>4556</v>
      </c>
      <c r="K1934" s="3657">
        <v>80</v>
      </c>
      <c r="L1934" s="3662">
        <f>SUM(L1935:L1935)</f>
        <v>100000000</v>
      </c>
      <c r="M1934" s="3657">
        <v>60</v>
      </c>
      <c r="N1934" s="3662">
        <f>SUM(N1935:N1935)</f>
        <v>0</v>
      </c>
      <c r="O1934" s="3657">
        <v>15</v>
      </c>
      <c r="P1934" s="3662">
        <f>SUM(P1935:P1935)</f>
        <v>7286500</v>
      </c>
      <c r="Q1934" s="3657">
        <v>0</v>
      </c>
      <c r="R1934" s="3662">
        <f>SUM(R1935:R1935)</f>
        <v>150000</v>
      </c>
      <c r="S1934" s="3657">
        <v>10</v>
      </c>
      <c r="T1934" s="3662">
        <f>SUM(T1935)</f>
        <v>485000</v>
      </c>
      <c r="U1934" s="3661">
        <v>10</v>
      </c>
      <c r="V1934" s="3662">
        <f>SUM(V1935)</f>
        <v>0</v>
      </c>
      <c r="W1934" s="3661"/>
      <c r="X1934" s="3661"/>
      <c r="Y1934" s="3657">
        <f t="shared" si="654"/>
        <v>20</v>
      </c>
      <c r="Z1934" s="3662">
        <f>SUM(Z1935:Z1935)</f>
        <v>635000</v>
      </c>
      <c r="AA1934" s="3657">
        <f t="shared" si="650"/>
        <v>80</v>
      </c>
      <c r="AB1934" s="3662">
        <f>SUM(AB1935:AB1935)</f>
        <v>635000</v>
      </c>
      <c r="AC1934" s="3664">
        <f t="shared" si="652"/>
        <v>100</v>
      </c>
      <c r="AD1934" s="3664">
        <f t="shared" si="657"/>
        <v>0.63500000000000001</v>
      </c>
      <c r="AE1934" s="3661" t="s">
        <v>4562</v>
      </c>
    </row>
    <row r="1935" spans="1:31" s="63" customFormat="1" ht="25.5">
      <c r="A1935" s="3852"/>
      <c r="B1935" s="3854"/>
      <c r="C1935" s="3853"/>
      <c r="D1935" s="3853"/>
      <c r="E1935" s="3853"/>
      <c r="F1935" s="3853"/>
      <c r="G1935" s="3853"/>
      <c r="H1935" s="3853"/>
      <c r="I1935" s="3854" t="s">
        <v>4557</v>
      </c>
      <c r="J1935" s="3854" t="s">
        <v>4558</v>
      </c>
      <c r="K1935" s="3852">
        <v>5</v>
      </c>
      <c r="L1935" s="3863">
        <v>100000000</v>
      </c>
      <c r="M1935" s="3852">
        <v>0</v>
      </c>
      <c r="N1935" s="3863">
        <v>0</v>
      </c>
      <c r="O1935" s="3852">
        <v>1</v>
      </c>
      <c r="P1935" s="3863">
        <v>7286500</v>
      </c>
      <c r="Q1935" s="3852">
        <v>0</v>
      </c>
      <c r="R1935" s="3855">
        <v>150000</v>
      </c>
      <c r="S1935" s="3852">
        <v>1</v>
      </c>
      <c r="T1935" s="3863">
        <v>485000</v>
      </c>
      <c r="U1935" s="3852">
        <v>0</v>
      </c>
      <c r="V1935" s="3864">
        <v>0</v>
      </c>
      <c r="W1935" s="3852"/>
      <c r="X1935" s="3852"/>
      <c r="Y1935" s="3852">
        <f t="shared" si="654"/>
        <v>1</v>
      </c>
      <c r="Z1935" s="60">
        <f>R1935+T1935+V1935+X1935</f>
        <v>635000</v>
      </c>
      <c r="AA1935" s="3852">
        <f t="shared" si="650"/>
        <v>1</v>
      </c>
      <c r="AB1935" s="60">
        <f t="shared" ref="AB1935" si="659">N1935+Z1935</f>
        <v>635000</v>
      </c>
      <c r="AC1935" s="389">
        <f t="shared" si="652"/>
        <v>20</v>
      </c>
      <c r="AD1935" s="3852"/>
      <c r="AE1935" s="3852" t="s">
        <v>4562</v>
      </c>
    </row>
    <row r="1936" spans="1:31" s="3829" customFormat="1" ht="111.75" customHeight="1">
      <c r="A1936" s="3657">
        <v>6</v>
      </c>
      <c r="B1936" s="3835"/>
      <c r="C1936" s="3659">
        <v>5</v>
      </c>
      <c r="D1936" s="3659" t="s">
        <v>107</v>
      </c>
      <c r="E1936" s="3659" t="s">
        <v>66</v>
      </c>
      <c r="F1936" s="3659" t="s">
        <v>155</v>
      </c>
      <c r="G1936" s="3659" t="s">
        <v>357</v>
      </c>
      <c r="H1936" s="3657"/>
      <c r="I1936" s="3660" t="s">
        <v>4378</v>
      </c>
      <c r="J1936" s="3660" t="s">
        <v>4379</v>
      </c>
      <c r="K1936" s="3657">
        <v>100</v>
      </c>
      <c r="L1936" s="3662">
        <f>SUM(L1937:L1938)</f>
        <v>174353840</v>
      </c>
      <c r="M1936" s="3657">
        <v>32</v>
      </c>
      <c r="N1936" s="3662">
        <f>SUM(N1937:N1938)</f>
        <v>49300000</v>
      </c>
      <c r="O1936" s="3657">
        <v>18</v>
      </c>
      <c r="P1936" s="3662">
        <f>SUM(P1937:P1938)</f>
        <v>17280000</v>
      </c>
      <c r="Q1936" s="3657">
        <v>0</v>
      </c>
      <c r="R1936" s="3662">
        <f>SUM(R1937:R1938)</f>
        <v>550000</v>
      </c>
      <c r="S1936" s="3657">
        <v>2</v>
      </c>
      <c r="T1936" s="3663">
        <f>SUM(T1937:T1938)</f>
        <v>6730000</v>
      </c>
      <c r="U1936" s="3664">
        <f>V1936/P1936*100</f>
        <v>26.302083333333332</v>
      </c>
      <c r="V1936" s="3663">
        <f>SUM(V1937:V1938)</f>
        <v>4545000</v>
      </c>
      <c r="W1936" s="3661"/>
      <c r="X1936" s="3661"/>
      <c r="Y1936" s="3836">
        <f t="shared" si="654"/>
        <v>28.302083333333332</v>
      </c>
      <c r="Z1936" s="3662">
        <f>SUM(Z1937:Z1938)</f>
        <v>11825000</v>
      </c>
      <c r="AA1936" s="3836">
        <f t="shared" si="650"/>
        <v>60.302083333333329</v>
      </c>
      <c r="AB1936" s="3662">
        <f>SUM(AB1937:AB1937)</f>
        <v>54395000</v>
      </c>
      <c r="AC1936" s="3664">
        <f t="shared" si="652"/>
        <v>60.302083333333336</v>
      </c>
      <c r="AD1936" s="3664">
        <f t="shared" ref="AD1936" si="660">(AB1936/L1936)*100</f>
        <v>31.198051043785441</v>
      </c>
      <c r="AE1936" s="3661" t="s">
        <v>4562</v>
      </c>
    </row>
    <row r="1937" spans="1:76" s="6" customFormat="1" ht="75">
      <c r="A1937" s="18"/>
      <c r="B1937" s="15"/>
      <c r="C1937" s="36">
        <v>5</v>
      </c>
      <c r="D1937" s="36" t="s">
        <v>107</v>
      </c>
      <c r="E1937" s="36" t="s">
        <v>66</v>
      </c>
      <c r="F1937" s="36" t="s">
        <v>155</v>
      </c>
      <c r="G1937" s="36" t="s">
        <v>357</v>
      </c>
      <c r="H1937" s="35" t="s">
        <v>65</v>
      </c>
      <c r="I1937" s="15" t="s">
        <v>4380</v>
      </c>
      <c r="J1937" s="15" t="s">
        <v>4564</v>
      </c>
      <c r="K1937" s="3826">
        <v>60</v>
      </c>
      <c r="L1937" s="16">
        <v>129353840</v>
      </c>
      <c r="M1937" s="3826">
        <v>20</v>
      </c>
      <c r="N1937" s="16">
        <v>49300000</v>
      </c>
      <c r="O1937" s="3826">
        <v>10</v>
      </c>
      <c r="P1937" s="16">
        <v>10530000</v>
      </c>
      <c r="Q1937" s="3826">
        <v>2</v>
      </c>
      <c r="R1937" s="16">
        <v>550000</v>
      </c>
      <c r="S1937" s="3826">
        <f>4-Q1937</f>
        <v>2</v>
      </c>
      <c r="T1937" s="3827">
        <v>0</v>
      </c>
      <c r="U1937" s="3826">
        <v>2</v>
      </c>
      <c r="V1937" s="3827">
        <v>4545000</v>
      </c>
      <c r="W1937" s="15"/>
      <c r="X1937" s="15"/>
      <c r="Y1937" s="3826">
        <f t="shared" si="654"/>
        <v>6</v>
      </c>
      <c r="Z1937" s="3691">
        <f>R1937+T1937+V1937+X1937</f>
        <v>5095000</v>
      </c>
      <c r="AA1937" s="3826">
        <f t="shared" si="650"/>
        <v>26</v>
      </c>
      <c r="AB1937" s="3691">
        <f t="shared" ref="AB1937:AB1938" si="661">N1937+Z1937</f>
        <v>54395000</v>
      </c>
      <c r="AC1937" s="19">
        <f t="shared" si="652"/>
        <v>43.333333333333336</v>
      </c>
      <c r="AD1937" s="19">
        <f>(AB1937/L1937)*100</f>
        <v>42.051322171804102</v>
      </c>
      <c r="AE1937" s="18" t="s">
        <v>4562</v>
      </c>
    </row>
    <row r="1938" spans="1:76" s="6" customFormat="1" ht="30">
      <c r="A1938" s="18"/>
      <c r="B1938" s="15"/>
      <c r="C1938" s="36">
        <v>5</v>
      </c>
      <c r="D1938" s="36" t="s">
        <v>107</v>
      </c>
      <c r="E1938" s="36" t="s">
        <v>66</v>
      </c>
      <c r="F1938" s="36" t="s">
        <v>155</v>
      </c>
      <c r="G1938" s="36" t="s">
        <v>357</v>
      </c>
      <c r="H1938" s="35" t="s">
        <v>196</v>
      </c>
      <c r="I1938" s="15" t="s">
        <v>4551</v>
      </c>
      <c r="J1938" s="15" t="s">
        <v>4552</v>
      </c>
      <c r="K1938" s="3826">
        <v>60</v>
      </c>
      <c r="L1938" s="16">
        <v>45000000</v>
      </c>
      <c r="M1938" s="3826"/>
      <c r="N1938" s="16"/>
      <c r="O1938" s="3826">
        <v>10</v>
      </c>
      <c r="P1938" s="16">
        <v>6750000</v>
      </c>
      <c r="Q1938" s="3826">
        <v>2</v>
      </c>
      <c r="R1938" s="16">
        <v>0</v>
      </c>
      <c r="S1938" s="3826">
        <f>4-Q1938</f>
        <v>2</v>
      </c>
      <c r="T1938" s="3827">
        <v>6730000</v>
      </c>
      <c r="U1938" s="3826">
        <v>2</v>
      </c>
      <c r="V1938" s="3827">
        <v>0</v>
      </c>
      <c r="W1938" s="15"/>
      <c r="X1938" s="15"/>
      <c r="Y1938" s="3826">
        <f t="shared" si="654"/>
        <v>6</v>
      </c>
      <c r="Z1938" s="3691">
        <f>R1938+T1938+V1938+X1938</f>
        <v>6730000</v>
      </c>
      <c r="AA1938" s="3826">
        <f t="shared" si="650"/>
        <v>6</v>
      </c>
      <c r="AB1938" s="3691">
        <f t="shared" si="661"/>
        <v>6730000</v>
      </c>
      <c r="AC1938" s="19">
        <f t="shared" si="652"/>
        <v>10</v>
      </c>
      <c r="AD1938" s="19">
        <f>(AB1938/L1938)*100</f>
        <v>14.955555555555556</v>
      </c>
      <c r="AE1938" s="18" t="s">
        <v>4562</v>
      </c>
    </row>
    <row r="1939" spans="1:76" s="3802" customFormat="1" ht="99">
      <c r="A1939" s="3657">
        <v>8</v>
      </c>
      <c r="B1939" s="3835"/>
      <c r="C1939" s="3659">
        <v>5</v>
      </c>
      <c r="D1939" s="3659" t="s">
        <v>107</v>
      </c>
      <c r="E1939" s="3659" t="s">
        <v>66</v>
      </c>
      <c r="F1939" s="3659" t="s">
        <v>155</v>
      </c>
      <c r="G1939" s="3659" t="s">
        <v>1099</v>
      </c>
      <c r="H1939" s="3657"/>
      <c r="I1939" s="3660" t="s">
        <v>4387</v>
      </c>
      <c r="J1939" s="3660" t="s">
        <v>4388</v>
      </c>
      <c r="K1939" s="3657">
        <v>100</v>
      </c>
      <c r="L1939" s="3662">
        <f>SUM(L1940:L1945)</f>
        <v>707523000</v>
      </c>
      <c r="M1939" s="3657">
        <v>32</v>
      </c>
      <c r="N1939" s="3662">
        <f>SUM(N1940:N1945)</f>
        <v>176442400</v>
      </c>
      <c r="O1939" s="3657">
        <v>20</v>
      </c>
      <c r="P1939" s="3662">
        <f>SUM(P1940:P1945)</f>
        <v>113745000</v>
      </c>
      <c r="Q1939" s="3657">
        <v>0</v>
      </c>
      <c r="R1939" s="3662">
        <f>SUM(R1940:R1945)</f>
        <v>13190000</v>
      </c>
      <c r="S1939" s="3657">
        <v>5</v>
      </c>
      <c r="T1939" s="3662">
        <f>SUM(T1940:T1945)</f>
        <v>44470000</v>
      </c>
      <c r="U1939" s="3664">
        <f>V1939/P1939*100</f>
        <v>4.8243878851817659</v>
      </c>
      <c r="V1939" s="3662">
        <f>SUM(V1940:V1945)</f>
        <v>5487500</v>
      </c>
      <c r="W1939" s="3661"/>
      <c r="X1939" s="3661"/>
      <c r="Y1939" s="3836">
        <f>Q1939+S1939+U1939+W1939</f>
        <v>9.8243878851817659</v>
      </c>
      <c r="Z1939" s="3662">
        <f>SUM(Z1940:Z1945)</f>
        <v>63147500</v>
      </c>
      <c r="AA1939" s="3836">
        <f>M1939+Y1939</f>
        <v>41.824387885181764</v>
      </c>
      <c r="AB1939" s="3662">
        <f>SUM(AB1940:AB1945)</f>
        <v>239589900</v>
      </c>
      <c r="AC1939" s="3664">
        <f>(AA1939/K1939)*100</f>
        <v>41.824387885181764</v>
      </c>
      <c r="AD1939" s="3664">
        <f t="shared" ref="AD1939:AD1945" si="662">(AB1939/L1939)*100</f>
        <v>33.863195966774221</v>
      </c>
      <c r="AE1939" s="3661" t="s">
        <v>4562</v>
      </c>
    </row>
    <row r="1940" spans="1:76" s="6" customFormat="1" ht="63" customHeight="1">
      <c r="A1940" s="3803"/>
      <c r="B1940" s="3678"/>
      <c r="C1940" s="36">
        <v>5</v>
      </c>
      <c r="D1940" s="36" t="s">
        <v>107</v>
      </c>
      <c r="E1940" s="36" t="s">
        <v>66</v>
      </c>
      <c r="F1940" s="36" t="s">
        <v>155</v>
      </c>
      <c r="G1940" s="36" t="s">
        <v>1099</v>
      </c>
      <c r="H1940" s="3804" t="s">
        <v>66</v>
      </c>
      <c r="I1940" s="3690" t="s">
        <v>4285</v>
      </c>
      <c r="J1940" s="3690" t="s">
        <v>4563</v>
      </c>
      <c r="K1940" s="3805">
        <v>60</v>
      </c>
      <c r="L1940" s="3691">
        <v>188580500</v>
      </c>
      <c r="M1940" s="3804">
        <v>20</v>
      </c>
      <c r="N1940" s="3806">
        <v>58377900</v>
      </c>
      <c r="O1940" s="3805">
        <v>10</v>
      </c>
      <c r="P1940" s="3807">
        <v>37620000</v>
      </c>
      <c r="Q1940" s="3804">
        <v>1</v>
      </c>
      <c r="R1940" s="3691">
        <v>990000</v>
      </c>
      <c r="S1940" s="3805">
        <v>2</v>
      </c>
      <c r="T1940" s="3807">
        <f>14585000-R1940</f>
        <v>13595000</v>
      </c>
      <c r="U1940" s="3805">
        <v>2</v>
      </c>
      <c r="V1940" s="3807">
        <f>20072500-T1940-R1940</f>
        <v>5487500</v>
      </c>
      <c r="W1940" s="3803"/>
      <c r="X1940" s="3803"/>
      <c r="Y1940" s="3679">
        <f>Q1940+S1940+U1940+W1940</f>
        <v>5</v>
      </c>
      <c r="Z1940" s="3691">
        <f t="shared" ref="Z1940:Z1945" si="663">R1940+T1940+V1940+X1940</f>
        <v>20072500</v>
      </c>
      <c r="AA1940" s="3679">
        <f t="shared" ref="AA1940:AA1944" si="664">M1940+Y1940</f>
        <v>25</v>
      </c>
      <c r="AB1940" s="3691">
        <f t="shared" ref="AB1940:AB1945" si="665">N1940+Z1940</f>
        <v>78450400</v>
      </c>
      <c r="AC1940" s="3684">
        <f t="shared" ref="AC1940:AC1945" si="666">(AA1940/K1940)*100</f>
        <v>41.666666666666671</v>
      </c>
      <c r="AD1940" s="3684">
        <f t="shared" si="662"/>
        <v>41.600483613098916</v>
      </c>
      <c r="AE1940" s="3803" t="s">
        <v>4562</v>
      </c>
    </row>
    <row r="1941" spans="1:76" s="6" customFormat="1" ht="75">
      <c r="A1941" s="3803"/>
      <c r="B1941" s="3678"/>
      <c r="C1941" s="36">
        <v>5</v>
      </c>
      <c r="D1941" s="36" t="s">
        <v>107</v>
      </c>
      <c r="E1941" s="36" t="s">
        <v>66</v>
      </c>
      <c r="F1941" s="36" t="s">
        <v>155</v>
      </c>
      <c r="G1941" s="36" t="s">
        <v>1099</v>
      </c>
      <c r="H1941" s="3804" t="s">
        <v>65</v>
      </c>
      <c r="I1941" s="3690" t="s">
        <v>4390</v>
      </c>
      <c r="J1941" s="3690" t="s">
        <v>4391</v>
      </c>
      <c r="K1941" s="3805">
        <v>6</v>
      </c>
      <c r="L1941" s="3831">
        <v>137849500</v>
      </c>
      <c r="M1941" s="3804">
        <v>2</v>
      </c>
      <c r="N1941" s="3806">
        <v>36148000</v>
      </c>
      <c r="O1941" s="3805">
        <v>1</v>
      </c>
      <c r="P1941" s="3807">
        <v>16875000</v>
      </c>
      <c r="Q1941" s="3823">
        <v>0</v>
      </c>
      <c r="R1941" s="3691">
        <v>0</v>
      </c>
      <c r="S1941" s="3824">
        <v>0</v>
      </c>
      <c r="T1941" s="3691">
        <v>0</v>
      </c>
      <c r="U1941" s="3805">
        <v>0</v>
      </c>
      <c r="V1941" s="3803">
        <v>0</v>
      </c>
      <c r="W1941" s="3803"/>
      <c r="X1941" s="3803"/>
      <c r="Y1941" s="3679">
        <f t="shared" ref="Y1941:Y1943" si="667">Q1941+S1941+U1941+W1941</f>
        <v>0</v>
      </c>
      <c r="Z1941" s="3691">
        <f t="shared" si="663"/>
        <v>0</v>
      </c>
      <c r="AA1941" s="3679">
        <f t="shared" si="664"/>
        <v>2</v>
      </c>
      <c r="AB1941" s="3691">
        <f t="shared" si="665"/>
        <v>36148000</v>
      </c>
      <c r="AC1941" s="3684">
        <f t="shared" si="666"/>
        <v>33.333333333333329</v>
      </c>
      <c r="AD1941" s="3684">
        <f t="shared" si="662"/>
        <v>26.222800953213472</v>
      </c>
      <c r="AE1941" s="3803" t="s">
        <v>4562</v>
      </c>
    </row>
    <row r="1942" spans="1:76" s="6" customFormat="1" ht="105">
      <c r="A1942" s="3803"/>
      <c r="B1942" s="3678"/>
      <c r="C1942" s="36">
        <v>5</v>
      </c>
      <c r="D1942" s="36" t="s">
        <v>107</v>
      </c>
      <c r="E1942" s="36" t="s">
        <v>66</v>
      </c>
      <c r="F1942" s="36" t="s">
        <v>155</v>
      </c>
      <c r="G1942" s="36" t="s">
        <v>1099</v>
      </c>
      <c r="H1942" s="3804" t="s">
        <v>196</v>
      </c>
      <c r="I1942" s="3690" t="s">
        <v>4392</v>
      </c>
      <c r="J1942" s="3690" t="s">
        <v>4393</v>
      </c>
      <c r="K1942" s="3805">
        <v>6</v>
      </c>
      <c r="L1942" s="3691">
        <v>171393000</v>
      </c>
      <c r="M1942" s="3804">
        <v>2</v>
      </c>
      <c r="N1942" s="3806">
        <v>48716500</v>
      </c>
      <c r="O1942" s="3805">
        <v>1</v>
      </c>
      <c r="P1942" s="3807">
        <v>24100000</v>
      </c>
      <c r="Q1942" s="3804">
        <v>1</v>
      </c>
      <c r="R1942" s="3691">
        <v>12200000</v>
      </c>
      <c r="S1942" s="3824">
        <v>0</v>
      </c>
      <c r="T1942" s="3807">
        <f>24100000-R1942</f>
        <v>11900000</v>
      </c>
      <c r="U1942" s="3805">
        <v>0</v>
      </c>
      <c r="V1942" s="3807">
        <v>0</v>
      </c>
      <c r="W1942" s="3803"/>
      <c r="X1942" s="3803"/>
      <c r="Y1942" s="3679">
        <f t="shared" si="667"/>
        <v>1</v>
      </c>
      <c r="Z1942" s="3691">
        <f t="shared" si="663"/>
        <v>24100000</v>
      </c>
      <c r="AA1942" s="3679">
        <f t="shared" si="664"/>
        <v>3</v>
      </c>
      <c r="AB1942" s="3691">
        <f t="shared" si="665"/>
        <v>72816500</v>
      </c>
      <c r="AC1942" s="3684">
        <f t="shared" si="666"/>
        <v>50</v>
      </c>
      <c r="AD1942" s="3684">
        <f t="shared" si="662"/>
        <v>42.485107326436903</v>
      </c>
      <c r="AE1942" s="3803" t="s">
        <v>4562</v>
      </c>
    </row>
    <row r="1943" spans="1:76" s="6" customFormat="1" ht="90">
      <c r="A1943" s="3803"/>
      <c r="B1943" s="3678"/>
      <c r="C1943" s="36">
        <v>5</v>
      </c>
      <c r="D1943" s="36" t="s">
        <v>107</v>
      </c>
      <c r="E1943" s="36" t="s">
        <v>66</v>
      </c>
      <c r="F1943" s="36" t="s">
        <v>155</v>
      </c>
      <c r="G1943" s="36" t="s">
        <v>1099</v>
      </c>
      <c r="H1943" s="3804" t="s">
        <v>161</v>
      </c>
      <c r="I1943" s="3690" t="s">
        <v>4394</v>
      </c>
      <c r="J1943" s="3690" t="s">
        <v>4395</v>
      </c>
      <c r="K1943" s="3805">
        <v>72</v>
      </c>
      <c r="L1943" s="3691">
        <v>36000000</v>
      </c>
      <c r="M1943" s="3804">
        <v>24</v>
      </c>
      <c r="N1943" s="3806">
        <v>12000000</v>
      </c>
      <c r="O1943" s="3805">
        <v>12</v>
      </c>
      <c r="P1943" s="3807">
        <v>7090000</v>
      </c>
      <c r="Q1943" s="3804">
        <v>3</v>
      </c>
      <c r="R1943" s="3691">
        <v>0</v>
      </c>
      <c r="S1943" s="3824">
        <v>0</v>
      </c>
      <c r="T1943" s="3691">
        <v>0</v>
      </c>
      <c r="U1943" s="3805">
        <v>4</v>
      </c>
      <c r="V1943" s="3807">
        <v>0</v>
      </c>
      <c r="W1943" s="3803"/>
      <c r="X1943" s="3803"/>
      <c r="Y1943" s="3679">
        <f t="shared" si="667"/>
        <v>7</v>
      </c>
      <c r="Z1943" s="3691">
        <f t="shared" si="663"/>
        <v>0</v>
      </c>
      <c r="AA1943" s="3679">
        <f t="shared" si="664"/>
        <v>31</v>
      </c>
      <c r="AB1943" s="3691">
        <f t="shared" si="665"/>
        <v>12000000</v>
      </c>
      <c r="AC1943" s="3684">
        <f t="shared" si="666"/>
        <v>43.055555555555557</v>
      </c>
      <c r="AD1943" s="3684">
        <f t="shared" si="662"/>
        <v>33.333333333333329</v>
      </c>
      <c r="AE1943" s="3803" t="s">
        <v>4562</v>
      </c>
    </row>
    <row r="1944" spans="1:76" s="6" customFormat="1" ht="75">
      <c r="A1944" s="3803"/>
      <c r="B1944" s="3678"/>
      <c r="C1944" s="36">
        <v>5</v>
      </c>
      <c r="D1944" s="36" t="s">
        <v>107</v>
      </c>
      <c r="E1944" s="36" t="s">
        <v>66</v>
      </c>
      <c r="F1944" s="36" t="s">
        <v>155</v>
      </c>
      <c r="G1944" s="36" t="s">
        <v>1099</v>
      </c>
      <c r="H1944" s="3804" t="s">
        <v>197</v>
      </c>
      <c r="I1944" s="3690" t="s">
        <v>4293</v>
      </c>
      <c r="J1944" s="3690" t="s">
        <v>4396</v>
      </c>
      <c r="K1944" s="3805">
        <v>150</v>
      </c>
      <c r="L1944" s="3691">
        <v>76200000</v>
      </c>
      <c r="M1944" s="3804">
        <v>50</v>
      </c>
      <c r="N1944" s="3806">
        <v>21200000</v>
      </c>
      <c r="O1944" s="3805">
        <v>6</v>
      </c>
      <c r="P1944" s="3807">
        <v>8210000</v>
      </c>
      <c r="Q1944" s="3804">
        <v>0</v>
      </c>
      <c r="R1944" s="3691">
        <v>0</v>
      </c>
      <c r="S1944" s="3824">
        <v>0</v>
      </c>
      <c r="T1944" s="3691">
        <v>0</v>
      </c>
      <c r="U1944" s="3805">
        <v>2</v>
      </c>
      <c r="V1944" s="3807">
        <v>0</v>
      </c>
      <c r="W1944" s="3803"/>
      <c r="X1944" s="3803"/>
      <c r="Y1944" s="3679">
        <f>Q1944+S1944+U1944+W1944</f>
        <v>2</v>
      </c>
      <c r="Z1944" s="3691">
        <f t="shared" si="663"/>
        <v>0</v>
      </c>
      <c r="AA1944" s="3679">
        <f t="shared" si="664"/>
        <v>52</v>
      </c>
      <c r="AB1944" s="3691">
        <f t="shared" si="665"/>
        <v>21200000</v>
      </c>
      <c r="AC1944" s="3684">
        <f t="shared" si="666"/>
        <v>34.666666666666671</v>
      </c>
      <c r="AD1944" s="3684">
        <f t="shared" si="662"/>
        <v>27.821522309711288</v>
      </c>
      <c r="AE1944" s="3803" t="s">
        <v>4562</v>
      </c>
    </row>
    <row r="1945" spans="1:76" s="6" customFormat="1" ht="107.25" customHeight="1">
      <c r="A1945" s="3803"/>
      <c r="B1945" s="3678"/>
      <c r="C1945" s="36">
        <v>5</v>
      </c>
      <c r="D1945" s="36" t="s">
        <v>107</v>
      </c>
      <c r="E1945" s="36" t="s">
        <v>66</v>
      </c>
      <c r="F1945" s="36" t="s">
        <v>155</v>
      </c>
      <c r="G1945" s="36" t="s">
        <v>1099</v>
      </c>
      <c r="H1945" s="3804"/>
      <c r="I1945" s="15" t="s">
        <v>4553</v>
      </c>
      <c r="J1945" s="3690" t="s">
        <v>4554</v>
      </c>
      <c r="K1945" s="3805">
        <v>4</v>
      </c>
      <c r="L1945" s="3691">
        <v>97500000</v>
      </c>
      <c r="M1945" s="3804">
        <v>0</v>
      </c>
      <c r="N1945" s="3832">
        <v>0</v>
      </c>
      <c r="O1945" s="3805">
        <v>1</v>
      </c>
      <c r="P1945" s="3807">
        <v>19850000</v>
      </c>
      <c r="Q1945" s="3804">
        <v>0</v>
      </c>
      <c r="R1945" s="3691">
        <v>0</v>
      </c>
      <c r="S1945" s="3805">
        <v>1</v>
      </c>
      <c r="T1945" s="3691">
        <v>18975000</v>
      </c>
      <c r="U1945" s="3805">
        <v>0</v>
      </c>
      <c r="V1945" s="3807">
        <v>0</v>
      </c>
      <c r="W1945" s="3803"/>
      <c r="X1945" s="3803"/>
      <c r="Y1945" s="3679">
        <f t="shared" ref="Y1945" si="668">Q1945+S1945+U1945+W1945</f>
        <v>1</v>
      </c>
      <c r="Z1945" s="3691">
        <f t="shared" si="663"/>
        <v>18975000</v>
      </c>
      <c r="AA1945" s="3679">
        <f>M1945+Y1945</f>
        <v>1</v>
      </c>
      <c r="AB1945" s="3691">
        <f t="shared" si="665"/>
        <v>18975000</v>
      </c>
      <c r="AC1945" s="3684">
        <f t="shared" si="666"/>
        <v>25</v>
      </c>
      <c r="AD1945" s="3684">
        <f t="shared" si="662"/>
        <v>19.46153846153846</v>
      </c>
      <c r="AE1945" s="3803" t="s">
        <v>4562</v>
      </c>
    </row>
    <row r="1946" spans="1:76" customFormat="1" ht="17.25" customHeight="1">
      <c r="A1946" s="4264" t="s">
        <v>89</v>
      </c>
      <c r="B1946" s="4264"/>
      <c r="C1946" s="4265"/>
      <c r="D1946" s="4265"/>
      <c r="E1946" s="4265"/>
      <c r="F1946" s="4265"/>
      <c r="G1946" s="4265"/>
      <c r="H1946" s="4265"/>
      <c r="I1946" s="4265"/>
      <c r="J1946" s="4265"/>
      <c r="K1946" s="4265"/>
      <c r="L1946" s="4265"/>
      <c r="M1946" s="4265"/>
      <c r="N1946" s="4265"/>
      <c r="O1946" s="4265"/>
      <c r="P1946" s="4265"/>
      <c r="Q1946" s="4265"/>
      <c r="R1946" s="4265"/>
      <c r="S1946" s="4265"/>
      <c r="T1946" s="4265"/>
      <c r="U1946" s="4265"/>
      <c r="V1946" s="4265"/>
      <c r="W1946" s="4265"/>
      <c r="X1946" s="4265"/>
      <c r="Y1946" s="4265"/>
      <c r="Z1946" s="4265"/>
      <c r="AA1946" s="4265"/>
      <c r="AB1946" s="4265"/>
      <c r="AC1946" s="3784">
        <f>(AC1914+AC1925+AC1930+AC1932+AC1934+AC1936+AC1939)/7</f>
        <v>60.0452479131229</v>
      </c>
      <c r="AD1946" s="3784">
        <f>(AD1914+AD1925+AD1930+AD1932+AD1934+AD1936+AD1939)/7</f>
        <v>31.539018000017187</v>
      </c>
      <c r="AE1946" s="2116"/>
    </row>
    <row r="1947" spans="1:76" customFormat="1" ht="20.25" customHeight="1">
      <c r="A1947" s="4264" t="s">
        <v>90</v>
      </c>
      <c r="B1947" s="4264"/>
      <c r="C1947" s="4265"/>
      <c r="D1947" s="4265"/>
      <c r="E1947" s="4265"/>
      <c r="F1947" s="4265"/>
      <c r="G1947" s="4265"/>
      <c r="H1947" s="4265"/>
      <c r="I1947" s="4265"/>
      <c r="J1947" s="4265"/>
      <c r="K1947" s="4265"/>
      <c r="L1947" s="4265"/>
      <c r="M1947" s="4265"/>
      <c r="N1947" s="4265"/>
      <c r="O1947" s="4265"/>
      <c r="P1947" s="4265"/>
      <c r="Q1947" s="4265"/>
      <c r="R1947" s="4265"/>
      <c r="S1947" s="4265"/>
      <c r="T1947" s="4265"/>
      <c r="U1947" s="4265"/>
      <c r="V1947" s="4265"/>
      <c r="W1947" s="4265"/>
      <c r="X1947" s="4265"/>
      <c r="Y1947" s="4265"/>
      <c r="Z1947" s="4265"/>
      <c r="AA1947" s="4265"/>
      <c r="AB1947" s="4265"/>
      <c r="AC1947" s="3689" t="str">
        <f>IF(AC1946&gt;=91,"ST",IF(AC1946&gt;=76,"T",IF(AC1946&gt;=66,"S",IF(AC1946&gt;=51,"R","SR"))))</f>
        <v>R</v>
      </c>
      <c r="AD1947" s="3689" t="str">
        <f>IF(AD1946&gt;=91,"ST",IF(AD1946&gt;=76,"T",IF(AD1946&gt;=66,"S",IF(AD1946&gt;=51,"R","SR"))))</f>
        <v>SR</v>
      </c>
      <c r="AE1947" s="2116"/>
    </row>
    <row r="1948" spans="1:76" s="55" customFormat="1" ht="25.5" customHeight="1">
      <c r="A1948" s="2546" t="s">
        <v>122</v>
      </c>
      <c r="B1948" s="2918"/>
      <c r="C1948" s="2546"/>
      <c r="D1948" s="2546"/>
      <c r="E1948" s="2546"/>
      <c r="F1948" s="2546"/>
      <c r="G1948" s="2546"/>
      <c r="H1948" s="2546"/>
      <c r="I1948" s="2515" t="s">
        <v>1022</v>
      </c>
      <c r="J1948" s="2918"/>
      <c r="K1948" s="2918"/>
      <c r="L1948" s="3238">
        <f>L1949+L1960+L1965+L1967+L1969+L1971+L1974</f>
        <v>2845778440</v>
      </c>
      <c r="M1948" s="2918"/>
      <c r="N1948" s="2916">
        <f>N1949+N1960+N1965+N1967+N1969+N1971+N1974</f>
        <v>775620900</v>
      </c>
      <c r="O1948" s="2918"/>
      <c r="P1948" s="2916">
        <f>P1949+P1960+P1965+P1967+P1969+P1971+P1974</f>
        <v>417910420</v>
      </c>
      <c r="Q1948" s="2918"/>
      <c r="R1948" s="2916">
        <f>R1949+R1960+R1965+R1967+R1969+R1971+R1974</f>
        <v>31968500</v>
      </c>
      <c r="S1948" s="2918"/>
      <c r="T1948" s="2916">
        <f>T1949+T1960+T1965+T1967+T1969+T1971+T1974</f>
        <v>110299600</v>
      </c>
      <c r="U1948" s="2918"/>
      <c r="V1948" s="2916">
        <f>V1949+V1960+V1965+V1967+V1969+V1971+V1974</f>
        <v>103258850</v>
      </c>
      <c r="W1948" s="2918"/>
      <c r="X1948" s="2918"/>
      <c r="Y1948" s="2546">
        <f>Q1948+S1948+U1948+W1948</f>
        <v>0</v>
      </c>
      <c r="Z1948" s="2916">
        <f>Z1949+Z1960+Z1965+Z1967+Z1969+Z1971+Z1974</f>
        <v>245526950</v>
      </c>
      <c r="AA1948" s="2918"/>
      <c r="AB1948" s="2916" t="e">
        <f>AB1949+AB1960+AB1965+AB1967+AB1969+AB1971+#REF!+AB1974+#REF!</f>
        <v>#REF!</v>
      </c>
      <c r="AC1948" s="2918"/>
      <c r="AD1948" s="2918"/>
      <c r="AE1948" s="3211"/>
      <c r="AF1948" s="145"/>
      <c r="AG1948" s="145"/>
      <c r="AH1948" s="145"/>
      <c r="AI1948" s="145"/>
      <c r="AJ1948" s="145"/>
      <c r="AK1948" s="145"/>
      <c r="AL1948" s="145"/>
      <c r="AM1948" s="145"/>
      <c r="AN1948" s="145"/>
      <c r="AO1948" s="145"/>
      <c r="AP1948" s="145"/>
      <c r="AQ1948" s="145"/>
      <c r="AR1948" s="145"/>
      <c r="AS1948" s="145"/>
      <c r="AT1948" s="145"/>
      <c r="AU1948" s="145"/>
      <c r="AV1948" s="145"/>
      <c r="AW1948" s="145"/>
      <c r="AX1948" s="145"/>
      <c r="AY1948" s="145"/>
      <c r="AZ1948" s="145"/>
      <c r="BA1948" s="145"/>
      <c r="BB1948" s="145"/>
      <c r="BC1948" s="145"/>
      <c r="BD1948" s="145"/>
      <c r="BE1948" s="145"/>
      <c r="BF1948" s="145"/>
      <c r="BG1948" s="145"/>
      <c r="BH1948" s="145"/>
      <c r="BI1948" s="145"/>
      <c r="BJ1948" s="145"/>
      <c r="BK1948" s="145"/>
      <c r="BL1948" s="145"/>
      <c r="BM1948" s="145"/>
      <c r="BN1948" s="145"/>
      <c r="BO1948" s="145"/>
      <c r="BP1948" s="145"/>
      <c r="BQ1948" s="145"/>
      <c r="BR1948" s="145"/>
      <c r="BS1948" s="145"/>
      <c r="BT1948" s="145"/>
      <c r="BU1948" s="145"/>
      <c r="BV1948" s="145"/>
      <c r="BW1948" s="145"/>
      <c r="BX1948" s="145"/>
    </row>
    <row r="1949" spans="1:76" s="3802" customFormat="1" ht="92.25" customHeight="1">
      <c r="A1949" s="3657">
        <v>1</v>
      </c>
      <c r="B1949" s="3835"/>
      <c r="C1949" s="3659">
        <v>5</v>
      </c>
      <c r="D1949" s="3659" t="s">
        <v>107</v>
      </c>
      <c r="E1949" s="3659" t="s">
        <v>66</v>
      </c>
      <c r="F1949" s="3659" t="s">
        <v>155</v>
      </c>
      <c r="G1949" s="3659" t="s">
        <v>66</v>
      </c>
      <c r="H1949" s="3657"/>
      <c r="I1949" s="3660" t="s">
        <v>4326</v>
      </c>
      <c r="J1949" s="3660" t="s">
        <v>4529</v>
      </c>
      <c r="K1949" s="3657">
        <v>72</v>
      </c>
      <c r="L1949" s="3662">
        <f>SUM(L1950:L1959)</f>
        <v>1286260600</v>
      </c>
      <c r="M1949" s="3657">
        <v>24</v>
      </c>
      <c r="N1949" s="3662">
        <f>SUM(N1950:N1959)</f>
        <v>384099500</v>
      </c>
      <c r="O1949" s="3657">
        <v>12</v>
      </c>
      <c r="P1949" s="3662">
        <f>SUM(P1950:P1959)</f>
        <v>194318920</v>
      </c>
      <c r="Q1949" s="3657">
        <v>3</v>
      </c>
      <c r="R1949" s="3662">
        <f>SUM(R1950:R1959)</f>
        <v>8678500</v>
      </c>
      <c r="S1949" s="3657">
        <v>3</v>
      </c>
      <c r="T1949" s="3662">
        <f>SUM(T1950:T1959)</f>
        <v>39459600</v>
      </c>
      <c r="U1949" s="3657">
        <v>3</v>
      </c>
      <c r="V1949" s="3662">
        <f>SUM(V1950:V1959)</f>
        <v>68173350</v>
      </c>
      <c r="W1949" s="3661"/>
      <c r="X1949" s="3661"/>
      <c r="Y1949" s="3836">
        <f>Q1949+S1949+U1949+W1949</f>
        <v>9</v>
      </c>
      <c r="Z1949" s="3662">
        <f>SUM(Z1950:Z1959)</f>
        <v>116311450</v>
      </c>
      <c r="AA1949" s="3836">
        <f>M1949+Y1949</f>
        <v>33</v>
      </c>
      <c r="AB1949" s="3662">
        <f>SUM(AB1950:AB1959)</f>
        <v>500410950</v>
      </c>
      <c r="AC1949" s="3664">
        <f>(AA1949/K1949)*100</f>
        <v>45.833333333333329</v>
      </c>
      <c r="AD1949" s="3664">
        <f>AB1949/L1949*100</f>
        <v>38.904320788493408</v>
      </c>
      <c r="AE1949" s="3660" t="s">
        <v>4566</v>
      </c>
    </row>
    <row r="1950" spans="1:76" s="2117" customFormat="1" ht="81.75" customHeight="1">
      <c r="A1950" s="3803"/>
      <c r="B1950" s="3678"/>
      <c r="C1950" s="36">
        <v>5</v>
      </c>
      <c r="D1950" s="36" t="s">
        <v>107</v>
      </c>
      <c r="E1950" s="36" t="s">
        <v>66</v>
      </c>
      <c r="F1950" s="36" t="s">
        <v>155</v>
      </c>
      <c r="G1950" s="36" t="s">
        <v>66</v>
      </c>
      <c r="H1950" s="3804" t="s">
        <v>65</v>
      </c>
      <c r="I1950" s="3690" t="s">
        <v>4330</v>
      </c>
      <c r="J1950" s="3690" t="s">
        <v>4331</v>
      </c>
      <c r="K1950" s="3805">
        <v>72</v>
      </c>
      <c r="L1950" s="3691">
        <v>74170000</v>
      </c>
      <c r="M1950" s="3804">
        <v>24</v>
      </c>
      <c r="N1950" s="3806">
        <v>16763500</v>
      </c>
      <c r="O1950" s="3805">
        <v>12</v>
      </c>
      <c r="P1950" s="3807">
        <v>7440000</v>
      </c>
      <c r="Q1950" s="3804">
        <v>3</v>
      </c>
      <c r="R1950" s="3691">
        <v>154500</v>
      </c>
      <c r="S1950" s="3805">
        <v>3</v>
      </c>
      <c r="T1950" s="3691">
        <f>1965600-R1950</f>
        <v>1811100</v>
      </c>
      <c r="U1950" s="3805">
        <v>3</v>
      </c>
      <c r="V1950" s="3807">
        <f>3069450-T1950-R1950</f>
        <v>1103850</v>
      </c>
      <c r="W1950" s="3803"/>
      <c r="X1950" s="3803"/>
      <c r="Y1950" s="3679">
        <f t="shared" ref="Y1950:Y1951" si="669">Q1950+S1950+U1950+W1950</f>
        <v>9</v>
      </c>
      <c r="Z1950" s="3691">
        <f>R1950+T1950+V1950+X1950</f>
        <v>3069450</v>
      </c>
      <c r="AA1950" s="3679">
        <f t="shared" ref="AA1950:AA1952" si="670">M1950+Y1950</f>
        <v>33</v>
      </c>
      <c r="AB1950" s="3691">
        <f t="shared" ref="AB1950:AB1959" si="671">N1950+Z1950</f>
        <v>19832950</v>
      </c>
      <c r="AC1950" s="3684">
        <f>(AA1950/K1950)*100</f>
        <v>45.833333333333329</v>
      </c>
      <c r="AD1950" s="3684">
        <f t="shared" ref="AD1950:AD1959" si="672">AB1950/L1950*100</f>
        <v>26.739854388566808</v>
      </c>
      <c r="AE1950" s="3690" t="s">
        <v>4566</v>
      </c>
    </row>
    <row r="1951" spans="1:76" s="2117" customFormat="1" ht="105">
      <c r="A1951" s="3803"/>
      <c r="B1951" s="3678"/>
      <c r="C1951" s="36">
        <v>5</v>
      </c>
      <c r="D1951" s="36" t="s">
        <v>107</v>
      </c>
      <c r="E1951" s="36" t="s">
        <v>66</v>
      </c>
      <c r="F1951" s="36" t="s">
        <v>155</v>
      </c>
      <c r="G1951" s="36" t="s">
        <v>66</v>
      </c>
      <c r="H1951" s="3804" t="s">
        <v>198</v>
      </c>
      <c r="I1951" s="3690" t="s">
        <v>4332</v>
      </c>
      <c r="J1951" s="3690" t="s">
        <v>4333</v>
      </c>
      <c r="K1951" s="3805">
        <v>72</v>
      </c>
      <c r="L1951" s="3691">
        <v>199260600</v>
      </c>
      <c r="M1951" s="3804">
        <v>24</v>
      </c>
      <c r="N1951" s="3806">
        <f>29350000+39600000</f>
        <v>68950000</v>
      </c>
      <c r="O1951" s="3805">
        <v>12</v>
      </c>
      <c r="P1951" s="3807">
        <v>44400000</v>
      </c>
      <c r="Q1951" s="3804">
        <v>3</v>
      </c>
      <c r="R1951" s="3691"/>
      <c r="S1951" s="3805">
        <v>3</v>
      </c>
      <c r="T1951" s="3691">
        <v>6800000</v>
      </c>
      <c r="U1951" s="3805">
        <v>3</v>
      </c>
      <c r="V1951" s="3807">
        <v>24350000</v>
      </c>
      <c r="W1951" s="3803"/>
      <c r="X1951" s="3803"/>
      <c r="Y1951" s="3679">
        <f t="shared" si="669"/>
        <v>9</v>
      </c>
      <c r="Z1951" s="3691">
        <f t="shared" ref="Z1951:Z1959" si="673">R1951+T1951+V1951+X1951</f>
        <v>31150000</v>
      </c>
      <c r="AA1951" s="3679">
        <f t="shared" si="670"/>
        <v>33</v>
      </c>
      <c r="AB1951" s="3691">
        <f t="shared" si="671"/>
        <v>100100000</v>
      </c>
      <c r="AC1951" s="3684">
        <f t="shared" ref="AC1951" si="674">(AA1951/K1951)*100</f>
        <v>45.833333333333329</v>
      </c>
      <c r="AD1951" s="3684">
        <f t="shared" si="672"/>
        <v>50.23572146224592</v>
      </c>
      <c r="AE1951" s="3690" t="s">
        <v>4566</v>
      </c>
    </row>
    <row r="1952" spans="1:76" s="2117" customFormat="1" ht="66.75" customHeight="1">
      <c r="A1952" s="2116"/>
      <c r="B1952" s="3678"/>
      <c r="C1952" s="36">
        <v>5</v>
      </c>
      <c r="D1952" s="36" t="s">
        <v>107</v>
      </c>
      <c r="E1952" s="36" t="s">
        <v>66</v>
      </c>
      <c r="F1952" s="36" t="s">
        <v>155</v>
      </c>
      <c r="G1952" s="36" t="s">
        <v>66</v>
      </c>
      <c r="H1952" s="36" t="s">
        <v>93</v>
      </c>
      <c r="I1952" s="3680" t="s">
        <v>876</v>
      </c>
      <c r="J1952" s="3680" t="s">
        <v>4334</v>
      </c>
      <c r="K1952" s="36">
        <v>72</v>
      </c>
      <c r="L1952" s="3682">
        <v>93500000</v>
      </c>
      <c r="M1952" s="36">
        <v>24</v>
      </c>
      <c r="N1952" s="3808">
        <v>26825000</v>
      </c>
      <c r="O1952" s="3679">
        <v>12</v>
      </c>
      <c r="P1952" s="3683">
        <v>13398000</v>
      </c>
      <c r="Q1952" s="36">
        <v>3</v>
      </c>
      <c r="R1952" s="3682">
        <v>2600500</v>
      </c>
      <c r="S1952" s="3679">
        <v>3</v>
      </c>
      <c r="T1952" s="3682">
        <v>3226000</v>
      </c>
      <c r="U1952" s="3679">
        <v>3</v>
      </c>
      <c r="V1952" s="3683">
        <f>8076500-T1952-R1952</f>
        <v>2250000</v>
      </c>
      <c r="W1952" s="2116"/>
      <c r="X1952" s="2116"/>
      <c r="Y1952" s="3679">
        <f>Q1952+S1952+U1952+W1952</f>
        <v>9</v>
      </c>
      <c r="Z1952" s="3682">
        <f t="shared" si="673"/>
        <v>8076500</v>
      </c>
      <c r="AA1952" s="3679">
        <f t="shared" si="670"/>
        <v>33</v>
      </c>
      <c r="AB1952" s="3682">
        <f t="shared" si="671"/>
        <v>34901500</v>
      </c>
      <c r="AC1952" s="3684">
        <f>(AA1952/K1952)*100</f>
        <v>45.833333333333329</v>
      </c>
      <c r="AD1952" s="3684">
        <f t="shared" si="672"/>
        <v>37.327807486631016</v>
      </c>
      <c r="AE1952" s="3680" t="s">
        <v>4566</v>
      </c>
    </row>
    <row r="1953" spans="1:31" s="2117" customFormat="1" ht="45">
      <c r="A1953" s="3803"/>
      <c r="B1953" s="3809"/>
      <c r="C1953" s="3804">
        <v>5</v>
      </c>
      <c r="D1953" s="3804" t="s">
        <v>107</v>
      </c>
      <c r="E1953" s="3804" t="s">
        <v>66</v>
      </c>
      <c r="F1953" s="3804" t="s">
        <v>155</v>
      </c>
      <c r="G1953" s="3804" t="s">
        <v>66</v>
      </c>
      <c r="H1953" s="3804" t="s">
        <v>202</v>
      </c>
      <c r="I1953" s="3690" t="s">
        <v>880</v>
      </c>
      <c r="J1953" s="3690" t="s">
        <v>443</v>
      </c>
      <c r="K1953" s="3805">
        <v>72</v>
      </c>
      <c r="L1953" s="3691">
        <v>132600000</v>
      </c>
      <c r="M1953" s="3804">
        <v>24</v>
      </c>
      <c r="N1953" s="3806">
        <v>39955000</v>
      </c>
      <c r="O1953" s="3805">
        <v>12</v>
      </c>
      <c r="P1953" s="3807">
        <v>17677420</v>
      </c>
      <c r="Q1953" s="3804">
        <v>3</v>
      </c>
      <c r="R1953" s="3691">
        <v>1848500</v>
      </c>
      <c r="S1953" s="3805">
        <v>3</v>
      </c>
      <c r="T1953" s="3691">
        <v>6154000</v>
      </c>
      <c r="U1953" s="3805">
        <v>3</v>
      </c>
      <c r="V1953" s="3807">
        <v>74000</v>
      </c>
      <c r="W1953" s="3803"/>
      <c r="X1953" s="3803"/>
      <c r="Y1953" s="3805">
        <f t="shared" ref="Y1953:Y1954" si="675">Q1953+S1953+U1953+W1953</f>
        <v>9</v>
      </c>
      <c r="Z1953" s="3691">
        <f t="shared" si="673"/>
        <v>8076500</v>
      </c>
      <c r="AA1953" s="3805">
        <f>M1953+Y1953</f>
        <v>33</v>
      </c>
      <c r="AB1953" s="3691">
        <f t="shared" si="671"/>
        <v>48031500</v>
      </c>
      <c r="AC1953" s="3810">
        <f>(AA1953/K1953)*100</f>
        <v>45.833333333333329</v>
      </c>
      <c r="AD1953" s="3810">
        <f t="shared" si="672"/>
        <v>36.222850678733032</v>
      </c>
      <c r="AE1953" s="3690" t="s">
        <v>4566</v>
      </c>
    </row>
    <row r="1954" spans="1:31" s="2117" customFormat="1" ht="75">
      <c r="A1954" s="2116"/>
      <c r="B1954" s="3678"/>
      <c r="C1954" s="36">
        <v>5</v>
      </c>
      <c r="D1954" s="36" t="s">
        <v>107</v>
      </c>
      <c r="E1954" s="36" t="s">
        <v>66</v>
      </c>
      <c r="F1954" s="36" t="s">
        <v>155</v>
      </c>
      <c r="G1954" s="36" t="s">
        <v>66</v>
      </c>
      <c r="H1954" s="36" t="s">
        <v>417</v>
      </c>
      <c r="I1954" s="3680" t="s">
        <v>882</v>
      </c>
      <c r="J1954" s="3681" t="s">
        <v>4547</v>
      </c>
      <c r="K1954" s="3679">
        <v>72</v>
      </c>
      <c r="L1954" s="3682">
        <v>65400000</v>
      </c>
      <c r="M1954" s="36">
        <v>24</v>
      </c>
      <c r="N1954" s="3808">
        <v>21002000</v>
      </c>
      <c r="O1954" s="3679">
        <v>12</v>
      </c>
      <c r="P1954" s="3683">
        <v>12141500</v>
      </c>
      <c r="Q1954" s="36">
        <v>3</v>
      </c>
      <c r="R1954" s="3682">
        <v>380000</v>
      </c>
      <c r="S1954" s="3679">
        <v>3</v>
      </c>
      <c r="T1954" s="3682">
        <v>2598000</v>
      </c>
      <c r="U1954" s="3679">
        <v>3</v>
      </c>
      <c r="V1954" s="3682">
        <v>2240000</v>
      </c>
      <c r="W1954" s="2116"/>
      <c r="X1954" s="2116"/>
      <c r="Y1954" s="3679">
        <f t="shared" si="675"/>
        <v>9</v>
      </c>
      <c r="Z1954" s="3682">
        <f t="shared" si="673"/>
        <v>5218000</v>
      </c>
      <c r="AA1954" s="3679">
        <f t="shared" ref="AA1954:AA1956" si="676">M1954+Y1954</f>
        <v>33</v>
      </c>
      <c r="AB1954" s="3682">
        <f t="shared" si="671"/>
        <v>26220000</v>
      </c>
      <c r="AC1954" s="3684">
        <f t="shared" ref="AC1954:AC1956" si="677">(AA1954/K1954)*100</f>
        <v>45.833333333333329</v>
      </c>
      <c r="AD1954" s="3684">
        <f t="shared" si="672"/>
        <v>40.091743119266056</v>
      </c>
      <c r="AE1954" s="3680" t="s">
        <v>4566</v>
      </c>
    </row>
    <row r="1955" spans="1:31" s="2117" customFormat="1" ht="92.25" customHeight="1">
      <c r="A1955" s="2116"/>
      <c r="B1955" s="3678"/>
      <c r="C1955" s="36">
        <v>5</v>
      </c>
      <c r="D1955" s="36" t="s">
        <v>107</v>
      </c>
      <c r="E1955" s="36" t="s">
        <v>66</v>
      </c>
      <c r="F1955" s="36" t="s">
        <v>155</v>
      </c>
      <c r="G1955" s="36" t="s">
        <v>66</v>
      </c>
      <c r="H1955" s="36" t="s">
        <v>160</v>
      </c>
      <c r="I1955" s="3680" t="s">
        <v>4339</v>
      </c>
      <c r="J1955" s="3680" t="s">
        <v>4519</v>
      </c>
      <c r="K1955" s="3679">
        <v>72</v>
      </c>
      <c r="L1955" s="3682">
        <v>15000000</v>
      </c>
      <c r="M1955" s="36">
        <v>24</v>
      </c>
      <c r="N1955" s="3808">
        <v>3931000</v>
      </c>
      <c r="O1955" s="3679">
        <v>12</v>
      </c>
      <c r="P1955" s="3683">
        <v>2016000</v>
      </c>
      <c r="Q1955" s="36">
        <v>3</v>
      </c>
      <c r="R1955" s="3682">
        <v>230000</v>
      </c>
      <c r="S1955" s="3679">
        <v>3</v>
      </c>
      <c r="T1955" s="3682">
        <v>248000</v>
      </c>
      <c r="U1955" s="3679">
        <v>3</v>
      </c>
      <c r="V1955" s="3683">
        <v>859000</v>
      </c>
      <c r="W1955" s="2116"/>
      <c r="X1955" s="2116"/>
      <c r="Y1955" s="3679">
        <f>Q1955+S1955+U1955+W1955</f>
        <v>9</v>
      </c>
      <c r="Z1955" s="3682">
        <f t="shared" si="673"/>
        <v>1337000</v>
      </c>
      <c r="AA1955" s="3679">
        <f t="shared" si="676"/>
        <v>33</v>
      </c>
      <c r="AB1955" s="3682">
        <f t="shared" si="671"/>
        <v>5268000</v>
      </c>
      <c r="AC1955" s="3684">
        <f t="shared" si="677"/>
        <v>45.833333333333329</v>
      </c>
      <c r="AD1955" s="3684">
        <f t="shared" si="672"/>
        <v>35.120000000000005</v>
      </c>
      <c r="AE1955" s="3680" t="s">
        <v>4566</v>
      </c>
    </row>
    <row r="1956" spans="1:31" s="2117" customFormat="1" ht="75">
      <c r="A1956" s="3803"/>
      <c r="B1956" s="3678"/>
      <c r="C1956" s="36">
        <v>5</v>
      </c>
      <c r="D1956" s="36" t="s">
        <v>107</v>
      </c>
      <c r="E1956" s="36" t="s">
        <v>66</v>
      </c>
      <c r="F1956" s="36" t="s">
        <v>155</v>
      </c>
      <c r="G1956" s="36" t="s">
        <v>66</v>
      </c>
      <c r="H1956" s="3804" t="s">
        <v>155</v>
      </c>
      <c r="I1956" s="3690" t="s">
        <v>4341</v>
      </c>
      <c r="J1956" s="3690" t="s">
        <v>4548</v>
      </c>
      <c r="K1956" s="3805">
        <v>72</v>
      </c>
      <c r="L1956" s="3691">
        <v>20130000</v>
      </c>
      <c r="M1956" s="3804">
        <v>24</v>
      </c>
      <c r="N1956" s="3806">
        <v>5640000</v>
      </c>
      <c r="O1956" s="3805">
        <v>12</v>
      </c>
      <c r="P1956" s="3807">
        <v>2880000</v>
      </c>
      <c r="Q1956" s="3804">
        <v>3</v>
      </c>
      <c r="R1956" s="3691">
        <v>480000</v>
      </c>
      <c r="S1956" s="3805">
        <v>3</v>
      </c>
      <c r="T1956" s="3691">
        <v>510000</v>
      </c>
      <c r="U1956" s="3805">
        <v>3</v>
      </c>
      <c r="V1956" s="3807">
        <v>450000</v>
      </c>
      <c r="W1956" s="3803"/>
      <c r="X1956" s="3803"/>
      <c r="Y1956" s="3679">
        <f t="shared" ref="Y1956:Y1957" si="678">Q1956+S1956+U1956+W1956</f>
        <v>9</v>
      </c>
      <c r="Z1956" s="3691">
        <f t="shared" si="673"/>
        <v>1440000</v>
      </c>
      <c r="AA1956" s="3679">
        <f t="shared" si="676"/>
        <v>33</v>
      </c>
      <c r="AB1956" s="3691">
        <f t="shared" si="671"/>
        <v>7080000</v>
      </c>
      <c r="AC1956" s="3684">
        <f t="shared" si="677"/>
        <v>45.833333333333329</v>
      </c>
      <c r="AD1956" s="3684">
        <f t="shared" si="672"/>
        <v>35.171385991058123</v>
      </c>
      <c r="AE1956" s="3690" t="s">
        <v>4566</v>
      </c>
    </row>
    <row r="1957" spans="1:31" s="2117" customFormat="1" ht="52.5" customHeight="1">
      <c r="A1957" s="2116"/>
      <c r="B1957" s="3678"/>
      <c r="C1957" s="36">
        <v>5</v>
      </c>
      <c r="D1957" s="36" t="s">
        <v>107</v>
      </c>
      <c r="E1957" s="36" t="s">
        <v>66</v>
      </c>
      <c r="F1957" s="36" t="s">
        <v>155</v>
      </c>
      <c r="G1957" s="36" t="s">
        <v>66</v>
      </c>
      <c r="H1957" s="36" t="s">
        <v>448</v>
      </c>
      <c r="I1957" s="3680" t="s">
        <v>223</v>
      </c>
      <c r="J1957" s="3681" t="s">
        <v>4343</v>
      </c>
      <c r="K1957" s="3679">
        <v>72</v>
      </c>
      <c r="L1957" s="3682">
        <v>196500000</v>
      </c>
      <c r="M1957" s="36">
        <v>24</v>
      </c>
      <c r="N1957" s="3808">
        <v>59575000</v>
      </c>
      <c r="O1957" s="3679">
        <v>12</v>
      </c>
      <c r="P1957" s="3683">
        <v>16776000</v>
      </c>
      <c r="Q1957" s="36">
        <v>3</v>
      </c>
      <c r="R1957" s="3682">
        <v>2860000</v>
      </c>
      <c r="S1957" s="3679">
        <v>3</v>
      </c>
      <c r="T1957" s="3682">
        <v>4922500</v>
      </c>
      <c r="U1957" s="3679">
        <v>3</v>
      </c>
      <c r="V1957" s="3683">
        <v>8442500</v>
      </c>
      <c r="W1957" s="2116"/>
      <c r="X1957" s="2116"/>
      <c r="Y1957" s="3679">
        <f t="shared" si="678"/>
        <v>9</v>
      </c>
      <c r="Z1957" s="3682">
        <f t="shared" si="673"/>
        <v>16225000</v>
      </c>
      <c r="AA1957" s="3679">
        <f>M1957+Y1957</f>
        <v>33</v>
      </c>
      <c r="AB1957" s="3682">
        <f t="shared" si="671"/>
        <v>75800000</v>
      </c>
      <c r="AC1957" s="3684">
        <f>(AA1957/K1957)*100</f>
        <v>45.833333333333329</v>
      </c>
      <c r="AD1957" s="3684">
        <f t="shared" si="672"/>
        <v>38.575063613231549</v>
      </c>
      <c r="AE1957" s="3680" t="s">
        <v>4566</v>
      </c>
    </row>
    <row r="1958" spans="1:31" s="2117" customFormat="1" ht="64.5" customHeight="1">
      <c r="A1958" s="2116"/>
      <c r="B1958" s="3678"/>
      <c r="C1958" s="36">
        <v>5</v>
      </c>
      <c r="D1958" s="36" t="s">
        <v>107</v>
      </c>
      <c r="E1958" s="36" t="s">
        <v>66</v>
      </c>
      <c r="F1958" s="36" t="s">
        <v>155</v>
      </c>
      <c r="G1958" s="36" t="s">
        <v>66</v>
      </c>
      <c r="H1958" s="36" t="s">
        <v>167</v>
      </c>
      <c r="I1958" s="3680" t="s">
        <v>973</v>
      </c>
      <c r="J1958" s="3680" t="s">
        <v>4345</v>
      </c>
      <c r="K1958" s="3679">
        <v>72</v>
      </c>
      <c r="L1958" s="3682">
        <v>195000000</v>
      </c>
      <c r="M1958" s="36">
        <v>24</v>
      </c>
      <c r="N1958" s="3808">
        <v>55578000</v>
      </c>
      <c r="O1958" s="3679">
        <v>12</v>
      </c>
      <c r="P1958" s="3683">
        <v>22200000</v>
      </c>
      <c r="Q1958" s="36">
        <v>3</v>
      </c>
      <c r="R1958" s="3682"/>
      <c r="S1958" s="3679">
        <v>3</v>
      </c>
      <c r="T1958" s="3682">
        <v>1000000</v>
      </c>
      <c r="U1958" s="3679">
        <v>3</v>
      </c>
      <c r="V1958" s="3683">
        <v>15654000</v>
      </c>
      <c r="W1958" s="2116"/>
      <c r="X1958" s="2116"/>
      <c r="Y1958" s="3679">
        <f>Q1958+S1958+U1958+W1958</f>
        <v>9</v>
      </c>
      <c r="Z1958" s="3682">
        <f t="shared" si="673"/>
        <v>16654000</v>
      </c>
      <c r="AA1958" s="3679">
        <f t="shared" ref="AA1958:AA1959" si="679">M1958+Y1958</f>
        <v>33</v>
      </c>
      <c r="AB1958" s="3682">
        <f t="shared" si="671"/>
        <v>72232000</v>
      </c>
      <c r="AC1958" s="3684">
        <f t="shared" ref="AC1958:AC1959" si="680">(AA1958/K1958)*100</f>
        <v>45.833333333333329</v>
      </c>
      <c r="AD1958" s="3684">
        <f t="shared" si="672"/>
        <v>37.042051282051283</v>
      </c>
      <c r="AE1958" s="3680" t="s">
        <v>4566</v>
      </c>
    </row>
    <row r="1959" spans="1:31" s="2117" customFormat="1" ht="75">
      <c r="A1959" s="3803"/>
      <c r="B1959" s="3678"/>
      <c r="C1959" s="36">
        <v>5</v>
      </c>
      <c r="D1959" s="36" t="s">
        <v>107</v>
      </c>
      <c r="E1959" s="36" t="s">
        <v>66</v>
      </c>
      <c r="F1959" s="36" t="s">
        <v>155</v>
      </c>
      <c r="G1959" s="36" t="s">
        <v>66</v>
      </c>
      <c r="H1959" s="3804" t="s">
        <v>376</v>
      </c>
      <c r="I1959" s="3690" t="s">
        <v>4346</v>
      </c>
      <c r="J1959" s="3690" t="s">
        <v>4347</v>
      </c>
      <c r="K1959" s="3805">
        <v>72</v>
      </c>
      <c r="L1959" s="3691">
        <v>294700000</v>
      </c>
      <c r="M1959" s="3804">
        <v>24</v>
      </c>
      <c r="N1959" s="3806">
        <v>85880000</v>
      </c>
      <c r="O1959" s="3805">
        <v>12</v>
      </c>
      <c r="P1959" s="3807">
        <v>55390000</v>
      </c>
      <c r="Q1959" s="3804">
        <v>3</v>
      </c>
      <c r="R1959" s="3691">
        <v>125000</v>
      </c>
      <c r="S1959" s="3805">
        <v>3</v>
      </c>
      <c r="T1959" s="3691">
        <v>12190000</v>
      </c>
      <c r="U1959" s="3805">
        <v>3</v>
      </c>
      <c r="V1959" s="3807">
        <v>12750000</v>
      </c>
      <c r="W1959" s="3803"/>
      <c r="X1959" s="3803"/>
      <c r="Y1959" s="3679">
        <f t="shared" ref="Y1959" si="681">Q1959+S1959+U1959+W1959</f>
        <v>9</v>
      </c>
      <c r="Z1959" s="3691">
        <f t="shared" si="673"/>
        <v>25065000</v>
      </c>
      <c r="AA1959" s="3679">
        <f t="shared" si="679"/>
        <v>33</v>
      </c>
      <c r="AB1959" s="3691">
        <f t="shared" si="671"/>
        <v>110945000</v>
      </c>
      <c r="AC1959" s="3684">
        <f t="shared" si="680"/>
        <v>45.833333333333329</v>
      </c>
      <c r="AD1959" s="3684">
        <f t="shared" si="672"/>
        <v>37.646759416355621</v>
      </c>
      <c r="AE1959" s="3690" t="s">
        <v>4566</v>
      </c>
    </row>
    <row r="1960" spans="1:31" s="3837" customFormat="1" ht="99">
      <c r="A1960" s="3657">
        <v>2</v>
      </c>
      <c r="B1960" s="3835"/>
      <c r="C1960" s="3659">
        <v>5</v>
      </c>
      <c r="D1960" s="3659" t="s">
        <v>107</v>
      </c>
      <c r="E1960" s="3659" t="s">
        <v>66</v>
      </c>
      <c r="F1960" s="3659" t="s">
        <v>155</v>
      </c>
      <c r="G1960" s="3659" t="s">
        <v>65</v>
      </c>
      <c r="H1960" s="3657"/>
      <c r="I1960" s="3660" t="s">
        <v>4350</v>
      </c>
      <c r="J1960" s="3660" t="s">
        <v>4313</v>
      </c>
      <c r="K1960" s="3657">
        <v>72</v>
      </c>
      <c r="L1960" s="3662">
        <f>SUM(L1961:L1964)</f>
        <v>328106000</v>
      </c>
      <c r="M1960" s="3657">
        <v>24</v>
      </c>
      <c r="N1960" s="3662">
        <f>SUM(N1961:N1964)</f>
        <v>103949000</v>
      </c>
      <c r="O1960" s="3657">
        <v>12</v>
      </c>
      <c r="P1960" s="3662">
        <f>SUM(P1961:P1964)</f>
        <v>43750000</v>
      </c>
      <c r="Q1960" s="3657">
        <v>3</v>
      </c>
      <c r="R1960" s="3662">
        <f>SUM(R1961:R1964)</f>
        <v>9400000</v>
      </c>
      <c r="S1960" s="3657">
        <v>3</v>
      </c>
      <c r="T1960" s="3662">
        <f>SUM(T1961:T1964)</f>
        <v>5700000</v>
      </c>
      <c r="U1960" s="3661">
        <v>3</v>
      </c>
      <c r="V1960" s="3662">
        <f>SUM(V1961:V1964)</f>
        <v>12553000</v>
      </c>
      <c r="W1960" s="3661"/>
      <c r="X1960" s="3661"/>
      <c r="Y1960" s="3657">
        <f>Q1960+S1960+U1960+W1960</f>
        <v>9</v>
      </c>
      <c r="Z1960" s="3662">
        <f>SUM(Z1961:Z1964)</f>
        <v>27653000</v>
      </c>
      <c r="AA1960" s="3657">
        <f>M1960+Y1960</f>
        <v>33</v>
      </c>
      <c r="AB1960" s="3662">
        <f>SUM(AB1961:AB1964)</f>
        <v>131602000</v>
      </c>
      <c r="AC1960" s="3664">
        <f>(AA1960/K1960)*100</f>
        <v>45.833333333333329</v>
      </c>
      <c r="AD1960" s="3664">
        <f>(AB1960/L1960)*100</f>
        <v>40.109598727240588</v>
      </c>
      <c r="AE1960" s="3660" t="s">
        <v>4566</v>
      </c>
    </row>
    <row r="1961" spans="1:31" s="2117" customFormat="1" ht="64.5" customHeight="1">
      <c r="A1961" s="3803"/>
      <c r="B1961" s="3678"/>
      <c r="C1961" s="36">
        <v>5</v>
      </c>
      <c r="D1961" s="36" t="s">
        <v>107</v>
      </c>
      <c r="E1961" s="36" t="s">
        <v>66</v>
      </c>
      <c r="F1961" s="36" t="s">
        <v>155</v>
      </c>
      <c r="G1961" s="36" t="s">
        <v>65</v>
      </c>
      <c r="H1961" s="36" t="s">
        <v>163</v>
      </c>
      <c r="I1961" s="3690" t="s">
        <v>4549</v>
      </c>
      <c r="J1961" s="3690" t="s">
        <v>4550</v>
      </c>
      <c r="K1961" s="3805">
        <v>6</v>
      </c>
      <c r="L1961" s="3691">
        <v>27000000</v>
      </c>
      <c r="M1961" s="3804">
        <v>2</v>
      </c>
      <c r="N1961" s="3806">
        <v>13125000</v>
      </c>
      <c r="O1961" s="3805">
        <v>1</v>
      </c>
      <c r="P1961" s="3807">
        <v>3500000</v>
      </c>
      <c r="Q1961" s="3804">
        <v>1</v>
      </c>
      <c r="R1961" s="3691">
        <v>0</v>
      </c>
      <c r="S1961" s="3805">
        <v>0</v>
      </c>
      <c r="T1961" s="3691">
        <v>0</v>
      </c>
      <c r="U1961" s="3805">
        <v>0</v>
      </c>
      <c r="V1961" s="3807">
        <v>0</v>
      </c>
      <c r="W1961" s="3803"/>
      <c r="X1961" s="3803"/>
      <c r="Y1961" s="3679">
        <f t="shared" ref="Y1961:Y1962" si="682">Q1961+S1961+U1961+W1961</f>
        <v>1</v>
      </c>
      <c r="Z1961" s="3691">
        <f t="shared" ref="Z1961:Z1963" si="683">R1961+T1961+V1961+X1961</f>
        <v>0</v>
      </c>
      <c r="AA1961" s="3679">
        <f t="shared" ref="AA1961:AA1973" si="684">M1961+Y1961</f>
        <v>3</v>
      </c>
      <c r="AB1961" s="3691">
        <f t="shared" ref="AB1961:AB1964" si="685">N1961+Z1961</f>
        <v>13125000</v>
      </c>
      <c r="AC1961" s="3684">
        <f t="shared" ref="AC1961:AC1973" si="686">(AA1961/K1961)*100</f>
        <v>50</v>
      </c>
      <c r="AD1961" s="3684">
        <f t="shared" ref="AD1961:AD1963" si="687">(AB1961/L1961)*100</f>
        <v>48.611111111111107</v>
      </c>
      <c r="AE1961" s="3690" t="s">
        <v>4566</v>
      </c>
    </row>
    <row r="1962" spans="1:31" s="2117" customFormat="1" ht="64.5" customHeight="1">
      <c r="A1962" s="3803"/>
      <c r="B1962" s="3678"/>
      <c r="C1962" s="36">
        <v>5</v>
      </c>
      <c r="D1962" s="36" t="s">
        <v>107</v>
      </c>
      <c r="E1962" s="36" t="s">
        <v>66</v>
      </c>
      <c r="F1962" s="36" t="s">
        <v>155</v>
      </c>
      <c r="G1962" s="36" t="s">
        <v>65</v>
      </c>
      <c r="H1962" s="36" t="s">
        <v>163</v>
      </c>
      <c r="I1962" s="3690" t="s">
        <v>1301</v>
      </c>
      <c r="J1962" s="3690" t="s">
        <v>4358</v>
      </c>
      <c r="K1962" s="3805">
        <v>6</v>
      </c>
      <c r="L1962" s="3691">
        <v>27000000</v>
      </c>
      <c r="M1962" s="3804">
        <v>2</v>
      </c>
      <c r="N1962" s="3806">
        <v>13125000</v>
      </c>
      <c r="O1962" s="3805">
        <v>1</v>
      </c>
      <c r="P1962" s="3807">
        <v>3000000</v>
      </c>
      <c r="Q1962" s="3804">
        <v>1</v>
      </c>
      <c r="R1962" s="3691">
        <v>500000</v>
      </c>
      <c r="S1962" s="3805">
        <v>0</v>
      </c>
      <c r="T1962" s="3691">
        <v>0</v>
      </c>
      <c r="U1962" s="3805">
        <v>0</v>
      </c>
      <c r="V1962" s="3807">
        <f>1250000</f>
        <v>1250000</v>
      </c>
      <c r="W1962" s="3803"/>
      <c r="X1962" s="3803"/>
      <c r="Y1962" s="3679">
        <f t="shared" si="682"/>
        <v>1</v>
      </c>
      <c r="Z1962" s="3691">
        <f t="shared" si="683"/>
        <v>1750000</v>
      </c>
      <c r="AA1962" s="3679">
        <f t="shared" si="684"/>
        <v>3</v>
      </c>
      <c r="AB1962" s="3691">
        <f t="shared" si="685"/>
        <v>14875000</v>
      </c>
      <c r="AC1962" s="3684">
        <f t="shared" si="686"/>
        <v>50</v>
      </c>
      <c r="AD1962" s="3684">
        <f t="shared" si="687"/>
        <v>55.092592592592595</v>
      </c>
      <c r="AE1962" s="3690" t="s">
        <v>4566</v>
      </c>
    </row>
    <row r="1963" spans="1:31" s="2117" customFormat="1" ht="90">
      <c r="A1963" s="3803"/>
      <c r="B1963" s="3678"/>
      <c r="C1963" s="36">
        <v>5</v>
      </c>
      <c r="D1963" s="36" t="s">
        <v>107</v>
      </c>
      <c r="E1963" s="36" t="s">
        <v>66</v>
      </c>
      <c r="F1963" s="36" t="s">
        <v>155</v>
      </c>
      <c r="G1963" s="36" t="s">
        <v>65</v>
      </c>
      <c r="H1963" s="36" t="s">
        <v>165</v>
      </c>
      <c r="I1963" s="3690" t="s">
        <v>4359</v>
      </c>
      <c r="J1963" s="3690" t="s">
        <v>4360</v>
      </c>
      <c r="K1963" s="3805">
        <v>24</v>
      </c>
      <c r="L1963" s="3691">
        <v>247106000</v>
      </c>
      <c r="M1963" s="3804">
        <v>8</v>
      </c>
      <c r="N1963" s="3806">
        <v>73919000</v>
      </c>
      <c r="O1963" s="3805">
        <v>4</v>
      </c>
      <c r="P1963" s="3807">
        <v>34450000</v>
      </c>
      <c r="Q1963" s="3804">
        <v>1</v>
      </c>
      <c r="R1963" s="3691">
        <v>8500000</v>
      </c>
      <c r="S1963" s="3805">
        <v>1</v>
      </c>
      <c r="T1963" s="3807">
        <f>13800000-R1963</f>
        <v>5300000</v>
      </c>
      <c r="U1963" s="3805">
        <v>1</v>
      </c>
      <c r="V1963" s="3807">
        <f>24503000-T1963-R1963</f>
        <v>10703000</v>
      </c>
      <c r="W1963" s="3803"/>
      <c r="X1963" s="3803"/>
      <c r="Y1963" s="3679">
        <v>1</v>
      </c>
      <c r="Z1963" s="3691">
        <f t="shared" si="683"/>
        <v>24503000</v>
      </c>
      <c r="AA1963" s="3679">
        <f t="shared" si="684"/>
        <v>9</v>
      </c>
      <c r="AB1963" s="3691">
        <f t="shared" si="685"/>
        <v>98422000</v>
      </c>
      <c r="AC1963" s="3684">
        <f t="shared" si="686"/>
        <v>37.5</v>
      </c>
      <c r="AD1963" s="3684">
        <f t="shared" si="687"/>
        <v>39.829870581855559</v>
      </c>
      <c r="AE1963" s="3690" t="s">
        <v>4566</v>
      </c>
    </row>
    <row r="1964" spans="1:31" s="2117" customFormat="1" ht="75">
      <c r="A1964" s="3803"/>
      <c r="B1964" s="3678"/>
      <c r="C1964" s="36">
        <v>5</v>
      </c>
      <c r="D1964" s="36" t="s">
        <v>107</v>
      </c>
      <c r="E1964" s="36" t="s">
        <v>66</v>
      </c>
      <c r="F1964" s="36" t="s">
        <v>155</v>
      </c>
      <c r="G1964" s="36" t="s">
        <v>65</v>
      </c>
      <c r="H1964" s="36" t="s">
        <v>178</v>
      </c>
      <c r="I1964" s="3690" t="s">
        <v>4361</v>
      </c>
      <c r="J1964" s="3690" t="s">
        <v>4362</v>
      </c>
      <c r="K1964" s="3805">
        <v>96</v>
      </c>
      <c r="L1964" s="3691">
        <v>27000000</v>
      </c>
      <c r="M1964" s="3804">
        <v>12</v>
      </c>
      <c r="N1964" s="3806">
        <v>3780000</v>
      </c>
      <c r="O1964" s="3805">
        <v>13</v>
      </c>
      <c r="P1964" s="3807">
        <v>2800000</v>
      </c>
      <c r="Q1964" s="3804">
        <v>3</v>
      </c>
      <c r="R1964" s="3691">
        <v>400000</v>
      </c>
      <c r="S1964" s="3805">
        <v>3</v>
      </c>
      <c r="T1964" s="3807">
        <v>400000</v>
      </c>
      <c r="U1964" s="3805">
        <v>3</v>
      </c>
      <c r="V1964" s="3807">
        <v>600000</v>
      </c>
      <c r="W1964" s="3803"/>
      <c r="X1964" s="3803"/>
      <c r="Y1964" s="3679">
        <f t="shared" ref="Y1964:Y1973" si="688">Q1964+S1964+U1964+W1964</f>
        <v>9</v>
      </c>
      <c r="Z1964" s="3691">
        <f>R1964+T1964+V1964+X1964</f>
        <v>1400000</v>
      </c>
      <c r="AA1964" s="3679">
        <f t="shared" si="684"/>
        <v>21</v>
      </c>
      <c r="AB1964" s="3691">
        <f t="shared" si="685"/>
        <v>5180000</v>
      </c>
      <c r="AC1964" s="3684">
        <f t="shared" si="686"/>
        <v>21.875</v>
      </c>
      <c r="AD1964" s="3684">
        <f>(AB1964/L1964)*100</f>
        <v>19.185185185185187</v>
      </c>
      <c r="AE1964" s="3690" t="s">
        <v>4566</v>
      </c>
    </row>
    <row r="1965" spans="1:31" s="3825" customFormat="1" ht="82.5">
      <c r="A1965" s="3657">
        <v>3</v>
      </c>
      <c r="B1965" s="3835"/>
      <c r="C1965" s="3659">
        <v>5</v>
      </c>
      <c r="D1965" s="3659" t="s">
        <v>107</v>
      </c>
      <c r="E1965" s="3659" t="s">
        <v>66</v>
      </c>
      <c r="F1965" s="3659" t="s">
        <v>155</v>
      </c>
      <c r="G1965" s="3659" t="s">
        <v>448</v>
      </c>
      <c r="H1965" s="3657"/>
      <c r="I1965" s="3660" t="s">
        <v>4364</v>
      </c>
      <c r="J1965" s="3660" t="s">
        <v>4365</v>
      </c>
      <c r="K1965" s="3657">
        <v>100</v>
      </c>
      <c r="L1965" s="3662">
        <f>SUM(L1966:L1966)</f>
        <v>174225000</v>
      </c>
      <c r="M1965" s="3657">
        <v>32</v>
      </c>
      <c r="N1965" s="3662">
        <f>SUM(N1966:N1966)</f>
        <v>41225000</v>
      </c>
      <c r="O1965" s="3657">
        <v>18</v>
      </c>
      <c r="P1965" s="3662">
        <f>SUM(P1966:P1966)</f>
        <v>28075000</v>
      </c>
      <c r="Q1965" s="3657">
        <v>0</v>
      </c>
      <c r="R1965" s="3662">
        <f>SUM(R1966:R1966)</f>
        <v>0</v>
      </c>
      <c r="S1965" s="3657">
        <v>0</v>
      </c>
      <c r="T1965" s="3662">
        <f>SUM(T1966:T1966)</f>
        <v>0</v>
      </c>
      <c r="U1965" s="3664">
        <f>V1965/P1965*100</f>
        <v>44.523597506678541</v>
      </c>
      <c r="V1965" s="3662">
        <f>SUM(V1966:V1966)</f>
        <v>12500000</v>
      </c>
      <c r="W1965" s="3661"/>
      <c r="X1965" s="3661"/>
      <c r="Y1965" s="3836">
        <f t="shared" si="688"/>
        <v>44.523597506678541</v>
      </c>
      <c r="Z1965" s="3662">
        <f>SUM(Z1966:Z1966)</f>
        <v>12500000</v>
      </c>
      <c r="AA1965" s="3836">
        <f t="shared" si="684"/>
        <v>76.523597506678541</v>
      </c>
      <c r="AB1965" s="3662">
        <f>SUM(AB1966:AB1966)</f>
        <v>53725000</v>
      </c>
      <c r="AC1965" s="3664">
        <f t="shared" si="686"/>
        <v>76.523597506678541</v>
      </c>
      <c r="AD1965" s="3664">
        <f t="shared" ref="AD1965" si="689">(AB1965/L1965)*100</f>
        <v>30.836561917061271</v>
      </c>
      <c r="AE1965" s="3660" t="s">
        <v>4566</v>
      </c>
    </row>
    <row r="1966" spans="1:31" s="2117" customFormat="1" ht="45">
      <c r="A1966" s="18"/>
      <c r="B1966" s="15"/>
      <c r="C1966" s="36">
        <v>5</v>
      </c>
      <c r="D1966" s="36" t="s">
        <v>107</v>
      </c>
      <c r="E1966" s="36" t="s">
        <v>66</v>
      </c>
      <c r="F1966" s="36" t="s">
        <v>155</v>
      </c>
      <c r="G1966" s="36" t="s">
        <v>448</v>
      </c>
      <c r="H1966" s="36" t="s">
        <v>197</v>
      </c>
      <c r="I1966" s="15" t="s">
        <v>4366</v>
      </c>
      <c r="J1966" s="15" t="s">
        <v>4367</v>
      </c>
      <c r="K1966" s="3826">
        <v>6</v>
      </c>
      <c r="L1966" s="16">
        <v>174225000</v>
      </c>
      <c r="M1966" s="3826">
        <v>2</v>
      </c>
      <c r="N1966" s="16">
        <v>41225000</v>
      </c>
      <c r="O1966" s="3826">
        <v>1</v>
      </c>
      <c r="P1966" s="16">
        <v>28075000</v>
      </c>
      <c r="Q1966" s="3826">
        <v>0</v>
      </c>
      <c r="R1966" s="16">
        <v>0</v>
      </c>
      <c r="S1966" s="3826">
        <v>0</v>
      </c>
      <c r="T1966" s="16">
        <v>0</v>
      </c>
      <c r="U1966" s="3826">
        <v>1</v>
      </c>
      <c r="V1966" s="3827">
        <v>12500000</v>
      </c>
      <c r="W1966" s="15"/>
      <c r="X1966" s="15"/>
      <c r="Y1966" s="3826">
        <f t="shared" si="688"/>
        <v>1</v>
      </c>
      <c r="Z1966" s="3691">
        <f>R1966+T1966+V1966+X1966</f>
        <v>12500000</v>
      </c>
      <c r="AA1966" s="3826">
        <f t="shared" si="684"/>
        <v>3</v>
      </c>
      <c r="AB1966" s="3691">
        <f t="shared" ref="AB1966" si="690">N1966+Z1966</f>
        <v>53725000</v>
      </c>
      <c r="AC1966" s="19">
        <f t="shared" si="686"/>
        <v>50</v>
      </c>
      <c r="AD1966" s="19">
        <f>(AB1966/L1966)*100</f>
        <v>30.836561917061271</v>
      </c>
      <c r="AE1966" s="15" t="s">
        <v>4566</v>
      </c>
    </row>
    <row r="1967" spans="1:31" s="3825" customFormat="1" ht="99">
      <c r="A1967" s="3657">
        <v>4</v>
      </c>
      <c r="B1967" s="3835"/>
      <c r="C1967" s="3659">
        <v>5</v>
      </c>
      <c r="D1967" s="3659" t="s">
        <v>107</v>
      </c>
      <c r="E1967" s="3659" t="s">
        <v>66</v>
      </c>
      <c r="F1967" s="3659" t="s">
        <v>155</v>
      </c>
      <c r="G1967" s="3659" t="s">
        <v>155</v>
      </c>
      <c r="H1967" s="3659"/>
      <c r="I1967" s="3660" t="s">
        <v>4369</v>
      </c>
      <c r="J1967" s="3660" t="s">
        <v>4370</v>
      </c>
      <c r="K1967" s="3657">
        <v>100</v>
      </c>
      <c r="L1967" s="3662">
        <f>SUM(L1968:L1968)</f>
        <v>75310000</v>
      </c>
      <c r="M1967" s="3657">
        <v>32</v>
      </c>
      <c r="N1967" s="3662">
        <f>SUM(N1968:N1968)</f>
        <v>20605000</v>
      </c>
      <c r="O1967" s="3657">
        <v>18</v>
      </c>
      <c r="P1967" s="3662">
        <f>SUM(P1968:P1968)</f>
        <v>13455000</v>
      </c>
      <c r="Q1967" s="3657">
        <v>0</v>
      </c>
      <c r="R1967" s="3662">
        <f>SUM(R1968:R1968)</f>
        <v>0</v>
      </c>
      <c r="S1967" s="3657">
        <v>15</v>
      </c>
      <c r="T1967" s="3663">
        <f>SUM(T1968)</f>
        <v>13455000</v>
      </c>
      <c r="U1967" s="3661">
        <v>3</v>
      </c>
      <c r="V1967" s="3663">
        <f>SUM(V1968)</f>
        <v>0</v>
      </c>
      <c r="W1967" s="3661"/>
      <c r="X1967" s="3661"/>
      <c r="Y1967" s="3657">
        <f t="shared" si="688"/>
        <v>18</v>
      </c>
      <c r="Z1967" s="3662">
        <f>SUM(Z1968:Z1968)</f>
        <v>13455000</v>
      </c>
      <c r="AA1967" s="3657">
        <f t="shared" si="684"/>
        <v>50</v>
      </c>
      <c r="AB1967" s="3662">
        <f>SUM(AB1968:AB1968)</f>
        <v>34060000</v>
      </c>
      <c r="AC1967" s="3664">
        <f t="shared" si="686"/>
        <v>50</v>
      </c>
      <c r="AD1967" s="3664">
        <f t="shared" ref="AD1967:AD1969" si="691">(AB1967/L1967)*100</f>
        <v>45.22639755676537</v>
      </c>
      <c r="AE1967" s="3660" t="s">
        <v>4566</v>
      </c>
    </row>
    <row r="1968" spans="1:31" s="2117" customFormat="1" ht="75">
      <c r="A1968" s="18"/>
      <c r="B1968" s="15"/>
      <c r="C1968" s="36">
        <v>5</v>
      </c>
      <c r="D1968" s="36" t="s">
        <v>107</v>
      </c>
      <c r="E1968" s="36" t="s">
        <v>66</v>
      </c>
      <c r="F1968" s="36" t="s">
        <v>155</v>
      </c>
      <c r="G1968" s="36" t="s">
        <v>155</v>
      </c>
      <c r="H1968" s="36" t="s">
        <v>202</v>
      </c>
      <c r="I1968" s="15" t="s">
        <v>4371</v>
      </c>
      <c r="J1968" s="15" t="s">
        <v>4565</v>
      </c>
      <c r="K1968" s="3826">
        <v>6</v>
      </c>
      <c r="L1968" s="16">
        <v>75310000</v>
      </c>
      <c r="M1968" s="3826">
        <v>2</v>
      </c>
      <c r="N1968" s="16">
        <v>20605000</v>
      </c>
      <c r="O1968" s="3826">
        <v>1</v>
      </c>
      <c r="P1968" s="16">
        <v>13455000</v>
      </c>
      <c r="Q1968" s="3826">
        <v>0</v>
      </c>
      <c r="R1968" s="16">
        <v>0</v>
      </c>
      <c r="S1968" s="3826">
        <v>1</v>
      </c>
      <c r="T1968" s="3827">
        <v>13455000</v>
      </c>
      <c r="U1968" s="3826">
        <v>1</v>
      </c>
      <c r="V1968" s="3827">
        <v>0</v>
      </c>
      <c r="W1968" s="15"/>
      <c r="X1968" s="15"/>
      <c r="Y1968" s="3679">
        <f t="shared" si="688"/>
        <v>2</v>
      </c>
      <c r="Z1968" s="3691">
        <f>R1968+T1968+V1968+X1968</f>
        <v>13455000</v>
      </c>
      <c r="AA1968" s="3679">
        <f t="shared" si="684"/>
        <v>4</v>
      </c>
      <c r="AB1968" s="3691">
        <f t="shared" ref="AB1968" si="692">N1968+Z1968</f>
        <v>34060000</v>
      </c>
      <c r="AC1968" s="3684">
        <f t="shared" si="686"/>
        <v>66.666666666666657</v>
      </c>
      <c r="AD1968" s="3684">
        <f t="shared" si="691"/>
        <v>45.22639755676537</v>
      </c>
      <c r="AE1968" s="15" t="s">
        <v>4566</v>
      </c>
    </row>
    <row r="1969" spans="1:76" s="3825" customFormat="1" ht="66">
      <c r="A1969" s="3657">
        <v>5</v>
      </c>
      <c r="B1969" s="3835"/>
      <c r="C1969" s="3659">
        <v>5</v>
      </c>
      <c r="D1969" s="3659" t="s">
        <v>107</v>
      </c>
      <c r="E1969" s="3659" t="s">
        <v>66</v>
      </c>
      <c r="F1969" s="3659" t="s">
        <v>155</v>
      </c>
      <c r="G1969" s="3659" t="s">
        <v>448</v>
      </c>
      <c r="H1969" s="3659"/>
      <c r="I1969" s="3660" t="s">
        <v>4555</v>
      </c>
      <c r="J1969" s="3660" t="s">
        <v>4556</v>
      </c>
      <c r="K1969" s="3657">
        <v>80</v>
      </c>
      <c r="L1969" s="3662">
        <f>SUM(L1970:L1970)</f>
        <v>100000000</v>
      </c>
      <c r="M1969" s="3657">
        <v>60</v>
      </c>
      <c r="N1969" s="3662">
        <f>SUM(N1970:N1970)</f>
        <v>0</v>
      </c>
      <c r="O1969" s="3657">
        <v>15</v>
      </c>
      <c r="P1969" s="3662">
        <f>SUM(P1970:P1970)</f>
        <v>7286500</v>
      </c>
      <c r="Q1969" s="3657">
        <v>0</v>
      </c>
      <c r="R1969" s="3662">
        <f>SUM(R1970:R1970)</f>
        <v>150000</v>
      </c>
      <c r="S1969" s="3657">
        <v>10</v>
      </c>
      <c r="T1969" s="3662">
        <f>SUM(T1970)</f>
        <v>485000</v>
      </c>
      <c r="U1969" s="3661">
        <v>10</v>
      </c>
      <c r="V1969" s="3662">
        <f>SUM(V1970)</f>
        <v>0</v>
      </c>
      <c r="W1969" s="3661"/>
      <c r="X1969" s="3661"/>
      <c r="Y1969" s="3657">
        <f t="shared" si="688"/>
        <v>20</v>
      </c>
      <c r="Z1969" s="3662">
        <f>SUM(Z1970:Z1970)</f>
        <v>635000</v>
      </c>
      <c r="AA1969" s="3657">
        <f t="shared" si="684"/>
        <v>80</v>
      </c>
      <c r="AB1969" s="3662">
        <f>SUM(AB1970:AB1970)</f>
        <v>635000</v>
      </c>
      <c r="AC1969" s="3664">
        <f t="shared" si="686"/>
        <v>100</v>
      </c>
      <c r="AD1969" s="3664">
        <f t="shared" si="691"/>
        <v>0.63500000000000001</v>
      </c>
      <c r="AE1969" s="3660" t="s">
        <v>4566</v>
      </c>
    </row>
    <row r="1970" spans="1:76" s="63" customFormat="1" ht="25.5">
      <c r="A1970" s="3852"/>
      <c r="B1970" s="3854"/>
      <c r="C1970" s="3853"/>
      <c r="D1970" s="3853"/>
      <c r="E1970" s="3853"/>
      <c r="F1970" s="3853"/>
      <c r="G1970" s="3853"/>
      <c r="H1970" s="3853"/>
      <c r="I1970" s="3854" t="s">
        <v>4557</v>
      </c>
      <c r="J1970" s="3854" t="s">
        <v>4558</v>
      </c>
      <c r="K1970" s="3852">
        <v>5</v>
      </c>
      <c r="L1970" s="3863">
        <v>100000000</v>
      </c>
      <c r="M1970" s="3852">
        <v>0</v>
      </c>
      <c r="N1970" s="3863">
        <v>0</v>
      </c>
      <c r="O1970" s="3852">
        <v>1</v>
      </c>
      <c r="P1970" s="3863">
        <v>7286500</v>
      </c>
      <c r="Q1970" s="3852">
        <v>0</v>
      </c>
      <c r="R1970" s="3855">
        <v>150000</v>
      </c>
      <c r="S1970" s="3852">
        <v>1</v>
      </c>
      <c r="T1970" s="3863">
        <v>485000</v>
      </c>
      <c r="U1970" s="3852">
        <v>0</v>
      </c>
      <c r="V1970" s="3864">
        <v>0</v>
      </c>
      <c r="W1970" s="3852"/>
      <c r="X1970" s="3852"/>
      <c r="Y1970" s="3852">
        <f t="shared" si="688"/>
        <v>1</v>
      </c>
      <c r="Z1970" s="60">
        <f>R1970+T1970+V1970+X1970</f>
        <v>635000</v>
      </c>
      <c r="AA1970" s="3852">
        <f t="shared" si="684"/>
        <v>1</v>
      </c>
      <c r="AB1970" s="60">
        <f t="shared" ref="AB1970" si="693">N1970+Z1970</f>
        <v>635000</v>
      </c>
      <c r="AC1970" s="389">
        <f t="shared" si="686"/>
        <v>20</v>
      </c>
      <c r="AD1970" s="3852"/>
      <c r="AE1970" s="3851" t="s">
        <v>4566</v>
      </c>
    </row>
    <row r="1971" spans="1:76" s="3829" customFormat="1" ht="111.75" customHeight="1">
      <c r="A1971" s="3657">
        <v>6</v>
      </c>
      <c r="B1971" s="3835"/>
      <c r="C1971" s="3659">
        <v>5</v>
      </c>
      <c r="D1971" s="3659" t="s">
        <v>107</v>
      </c>
      <c r="E1971" s="3659" t="s">
        <v>66</v>
      </c>
      <c r="F1971" s="3659" t="s">
        <v>155</v>
      </c>
      <c r="G1971" s="3659" t="s">
        <v>357</v>
      </c>
      <c r="H1971" s="3657"/>
      <c r="I1971" s="3660" t="s">
        <v>4378</v>
      </c>
      <c r="J1971" s="3660" t="s">
        <v>4379</v>
      </c>
      <c r="K1971" s="3657">
        <v>100</v>
      </c>
      <c r="L1971" s="3662">
        <f>SUM(L1972:L1973)</f>
        <v>174353840</v>
      </c>
      <c r="M1971" s="3657">
        <v>32</v>
      </c>
      <c r="N1971" s="3662">
        <f>SUM(N1972:N1973)</f>
        <v>49300000</v>
      </c>
      <c r="O1971" s="3657">
        <v>18</v>
      </c>
      <c r="P1971" s="3662">
        <f>SUM(P1972:P1973)</f>
        <v>17280000</v>
      </c>
      <c r="Q1971" s="3657">
        <v>0</v>
      </c>
      <c r="R1971" s="3662">
        <f>SUM(R1972:R1973)</f>
        <v>550000</v>
      </c>
      <c r="S1971" s="3657">
        <v>2</v>
      </c>
      <c r="T1971" s="3663">
        <f>SUM(T1972:T1973)</f>
        <v>6730000</v>
      </c>
      <c r="U1971" s="3664">
        <f>V1971/P1971*100</f>
        <v>26.302083333333332</v>
      </c>
      <c r="V1971" s="3663">
        <f>SUM(V1972:V1973)</f>
        <v>4545000</v>
      </c>
      <c r="W1971" s="3661"/>
      <c r="X1971" s="3661"/>
      <c r="Y1971" s="3836">
        <f t="shared" si="688"/>
        <v>28.302083333333332</v>
      </c>
      <c r="Z1971" s="3662">
        <f>SUM(Z1972:Z1973)</f>
        <v>11825000</v>
      </c>
      <c r="AA1971" s="3836">
        <f t="shared" si="684"/>
        <v>60.302083333333329</v>
      </c>
      <c r="AB1971" s="3662">
        <f>SUM(AB1972:AB1972)</f>
        <v>54395000</v>
      </c>
      <c r="AC1971" s="3664">
        <f t="shared" si="686"/>
        <v>60.302083333333336</v>
      </c>
      <c r="AD1971" s="3664">
        <f t="shared" ref="AD1971" si="694">(AB1971/L1971)*100</f>
        <v>31.198051043785441</v>
      </c>
      <c r="AE1971" s="3660" t="s">
        <v>4566</v>
      </c>
    </row>
    <row r="1972" spans="1:76" s="6" customFormat="1" ht="75">
      <c r="A1972" s="18"/>
      <c r="B1972" s="15"/>
      <c r="C1972" s="36">
        <v>5</v>
      </c>
      <c r="D1972" s="36" t="s">
        <v>107</v>
      </c>
      <c r="E1972" s="36" t="s">
        <v>66</v>
      </c>
      <c r="F1972" s="36" t="s">
        <v>155</v>
      </c>
      <c r="G1972" s="36" t="s">
        <v>357</v>
      </c>
      <c r="H1972" s="35" t="s">
        <v>65</v>
      </c>
      <c r="I1972" s="15" t="s">
        <v>4380</v>
      </c>
      <c r="J1972" s="15" t="s">
        <v>4564</v>
      </c>
      <c r="K1972" s="3826">
        <v>60</v>
      </c>
      <c r="L1972" s="16">
        <v>129353840</v>
      </c>
      <c r="M1972" s="3826">
        <v>20</v>
      </c>
      <c r="N1972" s="16">
        <v>49300000</v>
      </c>
      <c r="O1972" s="3826">
        <v>10</v>
      </c>
      <c r="P1972" s="16">
        <v>10530000</v>
      </c>
      <c r="Q1972" s="3826">
        <v>2</v>
      </c>
      <c r="R1972" s="16">
        <v>550000</v>
      </c>
      <c r="S1972" s="3826">
        <f>4-Q1972</f>
        <v>2</v>
      </c>
      <c r="T1972" s="3827">
        <v>0</v>
      </c>
      <c r="U1972" s="3826">
        <v>2</v>
      </c>
      <c r="V1972" s="3827">
        <v>4545000</v>
      </c>
      <c r="W1972" s="15"/>
      <c r="X1972" s="15"/>
      <c r="Y1972" s="3826">
        <f t="shared" si="688"/>
        <v>6</v>
      </c>
      <c r="Z1972" s="3691">
        <f>R1972+T1972+V1972+X1972</f>
        <v>5095000</v>
      </c>
      <c r="AA1972" s="3826">
        <f t="shared" si="684"/>
        <v>26</v>
      </c>
      <c r="AB1972" s="3691">
        <f t="shared" ref="AB1972:AB1973" si="695">N1972+Z1972</f>
        <v>54395000</v>
      </c>
      <c r="AC1972" s="19">
        <f t="shared" si="686"/>
        <v>43.333333333333336</v>
      </c>
      <c r="AD1972" s="19">
        <f>(AB1972/L1972)*100</f>
        <v>42.051322171804102</v>
      </c>
      <c r="AE1972" s="15" t="s">
        <v>4566</v>
      </c>
    </row>
    <row r="1973" spans="1:76" s="6" customFormat="1" ht="30">
      <c r="A1973" s="18"/>
      <c r="B1973" s="15"/>
      <c r="C1973" s="36">
        <v>5</v>
      </c>
      <c r="D1973" s="36" t="s">
        <v>107</v>
      </c>
      <c r="E1973" s="36" t="s">
        <v>66</v>
      </c>
      <c r="F1973" s="36" t="s">
        <v>155</v>
      </c>
      <c r="G1973" s="36" t="s">
        <v>357</v>
      </c>
      <c r="H1973" s="35" t="s">
        <v>196</v>
      </c>
      <c r="I1973" s="15" t="s">
        <v>4551</v>
      </c>
      <c r="J1973" s="15" t="s">
        <v>4552</v>
      </c>
      <c r="K1973" s="3826">
        <v>60</v>
      </c>
      <c r="L1973" s="16">
        <v>45000000</v>
      </c>
      <c r="M1973" s="3826"/>
      <c r="N1973" s="16"/>
      <c r="O1973" s="3826">
        <v>10</v>
      </c>
      <c r="P1973" s="16">
        <v>6750000</v>
      </c>
      <c r="Q1973" s="3826">
        <v>2</v>
      </c>
      <c r="R1973" s="16">
        <v>0</v>
      </c>
      <c r="S1973" s="3826">
        <f>4-Q1973</f>
        <v>2</v>
      </c>
      <c r="T1973" s="3827">
        <v>6730000</v>
      </c>
      <c r="U1973" s="3826">
        <v>2</v>
      </c>
      <c r="V1973" s="3827">
        <v>0</v>
      </c>
      <c r="W1973" s="15"/>
      <c r="X1973" s="15"/>
      <c r="Y1973" s="3826">
        <f t="shared" si="688"/>
        <v>6</v>
      </c>
      <c r="Z1973" s="3691">
        <f>R1973+T1973+V1973+X1973</f>
        <v>6730000</v>
      </c>
      <c r="AA1973" s="3826">
        <f t="shared" si="684"/>
        <v>6</v>
      </c>
      <c r="AB1973" s="3691">
        <f t="shared" si="695"/>
        <v>6730000</v>
      </c>
      <c r="AC1973" s="19">
        <f t="shared" si="686"/>
        <v>10</v>
      </c>
      <c r="AD1973" s="19">
        <f>(AB1973/L1973)*100</f>
        <v>14.955555555555556</v>
      </c>
      <c r="AE1973" s="15" t="s">
        <v>4566</v>
      </c>
    </row>
    <row r="1974" spans="1:76" s="3802" customFormat="1" ht="99">
      <c r="A1974" s="3657">
        <v>8</v>
      </c>
      <c r="B1974" s="3835"/>
      <c r="C1974" s="3659">
        <v>5</v>
      </c>
      <c r="D1974" s="3659" t="s">
        <v>107</v>
      </c>
      <c r="E1974" s="3659" t="s">
        <v>66</v>
      </c>
      <c r="F1974" s="3659" t="s">
        <v>155</v>
      </c>
      <c r="G1974" s="3659" t="s">
        <v>1099</v>
      </c>
      <c r="H1974" s="3657"/>
      <c r="I1974" s="3660" t="s">
        <v>4387</v>
      </c>
      <c r="J1974" s="3660" t="s">
        <v>4388</v>
      </c>
      <c r="K1974" s="3657">
        <v>100</v>
      </c>
      <c r="L1974" s="3662">
        <f>SUM(L1975:L1980)</f>
        <v>707523000</v>
      </c>
      <c r="M1974" s="3657">
        <v>32</v>
      </c>
      <c r="N1974" s="3662">
        <f>SUM(N1975:N1980)</f>
        <v>176442400</v>
      </c>
      <c r="O1974" s="3657">
        <v>20</v>
      </c>
      <c r="P1974" s="3662">
        <f>SUM(P1975:P1980)</f>
        <v>113745000</v>
      </c>
      <c r="Q1974" s="3657">
        <v>0</v>
      </c>
      <c r="R1974" s="3662">
        <f>SUM(R1975:R1980)</f>
        <v>13190000</v>
      </c>
      <c r="S1974" s="3657">
        <v>5</v>
      </c>
      <c r="T1974" s="3662">
        <f>SUM(T1975:T1980)</f>
        <v>44470000</v>
      </c>
      <c r="U1974" s="3664">
        <f>V1974/P1974*100</f>
        <v>4.8243878851817659</v>
      </c>
      <c r="V1974" s="3662">
        <f>SUM(V1975:V1980)</f>
        <v>5487500</v>
      </c>
      <c r="W1974" s="3661"/>
      <c r="X1974" s="3661"/>
      <c r="Y1974" s="3836">
        <f>Q1974+S1974+U1974+W1974</f>
        <v>9.8243878851817659</v>
      </c>
      <c r="Z1974" s="3662">
        <f>SUM(Z1975:Z1980)</f>
        <v>63147500</v>
      </c>
      <c r="AA1974" s="3836">
        <f>M1974+Y1974</f>
        <v>41.824387885181764</v>
      </c>
      <c r="AB1974" s="3662">
        <f>SUM(AB1975:AB1980)</f>
        <v>239589900</v>
      </c>
      <c r="AC1974" s="3664">
        <f>(AA1974/K1974)*100</f>
        <v>41.824387885181764</v>
      </c>
      <c r="AD1974" s="3664">
        <f t="shared" ref="AD1974:AD1980" si="696">(AB1974/L1974)*100</f>
        <v>33.863195966774221</v>
      </c>
      <c r="AE1974" s="3660" t="s">
        <v>4566</v>
      </c>
    </row>
    <row r="1975" spans="1:76" s="6" customFormat="1" ht="63" customHeight="1">
      <c r="A1975" s="3803"/>
      <c r="B1975" s="3678"/>
      <c r="C1975" s="36">
        <v>5</v>
      </c>
      <c r="D1975" s="36" t="s">
        <v>107</v>
      </c>
      <c r="E1975" s="36" t="s">
        <v>66</v>
      </c>
      <c r="F1975" s="36" t="s">
        <v>155</v>
      </c>
      <c r="G1975" s="36" t="s">
        <v>1099</v>
      </c>
      <c r="H1975" s="3804" t="s">
        <v>66</v>
      </c>
      <c r="I1975" s="3690" t="s">
        <v>4285</v>
      </c>
      <c r="J1975" s="3690" t="s">
        <v>4567</v>
      </c>
      <c r="K1975" s="3805">
        <v>60</v>
      </c>
      <c r="L1975" s="3691">
        <v>188580500</v>
      </c>
      <c r="M1975" s="3804">
        <v>20</v>
      </c>
      <c r="N1975" s="3806">
        <v>58377900</v>
      </c>
      <c r="O1975" s="3805">
        <v>10</v>
      </c>
      <c r="P1975" s="3807">
        <v>37620000</v>
      </c>
      <c r="Q1975" s="3804">
        <v>1</v>
      </c>
      <c r="R1975" s="3691">
        <v>990000</v>
      </c>
      <c r="S1975" s="3805">
        <v>2</v>
      </c>
      <c r="T1975" s="3807">
        <f>14585000-R1975</f>
        <v>13595000</v>
      </c>
      <c r="U1975" s="3805">
        <v>2</v>
      </c>
      <c r="V1975" s="3807">
        <f>20072500-T1975-R1975</f>
        <v>5487500</v>
      </c>
      <c r="W1975" s="3803"/>
      <c r="X1975" s="3803"/>
      <c r="Y1975" s="3679">
        <f>Q1975+S1975+U1975+W1975</f>
        <v>5</v>
      </c>
      <c r="Z1975" s="3691">
        <f t="shared" ref="Z1975:Z1980" si="697">R1975+T1975+V1975+X1975</f>
        <v>20072500</v>
      </c>
      <c r="AA1975" s="3679">
        <f t="shared" ref="AA1975:AA1979" si="698">M1975+Y1975</f>
        <v>25</v>
      </c>
      <c r="AB1975" s="3691">
        <f t="shared" ref="AB1975:AB1980" si="699">N1975+Z1975</f>
        <v>78450400</v>
      </c>
      <c r="AC1975" s="3684">
        <f t="shared" ref="AC1975:AC1980" si="700">(AA1975/K1975)*100</f>
        <v>41.666666666666671</v>
      </c>
      <c r="AD1975" s="3684">
        <f t="shared" si="696"/>
        <v>41.600483613098916</v>
      </c>
      <c r="AE1975" s="3690" t="s">
        <v>4566</v>
      </c>
    </row>
    <row r="1976" spans="1:76" s="6" customFormat="1" ht="75">
      <c r="A1976" s="3803"/>
      <c r="B1976" s="3678"/>
      <c r="C1976" s="36">
        <v>5</v>
      </c>
      <c r="D1976" s="36" t="s">
        <v>107</v>
      </c>
      <c r="E1976" s="36" t="s">
        <v>66</v>
      </c>
      <c r="F1976" s="36" t="s">
        <v>155</v>
      </c>
      <c r="G1976" s="36" t="s">
        <v>1099</v>
      </c>
      <c r="H1976" s="3804" t="s">
        <v>65</v>
      </c>
      <c r="I1976" s="3690" t="s">
        <v>4390</v>
      </c>
      <c r="J1976" s="3690" t="s">
        <v>4391</v>
      </c>
      <c r="K1976" s="3805">
        <v>6</v>
      </c>
      <c r="L1976" s="3831">
        <v>137849500</v>
      </c>
      <c r="M1976" s="3804">
        <v>2</v>
      </c>
      <c r="N1976" s="3806">
        <v>36148000</v>
      </c>
      <c r="O1976" s="3805">
        <v>1</v>
      </c>
      <c r="P1976" s="3807">
        <v>16875000</v>
      </c>
      <c r="Q1976" s="3823">
        <v>0</v>
      </c>
      <c r="R1976" s="3691">
        <v>0</v>
      </c>
      <c r="S1976" s="3824">
        <v>0</v>
      </c>
      <c r="T1976" s="3691">
        <v>0</v>
      </c>
      <c r="U1976" s="3805">
        <v>0</v>
      </c>
      <c r="V1976" s="3803">
        <v>0</v>
      </c>
      <c r="W1976" s="3803"/>
      <c r="X1976" s="3803"/>
      <c r="Y1976" s="3679">
        <f t="shared" ref="Y1976:Y1978" si="701">Q1976+S1976+U1976+W1976</f>
        <v>0</v>
      </c>
      <c r="Z1976" s="3691">
        <f t="shared" si="697"/>
        <v>0</v>
      </c>
      <c r="AA1976" s="3679">
        <f t="shared" si="698"/>
        <v>2</v>
      </c>
      <c r="AB1976" s="3691">
        <f t="shared" si="699"/>
        <v>36148000</v>
      </c>
      <c r="AC1976" s="3684">
        <f t="shared" si="700"/>
        <v>33.333333333333329</v>
      </c>
      <c r="AD1976" s="3684">
        <f t="shared" si="696"/>
        <v>26.222800953213472</v>
      </c>
      <c r="AE1976" s="3690" t="s">
        <v>4566</v>
      </c>
    </row>
    <row r="1977" spans="1:76" s="6" customFormat="1" ht="105">
      <c r="A1977" s="3803"/>
      <c r="B1977" s="3678"/>
      <c r="C1977" s="36">
        <v>5</v>
      </c>
      <c r="D1977" s="36" t="s">
        <v>107</v>
      </c>
      <c r="E1977" s="36" t="s">
        <v>66</v>
      </c>
      <c r="F1977" s="36" t="s">
        <v>155</v>
      </c>
      <c r="G1977" s="36" t="s">
        <v>1099</v>
      </c>
      <c r="H1977" s="3804" t="s">
        <v>196</v>
      </c>
      <c r="I1977" s="3690" t="s">
        <v>4392</v>
      </c>
      <c r="J1977" s="3690" t="s">
        <v>4393</v>
      </c>
      <c r="K1977" s="3805">
        <v>6</v>
      </c>
      <c r="L1977" s="3691">
        <v>171393000</v>
      </c>
      <c r="M1977" s="3804">
        <v>2</v>
      </c>
      <c r="N1977" s="3806">
        <v>48716500</v>
      </c>
      <c r="O1977" s="3805">
        <v>1</v>
      </c>
      <c r="P1977" s="3807">
        <v>24100000</v>
      </c>
      <c r="Q1977" s="3804">
        <v>1</v>
      </c>
      <c r="R1977" s="3691">
        <v>12200000</v>
      </c>
      <c r="S1977" s="3824">
        <v>0</v>
      </c>
      <c r="T1977" s="3807">
        <f>24100000-R1977</f>
        <v>11900000</v>
      </c>
      <c r="U1977" s="3805">
        <v>0</v>
      </c>
      <c r="V1977" s="3807">
        <v>0</v>
      </c>
      <c r="W1977" s="3803"/>
      <c r="X1977" s="3803"/>
      <c r="Y1977" s="3679">
        <f t="shared" si="701"/>
        <v>1</v>
      </c>
      <c r="Z1977" s="3691">
        <f t="shared" si="697"/>
        <v>24100000</v>
      </c>
      <c r="AA1977" s="3679">
        <f t="shared" si="698"/>
        <v>3</v>
      </c>
      <c r="AB1977" s="3691">
        <f t="shared" si="699"/>
        <v>72816500</v>
      </c>
      <c r="AC1977" s="3684">
        <f t="shared" si="700"/>
        <v>50</v>
      </c>
      <c r="AD1977" s="3684">
        <f t="shared" si="696"/>
        <v>42.485107326436903</v>
      </c>
      <c r="AE1977" s="3690" t="s">
        <v>4566</v>
      </c>
    </row>
    <row r="1978" spans="1:76" s="6" customFormat="1" ht="90">
      <c r="A1978" s="3803"/>
      <c r="B1978" s="3678"/>
      <c r="C1978" s="36">
        <v>5</v>
      </c>
      <c r="D1978" s="36" t="s">
        <v>107</v>
      </c>
      <c r="E1978" s="36" t="s">
        <v>66</v>
      </c>
      <c r="F1978" s="36" t="s">
        <v>155</v>
      </c>
      <c r="G1978" s="36" t="s">
        <v>1099</v>
      </c>
      <c r="H1978" s="3804" t="s">
        <v>161</v>
      </c>
      <c r="I1978" s="3690" t="s">
        <v>4394</v>
      </c>
      <c r="J1978" s="3690" t="s">
        <v>4395</v>
      </c>
      <c r="K1978" s="3805">
        <v>72</v>
      </c>
      <c r="L1978" s="3691">
        <v>36000000</v>
      </c>
      <c r="M1978" s="3804">
        <v>24</v>
      </c>
      <c r="N1978" s="3806">
        <v>12000000</v>
      </c>
      <c r="O1978" s="3805">
        <v>12</v>
      </c>
      <c r="P1978" s="3807">
        <v>7090000</v>
      </c>
      <c r="Q1978" s="3804">
        <v>3</v>
      </c>
      <c r="R1978" s="3691">
        <v>0</v>
      </c>
      <c r="S1978" s="3824">
        <v>0</v>
      </c>
      <c r="T1978" s="3691">
        <v>0</v>
      </c>
      <c r="U1978" s="3805">
        <v>4</v>
      </c>
      <c r="V1978" s="3807">
        <v>0</v>
      </c>
      <c r="W1978" s="3803"/>
      <c r="X1978" s="3803"/>
      <c r="Y1978" s="3679">
        <f t="shared" si="701"/>
        <v>7</v>
      </c>
      <c r="Z1978" s="3691">
        <f t="shared" si="697"/>
        <v>0</v>
      </c>
      <c r="AA1978" s="3679">
        <f t="shared" si="698"/>
        <v>31</v>
      </c>
      <c r="AB1978" s="3691">
        <f t="shared" si="699"/>
        <v>12000000</v>
      </c>
      <c r="AC1978" s="3684">
        <f t="shared" si="700"/>
        <v>43.055555555555557</v>
      </c>
      <c r="AD1978" s="3684">
        <f t="shared" si="696"/>
        <v>33.333333333333329</v>
      </c>
      <c r="AE1978" s="3690" t="s">
        <v>4566</v>
      </c>
    </row>
    <row r="1979" spans="1:76" s="6" customFormat="1" ht="75">
      <c r="A1979" s="3803"/>
      <c r="B1979" s="3678"/>
      <c r="C1979" s="36">
        <v>5</v>
      </c>
      <c r="D1979" s="36" t="s">
        <v>107</v>
      </c>
      <c r="E1979" s="36" t="s">
        <v>66</v>
      </c>
      <c r="F1979" s="36" t="s">
        <v>155</v>
      </c>
      <c r="G1979" s="36" t="s">
        <v>1099</v>
      </c>
      <c r="H1979" s="3804" t="s">
        <v>197</v>
      </c>
      <c r="I1979" s="3690" t="s">
        <v>4293</v>
      </c>
      <c r="J1979" s="3690" t="s">
        <v>4396</v>
      </c>
      <c r="K1979" s="3805">
        <v>150</v>
      </c>
      <c r="L1979" s="3691">
        <v>76200000</v>
      </c>
      <c r="M1979" s="3804">
        <v>50</v>
      </c>
      <c r="N1979" s="3806">
        <v>21200000</v>
      </c>
      <c r="O1979" s="3805">
        <v>6</v>
      </c>
      <c r="P1979" s="3807">
        <v>8210000</v>
      </c>
      <c r="Q1979" s="3804">
        <v>0</v>
      </c>
      <c r="R1979" s="3691">
        <v>0</v>
      </c>
      <c r="S1979" s="3824">
        <v>0</v>
      </c>
      <c r="T1979" s="3691">
        <v>0</v>
      </c>
      <c r="U1979" s="3805">
        <v>2</v>
      </c>
      <c r="V1979" s="3807">
        <v>0</v>
      </c>
      <c r="W1979" s="3803"/>
      <c r="X1979" s="3803"/>
      <c r="Y1979" s="3679">
        <f>Q1979+S1979+U1979+W1979</f>
        <v>2</v>
      </c>
      <c r="Z1979" s="3691">
        <f t="shared" si="697"/>
        <v>0</v>
      </c>
      <c r="AA1979" s="3679">
        <f t="shared" si="698"/>
        <v>52</v>
      </c>
      <c r="AB1979" s="3691">
        <f t="shared" si="699"/>
        <v>21200000</v>
      </c>
      <c r="AC1979" s="3684">
        <f t="shared" si="700"/>
        <v>34.666666666666671</v>
      </c>
      <c r="AD1979" s="3684">
        <f t="shared" si="696"/>
        <v>27.821522309711288</v>
      </c>
      <c r="AE1979" s="3690" t="s">
        <v>4566</v>
      </c>
    </row>
    <row r="1980" spans="1:76" s="6" customFormat="1" ht="107.25" customHeight="1">
      <c r="A1980" s="3803"/>
      <c r="B1980" s="3678"/>
      <c r="C1980" s="36">
        <v>5</v>
      </c>
      <c r="D1980" s="36" t="s">
        <v>107</v>
      </c>
      <c r="E1980" s="36" t="s">
        <v>66</v>
      </c>
      <c r="F1980" s="36" t="s">
        <v>155</v>
      </c>
      <c r="G1980" s="36" t="s">
        <v>1099</v>
      </c>
      <c r="H1980" s="3804"/>
      <c r="I1980" s="15" t="s">
        <v>4553</v>
      </c>
      <c r="J1980" s="3690" t="s">
        <v>4554</v>
      </c>
      <c r="K1980" s="3805">
        <v>4</v>
      </c>
      <c r="L1980" s="3691">
        <v>97500000</v>
      </c>
      <c r="M1980" s="3804">
        <v>0</v>
      </c>
      <c r="N1980" s="3832">
        <v>0</v>
      </c>
      <c r="O1980" s="3805">
        <v>1</v>
      </c>
      <c r="P1980" s="3807">
        <v>19850000</v>
      </c>
      <c r="Q1980" s="3804">
        <v>0</v>
      </c>
      <c r="R1980" s="3691">
        <v>0</v>
      </c>
      <c r="S1980" s="3805">
        <v>1</v>
      </c>
      <c r="T1980" s="3691">
        <v>18975000</v>
      </c>
      <c r="U1980" s="3805">
        <v>0</v>
      </c>
      <c r="V1980" s="3807">
        <v>0</v>
      </c>
      <c r="W1980" s="3803"/>
      <c r="X1980" s="3803"/>
      <c r="Y1980" s="3679">
        <f t="shared" ref="Y1980" si="702">Q1980+S1980+U1980+W1980</f>
        <v>1</v>
      </c>
      <c r="Z1980" s="3691">
        <f t="shared" si="697"/>
        <v>18975000</v>
      </c>
      <c r="AA1980" s="3679">
        <f>M1980+Y1980</f>
        <v>1</v>
      </c>
      <c r="AB1980" s="3691">
        <f t="shared" si="699"/>
        <v>18975000</v>
      </c>
      <c r="AC1980" s="3684">
        <f t="shared" si="700"/>
        <v>25</v>
      </c>
      <c r="AD1980" s="3684">
        <f t="shared" si="696"/>
        <v>19.46153846153846</v>
      </c>
      <c r="AE1980" s="3690" t="s">
        <v>4566</v>
      </c>
    </row>
    <row r="1981" spans="1:76" customFormat="1" ht="17.25" customHeight="1">
      <c r="A1981" s="4264" t="s">
        <v>89</v>
      </c>
      <c r="B1981" s="4264"/>
      <c r="C1981" s="4265"/>
      <c r="D1981" s="4265"/>
      <c r="E1981" s="4265"/>
      <c r="F1981" s="4265"/>
      <c r="G1981" s="4265"/>
      <c r="H1981" s="4265"/>
      <c r="I1981" s="4265"/>
      <c r="J1981" s="4265"/>
      <c r="K1981" s="4265"/>
      <c r="L1981" s="4265"/>
      <c r="M1981" s="4265"/>
      <c r="N1981" s="4265"/>
      <c r="O1981" s="4265"/>
      <c r="P1981" s="4265"/>
      <c r="Q1981" s="4265"/>
      <c r="R1981" s="4265"/>
      <c r="S1981" s="4265"/>
      <c r="T1981" s="4265"/>
      <c r="U1981" s="4265"/>
      <c r="V1981" s="4265"/>
      <c r="W1981" s="4265"/>
      <c r="X1981" s="4265"/>
      <c r="Y1981" s="4265"/>
      <c r="Z1981" s="4265"/>
      <c r="AA1981" s="4265"/>
      <c r="AB1981" s="4265"/>
      <c r="AC1981" s="3784">
        <f>(AC1949+AC1960+AC1965+AC1967+AC1969+AC1971+AC1974)/7</f>
        <v>60.0452479131229</v>
      </c>
      <c r="AD1981" s="3784">
        <f>(AD1949+AD1960+AD1965+AD1967+AD1969+AD1971+AD1974)/7</f>
        <v>31.539018000017187</v>
      </c>
      <c r="AE1981" s="2116"/>
    </row>
    <row r="1982" spans="1:76" customFormat="1" ht="20.25" customHeight="1">
      <c r="A1982" s="4264" t="s">
        <v>90</v>
      </c>
      <c r="B1982" s="4264"/>
      <c r="C1982" s="4265"/>
      <c r="D1982" s="4265"/>
      <c r="E1982" s="4265"/>
      <c r="F1982" s="4265"/>
      <c r="G1982" s="4265"/>
      <c r="H1982" s="4265"/>
      <c r="I1982" s="4265"/>
      <c r="J1982" s="4265"/>
      <c r="K1982" s="4265"/>
      <c r="L1982" s="4265"/>
      <c r="M1982" s="4265"/>
      <c r="N1982" s="4265"/>
      <c r="O1982" s="4265"/>
      <c r="P1982" s="4265"/>
      <c r="Q1982" s="4265"/>
      <c r="R1982" s="4265"/>
      <c r="S1982" s="4265"/>
      <c r="T1982" s="4265"/>
      <c r="U1982" s="4265"/>
      <c r="V1982" s="4265"/>
      <c r="W1982" s="4265"/>
      <c r="X1982" s="4265"/>
      <c r="Y1982" s="4265"/>
      <c r="Z1982" s="4265"/>
      <c r="AA1982" s="4265"/>
      <c r="AB1982" s="4265"/>
      <c r="AC1982" s="3689" t="str">
        <f>IF(AC1981&gt;=91,"ST",IF(AC1981&gt;=76,"T",IF(AC1981&gt;=66,"S",IF(AC1981&gt;=51,"R","SR"))))</f>
        <v>R</v>
      </c>
      <c r="AD1982" s="3689" t="str">
        <f>IF(AD1981&gt;=91,"ST",IF(AD1981&gt;=76,"T",IF(AD1981&gt;=66,"S",IF(AD1981&gt;=51,"R","SR"))))</f>
        <v>SR</v>
      </c>
      <c r="AE1982" s="2116"/>
    </row>
    <row r="1983" spans="1:76" s="55" customFormat="1" ht="25.5" customHeight="1">
      <c r="A1983" s="2546" t="s">
        <v>123</v>
      </c>
      <c r="B1983" s="2918"/>
      <c r="C1983" s="2546"/>
      <c r="D1983" s="2546"/>
      <c r="E1983" s="2546"/>
      <c r="F1983" s="2546"/>
      <c r="G1983" s="2546"/>
      <c r="H1983" s="2546"/>
      <c r="I1983" s="2515" t="s">
        <v>1023</v>
      </c>
      <c r="J1983" s="2918"/>
      <c r="K1983" s="2918"/>
      <c r="L1983" s="3238">
        <f>L1984+L1995+L2000+L2002+L2004+L2006+L2009</f>
        <v>2845778440</v>
      </c>
      <c r="M1983" s="2918"/>
      <c r="N1983" s="2916">
        <f>N1984+N1995+N2000+N2002+N2004+N2006+N2009</f>
        <v>775620900</v>
      </c>
      <c r="O1983" s="2918"/>
      <c r="P1983" s="2916">
        <f>P1984+P1995+P2000+P2002+P2004+P2006+P2009</f>
        <v>417910420</v>
      </c>
      <c r="Q1983" s="2918"/>
      <c r="R1983" s="2916">
        <f>R1984+R1995+R2000+R2002+R2004+R2006+R2009</f>
        <v>31968500</v>
      </c>
      <c r="S1983" s="2918"/>
      <c r="T1983" s="2916">
        <f>T1984+T1995+T2000+T2002+T2004+T2006+T2009</f>
        <v>110299600</v>
      </c>
      <c r="U1983" s="2918"/>
      <c r="V1983" s="2916">
        <f>V1984+V1995+V2000+V2002+V2004+V2006+V2009</f>
        <v>103258850</v>
      </c>
      <c r="W1983" s="2918"/>
      <c r="X1983" s="2918"/>
      <c r="Y1983" s="2546">
        <f>Q1983+S1983+U1983+W1983</f>
        <v>0</v>
      </c>
      <c r="Z1983" s="2916">
        <f>Z1984+Z1995+Z2000+Z2002+Z2004+Z2006+Z2009</f>
        <v>245526950</v>
      </c>
      <c r="AA1983" s="2918"/>
      <c r="AB1983" s="2916" t="e">
        <f>AB1984+AB1995+AB2000+AB2002+AB2004+AB2006+#REF!+AB2009+#REF!</f>
        <v>#REF!</v>
      </c>
      <c r="AC1983" s="2918"/>
      <c r="AD1983" s="2918"/>
      <c r="AE1983" s="3211"/>
      <c r="AF1983" s="145"/>
      <c r="AG1983" s="145"/>
      <c r="AH1983" s="145"/>
      <c r="AI1983" s="145"/>
      <c r="AJ1983" s="145"/>
      <c r="AK1983" s="145"/>
      <c r="AL1983" s="145"/>
      <c r="AM1983" s="145"/>
      <c r="AN1983" s="145"/>
      <c r="AO1983" s="145"/>
      <c r="AP1983" s="145"/>
      <c r="AQ1983" s="145"/>
      <c r="AR1983" s="145"/>
      <c r="AS1983" s="145"/>
      <c r="AT1983" s="145"/>
      <c r="AU1983" s="145"/>
      <c r="AV1983" s="145"/>
      <c r="AW1983" s="145"/>
      <c r="AX1983" s="145"/>
      <c r="AY1983" s="145"/>
      <c r="AZ1983" s="145"/>
      <c r="BA1983" s="145"/>
      <c r="BB1983" s="145"/>
      <c r="BC1983" s="145"/>
      <c r="BD1983" s="145"/>
      <c r="BE1983" s="145"/>
      <c r="BF1983" s="145"/>
      <c r="BG1983" s="145"/>
      <c r="BH1983" s="145"/>
      <c r="BI1983" s="145"/>
      <c r="BJ1983" s="145"/>
      <c r="BK1983" s="145"/>
      <c r="BL1983" s="145"/>
      <c r="BM1983" s="145"/>
      <c r="BN1983" s="145"/>
      <c r="BO1983" s="145"/>
      <c r="BP1983" s="145"/>
      <c r="BQ1983" s="145"/>
      <c r="BR1983" s="145"/>
      <c r="BS1983" s="145"/>
      <c r="BT1983" s="145"/>
      <c r="BU1983" s="145"/>
      <c r="BV1983" s="145"/>
      <c r="BW1983" s="145"/>
      <c r="BX1983" s="145"/>
    </row>
    <row r="1984" spans="1:76" s="3802" customFormat="1" ht="92.25" customHeight="1">
      <c r="A1984" s="3657">
        <v>1</v>
      </c>
      <c r="B1984" s="3835"/>
      <c r="C1984" s="3659">
        <v>5</v>
      </c>
      <c r="D1984" s="3659" t="s">
        <v>107</v>
      </c>
      <c r="E1984" s="3659" t="s">
        <v>66</v>
      </c>
      <c r="F1984" s="3659" t="s">
        <v>155</v>
      </c>
      <c r="G1984" s="3659" t="s">
        <v>66</v>
      </c>
      <c r="H1984" s="3657"/>
      <c r="I1984" s="3660" t="s">
        <v>4326</v>
      </c>
      <c r="J1984" s="3660" t="s">
        <v>4529</v>
      </c>
      <c r="K1984" s="3657">
        <v>72</v>
      </c>
      <c r="L1984" s="3662">
        <f>SUM(L1985:L1994)</f>
        <v>1286260600</v>
      </c>
      <c r="M1984" s="3657">
        <v>24</v>
      </c>
      <c r="N1984" s="3662">
        <f>SUM(N1985:N1994)</f>
        <v>384099500</v>
      </c>
      <c r="O1984" s="3657">
        <v>12</v>
      </c>
      <c r="P1984" s="3662">
        <f>SUM(P1985:P1994)</f>
        <v>194318920</v>
      </c>
      <c r="Q1984" s="3657">
        <v>3</v>
      </c>
      <c r="R1984" s="3662">
        <f>SUM(R1985:R1994)</f>
        <v>8678500</v>
      </c>
      <c r="S1984" s="3657">
        <v>3</v>
      </c>
      <c r="T1984" s="3662">
        <f>SUM(T1985:T1994)</f>
        <v>39459600</v>
      </c>
      <c r="U1984" s="3657">
        <v>3</v>
      </c>
      <c r="V1984" s="3662">
        <f>SUM(V1985:V1994)</f>
        <v>68173350</v>
      </c>
      <c r="W1984" s="3661"/>
      <c r="X1984" s="3661"/>
      <c r="Y1984" s="3836">
        <f>Q1984+S1984+U1984+W1984</f>
        <v>9</v>
      </c>
      <c r="Z1984" s="3662">
        <f>SUM(Z1985:Z1994)</f>
        <v>116311450</v>
      </c>
      <c r="AA1984" s="3836">
        <f>M1984+Y1984</f>
        <v>33</v>
      </c>
      <c r="AB1984" s="3662">
        <f>SUM(AB1985:AB1994)</f>
        <v>500410950</v>
      </c>
      <c r="AC1984" s="3664">
        <f>(AA1984/K1984)*100</f>
        <v>45.833333333333329</v>
      </c>
      <c r="AD1984" s="3664">
        <f>AB1984/L1984*100</f>
        <v>38.904320788493408</v>
      </c>
      <c r="AE1984" s="3661" t="s">
        <v>4568</v>
      </c>
    </row>
    <row r="1985" spans="1:31" s="2117" customFormat="1" ht="81.75" customHeight="1">
      <c r="A1985" s="3803"/>
      <c r="B1985" s="3678"/>
      <c r="C1985" s="36">
        <v>5</v>
      </c>
      <c r="D1985" s="36" t="s">
        <v>107</v>
      </c>
      <c r="E1985" s="36" t="s">
        <v>66</v>
      </c>
      <c r="F1985" s="36" t="s">
        <v>155</v>
      </c>
      <c r="G1985" s="36" t="s">
        <v>66</v>
      </c>
      <c r="H1985" s="3804" t="s">
        <v>65</v>
      </c>
      <c r="I1985" s="3690" t="s">
        <v>4330</v>
      </c>
      <c r="J1985" s="3690" t="s">
        <v>4331</v>
      </c>
      <c r="K1985" s="3805">
        <v>72</v>
      </c>
      <c r="L1985" s="3691">
        <v>74170000</v>
      </c>
      <c r="M1985" s="3804">
        <v>24</v>
      </c>
      <c r="N1985" s="3806">
        <v>16763500</v>
      </c>
      <c r="O1985" s="3805">
        <v>12</v>
      </c>
      <c r="P1985" s="3807">
        <v>7440000</v>
      </c>
      <c r="Q1985" s="3804">
        <v>3</v>
      </c>
      <c r="R1985" s="3691">
        <v>154500</v>
      </c>
      <c r="S1985" s="3805">
        <v>3</v>
      </c>
      <c r="T1985" s="3691">
        <f>1965600-R1985</f>
        <v>1811100</v>
      </c>
      <c r="U1985" s="3805">
        <v>3</v>
      </c>
      <c r="V1985" s="3807">
        <f>3069450-T1985-R1985</f>
        <v>1103850</v>
      </c>
      <c r="W1985" s="3803"/>
      <c r="X1985" s="3803"/>
      <c r="Y1985" s="3679">
        <f t="shared" ref="Y1985:Y1986" si="703">Q1985+S1985+U1985+W1985</f>
        <v>9</v>
      </c>
      <c r="Z1985" s="3691">
        <f>R1985+T1985+V1985+X1985</f>
        <v>3069450</v>
      </c>
      <c r="AA1985" s="3679">
        <f t="shared" ref="AA1985:AA1987" si="704">M1985+Y1985</f>
        <v>33</v>
      </c>
      <c r="AB1985" s="3691">
        <f t="shared" ref="AB1985:AB1994" si="705">N1985+Z1985</f>
        <v>19832950</v>
      </c>
      <c r="AC1985" s="3684">
        <f>(AA1985/K1985)*100</f>
        <v>45.833333333333329</v>
      </c>
      <c r="AD1985" s="3684">
        <f t="shared" ref="AD1985:AD1994" si="706">AB1985/L1985*100</f>
        <v>26.739854388566808</v>
      </c>
      <c r="AE1985" s="3803" t="s">
        <v>4568</v>
      </c>
    </row>
    <row r="1986" spans="1:31" s="2117" customFormat="1" ht="105">
      <c r="A1986" s="3803"/>
      <c r="B1986" s="3678"/>
      <c r="C1986" s="36">
        <v>5</v>
      </c>
      <c r="D1986" s="36" t="s">
        <v>107</v>
      </c>
      <c r="E1986" s="36" t="s">
        <v>66</v>
      </c>
      <c r="F1986" s="36" t="s">
        <v>155</v>
      </c>
      <c r="G1986" s="36" t="s">
        <v>66</v>
      </c>
      <c r="H1986" s="3804" t="s">
        <v>198</v>
      </c>
      <c r="I1986" s="3690" t="s">
        <v>4332</v>
      </c>
      <c r="J1986" s="3690" t="s">
        <v>4333</v>
      </c>
      <c r="K1986" s="3805">
        <v>72</v>
      </c>
      <c r="L1986" s="3691">
        <v>199260600</v>
      </c>
      <c r="M1986" s="3804">
        <v>24</v>
      </c>
      <c r="N1986" s="3806">
        <f>29350000+39600000</f>
        <v>68950000</v>
      </c>
      <c r="O1986" s="3805">
        <v>12</v>
      </c>
      <c r="P1986" s="3807">
        <v>44400000</v>
      </c>
      <c r="Q1986" s="3804">
        <v>3</v>
      </c>
      <c r="R1986" s="3691"/>
      <c r="S1986" s="3805">
        <v>3</v>
      </c>
      <c r="T1986" s="3691">
        <v>6800000</v>
      </c>
      <c r="U1986" s="3805">
        <v>3</v>
      </c>
      <c r="V1986" s="3807">
        <v>24350000</v>
      </c>
      <c r="W1986" s="3803"/>
      <c r="X1986" s="3803"/>
      <c r="Y1986" s="3679">
        <f t="shared" si="703"/>
        <v>9</v>
      </c>
      <c r="Z1986" s="3691">
        <f t="shared" ref="Z1986:Z1994" si="707">R1986+T1986+V1986+X1986</f>
        <v>31150000</v>
      </c>
      <c r="AA1986" s="3679">
        <f t="shared" si="704"/>
        <v>33</v>
      </c>
      <c r="AB1986" s="3691">
        <f t="shared" si="705"/>
        <v>100100000</v>
      </c>
      <c r="AC1986" s="3684">
        <f t="shared" ref="AC1986" si="708">(AA1986/K1986)*100</f>
        <v>45.833333333333329</v>
      </c>
      <c r="AD1986" s="3684">
        <f t="shared" si="706"/>
        <v>50.23572146224592</v>
      </c>
      <c r="AE1986" s="3803" t="s">
        <v>4568</v>
      </c>
    </row>
    <row r="1987" spans="1:31" s="2117" customFormat="1" ht="66.75" customHeight="1">
      <c r="A1987" s="2116"/>
      <c r="B1987" s="3678"/>
      <c r="C1987" s="36">
        <v>5</v>
      </c>
      <c r="D1987" s="36" t="s">
        <v>107</v>
      </c>
      <c r="E1987" s="36" t="s">
        <v>66</v>
      </c>
      <c r="F1987" s="36" t="s">
        <v>155</v>
      </c>
      <c r="G1987" s="36" t="s">
        <v>66</v>
      </c>
      <c r="H1987" s="36" t="s">
        <v>93</v>
      </c>
      <c r="I1987" s="3680" t="s">
        <v>876</v>
      </c>
      <c r="J1987" s="3680" t="s">
        <v>4334</v>
      </c>
      <c r="K1987" s="36">
        <v>72</v>
      </c>
      <c r="L1987" s="3682">
        <v>93500000</v>
      </c>
      <c r="M1987" s="36">
        <v>24</v>
      </c>
      <c r="N1987" s="3808">
        <v>26825000</v>
      </c>
      <c r="O1987" s="3679">
        <v>12</v>
      </c>
      <c r="P1987" s="3683">
        <v>13398000</v>
      </c>
      <c r="Q1987" s="36">
        <v>3</v>
      </c>
      <c r="R1987" s="3682">
        <v>2600500</v>
      </c>
      <c r="S1987" s="3679">
        <v>3</v>
      </c>
      <c r="T1987" s="3682">
        <v>3226000</v>
      </c>
      <c r="U1987" s="3679">
        <v>3</v>
      </c>
      <c r="V1987" s="3683">
        <f>8076500-T1987-R1987</f>
        <v>2250000</v>
      </c>
      <c r="W1987" s="2116"/>
      <c r="X1987" s="2116"/>
      <c r="Y1987" s="3679">
        <f>Q1987+S1987+U1987+W1987</f>
        <v>9</v>
      </c>
      <c r="Z1987" s="3682">
        <f t="shared" si="707"/>
        <v>8076500</v>
      </c>
      <c r="AA1987" s="3679">
        <f t="shared" si="704"/>
        <v>33</v>
      </c>
      <c r="AB1987" s="3682">
        <f t="shared" si="705"/>
        <v>34901500</v>
      </c>
      <c r="AC1987" s="3684">
        <f>(AA1987/K1987)*100</f>
        <v>45.833333333333329</v>
      </c>
      <c r="AD1987" s="3684">
        <f t="shared" si="706"/>
        <v>37.327807486631016</v>
      </c>
      <c r="AE1987" s="2116" t="s">
        <v>4568</v>
      </c>
    </row>
    <row r="1988" spans="1:31" s="2117" customFormat="1" ht="45">
      <c r="A1988" s="3803"/>
      <c r="B1988" s="3809"/>
      <c r="C1988" s="3804">
        <v>5</v>
      </c>
      <c r="D1988" s="3804" t="s">
        <v>107</v>
      </c>
      <c r="E1988" s="3804" t="s">
        <v>66</v>
      </c>
      <c r="F1988" s="3804" t="s">
        <v>155</v>
      </c>
      <c r="G1988" s="3804" t="s">
        <v>66</v>
      </c>
      <c r="H1988" s="3804" t="s">
        <v>202</v>
      </c>
      <c r="I1988" s="3690" t="s">
        <v>880</v>
      </c>
      <c r="J1988" s="3690" t="s">
        <v>443</v>
      </c>
      <c r="K1988" s="3805">
        <v>72</v>
      </c>
      <c r="L1988" s="3691">
        <v>132600000</v>
      </c>
      <c r="M1988" s="3804">
        <v>24</v>
      </c>
      <c r="N1988" s="3806">
        <v>39955000</v>
      </c>
      <c r="O1988" s="3805">
        <v>12</v>
      </c>
      <c r="P1988" s="3807">
        <v>17677420</v>
      </c>
      <c r="Q1988" s="3804">
        <v>3</v>
      </c>
      <c r="R1988" s="3691">
        <v>1848500</v>
      </c>
      <c r="S1988" s="3805">
        <v>3</v>
      </c>
      <c r="T1988" s="3691">
        <v>6154000</v>
      </c>
      <c r="U1988" s="3805">
        <v>3</v>
      </c>
      <c r="V1988" s="3807">
        <v>74000</v>
      </c>
      <c r="W1988" s="3803"/>
      <c r="X1988" s="3803"/>
      <c r="Y1988" s="3805">
        <f t="shared" ref="Y1988:Y1989" si="709">Q1988+S1988+U1988+W1988</f>
        <v>9</v>
      </c>
      <c r="Z1988" s="3691">
        <f t="shared" si="707"/>
        <v>8076500</v>
      </c>
      <c r="AA1988" s="3805">
        <f>M1988+Y1988</f>
        <v>33</v>
      </c>
      <c r="AB1988" s="3691">
        <f t="shared" si="705"/>
        <v>48031500</v>
      </c>
      <c r="AC1988" s="3810">
        <f>(AA1988/K1988)*100</f>
        <v>45.833333333333329</v>
      </c>
      <c r="AD1988" s="3810">
        <f t="shared" si="706"/>
        <v>36.222850678733032</v>
      </c>
      <c r="AE1988" s="3803" t="s">
        <v>4568</v>
      </c>
    </row>
    <row r="1989" spans="1:31" s="2117" customFormat="1" ht="75">
      <c r="A1989" s="2116"/>
      <c r="B1989" s="3678"/>
      <c r="C1989" s="36">
        <v>5</v>
      </c>
      <c r="D1989" s="36" t="s">
        <v>107</v>
      </c>
      <c r="E1989" s="36" t="s">
        <v>66</v>
      </c>
      <c r="F1989" s="36" t="s">
        <v>155</v>
      </c>
      <c r="G1989" s="36" t="s">
        <v>66</v>
      </c>
      <c r="H1989" s="36" t="s">
        <v>417</v>
      </c>
      <c r="I1989" s="3680" t="s">
        <v>882</v>
      </c>
      <c r="J1989" s="3681" t="s">
        <v>4547</v>
      </c>
      <c r="K1989" s="3679">
        <v>72</v>
      </c>
      <c r="L1989" s="3682">
        <v>65400000</v>
      </c>
      <c r="M1989" s="36">
        <v>24</v>
      </c>
      <c r="N1989" s="3808">
        <v>21002000</v>
      </c>
      <c r="O1989" s="3679">
        <v>12</v>
      </c>
      <c r="P1989" s="3683">
        <v>12141500</v>
      </c>
      <c r="Q1989" s="36">
        <v>3</v>
      </c>
      <c r="R1989" s="3682">
        <v>380000</v>
      </c>
      <c r="S1989" s="3679">
        <v>3</v>
      </c>
      <c r="T1989" s="3682">
        <v>2598000</v>
      </c>
      <c r="U1989" s="3679">
        <v>3</v>
      </c>
      <c r="V1989" s="3682">
        <v>2240000</v>
      </c>
      <c r="W1989" s="2116"/>
      <c r="X1989" s="2116"/>
      <c r="Y1989" s="3679">
        <f t="shared" si="709"/>
        <v>9</v>
      </c>
      <c r="Z1989" s="3682">
        <f t="shared" si="707"/>
        <v>5218000</v>
      </c>
      <c r="AA1989" s="3679">
        <f t="shared" ref="AA1989:AA1991" si="710">M1989+Y1989</f>
        <v>33</v>
      </c>
      <c r="AB1989" s="3682">
        <f t="shared" si="705"/>
        <v>26220000</v>
      </c>
      <c r="AC1989" s="3684">
        <f t="shared" ref="AC1989:AC1991" si="711">(AA1989/K1989)*100</f>
        <v>45.833333333333329</v>
      </c>
      <c r="AD1989" s="3684">
        <f t="shared" si="706"/>
        <v>40.091743119266056</v>
      </c>
      <c r="AE1989" s="2116" t="s">
        <v>4568</v>
      </c>
    </row>
    <row r="1990" spans="1:31" s="2117" customFormat="1" ht="92.25" customHeight="1">
      <c r="A1990" s="2116"/>
      <c r="B1990" s="3678"/>
      <c r="C1990" s="36">
        <v>5</v>
      </c>
      <c r="D1990" s="36" t="s">
        <v>107</v>
      </c>
      <c r="E1990" s="36" t="s">
        <v>66</v>
      </c>
      <c r="F1990" s="36" t="s">
        <v>155</v>
      </c>
      <c r="G1990" s="36" t="s">
        <v>66</v>
      </c>
      <c r="H1990" s="36" t="s">
        <v>160</v>
      </c>
      <c r="I1990" s="3680" t="s">
        <v>4339</v>
      </c>
      <c r="J1990" s="3680" t="s">
        <v>4519</v>
      </c>
      <c r="K1990" s="3679">
        <v>72</v>
      </c>
      <c r="L1990" s="3682">
        <v>15000000</v>
      </c>
      <c r="M1990" s="36">
        <v>24</v>
      </c>
      <c r="N1990" s="3808">
        <v>3931000</v>
      </c>
      <c r="O1990" s="3679">
        <v>12</v>
      </c>
      <c r="P1990" s="3683">
        <v>2016000</v>
      </c>
      <c r="Q1990" s="36">
        <v>3</v>
      </c>
      <c r="R1990" s="3682">
        <v>230000</v>
      </c>
      <c r="S1990" s="3679">
        <v>3</v>
      </c>
      <c r="T1990" s="3682">
        <v>248000</v>
      </c>
      <c r="U1990" s="3679">
        <v>3</v>
      </c>
      <c r="V1990" s="3683">
        <v>859000</v>
      </c>
      <c r="W1990" s="2116"/>
      <c r="X1990" s="2116"/>
      <c r="Y1990" s="3679">
        <f>Q1990+S1990+U1990+W1990</f>
        <v>9</v>
      </c>
      <c r="Z1990" s="3682">
        <f t="shared" si="707"/>
        <v>1337000</v>
      </c>
      <c r="AA1990" s="3679">
        <f t="shared" si="710"/>
        <v>33</v>
      </c>
      <c r="AB1990" s="3682">
        <f t="shared" si="705"/>
        <v>5268000</v>
      </c>
      <c r="AC1990" s="3684">
        <f t="shared" si="711"/>
        <v>45.833333333333329</v>
      </c>
      <c r="AD1990" s="3684">
        <f t="shared" si="706"/>
        <v>35.120000000000005</v>
      </c>
      <c r="AE1990" s="2116" t="s">
        <v>4568</v>
      </c>
    </row>
    <row r="1991" spans="1:31" s="2117" customFormat="1" ht="75">
      <c r="A1991" s="3803"/>
      <c r="B1991" s="3678"/>
      <c r="C1991" s="36">
        <v>5</v>
      </c>
      <c r="D1991" s="36" t="s">
        <v>107</v>
      </c>
      <c r="E1991" s="36" t="s">
        <v>66</v>
      </c>
      <c r="F1991" s="36" t="s">
        <v>155</v>
      </c>
      <c r="G1991" s="36" t="s">
        <v>66</v>
      </c>
      <c r="H1991" s="3804" t="s">
        <v>155</v>
      </c>
      <c r="I1991" s="3690" t="s">
        <v>4341</v>
      </c>
      <c r="J1991" s="3690" t="s">
        <v>4548</v>
      </c>
      <c r="K1991" s="3805">
        <v>72</v>
      </c>
      <c r="L1991" s="3691">
        <v>20130000</v>
      </c>
      <c r="M1991" s="3804">
        <v>24</v>
      </c>
      <c r="N1991" s="3806">
        <v>5640000</v>
      </c>
      <c r="O1991" s="3805">
        <v>12</v>
      </c>
      <c r="P1991" s="3807">
        <v>2880000</v>
      </c>
      <c r="Q1991" s="3804">
        <v>3</v>
      </c>
      <c r="R1991" s="3691">
        <v>480000</v>
      </c>
      <c r="S1991" s="3805">
        <v>3</v>
      </c>
      <c r="T1991" s="3691">
        <v>510000</v>
      </c>
      <c r="U1991" s="3805">
        <v>3</v>
      </c>
      <c r="V1991" s="3807">
        <v>450000</v>
      </c>
      <c r="W1991" s="3803"/>
      <c r="X1991" s="3803"/>
      <c r="Y1991" s="3679">
        <f t="shared" ref="Y1991:Y1992" si="712">Q1991+S1991+U1991+W1991</f>
        <v>9</v>
      </c>
      <c r="Z1991" s="3691">
        <f t="shared" si="707"/>
        <v>1440000</v>
      </c>
      <c r="AA1991" s="3679">
        <f t="shared" si="710"/>
        <v>33</v>
      </c>
      <c r="AB1991" s="3691">
        <f t="shared" si="705"/>
        <v>7080000</v>
      </c>
      <c r="AC1991" s="3684">
        <f t="shared" si="711"/>
        <v>45.833333333333329</v>
      </c>
      <c r="AD1991" s="3684">
        <f t="shared" si="706"/>
        <v>35.171385991058123</v>
      </c>
      <c r="AE1991" s="3803" t="s">
        <v>4568</v>
      </c>
    </row>
    <row r="1992" spans="1:31" s="2117" customFormat="1" ht="52.5" customHeight="1">
      <c r="A1992" s="2116"/>
      <c r="B1992" s="3678"/>
      <c r="C1992" s="36">
        <v>5</v>
      </c>
      <c r="D1992" s="36" t="s">
        <v>107</v>
      </c>
      <c r="E1992" s="36" t="s">
        <v>66</v>
      </c>
      <c r="F1992" s="36" t="s">
        <v>155</v>
      </c>
      <c r="G1992" s="36" t="s">
        <v>66</v>
      </c>
      <c r="H1992" s="36" t="s">
        <v>448</v>
      </c>
      <c r="I1992" s="3680" t="s">
        <v>223</v>
      </c>
      <c r="J1992" s="3681" t="s">
        <v>4343</v>
      </c>
      <c r="K1992" s="3679">
        <v>72</v>
      </c>
      <c r="L1992" s="3682">
        <v>196500000</v>
      </c>
      <c r="M1992" s="36">
        <v>24</v>
      </c>
      <c r="N1992" s="3808">
        <v>59575000</v>
      </c>
      <c r="O1992" s="3679">
        <v>12</v>
      </c>
      <c r="P1992" s="3683">
        <v>16776000</v>
      </c>
      <c r="Q1992" s="36">
        <v>3</v>
      </c>
      <c r="R1992" s="3682">
        <v>2860000</v>
      </c>
      <c r="S1992" s="3679">
        <v>3</v>
      </c>
      <c r="T1992" s="3682">
        <v>4922500</v>
      </c>
      <c r="U1992" s="3679">
        <v>3</v>
      </c>
      <c r="V1992" s="3683">
        <v>8442500</v>
      </c>
      <c r="W1992" s="2116"/>
      <c r="X1992" s="2116"/>
      <c r="Y1992" s="3679">
        <f t="shared" si="712"/>
        <v>9</v>
      </c>
      <c r="Z1992" s="3682">
        <f t="shared" si="707"/>
        <v>16225000</v>
      </c>
      <c r="AA1992" s="3679">
        <f>M1992+Y1992</f>
        <v>33</v>
      </c>
      <c r="AB1992" s="3682">
        <f t="shared" si="705"/>
        <v>75800000</v>
      </c>
      <c r="AC1992" s="3684">
        <f>(AA1992/K1992)*100</f>
        <v>45.833333333333329</v>
      </c>
      <c r="AD1992" s="3684">
        <f t="shared" si="706"/>
        <v>38.575063613231549</v>
      </c>
      <c r="AE1992" s="2116" t="s">
        <v>4568</v>
      </c>
    </row>
    <row r="1993" spans="1:31" s="2117" customFormat="1" ht="64.5" customHeight="1">
      <c r="A1993" s="2116"/>
      <c r="B1993" s="3678"/>
      <c r="C1993" s="36">
        <v>5</v>
      </c>
      <c r="D1993" s="36" t="s">
        <v>107</v>
      </c>
      <c r="E1993" s="36" t="s">
        <v>66</v>
      </c>
      <c r="F1993" s="36" t="s">
        <v>155</v>
      </c>
      <c r="G1993" s="36" t="s">
        <v>66</v>
      </c>
      <c r="H1993" s="36" t="s">
        <v>167</v>
      </c>
      <c r="I1993" s="3680" t="s">
        <v>973</v>
      </c>
      <c r="J1993" s="3680" t="s">
        <v>4345</v>
      </c>
      <c r="K1993" s="3679">
        <v>72</v>
      </c>
      <c r="L1993" s="3682">
        <v>195000000</v>
      </c>
      <c r="M1993" s="36">
        <v>24</v>
      </c>
      <c r="N1993" s="3808">
        <v>55578000</v>
      </c>
      <c r="O1993" s="3679">
        <v>12</v>
      </c>
      <c r="P1993" s="3683">
        <v>22200000</v>
      </c>
      <c r="Q1993" s="36">
        <v>3</v>
      </c>
      <c r="R1993" s="3682"/>
      <c r="S1993" s="3679">
        <v>3</v>
      </c>
      <c r="T1993" s="3682">
        <v>1000000</v>
      </c>
      <c r="U1993" s="3679">
        <v>3</v>
      </c>
      <c r="V1993" s="3683">
        <v>15654000</v>
      </c>
      <c r="W1993" s="2116"/>
      <c r="X1993" s="2116"/>
      <c r="Y1993" s="3679">
        <f>Q1993+S1993+U1993+W1993</f>
        <v>9</v>
      </c>
      <c r="Z1993" s="3682">
        <f t="shared" si="707"/>
        <v>16654000</v>
      </c>
      <c r="AA1993" s="3679">
        <f t="shared" ref="AA1993:AA1994" si="713">M1993+Y1993</f>
        <v>33</v>
      </c>
      <c r="AB1993" s="3682">
        <f t="shared" si="705"/>
        <v>72232000</v>
      </c>
      <c r="AC1993" s="3684">
        <f t="shared" ref="AC1993:AC1994" si="714">(AA1993/K1993)*100</f>
        <v>45.833333333333329</v>
      </c>
      <c r="AD1993" s="3684">
        <f t="shared" si="706"/>
        <v>37.042051282051283</v>
      </c>
      <c r="AE1993" s="2116" t="s">
        <v>4568</v>
      </c>
    </row>
    <row r="1994" spans="1:31" s="2117" customFormat="1" ht="75">
      <c r="A1994" s="3803"/>
      <c r="B1994" s="3678"/>
      <c r="C1994" s="36">
        <v>5</v>
      </c>
      <c r="D1994" s="36" t="s">
        <v>107</v>
      </c>
      <c r="E1994" s="36" t="s">
        <v>66</v>
      </c>
      <c r="F1994" s="36" t="s">
        <v>155</v>
      </c>
      <c r="G1994" s="36" t="s">
        <v>66</v>
      </c>
      <c r="H1994" s="3804" t="s">
        <v>376</v>
      </c>
      <c r="I1994" s="3690" t="s">
        <v>4346</v>
      </c>
      <c r="J1994" s="3690" t="s">
        <v>4347</v>
      </c>
      <c r="K1994" s="3805">
        <v>72</v>
      </c>
      <c r="L1994" s="3691">
        <v>294700000</v>
      </c>
      <c r="M1994" s="3804">
        <v>24</v>
      </c>
      <c r="N1994" s="3806">
        <v>85880000</v>
      </c>
      <c r="O1994" s="3805">
        <v>12</v>
      </c>
      <c r="P1994" s="3807">
        <v>55390000</v>
      </c>
      <c r="Q1994" s="3804">
        <v>3</v>
      </c>
      <c r="R1994" s="3691">
        <v>125000</v>
      </c>
      <c r="S1994" s="3805">
        <v>3</v>
      </c>
      <c r="T1994" s="3691">
        <v>12190000</v>
      </c>
      <c r="U1994" s="3805">
        <v>3</v>
      </c>
      <c r="V1994" s="3807">
        <v>12750000</v>
      </c>
      <c r="W1994" s="3803"/>
      <c r="X1994" s="3803"/>
      <c r="Y1994" s="3679">
        <f t="shared" ref="Y1994" si="715">Q1994+S1994+U1994+W1994</f>
        <v>9</v>
      </c>
      <c r="Z1994" s="3691">
        <f t="shared" si="707"/>
        <v>25065000</v>
      </c>
      <c r="AA1994" s="3679">
        <f t="shared" si="713"/>
        <v>33</v>
      </c>
      <c r="AB1994" s="3691">
        <f t="shared" si="705"/>
        <v>110945000</v>
      </c>
      <c r="AC1994" s="3684">
        <f t="shared" si="714"/>
        <v>45.833333333333329</v>
      </c>
      <c r="AD1994" s="3684">
        <f t="shared" si="706"/>
        <v>37.646759416355621</v>
      </c>
      <c r="AE1994" s="3803" t="s">
        <v>4568</v>
      </c>
    </row>
    <row r="1995" spans="1:31" s="3837" customFormat="1" ht="99">
      <c r="A1995" s="3657">
        <v>2</v>
      </c>
      <c r="B1995" s="3835"/>
      <c r="C1995" s="3659">
        <v>5</v>
      </c>
      <c r="D1995" s="3659" t="s">
        <v>107</v>
      </c>
      <c r="E1995" s="3659" t="s">
        <v>66</v>
      </c>
      <c r="F1995" s="3659" t="s">
        <v>155</v>
      </c>
      <c r="G1995" s="3659" t="s">
        <v>65</v>
      </c>
      <c r="H1995" s="3657"/>
      <c r="I1995" s="3660" t="s">
        <v>4350</v>
      </c>
      <c r="J1995" s="3660" t="s">
        <v>4313</v>
      </c>
      <c r="K1995" s="3657">
        <v>72</v>
      </c>
      <c r="L1995" s="3662">
        <f>SUM(L1996:L1999)</f>
        <v>328106000</v>
      </c>
      <c r="M1995" s="3657">
        <v>24</v>
      </c>
      <c r="N1995" s="3662">
        <f>SUM(N1996:N1999)</f>
        <v>103949000</v>
      </c>
      <c r="O1995" s="3657">
        <v>12</v>
      </c>
      <c r="P1995" s="3662">
        <f>SUM(P1996:P1999)</f>
        <v>43750000</v>
      </c>
      <c r="Q1995" s="3657">
        <v>3</v>
      </c>
      <c r="R1995" s="3662">
        <f>SUM(R1996:R1999)</f>
        <v>9400000</v>
      </c>
      <c r="S1995" s="3657">
        <v>3</v>
      </c>
      <c r="T1995" s="3662">
        <f>SUM(T1996:T1999)</f>
        <v>5700000</v>
      </c>
      <c r="U1995" s="3661">
        <v>3</v>
      </c>
      <c r="V1995" s="3662">
        <f>SUM(V1996:V1999)</f>
        <v>12553000</v>
      </c>
      <c r="W1995" s="3661"/>
      <c r="X1995" s="3661"/>
      <c r="Y1995" s="3657">
        <f>Q1995+S1995+U1995+W1995</f>
        <v>9</v>
      </c>
      <c r="Z1995" s="3662">
        <f>SUM(Z1996:Z1999)</f>
        <v>27653000</v>
      </c>
      <c r="AA1995" s="3657">
        <f>M1995+Y1995</f>
        <v>33</v>
      </c>
      <c r="AB1995" s="3662">
        <f>SUM(AB1996:AB1999)</f>
        <v>131602000</v>
      </c>
      <c r="AC1995" s="3664">
        <f>(AA1995/K1995)*100</f>
        <v>45.833333333333329</v>
      </c>
      <c r="AD1995" s="3664">
        <f>(AB1995/L1995)*100</f>
        <v>40.109598727240588</v>
      </c>
      <c r="AE1995" s="3661" t="s">
        <v>4568</v>
      </c>
    </row>
    <row r="1996" spans="1:31" s="2117" customFormat="1" ht="64.5" customHeight="1">
      <c r="A1996" s="3803"/>
      <c r="B1996" s="3678"/>
      <c r="C1996" s="36">
        <v>5</v>
      </c>
      <c r="D1996" s="36" t="s">
        <v>107</v>
      </c>
      <c r="E1996" s="36" t="s">
        <v>66</v>
      </c>
      <c r="F1996" s="36" t="s">
        <v>155</v>
      </c>
      <c r="G1996" s="36" t="s">
        <v>65</v>
      </c>
      <c r="H1996" s="36" t="s">
        <v>163</v>
      </c>
      <c r="I1996" s="3690" t="s">
        <v>4549</v>
      </c>
      <c r="J1996" s="3690" t="s">
        <v>4550</v>
      </c>
      <c r="K1996" s="3805">
        <v>6</v>
      </c>
      <c r="L1996" s="3691">
        <v>27000000</v>
      </c>
      <c r="M1996" s="3804">
        <v>2</v>
      </c>
      <c r="N1996" s="3806">
        <v>13125000</v>
      </c>
      <c r="O1996" s="3805">
        <v>1</v>
      </c>
      <c r="P1996" s="3807">
        <v>3500000</v>
      </c>
      <c r="Q1996" s="3804">
        <v>1</v>
      </c>
      <c r="R1996" s="3691">
        <v>0</v>
      </c>
      <c r="S1996" s="3805">
        <v>0</v>
      </c>
      <c r="T1996" s="3691">
        <v>0</v>
      </c>
      <c r="U1996" s="3805">
        <v>0</v>
      </c>
      <c r="V1996" s="3807">
        <v>0</v>
      </c>
      <c r="W1996" s="3803"/>
      <c r="X1996" s="3803"/>
      <c r="Y1996" s="3679">
        <f t="shared" ref="Y1996:Y1997" si="716">Q1996+S1996+U1996+W1996</f>
        <v>1</v>
      </c>
      <c r="Z1996" s="3691">
        <f t="shared" ref="Z1996:Z1998" si="717">R1996+T1996+V1996+X1996</f>
        <v>0</v>
      </c>
      <c r="AA1996" s="3679">
        <f t="shared" ref="AA1996:AA2008" si="718">M1996+Y1996</f>
        <v>3</v>
      </c>
      <c r="AB1996" s="3691">
        <f t="shared" ref="AB1996:AB1999" si="719">N1996+Z1996</f>
        <v>13125000</v>
      </c>
      <c r="AC1996" s="3684">
        <f t="shared" ref="AC1996:AC2008" si="720">(AA1996/K1996)*100</f>
        <v>50</v>
      </c>
      <c r="AD1996" s="3684">
        <f t="shared" ref="AD1996:AD1998" si="721">(AB1996/L1996)*100</f>
        <v>48.611111111111107</v>
      </c>
      <c r="AE1996" s="3803" t="s">
        <v>4568</v>
      </c>
    </row>
    <row r="1997" spans="1:31" s="2117" customFormat="1" ht="64.5" customHeight="1">
      <c r="A1997" s="3803"/>
      <c r="B1997" s="3678"/>
      <c r="C1997" s="36">
        <v>5</v>
      </c>
      <c r="D1997" s="36" t="s">
        <v>107</v>
      </c>
      <c r="E1997" s="36" t="s">
        <v>66</v>
      </c>
      <c r="F1997" s="36" t="s">
        <v>155</v>
      </c>
      <c r="G1997" s="36" t="s">
        <v>65</v>
      </c>
      <c r="H1997" s="36" t="s">
        <v>163</v>
      </c>
      <c r="I1997" s="3690" t="s">
        <v>1301</v>
      </c>
      <c r="J1997" s="3690" t="s">
        <v>4358</v>
      </c>
      <c r="K1997" s="3805">
        <v>6</v>
      </c>
      <c r="L1997" s="3691">
        <v>27000000</v>
      </c>
      <c r="M1997" s="3804">
        <v>2</v>
      </c>
      <c r="N1997" s="3806">
        <v>13125000</v>
      </c>
      <c r="O1997" s="3805">
        <v>1</v>
      </c>
      <c r="P1997" s="3807">
        <v>3000000</v>
      </c>
      <c r="Q1997" s="3804">
        <v>1</v>
      </c>
      <c r="R1997" s="3691">
        <v>500000</v>
      </c>
      <c r="S1997" s="3805">
        <v>0</v>
      </c>
      <c r="T1997" s="3691">
        <v>0</v>
      </c>
      <c r="U1997" s="3805">
        <v>0</v>
      </c>
      <c r="V1997" s="3807">
        <f>1250000</f>
        <v>1250000</v>
      </c>
      <c r="W1997" s="3803"/>
      <c r="X1997" s="3803"/>
      <c r="Y1997" s="3679">
        <f t="shared" si="716"/>
        <v>1</v>
      </c>
      <c r="Z1997" s="3691">
        <f t="shared" si="717"/>
        <v>1750000</v>
      </c>
      <c r="AA1997" s="3679">
        <f t="shared" si="718"/>
        <v>3</v>
      </c>
      <c r="AB1997" s="3691">
        <f t="shared" si="719"/>
        <v>14875000</v>
      </c>
      <c r="AC1997" s="3684">
        <f t="shared" si="720"/>
        <v>50</v>
      </c>
      <c r="AD1997" s="3684">
        <f t="shared" si="721"/>
        <v>55.092592592592595</v>
      </c>
      <c r="AE1997" s="3803" t="s">
        <v>4568</v>
      </c>
    </row>
    <row r="1998" spans="1:31" s="2117" customFormat="1" ht="90">
      <c r="A1998" s="3803"/>
      <c r="B1998" s="3678"/>
      <c r="C1998" s="36">
        <v>5</v>
      </c>
      <c r="D1998" s="36" t="s">
        <v>107</v>
      </c>
      <c r="E1998" s="36" t="s">
        <v>66</v>
      </c>
      <c r="F1998" s="36" t="s">
        <v>155</v>
      </c>
      <c r="G1998" s="36" t="s">
        <v>65</v>
      </c>
      <c r="H1998" s="36" t="s">
        <v>165</v>
      </c>
      <c r="I1998" s="3690" t="s">
        <v>4359</v>
      </c>
      <c r="J1998" s="3690" t="s">
        <v>4360</v>
      </c>
      <c r="K1998" s="3805">
        <v>24</v>
      </c>
      <c r="L1998" s="3691">
        <v>247106000</v>
      </c>
      <c r="M1998" s="3804">
        <v>8</v>
      </c>
      <c r="N1998" s="3806">
        <v>73919000</v>
      </c>
      <c r="O1998" s="3805">
        <v>4</v>
      </c>
      <c r="P1998" s="3807">
        <v>34450000</v>
      </c>
      <c r="Q1998" s="3804">
        <v>1</v>
      </c>
      <c r="R1998" s="3691">
        <v>8500000</v>
      </c>
      <c r="S1998" s="3805">
        <v>1</v>
      </c>
      <c r="T1998" s="3807">
        <f>13800000-R1998</f>
        <v>5300000</v>
      </c>
      <c r="U1998" s="3805">
        <v>1</v>
      </c>
      <c r="V1998" s="3807">
        <f>24503000-T1998-R1998</f>
        <v>10703000</v>
      </c>
      <c r="W1998" s="3803"/>
      <c r="X1998" s="3803"/>
      <c r="Y1998" s="3679">
        <v>1</v>
      </c>
      <c r="Z1998" s="3691">
        <f t="shared" si="717"/>
        <v>24503000</v>
      </c>
      <c r="AA1998" s="3679">
        <f t="shared" si="718"/>
        <v>9</v>
      </c>
      <c r="AB1998" s="3691">
        <f t="shared" si="719"/>
        <v>98422000</v>
      </c>
      <c r="AC1998" s="3684">
        <f t="shared" si="720"/>
        <v>37.5</v>
      </c>
      <c r="AD1998" s="3684">
        <f t="shared" si="721"/>
        <v>39.829870581855559</v>
      </c>
      <c r="AE1998" s="3803" t="s">
        <v>4568</v>
      </c>
    </row>
    <row r="1999" spans="1:31" s="2117" customFormat="1" ht="75">
      <c r="A1999" s="3803"/>
      <c r="B1999" s="3678"/>
      <c r="C1999" s="36">
        <v>5</v>
      </c>
      <c r="D1999" s="36" t="s">
        <v>107</v>
      </c>
      <c r="E1999" s="36" t="s">
        <v>66</v>
      </c>
      <c r="F1999" s="36" t="s">
        <v>155</v>
      </c>
      <c r="G1999" s="36" t="s">
        <v>65</v>
      </c>
      <c r="H1999" s="36" t="s">
        <v>178</v>
      </c>
      <c r="I1999" s="3690" t="s">
        <v>4361</v>
      </c>
      <c r="J1999" s="3690" t="s">
        <v>4362</v>
      </c>
      <c r="K1999" s="3805">
        <v>96</v>
      </c>
      <c r="L1999" s="3691">
        <v>27000000</v>
      </c>
      <c r="M1999" s="3804">
        <v>12</v>
      </c>
      <c r="N1999" s="3806">
        <v>3780000</v>
      </c>
      <c r="O1999" s="3805">
        <v>13</v>
      </c>
      <c r="P1999" s="3807">
        <v>2800000</v>
      </c>
      <c r="Q1999" s="3804">
        <v>3</v>
      </c>
      <c r="R1999" s="3691">
        <v>400000</v>
      </c>
      <c r="S1999" s="3805">
        <v>3</v>
      </c>
      <c r="T1999" s="3807">
        <v>400000</v>
      </c>
      <c r="U1999" s="3805">
        <v>3</v>
      </c>
      <c r="V1999" s="3807">
        <v>600000</v>
      </c>
      <c r="W1999" s="3803"/>
      <c r="X1999" s="3803"/>
      <c r="Y1999" s="3679">
        <f t="shared" ref="Y1999:Y2008" si="722">Q1999+S1999+U1999+W1999</f>
        <v>9</v>
      </c>
      <c r="Z1999" s="3691">
        <f>R1999+T1999+V1999+X1999</f>
        <v>1400000</v>
      </c>
      <c r="AA1999" s="3679">
        <f t="shared" si="718"/>
        <v>21</v>
      </c>
      <c r="AB1999" s="3691">
        <f t="shared" si="719"/>
        <v>5180000</v>
      </c>
      <c r="AC1999" s="3684">
        <f t="shared" si="720"/>
        <v>21.875</v>
      </c>
      <c r="AD1999" s="3684">
        <f>(AB1999/L1999)*100</f>
        <v>19.185185185185187</v>
      </c>
      <c r="AE1999" s="3803" t="s">
        <v>4568</v>
      </c>
    </row>
    <row r="2000" spans="1:31" s="3825" customFormat="1" ht="82.5">
      <c r="A2000" s="3657">
        <v>3</v>
      </c>
      <c r="B2000" s="3835"/>
      <c r="C2000" s="3659">
        <v>5</v>
      </c>
      <c r="D2000" s="3659" t="s">
        <v>107</v>
      </c>
      <c r="E2000" s="3659" t="s">
        <v>66</v>
      </c>
      <c r="F2000" s="3659" t="s">
        <v>155</v>
      </c>
      <c r="G2000" s="3659" t="s">
        <v>448</v>
      </c>
      <c r="H2000" s="3657"/>
      <c r="I2000" s="3660" t="s">
        <v>4364</v>
      </c>
      <c r="J2000" s="3660" t="s">
        <v>4365</v>
      </c>
      <c r="K2000" s="3657">
        <v>100</v>
      </c>
      <c r="L2000" s="3662">
        <f>SUM(L2001:L2001)</f>
        <v>174225000</v>
      </c>
      <c r="M2000" s="3657">
        <v>32</v>
      </c>
      <c r="N2000" s="3662">
        <f>SUM(N2001:N2001)</f>
        <v>41225000</v>
      </c>
      <c r="O2000" s="3657">
        <v>18</v>
      </c>
      <c r="P2000" s="3662">
        <f>SUM(P2001:P2001)</f>
        <v>28075000</v>
      </c>
      <c r="Q2000" s="3657">
        <v>0</v>
      </c>
      <c r="R2000" s="3662">
        <f>SUM(R2001:R2001)</f>
        <v>0</v>
      </c>
      <c r="S2000" s="3657">
        <v>0</v>
      </c>
      <c r="T2000" s="3662">
        <f>SUM(T2001:T2001)</f>
        <v>0</v>
      </c>
      <c r="U2000" s="3664">
        <f>V2000/P2000*100</f>
        <v>44.523597506678541</v>
      </c>
      <c r="V2000" s="3662">
        <f>SUM(V2001:V2001)</f>
        <v>12500000</v>
      </c>
      <c r="W2000" s="3661"/>
      <c r="X2000" s="3661"/>
      <c r="Y2000" s="3836">
        <f t="shared" si="722"/>
        <v>44.523597506678541</v>
      </c>
      <c r="Z2000" s="3662">
        <f>SUM(Z2001:Z2001)</f>
        <v>12500000</v>
      </c>
      <c r="AA2000" s="3836">
        <f t="shared" si="718"/>
        <v>76.523597506678541</v>
      </c>
      <c r="AB2000" s="3662">
        <f>SUM(AB2001:AB2001)</f>
        <v>53725000</v>
      </c>
      <c r="AC2000" s="3664">
        <f t="shared" si="720"/>
        <v>76.523597506678541</v>
      </c>
      <c r="AD2000" s="3664">
        <f t="shared" ref="AD2000" si="723">(AB2000/L2000)*100</f>
        <v>30.836561917061271</v>
      </c>
      <c r="AE2000" s="3661" t="s">
        <v>4568</v>
      </c>
    </row>
    <row r="2001" spans="1:31" s="2117" customFormat="1" ht="45">
      <c r="A2001" s="18"/>
      <c r="B2001" s="15"/>
      <c r="C2001" s="36">
        <v>5</v>
      </c>
      <c r="D2001" s="36" t="s">
        <v>107</v>
      </c>
      <c r="E2001" s="36" t="s">
        <v>66</v>
      </c>
      <c r="F2001" s="36" t="s">
        <v>155</v>
      </c>
      <c r="G2001" s="36" t="s">
        <v>448</v>
      </c>
      <c r="H2001" s="36" t="s">
        <v>197</v>
      </c>
      <c r="I2001" s="15" t="s">
        <v>4366</v>
      </c>
      <c r="J2001" s="15" t="s">
        <v>4367</v>
      </c>
      <c r="K2001" s="3826">
        <v>6</v>
      </c>
      <c r="L2001" s="16">
        <v>174225000</v>
      </c>
      <c r="M2001" s="3826">
        <v>2</v>
      </c>
      <c r="N2001" s="16">
        <v>41225000</v>
      </c>
      <c r="O2001" s="3826">
        <v>1</v>
      </c>
      <c r="P2001" s="16">
        <v>28075000</v>
      </c>
      <c r="Q2001" s="3826">
        <v>0</v>
      </c>
      <c r="R2001" s="16">
        <v>0</v>
      </c>
      <c r="S2001" s="3826">
        <v>0</v>
      </c>
      <c r="T2001" s="16">
        <v>0</v>
      </c>
      <c r="U2001" s="3826">
        <v>1</v>
      </c>
      <c r="V2001" s="3827">
        <v>12500000</v>
      </c>
      <c r="W2001" s="15"/>
      <c r="X2001" s="15"/>
      <c r="Y2001" s="3826">
        <f t="shared" si="722"/>
        <v>1</v>
      </c>
      <c r="Z2001" s="3691">
        <f>R2001+T2001+V2001+X2001</f>
        <v>12500000</v>
      </c>
      <c r="AA2001" s="3826">
        <f t="shared" si="718"/>
        <v>3</v>
      </c>
      <c r="AB2001" s="3691">
        <f t="shared" ref="AB2001" si="724">N2001+Z2001</f>
        <v>53725000</v>
      </c>
      <c r="AC2001" s="19">
        <f t="shared" si="720"/>
        <v>50</v>
      </c>
      <c r="AD2001" s="19">
        <f>(AB2001/L2001)*100</f>
        <v>30.836561917061271</v>
      </c>
      <c r="AE2001" s="18" t="s">
        <v>4568</v>
      </c>
    </row>
    <row r="2002" spans="1:31" s="3825" customFormat="1" ht="99">
      <c r="A2002" s="3657">
        <v>4</v>
      </c>
      <c r="B2002" s="3835"/>
      <c r="C2002" s="3659">
        <v>5</v>
      </c>
      <c r="D2002" s="3659" t="s">
        <v>107</v>
      </c>
      <c r="E2002" s="3659" t="s">
        <v>66</v>
      </c>
      <c r="F2002" s="3659" t="s">
        <v>155</v>
      </c>
      <c r="G2002" s="3659" t="s">
        <v>155</v>
      </c>
      <c r="H2002" s="3659"/>
      <c r="I2002" s="3660" t="s">
        <v>4369</v>
      </c>
      <c r="J2002" s="3660" t="s">
        <v>4370</v>
      </c>
      <c r="K2002" s="3657">
        <v>100</v>
      </c>
      <c r="L2002" s="3662">
        <f>SUM(L2003:L2003)</f>
        <v>75310000</v>
      </c>
      <c r="M2002" s="3657">
        <v>32</v>
      </c>
      <c r="N2002" s="3662">
        <f>SUM(N2003:N2003)</f>
        <v>20605000</v>
      </c>
      <c r="O2002" s="3657">
        <v>18</v>
      </c>
      <c r="P2002" s="3662">
        <f>SUM(P2003:P2003)</f>
        <v>13455000</v>
      </c>
      <c r="Q2002" s="3657">
        <v>0</v>
      </c>
      <c r="R2002" s="3662">
        <f>SUM(R2003:R2003)</f>
        <v>0</v>
      </c>
      <c r="S2002" s="3657">
        <v>15</v>
      </c>
      <c r="T2002" s="3663">
        <f>SUM(T2003)</f>
        <v>13455000</v>
      </c>
      <c r="U2002" s="3661">
        <v>3</v>
      </c>
      <c r="V2002" s="3663">
        <f>SUM(V2003)</f>
        <v>0</v>
      </c>
      <c r="W2002" s="3661"/>
      <c r="X2002" s="3661"/>
      <c r="Y2002" s="3657">
        <f t="shared" si="722"/>
        <v>18</v>
      </c>
      <c r="Z2002" s="3662">
        <f>SUM(Z2003:Z2003)</f>
        <v>13455000</v>
      </c>
      <c r="AA2002" s="3657">
        <f t="shared" si="718"/>
        <v>50</v>
      </c>
      <c r="AB2002" s="3662">
        <f>SUM(AB2003:AB2003)</f>
        <v>34060000</v>
      </c>
      <c r="AC2002" s="3664">
        <f t="shared" si="720"/>
        <v>50</v>
      </c>
      <c r="AD2002" s="3664">
        <f t="shared" ref="AD2002:AD2004" si="725">(AB2002/L2002)*100</f>
        <v>45.22639755676537</v>
      </c>
      <c r="AE2002" s="3661" t="s">
        <v>4568</v>
      </c>
    </row>
    <row r="2003" spans="1:31" s="2117" customFormat="1" ht="75">
      <c r="A2003" s="18"/>
      <c r="B2003" s="15"/>
      <c r="C2003" s="36">
        <v>5</v>
      </c>
      <c r="D2003" s="36" t="s">
        <v>107</v>
      </c>
      <c r="E2003" s="36" t="s">
        <v>66</v>
      </c>
      <c r="F2003" s="36" t="s">
        <v>155</v>
      </c>
      <c r="G2003" s="36" t="s">
        <v>155</v>
      </c>
      <c r="H2003" s="36" t="s">
        <v>202</v>
      </c>
      <c r="I2003" s="15" t="s">
        <v>4371</v>
      </c>
      <c r="J2003" s="15" t="s">
        <v>4565</v>
      </c>
      <c r="K2003" s="3826">
        <v>6</v>
      </c>
      <c r="L2003" s="16">
        <v>75310000</v>
      </c>
      <c r="M2003" s="3826">
        <v>2</v>
      </c>
      <c r="N2003" s="16">
        <v>20605000</v>
      </c>
      <c r="O2003" s="3826">
        <v>1</v>
      </c>
      <c r="P2003" s="16">
        <v>13455000</v>
      </c>
      <c r="Q2003" s="3826">
        <v>0</v>
      </c>
      <c r="R2003" s="16">
        <v>0</v>
      </c>
      <c r="S2003" s="3826">
        <v>1</v>
      </c>
      <c r="T2003" s="3827">
        <v>13455000</v>
      </c>
      <c r="U2003" s="3826">
        <v>1</v>
      </c>
      <c r="V2003" s="3827">
        <v>0</v>
      </c>
      <c r="W2003" s="15"/>
      <c r="X2003" s="15"/>
      <c r="Y2003" s="3679">
        <f t="shared" si="722"/>
        <v>2</v>
      </c>
      <c r="Z2003" s="3691">
        <f>R2003+T2003+V2003+X2003</f>
        <v>13455000</v>
      </c>
      <c r="AA2003" s="3679">
        <f t="shared" si="718"/>
        <v>4</v>
      </c>
      <c r="AB2003" s="3691">
        <f t="shared" ref="AB2003" si="726">N2003+Z2003</f>
        <v>34060000</v>
      </c>
      <c r="AC2003" s="3684">
        <f t="shared" si="720"/>
        <v>66.666666666666657</v>
      </c>
      <c r="AD2003" s="3684">
        <f t="shared" si="725"/>
        <v>45.22639755676537</v>
      </c>
      <c r="AE2003" s="18" t="s">
        <v>4568</v>
      </c>
    </row>
    <row r="2004" spans="1:31" s="3825" customFormat="1" ht="66">
      <c r="A2004" s="3657">
        <v>5</v>
      </c>
      <c r="B2004" s="3835"/>
      <c r="C2004" s="3659">
        <v>5</v>
      </c>
      <c r="D2004" s="3659" t="s">
        <v>107</v>
      </c>
      <c r="E2004" s="3659" t="s">
        <v>66</v>
      </c>
      <c r="F2004" s="3659" t="s">
        <v>155</v>
      </c>
      <c r="G2004" s="3659" t="s">
        <v>448</v>
      </c>
      <c r="H2004" s="3659"/>
      <c r="I2004" s="3660" t="s">
        <v>4555</v>
      </c>
      <c r="J2004" s="3660" t="s">
        <v>4556</v>
      </c>
      <c r="K2004" s="3657">
        <v>80</v>
      </c>
      <c r="L2004" s="3662">
        <f>SUM(L2005:L2005)</f>
        <v>100000000</v>
      </c>
      <c r="M2004" s="3657">
        <v>60</v>
      </c>
      <c r="N2004" s="3662">
        <f>SUM(N2005:N2005)</f>
        <v>0</v>
      </c>
      <c r="O2004" s="3657">
        <v>15</v>
      </c>
      <c r="P2004" s="3662">
        <f>SUM(P2005:P2005)</f>
        <v>7286500</v>
      </c>
      <c r="Q2004" s="3657">
        <v>0</v>
      </c>
      <c r="R2004" s="3662">
        <f>SUM(R2005:R2005)</f>
        <v>150000</v>
      </c>
      <c r="S2004" s="3657">
        <v>10</v>
      </c>
      <c r="T2004" s="3662">
        <f>SUM(T2005)</f>
        <v>485000</v>
      </c>
      <c r="U2004" s="3661">
        <v>10</v>
      </c>
      <c r="V2004" s="3662">
        <f>SUM(V2005)</f>
        <v>0</v>
      </c>
      <c r="W2004" s="3661"/>
      <c r="X2004" s="3661"/>
      <c r="Y2004" s="3657">
        <f t="shared" si="722"/>
        <v>20</v>
      </c>
      <c r="Z2004" s="3662">
        <f>SUM(Z2005:Z2005)</f>
        <v>635000</v>
      </c>
      <c r="AA2004" s="3657">
        <f t="shared" si="718"/>
        <v>80</v>
      </c>
      <c r="AB2004" s="3662">
        <f>SUM(AB2005:AB2005)</f>
        <v>635000</v>
      </c>
      <c r="AC2004" s="3664">
        <f t="shared" si="720"/>
        <v>100</v>
      </c>
      <c r="AD2004" s="3664">
        <f t="shared" si="725"/>
        <v>0.63500000000000001</v>
      </c>
      <c r="AE2004" s="3661" t="s">
        <v>4568</v>
      </c>
    </row>
    <row r="2005" spans="1:31" s="63" customFormat="1" ht="25.5">
      <c r="A2005" s="3852"/>
      <c r="B2005" s="3854"/>
      <c r="C2005" s="3853"/>
      <c r="D2005" s="3853"/>
      <c r="E2005" s="3853"/>
      <c r="F2005" s="3853"/>
      <c r="G2005" s="3853"/>
      <c r="H2005" s="3853"/>
      <c r="I2005" s="3854" t="s">
        <v>4557</v>
      </c>
      <c r="J2005" s="3854" t="s">
        <v>4558</v>
      </c>
      <c r="K2005" s="3852">
        <v>5</v>
      </c>
      <c r="L2005" s="3863">
        <v>100000000</v>
      </c>
      <c r="M2005" s="3852">
        <v>0</v>
      </c>
      <c r="N2005" s="3863">
        <v>0</v>
      </c>
      <c r="O2005" s="3852">
        <v>1</v>
      </c>
      <c r="P2005" s="3863">
        <v>7286500</v>
      </c>
      <c r="Q2005" s="3852">
        <v>0</v>
      </c>
      <c r="R2005" s="3855">
        <v>150000</v>
      </c>
      <c r="S2005" s="3852">
        <v>1</v>
      </c>
      <c r="T2005" s="3863">
        <v>485000</v>
      </c>
      <c r="U2005" s="3852">
        <v>0</v>
      </c>
      <c r="V2005" s="3864">
        <v>0</v>
      </c>
      <c r="W2005" s="3852"/>
      <c r="X2005" s="3852"/>
      <c r="Y2005" s="3852">
        <f t="shared" si="722"/>
        <v>1</v>
      </c>
      <c r="Z2005" s="60">
        <f>R2005+T2005+V2005+X2005</f>
        <v>635000</v>
      </c>
      <c r="AA2005" s="3852">
        <f t="shared" si="718"/>
        <v>1</v>
      </c>
      <c r="AB2005" s="60">
        <f t="shared" ref="AB2005" si="727">N2005+Z2005</f>
        <v>635000</v>
      </c>
      <c r="AC2005" s="389">
        <f t="shared" si="720"/>
        <v>20</v>
      </c>
      <c r="AD2005" s="3852"/>
      <c r="AE2005" s="3852" t="s">
        <v>4568</v>
      </c>
    </row>
    <row r="2006" spans="1:31" s="3829" customFormat="1" ht="111.75" customHeight="1">
      <c r="A2006" s="3657">
        <v>6</v>
      </c>
      <c r="B2006" s="3835"/>
      <c r="C2006" s="3659">
        <v>5</v>
      </c>
      <c r="D2006" s="3659" t="s">
        <v>107</v>
      </c>
      <c r="E2006" s="3659" t="s">
        <v>66</v>
      </c>
      <c r="F2006" s="3659" t="s">
        <v>155</v>
      </c>
      <c r="G2006" s="3659" t="s">
        <v>357</v>
      </c>
      <c r="H2006" s="3657"/>
      <c r="I2006" s="3660" t="s">
        <v>4378</v>
      </c>
      <c r="J2006" s="3660" t="s">
        <v>4379</v>
      </c>
      <c r="K2006" s="3657">
        <v>100</v>
      </c>
      <c r="L2006" s="3662">
        <f>SUM(L2007:L2008)</f>
        <v>174353840</v>
      </c>
      <c r="M2006" s="3657">
        <v>32</v>
      </c>
      <c r="N2006" s="3662">
        <f>SUM(N2007:N2008)</f>
        <v>49300000</v>
      </c>
      <c r="O2006" s="3657">
        <v>18</v>
      </c>
      <c r="P2006" s="3662">
        <f>SUM(P2007:P2008)</f>
        <v>17280000</v>
      </c>
      <c r="Q2006" s="3657">
        <v>0</v>
      </c>
      <c r="R2006" s="3662">
        <f>SUM(R2007:R2008)</f>
        <v>550000</v>
      </c>
      <c r="S2006" s="3657">
        <v>2</v>
      </c>
      <c r="T2006" s="3663">
        <f>SUM(T2007:T2008)</f>
        <v>6730000</v>
      </c>
      <c r="U2006" s="3664">
        <f>V2006/P2006*100</f>
        <v>26.302083333333332</v>
      </c>
      <c r="V2006" s="3663">
        <f>SUM(V2007:V2008)</f>
        <v>4545000</v>
      </c>
      <c r="W2006" s="3661"/>
      <c r="X2006" s="3661"/>
      <c r="Y2006" s="3836">
        <f t="shared" si="722"/>
        <v>28.302083333333332</v>
      </c>
      <c r="Z2006" s="3662">
        <f>SUM(Z2007:Z2008)</f>
        <v>11825000</v>
      </c>
      <c r="AA2006" s="3836">
        <f t="shared" si="718"/>
        <v>60.302083333333329</v>
      </c>
      <c r="AB2006" s="3662">
        <f>SUM(AB2007:AB2007)</f>
        <v>54395000</v>
      </c>
      <c r="AC2006" s="3664">
        <f t="shared" si="720"/>
        <v>60.302083333333336</v>
      </c>
      <c r="AD2006" s="3664">
        <f t="shared" ref="AD2006" si="728">(AB2006/L2006)*100</f>
        <v>31.198051043785441</v>
      </c>
      <c r="AE2006" s="3661" t="s">
        <v>4568</v>
      </c>
    </row>
    <row r="2007" spans="1:31" s="6" customFormat="1" ht="75">
      <c r="A2007" s="18"/>
      <c r="B2007" s="15"/>
      <c r="C2007" s="36">
        <v>5</v>
      </c>
      <c r="D2007" s="36" t="s">
        <v>107</v>
      </c>
      <c r="E2007" s="36" t="s">
        <v>66</v>
      </c>
      <c r="F2007" s="36" t="s">
        <v>155</v>
      </c>
      <c r="G2007" s="36" t="s">
        <v>357</v>
      </c>
      <c r="H2007" s="35" t="s">
        <v>65</v>
      </c>
      <c r="I2007" s="15" t="s">
        <v>4380</v>
      </c>
      <c r="J2007" s="15" t="s">
        <v>4564</v>
      </c>
      <c r="K2007" s="3826">
        <v>60</v>
      </c>
      <c r="L2007" s="16">
        <v>129353840</v>
      </c>
      <c r="M2007" s="3826">
        <v>20</v>
      </c>
      <c r="N2007" s="16">
        <v>49300000</v>
      </c>
      <c r="O2007" s="3826">
        <v>10</v>
      </c>
      <c r="P2007" s="16">
        <v>10530000</v>
      </c>
      <c r="Q2007" s="3826">
        <v>2</v>
      </c>
      <c r="R2007" s="16">
        <v>550000</v>
      </c>
      <c r="S2007" s="3826">
        <f>4-Q2007</f>
        <v>2</v>
      </c>
      <c r="T2007" s="3827">
        <v>0</v>
      </c>
      <c r="U2007" s="3826">
        <v>2</v>
      </c>
      <c r="V2007" s="3827">
        <v>4545000</v>
      </c>
      <c r="W2007" s="15"/>
      <c r="X2007" s="15"/>
      <c r="Y2007" s="3826">
        <f t="shared" si="722"/>
        <v>6</v>
      </c>
      <c r="Z2007" s="3691">
        <f>R2007+T2007+V2007+X2007</f>
        <v>5095000</v>
      </c>
      <c r="AA2007" s="3826">
        <f t="shared" si="718"/>
        <v>26</v>
      </c>
      <c r="AB2007" s="3691">
        <f t="shared" ref="AB2007:AB2008" si="729">N2007+Z2007</f>
        <v>54395000</v>
      </c>
      <c r="AC2007" s="19">
        <f t="shared" si="720"/>
        <v>43.333333333333336</v>
      </c>
      <c r="AD2007" s="19">
        <f>(AB2007/L2007)*100</f>
        <v>42.051322171804102</v>
      </c>
      <c r="AE2007" s="18" t="s">
        <v>4568</v>
      </c>
    </row>
    <row r="2008" spans="1:31" s="6" customFormat="1" ht="30">
      <c r="A2008" s="18"/>
      <c r="B2008" s="15"/>
      <c r="C2008" s="36">
        <v>5</v>
      </c>
      <c r="D2008" s="36" t="s">
        <v>107</v>
      </c>
      <c r="E2008" s="36" t="s">
        <v>66</v>
      </c>
      <c r="F2008" s="36" t="s">
        <v>155</v>
      </c>
      <c r="G2008" s="36" t="s">
        <v>357</v>
      </c>
      <c r="H2008" s="35" t="s">
        <v>196</v>
      </c>
      <c r="I2008" s="15" t="s">
        <v>4551</v>
      </c>
      <c r="J2008" s="15" t="s">
        <v>4552</v>
      </c>
      <c r="K2008" s="3826">
        <v>60</v>
      </c>
      <c r="L2008" s="16">
        <v>45000000</v>
      </c>
      <c r="M2008" s="3826"/>
      <c r="N2008" s="16"/>
      <c r="O2008" s="3826">
        <v>10</v>
      </c>
      <c r="P2008" s="16">
        <v>6750000</v>
      </c>
      <c r="Q2008" s="3826">
        <v>2</v>
      </c>
      <c r="R2008" s="16">
        <v>0</v>
      </c>
      <c r="S2008" s="3826">
        <f>4-Q2008</f>
        <v>2</v>
      </c>
      <c r="T2008" s="3827">
        <v>6730000</v>
      </c>
      <c r="U2008" s="3826">
        <v>2</v>
      </c>
      <c r="V2008" s="3827">
        <v>0</v>
      </c>
      <c r="W2008" s="15"/>
      <c r="X2008" s="15"/>
      <c r="Y2008" s="3826">
        <f t="shared" si="722"/>
        <v>6</v>
      </c>
      <c r="Z2008" s="3691">
        <f>R2008+T2008+V2008+X2008</f>
        <v>6730000</v>
      </c>
      <c r="AA2008" s="3826">
        <f t="shared" si="718"/>
        <v>6</v>
      </c>
      <c r="AB2008" s="3691">
        <f t="shared" si="729"/>
        <v>6730000</v>
      </c>
      <c r="AC2008" s="19">
        <f t="shared" si="720"/>
        <v>10</v>
      </c>
      <c r="AD2008" s="19">
        <f>(AB2008/L2008)*100</f>
        <v>14.955555555555556</v>
      </c>
      <c r="AE2008" s="18" t="s">
        <v>4568</v>
      </c>
    </row>
    <row r="2009" spans="1:31" s="3802" customFormat="1" ht="99">
      <c r="A2009" s="3657">
        <v>8</v>
      </c>
      <c r="B2009" s="3835"/>
      <c r="C2009" s="3659">
        <v>5</v>
      </c>
      <c r="D2009" s="3659" t="s">
        <v>107</v>
      </c>
      <c r="E2009" s="3659" t="s">
        <v>66</v>
      </c>
      <c r="F2009" s="3659" t="s">
        <v>155</v>
      </c>
      <c r="G2009" s="3659" t="s">
        <v>1099</v>
      </c>
      <c r="H2009" s="3657"/>
      <c r="I2009" s="3660" t="s">
        <v>4387</v>
      </c>
      <c r="J2009" s="3660" t="s">
        <v>4388</v>
      </c>
      <c r="K2009" s="3657">
        <v>100</v>
      </c>
      <c r="L2009" s="3662">
        <f>SUM(L2010:L2015)</f>
        <v>707523000</v>
      </c>
      <c r="M2009" s="3657">
        <v>32</v>
      </c>
      <c r="N2009" s="3662">
        <f>SUM(N2010:N2015)</f>
        <v>176442400</v>
      </c>
      <c r="O2009" s="3657">
        <v>20</v>
      </c>
      <c r="P2009" s="3662">
        <f>SUM(P2010:P2015)</f>
        <v>113745000</v>
      </c>
      <c r="Q2009" s="3657">
        <v>0</v>
      </c>
      <c r="R2009" s="3662">
        <f>SUM(R2010:R2015)</f>
        <v>13190000</v>
      </c>
      <c r="S2009" s="3657">
        <v>5</v>
      </c>
      <c r="T2009" s="3662">
        <f>SUM(T2010:T2015)</f>
        <v>44470000</v>
      </c>
      <c r="U2009" s="3664">
        <f>V2009/P2009*100</f>
        <v>4.8243878851817659</v>
      </c>
      <c r="V2009" s="3662">
        <f>SUM(V2010:V2015)</f>
        <v>5487500</v>
      </c>
      <c r="W2009" s="3661"/>
      <c r="X2009" s="3661"/>
      <c r="Y2009" s="3836">
        <f>Q2009+S2009+U2009+W2009</f>
        <v>9.8243878851817659</v>
      </c>
      <c r="Z2009" s="3662">
        <f>SUM(Z2010:Z2015)</f>
        <v>63147500</v>
      </c>
      <c r="AA2009" s="3836">
        <f>M2009+Y2009</f>
        <v>41.824387885181764</v>
      </c>
      <c r="AB2009" s="3662">
        <f>SUM(AB2010:AB2015)</f>
        <v>239589900</v>
      </c>
      <c r="AC2009" s="3664">
        <f>(AA2009/K2009)*100</f>
        <v>41.824387885181764</v>
      </c>
      <c r="AD2009" s="3664">
        <f t="shared" ref="AD2009:AD2015" si="730">(AB2009/L2009)*100</f>
        <v>33.863195966774221</v>
      </c>
      <c r="AE2009" s="3661" t="s">
        <v>4568</v>
      </c>
    </row>
    <row r="2010" spans="1:31" s="6" customFormat="1" ht="63" customHeight="1">
      <c r="A2010" s="3803"/>
      <c r="B2010" s="3678"/>
      <c r="C2010" s="36">
        <v>5</v>
      </c>
      <c r="D2010" s="36" t="s">
        <v>107</v>
      </c>
      <c r="E2010" s="36" t="s">
        <v>66</v>
      </c>
      <c r="F2010" s="36" t="s">
        <v>155</v>
      </c>
      <c r="G2010" s="36" t="s">
        <v>1099</v>
      </c>
      <c r="H2010" s="3804" t="s">
        <v>66</v>
      </c>
      <c r="I2010" s="3690" t="s">
        <v>4285</v>
      </c>
      <c r="J2010" s="3690" t="s">
        <v>4563</v>
      </c>
      <c r="K2010" s="3805">
        <v>60</v>
      </c>
      <c r="L2010" s="3691">
        <v>188580500</v>
      </c>
      <c r="M2010" s="3804">
        <v>20</v>
      </c>
      <c r="N2010" s="3806">
        <v>58377900</v>
      </c>
      <c r="O2010" s="3805">
        <v>10</v>
      </c>
      <c r="P2010" s="3807">
        <v>37620000</v>
      </c>
      <c r="Q2010" s="3804">
        <v>1</v>
      </c>
      <c r="R2010" s="3691">
        <v>990000</v>
      </c>
      <c r="S2010" s="3805">
        <v>2</v>
      </c>
      <c r="T2010" s="3807">
        <f>14585000-R2010</f>
        <v>13595000</v>
      </c>
      <c r="U2010" s="3805">
        <v>2</v>
      </c>
      <c r="V2010" s="3807">
        <f>20072500-T2010-R2010</f>
        <v>5487500</v>
      </c>
      <c r="W2010" s="3803"/>
      <c r="X2010" s="3803"/>
      <c r="Y2010" s="3679">
        <f>Q2010+S2010+U2010+W2010</f>
        <v>5</v>
      </c>
      <c r="Z2010" s="3691">
        <f t="shared" ref="Z2010:Z2015" si="731">R2010+T2010+V2010+X2010</f>
        <v>20072500</v>
      </c>
      <c r="AA2010" s="3679">
        <f t="shared" ref="AA2010:AA2014" si="732">M2010+Y2010</f>
        <v>25</v>
      </c>
      <c r="AB2010" s="3691">
        <f t="shared" ref="AB2010:AB2015" si="733">N2010+Z2010</f>
        <v>78450400</v>
      </c>
      <c r="AC2010" s="3684">
        <f t="shared" ref="AC2010:AC2015" si="734">(AA2010/K2010)*100</f>
        <v>41.666666666666671</v>
      </c>
      <c r="AD2010" s="3684">
        <f t="shared" si="730"/>
        <v>41.600483613098916</v>
      </c>
      <c r="AE2010" s="3803" t="s">
        <v>4568</v>
      </c>
    </row>
    <row r="2011" spans="1:31" s="6" customFormat="1" ht="75">
      <c r="A2011" s="3803"/>
      <c r="B2011" s="3678"/>
      <c r="C2011" s="36">
        <v>5</v>
      </c>
      <c r="D2011" s="36" t="s">
        <v>107</v>
      </c>
      <c r="E2011" s="36" t="s">
        <v>66</v>
      </c>
      <c r="F2011" s="36" t="s">
        <v>155</v>
      </c>
      <c r="G2011" s="36" t="s">
        <v>1099</v>
      </c>
      <c r="H2011" s="3804" t="s">
        <v>65</v>
      </c>
      <c r="I2011" s="3690" t="s">
        <v>4390</v>
      </c>
      <c r="J2011" s="3690" t="s">
        <v>4391</v>
      </c>
      <c r="K2011" s="3805">
        <v>6</v>
      </c>
      <c r="L2011" s="3831">
        <v>137849500</v>
      </c>
      <c r="M2011" s="3804">
        <v>2</v>
      </c>
      <c r="N2011" s="3806">
        <v>36148000</v>
      </c>
      <c r="O2011" s="3805">
        <v>1</v>
      </c>
      <c r="P2011" s="3807">
        <v>16875000</v>
      </c>
      <c r="Q2011" s="3823">
        <v>0</v>
      </c>
      <c r="R2011" s="3691">
        <v>0</v>
      </c>
      <c r="S2011" s="3824">
        <v>0</v>
      </c>
      <c r="T2011" s="3691">
        <v>0</v>
      </c>
      <c r="U2011" s="3805">
        <v>0</v>
      </c>
      <c r="V2011" s="3803">
        <v>0</v>
      </c>
      <c r="W2011" s="3803"/>
      <c r="X2011" s="3803"/>
      <c r="Y2011" s="3679">
        <f t="shared" ref="Y2011:Y2013" si="735">Q2011+S2011+U2011+W2011</f>
        <v>0</v>
      </c>
      <c r="Z2011" s="3691">
        <f t="shared" si="731"/>
        <v>0</v>
      </c>
      <c r="AA2011" s="3679">
        <f t="shared" si="732"/>
        <v>2</v>
      </c>
      <c r="AB2011" s="3691">
        <f t="shared" si="733"/>
        <v>36148000</v>
      </c>
      <c r="AC2011" s="3684">
        <f t="shared" si="734"/>
        <v>33.333333333333329</v>
      </c>
      <c r="AD2011" s="3684">
        <f t="shared" si="730"/>
        <v>26.222800953213472</v>
      </c>
      <c r="AE2011" s="3803" t="s">
        <v>4568</v>
      </c>
    </row>
    <row r="2012" spans="1:31" s="6" customFormat="1" ht="105">
      <c r="A2012" s="3803"/>
      <c r="B2012" s="3678"/>
      <c r="C2012" s="36">
        <v>5</v>
      </c>
      <c r="D2012" s="36" t="s">
        <v>107</v>
      </c>
      <c r="E2012" s="36" t="s">
        <v>66</v>
      </c>
      <c r="F2012" s="36" t="s">
        <v>155</v>
      </c>
      <c r="G2012" s="36" t="s">
        <v>1099</v>
      </c>
      <c r="H2012" s="3804" t="s">
        <v>196</v>
      </c>
      <c r="I2012" s="3690" t="s">
        <v>4392</v>
      </c>
      <c r="J2012" s="3690" t="s">
        <v>4393</v>
      </c>
      <c r="K2012" s="3805">
        <v>6</v>
      </c>
      <c r="L2012" s="3691">
        <v>171393000</v>
      </c>
      <c r="M2012" s="3804">
        <v>2</v>
      </c>
      <c r="N2012" s="3806">
        <v>48716500</v>
      </c>
      <c r="O2012" s="3805">
        <v>1</v>
      </c>
      <c r="P2012" s="3807">
        <v>24100000</v>
      </c>
      <c r="Q2012" s="3804">
        <v>1</v>
      </c>
      <c r="R2012" s="3691">
        <v>12200000</v>
      </c>
      <c r="S2012" s="3824">
        <v>0</v>
      </c>
      <c r="T2012" s="3807">
        <f>24100000-R2012</f>
        <v>11900000</v>
      </c>
      <c r="U2012" s="3805">
        <v>0</v>
      </c>
      <c r="V2012" s="3807">
        <v>0</v>
      </c>
      <c r="W2012" s="3803"/>
      <c r="X2012" s="3803"/>
      <c r="Y2012" s="3679">
        <f t="shared" si="735"/>
        <v>1</v>
      </c>
      <c r="Z2012" s="3691">
        <f t="shared" si="731"/>
        <v>24100000</v>
      </c>
      <c r="AA2012" s="3679">
        <f t="shared" si="732"/>
        <v>3</v>
      </c>
      <c r="AB2012" s="3691">
        <f t="shared" si="733"/>
        <v>72816500</v>
      </c>
      <c r="AC2012" s="3684">
        <f t="shared" si="734"/>
        <v>50</v>
      </c>
      <c r="AD2012" s="3684">
        <f t="shared" si="730"/>
        <v>42.485107326436903</v>
      </c>
      <c r="AE2012" s="3803" t="s">
        <v>4568</v>
      </c>
    </row>
    <row r="2013" spans="1:31" s="6" customFormat="1" ht="90">
      <c r="A2013" s="3803"/>
      <c r="B2013" s="3678"/>
      <c r="C2013" s="36">
        <v>5</v>
      </c>
      <c r="D2013" s="36" t="s">
        <v>107</v>
      </c>
      <c r="E2013" s="36" t="s">
        <v>66</v>
      </c>
      <c r="F2013" s="36" t="s">
        <v>155</v>
      </c>
      <c r="G2013" s="36" t="s">
        <v>1099</v>
      </c>
      <c r="H2013" s="3804" t="s">
        <v>161</v>
      </c>
      <c r="I2013" s="3690" t="s">
        <v>4394</v>
      </c>
      <c r="J2013" s="3690" t="s">
        <v>4395</v>
      </c>
      <c r="K2013" s="3805">
        <v>72</v>
      </c>
      <c r="L2013" s="3691">
        <v>36000000</v>
      </c>
      <c r="M2013" s="3804">
        <v>24</v>
      </c>
      <c r="N2013" s="3806">
        <v>12000000</v>
      </c>
      <c r="O2013" s="3805">
        <v>12</v>
      </c>
      <c r="P2013" s="3807">
        <v>7090000</v>
      </c>
      <c r="Q2013" s="3804">
        <v>3</v>
      </c>
      <c r="R2013" s="3691">
        <v>0</v>
      </c>
      <c r="S2013" s="3824">
        <v>0</v>
      </c>
      <c r="T2013" s="3691">
        <v>0</v>
      </c>
      <c r="U2013" s="3805">
        <v>4</v>
      </c>
      <c r="V2013" s="3807">
        <v>0</v>
      </c>
      <c r="W2013" s="3803"/>
      <c r="X2013" s="3803"/>
      <c r="Y2013" s="3679">
        <f t="shared" si="735"/>
        <v>7</v>
      </c>
      <c r="Z2013" s="3691">
        <f t="shared" si="731"/>
        <v>0</v>
      </c>
      <c r="AA2013" s="3679">
        <f t="shared" si="732"/>
        <v>31</v>
      </c>
      <c r="AB2013" s="3691">
        <f t="shared" si="733"/>
        <v>12000000</v>
      </c>
      <c r="AC2013" s="3684">
        <f t="shared" si="734"/>
        <v>43.055555555555557</v>
      </c>
      <c r="AD2013" s="3684">
        <f t="shared" si="730"/>
        <v>33.333333333333329</v>
      </c>
      <c r="AE2013" s="3803" t="s">
        <v>4568</v>
      </c>
    </row>
    <row r="2014" spans="1:31" s="6" customFormat="1" ht="75">
      <c r="A2014" s="3803"/>
      <c r="B2014" s="3678"/>
      <c r="C2014" s="36">
        <v>5</v>
      </c>
      <c r="D2014" s="36" t="s">
        <v>107</v>
      </c>
      <c r="E2014" s="36" t="s">
        <v>66</v>
      </c>
      <c r="F2014" s="36" t="s">
        <v>155</v>
      </c>
      <c r="G2014" s="36" t="s">
        <v>1099</v>
      </c>
      <c r="H2014" s="3804" t="s">
        <v>197</v>
      </c>
      <c r="I2014" s="3690" t="s">
        <v>4293</v>
      </c>
      <c r="J2014" s="3690" t="s">
        <v>4396</v>
      </c>
      <c r="K2014" s="3805">
        <v>150</v>
      </c>
      <c r="L2014" s="3691">
        <v>76200000</v>
      </c>
      <c r="M2014" s="3804">
        <v>50</v>
      </c>
      <c r="N2014" s="3806">
        <v>21200000</v>
      </c>
      <c r="O2014" s="3805">
        <v>6</v>
      </c>
      <c r="P2014" s="3807">
        <v>8210000</v>
      </c>
      <c r="Q2014" s="3804">
        <v>0</v>
      </c>
      <c r="R2014" s="3691">
        <v>0</v>
      </c>
      <c r="S2014" s="3824">
        <v>0</v>
      </c>
      <c r="T2014" s="3691">
        <v>0</v>
      </c>
      <c r="U2014" s="3805">
        <v>2</v>
      </c>
      <c r="V2014" s="3807">
        <v>0</v>
      </c>
      <c r="W2014" s="3803"/>
      <c r="X2014" s="3803"/>
      <c r="Y2014" s="3679">
        <f>Q2014+S2014+U2014+W2014</f>
        <v>2</v>
      </c>
      <c r="Z2014" s="3691">
        <f t="shared" si="731"/>
        <v>0</v>
      </c>
      <c r="AA2014" s="3679">
        <f t="shared" si="732"/>
        <v>52</v>
      </c>
      <c r="AB2014" s="3691">
        <f t="shared" si="733"/>
        <v>21200000</v>
      </c>
      <c r="AC2014" s="3684">
        <f t="shared" si="734"/>
        <v>34.666666666666671</v>
      </c>
      <c r="AD2014" s="3684">
        <f t="shared" si="730"/>
        <v>27.821522309711288</v>
      </c>
      <c r="AE2014" s="3803" t="s">
        <v>4568</v>
      </c>
    </row>
    <row r="2015" spans="1:31" s="6" customFormat="1" ht="107.25" customHeight="1">
      <c r="A2015" s="3803"/>
      <c r="B2015" s="3678"/>
      <c r="C2015" s="36">
        <v>5</v>
      </c>
      <c r="D2015" s="36" t="s">
        <v>107</v>
      </c>
      <c r="E2015" s="36" t="s">
        <v>66</v>
      </c>
      <c r="F2015" s="36" t="s">
        <v>155</v>
      </c>
      <c r="G2015" s="36" t="s">
        <v>1099</v>
      </c>
      <c r="H2015" s="3804"/>
      <c r="I2015" s="15" t="s">
        <v>4553</v>
      </c>
      <c r="J2015" s="3690" t="s">
        <v>4554</v>
      </c>
      <c r="K2015" s="3805">
        <v>4</v>
      </c>
      <c r="L2015" s="3691">
        <v>97500000</v>
      </c>
      <c r="M2015" s="3804">
        <v>0</v>
      </c>
      <c r="N2015" s="3832">
        <v>0</v>
      </c>
      <c r="O2015" s="3805">
        <v>1</v>
      </c>
      <c r="P2015" s="3807">
        <v>19850000</v>
      </c>
      <c r="Q2015" s="3804">
        <v>0</v>
      </c>
      <c r="R2015" s="3691">
        <v>0</v>
      </c>
      <c r="S2015" s="3805">
        <v>1</v>
      </c>
      <c r="T2015" s="3691">
        <v>18975000</v>
      </c>
      <c r="U2015" s="3805">
        <v>0</v>
      </c>
      <c r="V2015" s="3807">
        <v>0</v>
      </c>
      <c r="W2015" s="3803"/>
      <c r="X2015" s="3803"/>
      <c r="Y2015" s="3679">
        <f t="shared" ref="Y2015" si="736">Q2015+S2015+U2015+W2015</f>
        <v>1</v>
      </c>
      <c r="Z2015" s="3691">
        <f t="shared" si="731"/>
        <v>18975000</v>
      </c>
      <c r="AA2015" s="3679">
        <f>M2015+Y2015</f>
        <v>1</v>
      </c>
      <c r="AB2015" s="3691">
        <f t="shared" si="733"/>
        <v>18975000</v>
      </c>
      <c r="AC2015" s="3684">
        <f t="shared" si="734"/>
        <v>25</v>
      </c>
      <c r="AD2015" s="3684">
        <f t="shared" si="730"/>
        <v>19.46153846153846</v>
      </c>
      <c r="AE2015" s="3803" t="s">
        <v>4568</v>
      </c>
    </row>
    <row r="2016" spans="1:31" customFormat="1" ht="17.25" customHeight="1">
      <c r="A2016" s="4264" t="s">
        <v>89</v>
      </c>
      <c r="B2016" s="4264"/>
      <c r="C2016" s="4265"/>
      <c r="D2016" s="4265"/>
      <c r="E2016" s="4265"/>
      <c r="F2016" s="4265"/>
      <c r="G2016" s="4265"/>
      <c r="H2016" s="4265"/>
      <c r="I2016" s="4265"/>
      <c r="J2016" s="4265"/>
      <c r="K2016" s="4265"/>
      <c r="L2016" s="4265"/>
      <c r="M2016" s="4265"/>
      <c r="N2016" s="4265"/>
      <c r="O2016" s="4265"/>
      <c r="P2016" s="4265"/>
      <c r="Q2016" s="4265"/>
      <c r="R2016" s="4265"/>
      <c r="S2016" s="4265"/>
      <c r="T2016" s="4265"/>
      <c r="U2016" s="4265"/>
      <c r="V2016" s="4265"/>
      <c r="W2016" s="4265"/>
      <c r="X2016" s="4265"/>
      <c r="Y2016" s="4265"/>
      <c r="Z2016" s="4265"/>
      <c r="AA2016" s="4265"/>
      <c r="AB2016" s="4265"/>
      <c r="AC2016" s="3784">
        <f>(AC1984+AC1995+AC2000+AC2002+AC2004+AC2006+AC2009)/7</f>
        <v>60.0452479131229</v>
      </c>
      <c r="AD2016" s="3784">
        <f>(AD1984+AD1995+AD2000+AD2002+AD2004+AD2006+AD2009)/7</f>
        <v>31.539018000017187</v>
      </c>
      <c r="AE2016" s="2116"/>
    </row>
    <row r="2017" spans="1:76" customFormat="1" ht="20.25" customHeight="1">
      <c r="A2017" s="4264" t="s">
        <v>90</v>
      </c>
      <c r="B2017" s="4264"/>
      <c r="C2017" s="4265"/>
      <c r="D2017" s="4265"/>
      <c r="E2017" s="4265"/>
      <c r="F2017" s="4265"/>
      <c r="G2017" s="4265"/>
      <c r="H2017" s="4265"/>
      <c r="I2017" s="4265"/>
      <c r="J2017" s="4265"/>
      <c r="K2017" s="4265"/>
      <c r="L2017" s="4265"/>
      <c r="M2017" s="4265"/>
      <c r="N2017" s="4265"/>
      <c r="O2017" s="4265"/>
      <c r="P2017" s="4265"/>
      <c r="Q2017" s="4265"/>
      <c r="R2017" s="4265"/>
      <c r="S2017" s="4265"/>
      <c r="T2017" s="4265"/>
      <c r="U2017" s="4265"/>
      <c r="V2017" s="4265"/>
      <c r="W2017" s="4265"/>
      <c r="X2017" s="4265"/>
      <c r="Y2017" s="4265"/>
      <c r="Z2017" s="4265"/>
      <c r="AA2017" s="4265"/>
      <c r="AB2017" s="4265"/>
      <c r="AC2017" s="3689" t="str">
        <f>IF(AC2016&gt;=91,"ST",IF(AC2016&gt;=76,"T",IF(AC2016&gt;=66,"S",IF(AC2016&gt;=51,"R","SR"))))</f>
        <v>R</v>
      </c>
      <c r="AD2017" s="3689" t="str">
        <f>IF(AD2016&gt;=91,"ST",IF(AD2016&gt;=76,"T",IF(AD2016&gt;=66,"S",IF(AD2016&gt;=51,"R","SR"))))</f>
        <v>SR</v>
      </c>
      <c r="AE2017" s="2116"/>
    </row>
    <row r="2018" spans="1:76" s="55" customFormat="1" ht="25.5" customHeight="1">
      <c r="A2018" s="2546" t="s">
        <v>3252</v>
      </c>
      <c r="B2018" s="2918"/>
      <c r="C2018" s="2546"/>
      <c r="D2018" s="2546"/>
      <c r="E2018" s="2546"/>
      <c r="F2018" s="2546"/>
      <c r="G2018" s="2546"/>
      <c r="H2018" s="2546"/>
      <c r="I2018" s="2515" t="s">
        <v>1024</v>
      </c>
      <c r="J2018" s="2918"/>
      <c r="K2018" s="2918"/>
      <c r="L2018" s="3238">
        <f>L2019+L2030+L2035+L2037+L2039+L2041+L2044</f>
        <v>2845778440</v>
      </c>
      <c r="M2018" s="2918"/>
      <c r="N2018" s="2916">
        <f>N2019+N2030+N2035+N2037+N2039+N2041+N2044</f>
        <v>775620900</v>
      </c>
      <c r="O2018" s="2918"/>
      <c r="P2018" s="2916">
        <f>P2019+P2030+P2035+P2037+P2039+P2041+P2044</f>
        <v>417910420</v>
      </c>
      <c r="Q2018" s="2918"/>
      <c r="R2018" s="2916">
        <f>R2019+R2030+R2035+R2037+R2039+R2041+R2044</f>
        <v>31968500</v>
      </c>
      <c r="S2018" s="2918"/>
      <c r="T2018" s="2916">
        <f>T2019+T2030+T2035+T2037+T2039+T2041+T2044</f>
        <v>110299600</v>
      </c>
      <c r="U2018" s="2918"/>
      <c r="V2018" s="2916">
        <f>V2019+V2030+V2035+V2037+V2039+V2041+V2044</f>
        <v>103258850</v>
      </c>
      <c r="W2018" s="2918"/>
      <c r="X2018" s="2918"/>
      <c r="Y2018" s="2546">
        <f>Q2018+S2018+U2018+W2018</f>
        <v>0</v>
      </c>
      <c r="Z2018" s="2916">
        <f>Z2019+Z2030+Z2035+Z2037+Z2039+Z2041+Z2044</f>
        <v>245526950</v>
      </c>
      <c r="AA2018" s="2918"/>
      <c r="AB2018" s="2916" t="e">
        <f>AB2019+AB2030+AB2035+AB2037+AB2039+AB2041+#REF!+AB2044+#REF!</f>
        <v>#REF!</v>
      </c>
      <c r="AC2018" s="2918"/>
      <c r="AD2018" s="2918"/>
      <c r="AE2018" s="3211"/>
      <c r="AF2018" s="145"/>
      <c r="AG2018" s="145"/>
      <c r="AH2018" s="145"/>
      <c r="AI2018" s="145"/>
      <c r="AJ2018" s="145"/>
      <c r="AK2018" s="145"/>
      <c r="AL2018" s="145"/>
      <c r="AM2018" s="145"/>
      <c r="AN2018" s="145"/>
      <c r="AO2018" s="145"/>
      <c r="AP2018" s="145"/>
      <c r="AQ2018" s="145"/>
      <c r="AR2018" s="145"/>
      <c r="AS2018" s="145"/>
      <c r="AT2018" s="145"/>
      <c r="AU2018" s="145"/>
      <c r="AV2018" s="145"/>
      <c r="AW2018" s="145"/>
      <c r="AX2018" s="145"/>
      <c r="AY2018" s="145"/>
      <c r="AZ2018" s="145"/>
      <c r="BA2018" s="145"/>
      <c r="BB2018" s="145"/>
      <c r="BC2018" s="145"/>
      <c r="BD2018" s="145"/>
      <c r="BE2018" s="145"/>
      <c r="BF2018" s="145"/>
      <c r="BG2018" s="145"/>
      <c r="BH2018" s="145"/>
      <c r="BI2018" s="145"/>
      <c r="BJ2018" s="145"/>
      <c r="BK2018" s="145"/>
      <c r="BL2018" s="145"/>
      <c r="BM2018" s="145"/>
      <c r="BN2018" s="145"/>
      <c r="BO2018" s="145"/>
      <c r="BP2018" s="145"/>
      <c r="BQ2018" s="145"/>
      <c r="BR2018" s="145"/>
      <c r="BS2018" s="145"/>
      <c r="BT2018" s="145"/>
      <c r="BU2018" s="145"/>
      <c r="BV2018" s="145"/>
      <c r="BW2018" s="145"/>
      <c r="BX2018" s="145"/>
    </row>
    <row r="2019" spans="1:76" s="3802" customFormat="1" ht="92.25" customHeight="1">
      <c r="A2019" s="3657">
        <v>1</v>
      </c>
      <c r="B2019" s="3835"/>
      <c r="C2019" s="3659">
        <v>5</v>
      </c>
      <c r="D2019" s="3659" t="s">
        <v>107</v>
      </c>
      <c r="E2019" s="3659" t="s">
        <v>66</v>
      </c>
      <c r="F2019" s="3659" t="s">
        <v>155</v>
      </c>
      <c r="G2019" s="3659" t="s">
        <v>66</v>
      </c>
      <c r="H2019" s="3657"/>
      <c r="I2019" s="3660" t="s">
        <v>4326</v>
      </c>
      <c r="J2019" s="3660" t="s">
        <v>4529</v>
      </c>
      <c r="K2019" s="3657">
        <v>72</v>
      </c>
      <c r="L2019" s="3662">
        <f>SUM(L2020:L2029)</f>
        <v>1286260600</v>
      </c>
      <c r="M2019" s="3657">
        <v>24</v>
      </c>
      <c r="N2019" s="3662">
        <f>SUM(N2020:N2029)</f>
        <v>384099500</v>
      </c>
      <c r="O2019" s="3657">
        <v>12</v>
      </c>
      <c r="P2019" s="3662">
        <f>SUM(P2020:P2029)</f>
        <v>194318920</v>
      </c>
      <c r="Q2019" s="3657">
        <v>3</v>
      </c>
      <c r="R2019" s="3662">
        <f>SUM(R2020:R2029)</f>
        <v>8678500</v>
      </c>
      <c r="S2019" s="3657">
        <v>3</v>
      </c>
      <c r="T2019" s="3662">
        <f>SUM(T2020:T2029)</f>
        <v>39459600</v>
      </c>
      <c r="U2019" s="3657">
        <v>3</v>
      </c>
      <c r="V2019" s="3662">
        <f>SUM(V2020:V2029)</f>
        <v>68173350</v>
      </c>
      <c r="W2019" s="3661"/>
      <c r="X2019" s="3661"/>
      <c r="Y2019" s="3836">
        <f>Q2019+S2019+U2019+W2019</f>
        <v>9</v>
      </c>
      <c r="Z2019" s="3662">
        <f>SUM(Z2020:Z2029)</f>
        <v>116311450</v>
      </c>
      <c r="AA2019" s="3836">
        <f>M2019+Y2019</f>
        <v>33</v>
      </c>
      <c r="AB2019" s="3662">
        <f>SUM(AB2020:AB2029)</f>
        <v>500410950</v>
      </c>
      <c r="AC2019" s="3664">
        <f>(AA2019/K2019)*100</f>
        <v>45.833333333333329</v>
      </c>
      <c r="AD2019" s="3664">
        <f>AB2019/L2019*100</f>
        <v>38.904320788493408</v>
      </c>
      <c r="AE2019" s="3660" t="s">
        <v>4569</v>
      </c>
    </row>
    <row r="2020" spans="1:76" s="2117" customFormat="1" ht="81.75" customHeight="1">
      <c r="A2020" s="3803"/>
      <c r="B2020" s="3678"/>
      <c r="C2020" s="36">
        <v>5</v>
      </c>
      <c r="D2020" s="36" t="s">
        <v>107</v>
      </c>
      <c r="E2020" s="36" t="s">
        <v>66</v>
      </c>
      <c r="F2020" s="36" t="s">
        <v>155</v>
      </c>
      <c r="G2020" s="36" t="s">
        <v>66</v>
      </c>
      <c r="H2020" s="3804" t="s">
        <v>65</v>
      </c>
      <c r="I2020" s="3690" t="s">
        <v>4330</v>
      </c>
      <c r="J2020" s="3690" t="s">
        <v>4331</v>
      </c>
      <c r="K2020" s="3805">
        <v>72</v>
      </c>
      <c r="L2020" s="3691">
        <v>74170000</v>
      </c>
      <c r="M2020" s="3804">
        <v>24</v>
      </c>
      <c r="N2020" s="3806">
        <v>16763500</v>
      </c>
      <c r="O2020" s="3805">
        <v>12</v>
      </c>
      <c r="P2020" s="3807">
        <v>7440000</v>
      </c>
      <c r="Q2020" s="3804">
        <v>3</v>
      </c>
      <c r="R2020" s="3691">
        <v>154500</v>
      </c>
      <c r="S2020" s="3805">
        <v>3</v>
      </c>
      <c r="T2020" s="3691">
        <f>1965600-R2020</f>
        <v>1811100</v>
      </c>
      <c r="U2020" s="3805">
        <v>3</v>
      </c>
      <c r="V2020" s="3807">
        <f>3069450-T2020-R2020</f>
        <v>1103850</v>
      </c>
      <c r="W2020" s="3803"/>
      <c r="X2020" s="3803"/>
      <c r="Y2020" s="3679">
        <f t="shared" ref="Y2020:Y2021" si="737">Q2020+S2020+U2020+W2020</f>
        <v>9</v>
      </c>
      <c r="Z2020" s="3691">
        <f>R2020+T2020+V2020+X2020</f>
        <v>3069450</v>
      </c>
      <c r="AA2020" s="3679">
        <f t="shared" ref="AA2020:AA2022" si="738">M2020+Y2020</f>
        <v>33</v>
      </c>
      <c r="AB2020" s="3691">
        <f t="shared" ref="AB2020:AB2029" si="739">N2020+Z2020</f>
        <v>19832950</v>
      </c>
      <c r="AC2020" s="3684">
        <f>(AA2020/K2020)*100</f>
        <v>45.833333333333329</v>
      </c>
      <c r="AD2020" s="3684">
        <f t="shared" ref="AD2020:AD2029" si="740">AB2020/L2020*100</f>
        <v>26.739854388566808</v>
      </c>
      <c r="AE2020" s="3690" t="s">
        <v>4569</v>
      </c>
    </row>
    <row r="2021" spans="1:76" s="2117" customFormat="1" ht="105">
      <c r="A2021" s="3803"/>
      <c r="B2021" s="3678"/>
      <c r="C2021" s="36">
        <v>5</v>
      </c>
      <c r="D2021" s="36" t="s">
        <v>107</v>
      </c>
      <c r="E2021" s="36" t="s">
        <v>66</v>
      </c>
      <c r="F2021" s="36" t="s">
        <v>155</v>
      </c>
      <c r="G2021" s="36" t="s">
        <v>66</v>
      </c>
      <c r="H2021" s="3804" t="s">
        <v>198</v>
      </c>
      <c r="I2021" s="3690" t="s">
        <v>4332</v>
      </c>
      <c r="J2021" s="3690" t="s">
        <v>4333</v>
      </c>
      <c r="K2021" s="3805">
        <v>72</v>
      </c>
      <c r="L2021" s="3691">
        <v>199260600</v>
      </c>
      <c r="M2021" s="3804">
        <v>24</v>
      </c>
      <c r="N2021" s="3806">
        <f>29350000+39600000</f>
        <v>68950000</v>
      </c>
      <c r="O2021" s="3805">
        <v>12</v>
      </c>
      <c r="P2021" s="3807">
        <v>44400000</v>
      </c>
      <c r="Q2021" s="3804">
        <v>3</v>
      </c>
      <c r="R2021" s="3691"/>
      <c r="S2021" s="3805">
        <v>3</v>
      </c>
      <c r="T2021" s="3691">
        <v>6800000</v>
      </c>
      <c r="U2021" s="3805">
        <v>3</v>
      </c>
      <c r="V2021" s="3807">
        <v>24350000</v>
      </c>
      <c r="W2021" s="3803"/>
      <c r="X2021" s="3803"/>
      <c r="Y2021" s="3679">
        <f t="shared" si="737"/>
        <v>9</v>
      </c>
      <c r="Z2021" s="3691">
        <f t="shared" ref="Z2021:Z2029" si="741">R2021+T2021+V2021+X2021</f>
        <v>31150000</v>
      </c>
      <c r="AA2021" s="3679">
        <f t="shared" si="738"/>
        <v>33</v>
      </c>
      <c r="AB2021" s="3691">
        <f t="shared" si="739"/>
        <v>100100000</v>
      </c>
      <c r="AC2021" s="3684">
        <f t="shared" ref="AC2021" si="742">(AA2021/K2021)*100</f>
        <v>45.833333333333329</v>
      </c>
      <c r="AD2021" s="3684">
        <f t="shared" si="740"/>
        <v>50.23572146224592</v>
      </c>
      <c r="AE2021" s="3690" t="s">
        <v>4569</v>
      </c>
    </row>
    <row r="2022" spans="1:76" s="2117" customFormat="1" ht="66.75" customHeight="1">
      <c r="A2022" s="2116"/>
      <c r="B2022" s="3678"/>
      <c r="C2022" s="36">
        <v>5</v>
      </c>
      <c r="D2022" s="36" t="s">
        <v>107</v>
      </c>
      <c r="E2022" s="36" t="s">
        <v>66</v>
      </c>
      <c r="F2022" s="36" t="s">
        <v>155</v>
      </c>
      <c r="G2022" s="36" t="s">
        <v>66</v>
      </c>
      <c r="H2022" s="36" t="s">
        <v>93</v>
      </c>
      <c r="I2022" s="3680" t="s">
        <v>876</v>
      </c>
      <c r="J2022" s="3680" t="s">
        <v>4334</v>
      </c>
      <c r="K2022" s="36">
        <v>72</v>
      </c>
      <c r="L2022" s="3682">
        <v>93500000</v>
      </c>
      <c r="M2022" s="36">
        <v>24</v>
      </c>
      <c r="N2022" s="3808">
        <v>26825000</v>
      </c>
      <c r="O2022" s="3679">
        <v>12</v>
      </c>
      <c r="P2022" s="3683">
        <v>13398000</v>
      </c>
      <c r="Q2022" s="36">
        <v>3</v>
      </c>
      <c r="R2022" s="3682">
        <v>2600500</v>
      </c>
      <c r="S2022" s="3679">
        <v>3</v>
      </c>
      <c r="T2022" s="3682">
        <v>3226000</v>
      </c>
      <c r="U2022" s="3679">
        <v>3</v>
      </c>
      <c r="V2022" s="3683">
        <f>8076500-T2022-R2022</f>
        <v>2250000</v>
      </c>
      <c r="W2022" s="2116"/>
      <c r="X2022" s="2116"/>
      <c r="Y2022" s="3679">
        <f>Q2022+S2022+U2022+W2022</f>
        <v>9</v>
      </c>
      <c r="Z2022" s="3682">
        <f t="shared" si="741"/>
        <v>8076500</v>
      </c>
      <c r="AA2022" s="3679">
        <f t="shared" si="738"/>
        <v>33</v>
      </c>
      <c r="AB2022" s="3682">
        <f t="shared" si="739"/>
        <v>34901500</v>
      </c>
      <c r="AC2022" s="3684">
        <f>(AA2022/K2022)*100</f>
        <v>45.833333333333329</v>
      </c>
      <c r="AD2022" s="3684">
        <f t="shared" si="740"/>
        <v>37.327807486631016</v>
      </c>
      <c r="AE2022" s="3680" t="s">
        <v>4569</v>
      </c>
    </row>
    <row r="2023" spans="1:76" s="2117" customFormat="1" ht="45">
      <c r="A2023" s="3803"/>
      <c r="B2023" s="3809"/>
      <c r="C2023" s="3804">
        <v>5</v>
      </c>
      <c r="D2023" s="3804" t="s">
        <v>107</v>
      </c>
      <c r="E2023" s="3804" t="s">
        <v>66</v>
      </c>
      <c r="F2023" s="3804" t="s">
        <v>155</v>
      </c>
      <c r="G2023" s="3804" t="s">
        <v>66</v>
      </c>
      <c r="H2023" s="3804" t="s">
        <v>202</v>
      </c>
      <c r="I2023" s="3690" t="s">
        <v>880</v>
      </c>
      <c r="J2023" s="3690" t="s">
        <v>443</v>
      </c>
      <c r="K2023" s="3805">
        <v>72</v>
      </c>
      <c r="L2023" s="3691">
        <v>132600000</v>
      </c>
      <c r="M2023" s="3804">
        <v>24</v>
      </c>
      <c r="N2023" s="3806">
        <v>39955000</v>
      </c>
      <c r="O2023" s="3805">
        <v>12</v>
      </c>
      <c r="P2023" s="3807">
        <v>17677420</v>
      </c>
      <c r="Q2023" s="3804">
        <v>3</v>
      </c>
      <c r="R2023" s="3691">
        <v>1848500</v>
      </c>
      <c r="S2023" s="3805">
        <v>3</v>
      </c>
      <c r="T2023" s="3691">
        <v>6154000</v>
      </c>
      <c r="U2023" s="3805">
        <v>3</v>
      </c>
      <c r="V2023" s="3807">
        <v>74000</v>
      </c>
      <c r="W2023" s="3803"/>
      <c r="X2023" s="3803"/>
      <c r="Y2023" s="3805">
        <f t="shared" ref="Y2023:Y2024" si="743">Q2023+S2023+U2023+W2023</f>
        <v>9</v>
      </c>
      <c r="Z2023" s="3691">
        <f t="shared" si="741"/>
        <v>8076500</v>
      </c>
      <c r="AA2023" s="3805">
        <f>M2023+Y2023</f>
        <v>33</v>
      </c>
      <c r="AB2023" s="3691">
        <f t="shared" si="739"/>
        <v>48031500</v>
      </c>
      <c r="AC2023" s="3810">
        <f>(AA2023/K2023)*100</f>
        <v>45.833333333333329</v>
      </c>
      <c r="AD2023" s="3810">
        <f t="shared" si="740"/>
        <v>36.222850678733032</v>
      </c>
      <c r="AE2023" s="3690" t="s">
        <v>4569</v>
      </c>
    </row>
    <row r="2024" spans="1:76" s="2117" customFormat="1" ht="75">
      <c r="A2024" s="2116"/>
      <c r="B2024" s="3678"/>
      <c r="C2024" s="36">
        <v>5</v>
      </c>
      <c r="D2024" s="36" t="s">
        <v>107</v>
      </c>
      <c r="E2024" s="36" t="s">
        <v>66</v>
      </c>
      <c r="F2024" s="36" t="s">
        <v>155</v>
      </c>
      <c r="G2024" s="36" t="s">
        <v>66</v>
      </c>
      <c r="H2024" s="36" t="s">
        <v>417</v>
      </c>
      <c r="I2024" s="3680" t="s">
        <v>882</v>
      </c>
      <c r="J2024" s="3681" t="s">
        <v>4547</v>
      </c>
      <c r="K2024" s="3679">
        <v>72</v>
      </c>
      <c r="L2024" s="3682">
        <v>65400000</v>
      </c>
      <c r="M2024" s="36">
        <v>24</v>
      </c>
      <c r="N2024" s="3808">
        <v>21002000</v>
      </c>
      <c r="O2024" s="3679">
        <v>12</v>
      </c>
      <c r="P2024" s="3683">
        <v>12141500</v>
      </c>
      <c r="Q2024" s="36">
        <v>3</v>
      </c>
      <c r="R2024" s="3682">
        <v>380000</v>
      </c>
      <c r="S2024" s="3679">
        <v>3</v>
      </c>
      <c r="T2024" s="3682">
        <v>2598000</v>
      </c>
      <c r="U2024" s="3679">
        <v>3</v>
      </c>
      <c r="V2024" s="3682">
        <v>2240000</v>
      </c>
      <c r="W2024" s="2116"/>
      <c r="X2024" s="2116"/>
      <c r="Y2024" s="3679">
        <f t="shared" si="743"/>
        <v>9</v>
      </c>
      <c r="Z2024" s="3682">
        <f t="shared" si="741"/>
        <v>5218000</v>
      </c>
      <c r="AA2024" s="3679">
        <f t="shared" ref="AA2024:AA2026" si="744">M2024+Y2024</f>
        <v>33</v>
      </c>
      <c r="AB2024" s="3682">
        <f t="shared" si="739"/>
        <v>26220000</v>
      </c>
      <c r="AC2024" s="3684">
        <f t="shared" ref="AC2024:AC2026" si="745">(AA2024/K2024)*100</f>
        <v>45.833333333333329</v>
      </c>
      <c r="AD2024" s="3684">
        <f t="shared" si="740"/>
        <v>40.091743119266056</v>
      </c>
      <c r="AE2024" s="3680" t="s">
        <v>4569</v>
      </c>
    </row>
    <row r="2025" spans="1:76" s="2117" customFormat="1" ht="92.25" customHeight="1">
      <c r="A2025" s="2116"/>
      <c r="B2025" s="3678"/>
      <c r="C2025" s="36">
        <v>5</v>
      </c>
      <c r="D2025" s="36" t="s">
        <v>107</v>
      </c>
      <c r="E2025" s="36" t="s">
        <v>66</v>
      </c>
      <c r="F2025" s="36" t="s">
        <v>155</v>
      </c>
      <c r="G2025" s="36" t="s">
        <v>66</v>
      </c>
      <c r="H2025" s="36" t="s">
        <v>160</v>
      </c>
      <c r="I2025" s="3680" t="s">
        <v>4339</v>
      </c>
      <c r="J2025" s="3680" t="s">
        <v>4519</v>
      </c>
      <c r="K2025" s="3679">
        <v>72</v>
      </c>
      <c r="L2025" s="3682">
        <v>15000000</v>
      </c>
      <c r="M2025" s="36">
        <v>24</v>
      </c>
      <c r="N2025" s="3808">
        <v>3931000</v>
      </c>
      <c r="O2025" s="3679">
        <v>12</v>
      </c>
      <c r="P2025" s="3683">
        <v>2016000</v>
      </c>
      <c r="Q2025" s="36">
        <v>3</v>
      </c>
      <c r="R2025" s="3682">
        <v>230000</v>
      </c>
      <c r="S2025" s="3679">
        <v>3</v>
      </c>
      <c r="T2025" s="3682">
        <v>248000</v>
      </c>
      <c r="U2025" s="3679">
        <v>3</v>
      </c>
      <c r="V2025" s="3683">
        <v>859000</v>
      </c>
      <c r="W2025" s="2116"/>
      <c r="X2025" s="2116"/>
      <c r="Y2025" s="3679">
        <f>Q2025+S2025+U2025+W2025</f>
        <v>9</v>
      </c>
      <c r="Z2025" s="3682">
        <f t="shared" si="741"/>
        <v>1337000</v>
      </c>
      <c r="AA2025" s="3679">
        <f t="shared" si="744"/>
        <v>33</v>
      </c>
      <c r="AB2025" s="3682">
        <f t="shared" si="739"/>
        <v>5268000</v>
      </c>
      <c r="AC2025" s="3684">
        <f t="shared" si="745"/>
        <v>45.833333333333329</v>
      </c>
      <c r="AD2025" s="3684">
        <f t="shared" si="740"/>
        <v>35.120000000000005</v>
      </c>
      <c r="AE2025" s="3680" t="s">
        <v>4569</v>
      </c>
    </row>
    <row r="2026" spans="1:76" s="2117" customFormat="1" ht="75">
      <c r="A2026" s="3803"/>
      <c r="B2026" s="3678"/>
      <c r="C2026" s="36">
        <v>5</v>
      </c>
      <c r="D2026" s="36" t="s">
        <v>107</v>
      </c>
      <c r="E2026" s="36" t="s">
        <v>66</v>
      </c>
      <c r="F2026" s="36" t="s">
        <v>155</v>
      </c>
      <c r="G2026" s="36" t="s">
        <v>66</v>
      </c>
      <c r="H2026" s="3804" t="s">
        <v>155</v>
      </c>
      <c r="I2026" s="3690" t="s">
        <v>4341</v>
      </c>
      <c r="J2026" s="3690" t="s">
        <v>4548</v>
      </c>
      <c r="K2026" s="3805">
        <v>72</v>
      </c>
      <c r="L2026" s="3691">
        <v>20130000</v>
      </c>
      <c r="M2026" s="3804">
        <v>24</v>
      </c>
      <c r="N2026" s="3806">
        <v>5640000</v>
      </c>
      <c r="O2026" s="3805">
        <v>12</v>
      </c>
      <c r="P2026" s="3807">
        <v>2880000</v>
      </c>
      <c r="Q2026" s="3804">
        <v>3</v>
      </c>
      <c r="R2026" s="3691">
        <v>480000</v>
      </c>
      <c r="S2026" s="3805">
        <v>3</v>
      </c>
      <c r="T2026" s="3691">
        <v>510000</v>
      </c>
      <c r="U2026" s="3805">
        <v>3</v>
      </c>
      <c r="V2026" s="3807">
        <v>450000</v>
      </c>
      <c r="W2026" s="3803"/>
      <c r="X2026" s="3803"/>
      <c r="Y2026" s="3679">
        <f t="shared" ref="Y2026:Y2027" si="746">Q2026+S2026+U2026+W2026</f>
        <v>9</v>
      </c>
      <c r="Z2026" s="3691">
        <f t="shared" si="741"/>
        <v>1440000</v>
      </c>
      <c r="AA2026" s="3679">
        <f t="shared" si="744"/>
        <v>33</v>
      </c>
      <c r="AB2026" s="3691">
        <f t="shared" si="739"/>
        <v>7080000</v>
      </c>
      <c r="AC2026" s="3684">
        <f t="shared" si="745"/>
        <v>45.833333333333329</v>
      </c>
      <c r="AD2026" s="3684">
        <f t="shared" si="740"/>
        <v>35.171385991058123</v>
      </c>
      <c r="AE2026" s="3690" t="s">
        <v>4569</v>
      </c>
    </row>
    <row r="2027" spans="1:76" s="2117" customFormat="1" ht="52.5" customHeight="1">
      <c r="A2027" s="2116"/>
      <c r="B2027" s="3678"/>
      <c r="C2027" s="36">
        <v>5</v>
      </c>
      <c r="D2027" s="36" t="s">
        <v>107</v>
      </c>
      <c r="E2027" s="36" t="s">
        <v>66</v>
      </c>
      <c r="F2027" s="36" t="s">
        <v>155</v>
      </c>
      <c r="G2027" s="36" t="s">
        <v>66</v>
      </c>
      <c r="H2027" s="36" t="s">
        <v>448</v>
      </c>
      <c r="I2027" s="3680" t="s">
        <v>223</v>
      </c>
      <c r="J2027" s="3681" t="s">
        <v>4343</v>
      </c>
      <c r="K2027" s="3679">
        <v>72</v>
      </c>
      <c r="L2027" s="3682">
        <v>196500000</v>
      </c>
      <c r="M2027" s="36">
        <v>24</v>
      </c>
      <c r="N2027" s="3808">
        <v>59575000</v>
      </c>
      <c r="O2027" s="3679">
        <v>12</v>
      </c>
      <c r="P2027" s="3683">
        <v>16776000</v>
      </c>
      <c r="Q2027" s="36">
        <v>3</v>
      </c>
      <c r="R2027" s="3682">
        <v>2860000</v>
      </c>
      <c r="S2027" s="3679">
        <v>3</v>
      </c>
      <c r="T2027" s="3682">
        <v>4922500</v>
      </c>
      <c r="U2027" s="3679">
        <v>3</v>
      </c>
      <c r="V2027" s="3683">
        <v>8442500</v>
      </c>
      <c r="W2027" s="2116"/>
      <c r="X2027" s="2116"/>
      <c r="Y2027" s="3679">
        <f t="shared" si="746"/>
        <v>9</v>
      </c>
      <c r="Z2027" s="3682">
        <f t="shared" si="741"/>
        <v>16225000</v>
      </c>
      <c r="AA2027" s="3679">
        <f>M2027+Y2027</f>
        <v>33</v>
      </c>
      <c r="AB2027" s="3682">
        <f t="shared" si="739"/>
        <v>75800000</v>
      </c>
      <c r="AC2027" s="3684">
        <f>(AA2027/K2027)*100</f>
        <v>45.833333333333329</v>
      </c>
      <c r="AD2027" s="3684">
        <f t="shared" si="740"/>
        <v>38.575063613231549</v>
      </c>
      <c r="AE2027" s="3680" t="s">
        <v>4569</v>
      </c>
    </row>
    <row r="2028" spans="1:76" s="2117" customFormat="1" ht="64.5" customHeight="1">
      <c r="A2028" s="2116"/>
      <c r="B2028" s="3678"/>
      <c r="C2028" s="36">
        <v>5</v>
      </c>
      <c r="D2028" s="36" t="s">
        <v>107</v>
      </c>
      <c r="E2028" s="36" t="s">
        <v>66</v>
      </c>
      <c r="F2028" s="36" t="s">
        <v>155</v>
      </c>
      <c r="G2028" s="36" t="s">
        <v>66</v>
      </c>
      <c r="H2028" s="36" t="s">
        <v>167</v>
      </c>
      <c r="I2028" s="3680" t="s">
        <v>973</v>
      </c>
      <c r="J2028" s="3680" t="s">
        <v>4345</v>
      </c>
      <c r="K2028" s="3679">
        <v>72</v>
      </c>
      <c r="L2028" s="3682">
        <v>195000000</v>
      </c>
      <c r="M2028" s="36">
        <v>24</v>
      </c>
      <c r="N2028" s="3808">
        <v>55578000</v>
      </c>
      <c r="O2028" s="3679">
        <v>12</v>
      </c>
      <c r="P2028" s="3683">
        <v>22200000</v>
      </c>
      <c r="Q2028" s="36">
        <v>3</v>
      </c>
      <c r="R2028" s="3682"/>
      <c r="S2028" s="3679">
        <v>3</v>
      </c>
      <c r="T2028" s="3682">
        <v>1000000</v>
      </c>
      <c r="U2028" s="3679">
        <v>3</v>
      </c>
      <c r="V2028" s="3683">
        <v>15654000</v>
      </c>
      <c r="W2028" s="2116"/>
      <c r="X2028" s="2116"/>
      <c r="Y2028" s="3679">
        <f>Q2028+S2028+U2028+W2028</f>
        <v>9</v>
      </c>
      <c r="Z2028" s="3682">
        <f t="shared" si="741"/>
        <v>16654000</v>
      </c>
      <c r="AA2028" s="3679">
        <f t="shared" ref="AA2028:AA2029" si="747">M2028+Y2028</f>
        <v>33</v>
      </c>
      <c r="AB2028" s="3682">
        <f t="shared" si="739"/>
        <v>72232000</v>
      </c>
      <c r="AC2028" s="3684">
        <f t="shared" ref="AC2028:AC2029" si="748">(AA2028/K2028)*100</f>
        <v>45.833333333333329</v>
      </c>
      <c r="AD2028" s="3684">
        <f t="shared" si="740"/>
        <v>37.042051282051283</v>
      </c>
      <c r="AE2028" s="3680" t="s">
        <v>4569</v>
      </c>
    </row>
    <row r="2029" spans="1:76" s="2117" customFormat="1" ht="75">
      <c r="A2029" s="3803"/>
      <c r="B2029" s="3678"/>
      <c r="C2029" s="36">
        <v>5</v>
      </c>
      <c r="D2029" s="36" t="s">
        <v>107</v>
      </c>
      <c r="E2029" s="36" t="s">
        <v>66</v>
      </c>
      <c r="F2029" s="36" t="s">
        <v>155</v>
      </c>
      <c r="G2029" s="36" t="s">
        <v>66</v>
      </c>
      <c r="H2029" s="3804" t="s">
        <v>376</v>
      </c>
      <c r="I2029" s="3690" t="s">
        <v>4346</v>
      </c>
      <c r="J2029" s="3690" t="s">
        <v>4347</v>
      </c>
      <c r="K2029" s="3805">
        <v>72</v>
      </c>
      <c r="L2029" s="3691">
        <v>294700000</v>
      </c>
      <c r="M2029" s="3804">
        <v>24</v>
      </c>
      <c r="N2029" s="3806">
        <v>85880000</v>
      </c>
      <c r="O2029" s="3805">
        <v>12</v>
      </c>
      <c r="P2029" s="3807">
        <v>55390000</v>
      </c>
      <c r="Q2029" s="3804">
        <v>3</v>
      </c>
      <c r="R2029" s="3691">
        <v>125000</v>
      </c>
      <c r="S2029" s="3805">
        <v>3</v>
      </c>
      <c r="T2029" s="3691">
        <v>12190000</v>
      </c>
      <c r="U2029" s="3805">
        <v>3</v>
      </c>
      <c r="V2029" s="3807">
        <v>12750000</v>
      </c>
      <c r="W2029" s="3803"/>
      <c r="X2029" s="3803"/>
      <c r="Y2029" s="3679">
        <f t="shared" ref="Y2029" si="749">Q2029+S2029+U2029+W2029</f>
        <v>9</v>
      </c>
      <c r="Z2029" s="3691">
        <f t="shared" si="741"/>
        <v>25065000</v>
      </c>
      <c r="AA2029" s="3679">
        <f t="shared" si="747"/>
        <v>33</v>
      </c>
      <c r="AB2029" s="3691">
        <f t="shared" si="739"/>
        <v>110945000</v>
      </c>
      <c r="AC2029" s="3684">
        <f t="shared" si="748"/>
        <v>45.833333333333329</v>
      </c>
      <c r="AD2029" s="3684">
        <f t="shared" si="740"/>
        <v>37.646759416355621</v>
      </c>
      <c r="AE2029" s="3690" t="s">
        <v>4569</v>
      </c>
    </row>
    <row r="2030" spans="1:76" s="3837" customFormat="1" ht="99">
      <c r="A2030" s="3657">
        <v>2</v>
      </c>
      <c r="B2030" s="3835"/>
      <c r="C2030" s="3659">
        <v>5</v>
      </c>
      <c r="D2030" s="3659" t="s">
        <v>107</v>
      </c>
      <c r="E2030" s="3659" t="s">
        <v>66</v>
      </c>
      <c r="F2030" s="3659" t="s">
        <v>155</v>
      </c>
      <c r="G2030" s="3659" t="s">
        <v>65</v>
      </c>
      <c r="H2030" s="3657"/>
      <c r="I2030" s="3660" t="s">
        <v>4350</v>
      </c>
      <c r="J2030" s="3660" t="s">
        <v>4313</v>
      </c>
      <c r="K2030" s="3657">
        <v>72</v>
      </c>
      <c r="L2030" s="3662">
        <f>SUM(L2031:L2034)</f>
        <v>328106000</v>
      </c>
      <c r="M2030" s="3657">
        <v>24</v>
      </c>
      <c r="N2030" s="3662">
        <f>SUM(N2031:N2034)</f>
        <v>103949000</v>
      </c>
      <c r="O2030" s="3657">
        <v>12</v>
      </c>
      <c r="P2030" s="3662">
        <f>SUM(P2031:P2034)</f>
        <v>43750000</v>
      </c>
      <c r="Q2030" s="3657">
        <v>3</v>
      </c>
      <c r="R2030" s="3662">
        <f>SUM(R2031:R2034)</f>
        <v>9400000</v>
      </c>
      <c r="S2030" s="3657">
        <v>3</v>
      </c>
      <c r="T2030" s="3662">
        <f>SUM(T2031:T2034)</f>
        <v>5700000</v>
      </c>
      <c r="U2030" s="3661">
        <v>3</v>
      </c>
      <c r="V2030" s="3662">
        <f>SUM(V2031:V2034)</f>
        <v>12553000</v>
      </c>
      <c r="W2030" s="3661"/>
      <c r="X2030" s="3661"/>
      <c r="Y2030" s="3657">
        <f>Q2030+S2030+U2030+W2030</f>
        <v>9</v>
      </c>
      <c r="Z2030" s="3662">
        <f>SUM(Z2031:Z2034)</f>
        <v>27653000</v>
      </c>
      <c r="AA2030" s="3657">
        <f>M2030+Y2030</f>
        <v>33</v>
      </c>
      <c r="AB2030" s="3662">
        <f>SUM(AB2031:AB2034)</f>
        <v>131602000</v>
      </c>
      <c r="AC2030" s="3664">
        <f>(AA2030/K2030)*100</f>
        <v>45.833333333333329</v>
      </c>
      <c r="AD2030" s="3664">
        <f>(AB2030/L2030)*100</f>
        <v>40.109598727240588</v>
      </c>
      <c r="AE2030" s="3660" t="s">
        <v>4569</v>
      </c>
    </row>
    <row r="2031" spans="1:76" s="2117" customFormat="1" ht="64.5" customHeight="1">
      <c r="A2031" s="3803"/>
      <c r="B2031" s="3678"/>
      <c r="C2031" s="36">
        <v>5</v>
      </c>
      <c r="D2031" s="36" t="s">
        <v>107</v>
      </c>
      <c r="E2031" s="36" t="s">
        <v>66</v>
      </c>
      <c r="F2031" s="36" t="s">
        <v>155</v>
      </c>
      <c r="G2031" s="36" t="s">
        <v>65</v>
      </c>
      <c r="H2031" s="36" t="s">
        <v>163</v>
      </c>
      <c r="I2031" s="3690" t="s">
        <v>4549</v>
      </c>
      <c r="J2031" s="3690" t="s">
        <v>4550</v>
      </c>
      <c r="K2031" s="3805">
        <v>6</v>
      </c>
      <c r="L2031" s="3691">
        <v>27000000</v>
      </c>
      <c r="M2031" s="3804">
        <v>2</v>
      </c>
      <c r="N2031" s="3806">
        <v>13125000</v>
      </c>
      <c r="O2031" s="3805">
        <v>1</v>
      </c>
      <c r="P2031" s="3807">
        <v>3500000</v>
      </c>
      <c r="Q2031" s="3804">
        <v>1</v>
      </c>
      <c r="R2031" s="3691">
        <v>0</v>
      </c>
      <c r="S2031" s="3805">
        <v>0</v>
      </c>
      <c r="T2031" s="3691">
        <v>0</v>
      </c>
      <c r="U2031" s="3805">
        <v>0</v>
      </c>
      <c r="V2031" s="3807">
        <v>0</v>
      </c>
      <c r="W2031" s="3803"/>
      <c r="X2031" s="3803"/>
      <c r="Y2031" s="3679">
        <f t="shared" ref="Y2031:Y2032" si="750">Q2031+S2031+U2031+W2031</f>
        <v>1</v>
      </c>
      <c r="Z2031" s="3691">
        <f t="shared" ref="Z2031:Z2033" si="751">R2031+T2031+V2031+X2031</f>
        <v>0</v>
      </c>
      <c r="AA2031" s="3679">
        <f t="shared" ref="AA2031:AA2043" si="752">M2031+Y2031</f>
        <v>3</v>
      </c>
      <c r="AB2031" s="3691">
        <f t="shared" ref="AB2031:AB2034" si="753">N2031+Z2031</f>
        <v>13125000</v>
      </c>
      <c r="AC2031" s="3684">
        <f t="shared" ref="AC2031:AC2043" si="754">(AA2031/K2031)*100</f>
        <v>50</v>
      </c>
      <c r="AD2031" s="3684">
        <f t="shared" ref="AD2031:AD2033" si="755">(AB2031/L2031)*100</f>
        <v>48.611111111111107</v>
      </c>
      <c r="AE2031" s="3690" t="s">
        <v>4569</v>
      </c>
    </row>
    <row r="2032" spans="1:76" s="2117" customFormat="1" ht="64.5" customHeight="1">
      <c r="A2032" s="3803"/>
      <c r="B2032" s="3678"/>
      <c r="C2032" s="36">
        <v>5</v>
      </c>
      <c r="D2032" s="36" t="s">
        <v>107</v>
      </c>
      <c r="E2032" s="36" t="s">
        <v>66</v>
      </c>
      <c r="F2032" s="36" t="s">
        <v>155</v>
      </c>
      <c r="G2032" s="36" t="s">
        <v>65</v>
      </c>
      <c r="H2032" s="36" t="s">
        <v>163</v>
      </c>
      <c r="I2032" s="3690" t="s">
        <v>1301</v>
      </c>
      <c r="J2032" s="3690" t="s">
        <v>4358</v>
      </c>
      <c r="K2032" s="3805">
        <v>6</v>
      </c>
      <c r="L2032" s="3691">
        <v>27000000</v>
      </c>
      <c r="M2032" s="3804">
        <v>2</v>
      </c>
      <c r="N2032" s="3806">
        <v>13125000</v>
      </c>
      <c r="O2032" s="3805">
        <v>1</v>
      </c>
      <c r="P2032" s="3807">
        <v>3000000</v>
      </c>
      <c r="Q2032" s="3804">
        <v>1</v>
      </c>
      <c r="R2032" s="3691">
        <v>500000</v>
      </c>
      <c r="S2032" s="3805">
        <v>0</v>
      </c>
      <c r="T2032" s="3691">
        <v>0</v>
      </c>
      <c r="U2032" s="3805">
        <v>0</v>
      </c>
      <c r="V2032" s="3807">
        <f>1250000</f>
        <v>1250000</v>
      </c>
      <c r="W2032" s="3803"/>
      <c r="X2032" s="3803"/>
      <c r="Y2032" s="3679">
        <f t="shared" si="750"/>
        <v>1</v>
      </c>
      <c r="Z2032" s="3691">
        <f t="shared" si="751"/>
        <v>1750000</v>
      </c>
      <c r="AA2032" s="3679">
        <f t="shared" si="752"/>
        <v>3</v>
      </c>
      <c r="AB2032" s="3691">
        <f t="shared" si="753"/>
        <v>14875000</v>
      </c>
      <c r="AC2032" s="3684">
        <f t="shared" si="754"/>
        <v>50</v>
      </c>
      <c r="AD2032" s="3684">
        <f t="shared" si="755"/>
        <v>55.092592592592595</v>
      </c>
      <c r="AE2032" s="3690" t="s">
        <v>4569</v>
      </c>
    </row>
    <row r="2033" spans="1:31" s="2117" customFormat="1" ht="90">
      <c r="A2033" s="3803"/>
      <c r="B2033" s="3678"/>
      <c r="C2033" s="36">
        <v>5</v>
      </c>
      <c r="D2033" s="36" t="s">
        <v>107</v>
      </c>
      <c r="E2033" s="36" t="s">
        <v>66</v>
      </c>
      <c r="F2033" s="36" t="s">
        <v>155</v>
      </c>
      <c r="G2033" s="36" t="s">
        <v>65</v>
      </c>
      <c r="H2033" s="36" t="s">
        <v>165</v>
      </c>
      <c r="I2033" s="3690" t="s">
        <v>4359</v>
      </c>
      <c r="J2033" s="3690" t="s">
        <v>4360</v>
      </c>
      <c r="K2033" s="3805">
        <v>24</v>
      </c>
      <c r="L2033" s="3691">
        <v>247106000</v>
      </c>
      <c r="M2033" s="3804">
        <v>8</v>
      </c>
      <c r="N2033" s="3806">
        <v>73919000</v>
      </c>
      <c r="O2033" s="3805">
        <v>4</v>
      </c>
      <c r="P2033" s="3807">
        <v>34450000</v>
      </c>
      <c r="Q2033" s="3804">
        <v>1</v>
      </c>
      <c r="R2033" s="3691">
        <v>8500000</v>
      </c>
      <c r="S2033" s="3805">
        <v>1</v>
      </c>
      <c r="T2033" s="3807">
        <f>13800000-R2033</f>
        <v>5300000</v>
      </c>
      <c r="U2033" s="3805">
        <v>1</v>
      </c>
      <c r="V2033" s="3807">
        <f>24503000-T2033-R2033</f>
        <v>10703000</v>
      </c>
      <c r="W2033" s="3803"/>
      <c r="X2033" s="3803"/>
      <c r="Y2033" s="3679">
        <v>1</v>
      </c>
      <c r="Z2033" s="3691">
        <f t="shared" si="751"/>
        <v>24503000</v>
      </c>
      <c r="AA2033" s="3679">
        <f t="shared" si="752"/>
        <v>9</v>
      </c>
      <c r="AB2033" s="3691">
        <f t="shared" si="753"/>
        <v>98422000</v>
      </c>
      <c r="AC2033" s="3684">
        <f t="shared" si="754"/>
        <v>37.5</v>
      </c>
      <c r="AD2033" s="3684">
        <f t="shared" si="755"/>
        <v>39.829870581855559</v>
      </c>
      <c r="AE2033" s="3690" t="s">
        <v>4569</v>
      </c>
    </row>
    <row r="2034" spans="1:31" s="2117" customFormat="1" ht="75">
      <c r="A2034" s="3803"/>
      <c r="B2034" s="3678"/>
      <c r="C2034" s="36">
        <v>5</v>
      </c>
      <c r="D2034" s="36" t="s">
        <v>107</v>
      </c>
      <c r="E2034" s="36" t="s">
        <v>66</v>
      </c>
      <c r="F2034" s="36" t="s">
        <v>155</v>
      </c>
      <c r="G2034" s="36" t="s">
        <v>65</v>
      </c>
      <c r="H2034" s="36" t="s">
        <v>178</v>
      </c>
      <c r="I2034" s="3690" t="s">
        <v>4361</v>
      </c>
      <c r="J2034" s="3690" t="s">
        <v>4362</v>
      </c>
      <c r="K2034" s="3805">
        <v>96</v>
      </c>
      <c r="L2034" s="3691">
        <v>27000000</v>
      </c>
      <c r="M2034" s="3804">
        <v>12</v>
      </c>
      <c r="N2034" s="3806">
        <v>3780000</v>
      </c>
      <c r="O2034" s="3805">
        <v>13</v>
      </c>
      <c r="P2034" s="3807">
        <v>2800000</v>
      </c>
      <c r="Q2034" s="3804">
        <v>3</v>
      </c>
      <c r="R2034" s="3691">
        <v>400000</v>
      </c>
      <c r="S2034" s="3805">
        <v>3</v>
      </c>
      <c r="T2034" s="3807">
        <v>400000</v>
      </c>
      <c r="U2034" s="3805">
        <v>3</v>
      </c>
      <c r="V2034" s="3807">
        <v>600000</v>
      </c>
      <c r="W2034" s="3803"/>
      <c r="X2034" s="3803"/>
      <c r="Y2034" s="3679">
        <f t="shared" ref="Y2034:Y2043" si="756">Q2034+S2034+U2034+W2034</f>
        <v>9</v>
      </c>
      <c r="Z2034" s="3691">
        <f>R2034+T2034+V2034+X2034</f>
        <v>1400000</v>
      </c>
      <c r="AA2034" s="3679">
        <f t="shared" si="752"/>
        <v>21</v>
      </c>
      <c r="AB2034" s="3691">
        <f t="shared" si="753"/>
        <v>5180000</v>
      </c>
      <c r="AC2034" s="3684">
        <f t="shared" si="754"/>
        <v>21.875</v>
      </c>
      <c r="AD2034" s="3684">
        <f>(AB2034/L2034)*100</f>
        <v>19.185185185185187</v>
      </c>
      <c r="AE2034" s="3690" t="s">
        <v>4569</v>
      </c>
    </row>
    <row r="2035" spans="1:31" s="3825" customFormat="1" ht="82.5">
      <c r="A2035" s="3657">
        <v>3</v>
      </c>
      <c r="B2035" s="3835"/>
      <c r="C2035" s="3659">
        <v>5</v>
      </c>
      <c r="D2035" s="3659" t="s">
        <v>107</v>
      </c>
      <c r="E2035" s="3659" t="s">
        <v>66</v>
      </c>
      <c r="F2035" s="3659" t="s">
        <v>155</v>
      </c>
      <c r="G2035" s="3659" t="s">
        <v>448</v>
      </c>
      <c r="H2035" s="3657"/>
      <c r="I2035" s="3660" t="s">
        <v>4364</v>
      </c>
      <c r="J2035" s="3660" t="s">
        <v>4365</v>
      </c>
      <c r="K2035" s="3657">
        <v>100</v>
      </c>
      <c r="L2035" s="3662">
        <f>SUM(L2036:L2036)</f>
        <v>174225000</v>
      </c>
      <c r="M2035" s="3657">
        <v>32</v>
      </c>
      <c r="N2035" s="3662">
        <f>SUM(N2036:N2036)</f>
        <v>41225000</v>
      </c>
      <c r="O2035" s="3657">
        <v>18</v>
      </c>
      <c r="P2035" s="3662">
        <f>SUM(P2036:P2036)</f>
        <v>28075000</v>
      </c>
      <c r="Q2035" s="3657">
        <v>0</v>
      </c>
      <c r="R2035" s="3662">
        <f>SUM(R2036:R2036)</f>
        <v>0</v>
      </c>
      <c r="S2035" s="3657">
        <v>0</v>
      </c>
      <c r="T2035" s="3662">
        <f>SUM(T2036:T2036)</f>
        <v>0</v>
      </c>
      <c r="U2035" s="3664">
        <f>V2035/P2035*100</f>
        <v>44.523597506678541</v>
      </c>
      <c r="V2035" s="3662">
        <f>SUM(V2036:V2036)</f>
        <v>12500000</v>
      </c>
      <c r="W2035" s="3661"/>
      <c r="X2035" s="3661"/>
      <c r="Y2035" s="3836">
        <f t="shared" si="756"/>
        <v>44.523597506678541</v>
      </c>
      <c r="Z2035" s="3662">
        <f>SUM(Z2036:Z2036)</f>
        <v>12500000</v>
      </c>
      <c r="AA2035" s="3836">
        <f t="shared" si="752"/>
        <v>76.523597506678541</v>
      </c>
      <c r="AB2035" s="3662">
        <f>SUM(AB2036:AB2036)</f>
        <v>53725000</v>
      </c>
      <c r="AC2035" s="3664">
        <f t="shared" si="754"/>
        <v>76.523597506678541</v>
      </c>
      <c r="AD2035" s="3664">
        <f t="shared" ref="AD2035" si="757">(AB2035/L2035)*100</f>
        <v>30.836561917061271</v>
      </c>
      <c r="AE2035" s="3660" t="s">
        <v>4569</v>
      </c>
    </row>
    <row r="2036" spans="1:31" s="2117" customFormat="1" ht="45">
      <c r="A2036" s="18"/>
      <c r="B2036" s="15"/>
      <c r="C2036" s="36">
        <v>5</v>
      </c>
      <c r="D2036" s="36" t="s">
        <v>107</v>
      </c>
      <c r="E2036" s="36" t="s">
        <v>66</v>
      </c>
      <c r="F2036" s="36" t="s">
        <v>155</v>
      </c>
      <c r="G2036" s="36" t="s">
        <v>448</v>
      </c>
      <c r="H2036" s="36" t="s">
        <v>197</v>
      </c>
      <c r="I2036" s="15" t="s">
        <v>4366</v>
      </c>
      <c r="J2036" s="15" t="s">
        <v>4367</v>
      </c>
      <c r="K2036" s="3826">
        <v>6</v>
      </c>
      <c r="L2036" s="16">
        <v>174225000</v>
      </c>
      <c r="M2036" s="3826">
        <v>2</v>
      </c>
      <c r="N2036" s="16">
        <v>41225000</v>
      </c>
      <c r="O2036" s="3826">
        <v>1</v>
      </c>
      <c r="P2036" s="16">
        <v>28075000</v>
      </c>
      <c r="Q2036" s="3826">
        <v>0</v>
      </c>
      <c r="R2036" s="16">
        <v>0</v>
      </c>
      <c r="S2036" s="3826">
        <v>0</v>
      </c>
      <c r="T2036" s="16">
        <v>0</v>
      </c>
      <c r="U2036" s="3826">
        <v>1</v>
      </c>
      <c r="V2036" s="3827">
        <v>12500000</v>
      </c>
      <c r="W2036" s="15"/>
      <c r="X2036" s="15"/>
      <c r="Y2036" s="3826">
        <f t="shared" si="756"/>
        <v>1</v>
      </c>
      <c r="Z2036" s="3691">
        <f>R2036+T2036+V2036+X2036</f>
        <v>12500000</v>
      </c>
      <c r="AA2036" s="3826">
        <f t="shared" si="752"/>
        <v>3</v>
      </c>
      <c r="AB2036" s="3691">
        <f t="shared" ref="AB2036" si="758">N2036+Z2036</f>
        <v>53725000</v>
      </c>
      <c r="AC2036" s="19">
        <f t="shared" si="754"/>
        <v>50</v>
      </c>
      <c r="AD2036" s="19">
        <f>(AB2036/L2036)*100</f>
        <v>30.836561917061271</v>
      </c>
      <c r="AE2036" s="15" t="s">
        <v>4569</v>
      </c>
    </row>
    <row r="2037" spans="1:31" s="3825" customFormat="1" ht="99">
      <c r="A2037" s="3657">
        <v>4</v>
      </c>
      <c r="B2037" s="3835"/>
      <c r="C2037" s="3659">
        <v>5</v>
      </c>
      <c r="D2037" s="3659" t="s">
        <v>107</v>
      </c>
      <c r="E2037" s="3659" t="s">
        <v>66</v>
      </c>
      <c r="F2037" s="3659" t="s">
        <v>155</v>
      </c>
      <c r="G2037" s="3659" t="s">
        <v>155</v>
      </c>
      <c r="H2037" s="3659"/>
      <c r="I2037" s="3660" t="s">
        <v>4369</v>
      </c>
      <c r="J2037" s="3660" t="s">
        <v>4370</v>
      </c>
      <c r="K2037" s="3657">
        <v>100</v>
      </c>
      <c r="L2037" s="3662">
        <f>SUM(L2038:L2038)</f>
        <v>75310000</v>
      </c>
      <c r="M2037" s="3657">
        <v>32</v>
      </c>
      <c r="N2037" s="3662">
        <f>SUM(N2038:N2038)</f>
        <v>20605000</v>
      </c>
      <c r="O2037" s="3657">
        <v>18</v>
      </c>
      <c r="P2037" s="3662">
        <f>SUM(P2038:P2038)</f>
        <v>13455000</v>
      </c>
      <c r="Q2037" s="3657">
        <v>0</v>
      </c>
      <c r="R2037" s="3662">
        <f>SUM(R2038:R2038)</f>
        <v>0</v>
      </c>
      <c r="S2037" s="3657">
        <v>15</v>
      </c>
      <c r="T2037" s="3663">
        <f>SUM(T2038)</f>
        <v>13455000</v>
      </c>
      <c r="U2037" s="3661">
        <v>3</v>
      </c>
      <c r="V2037" s="3663">
        <f>SUM(V2038)</f>
        <v>0</v>
      </c>
      <c r="W2037" s="3661"/>
      <c r="X2037" s="3661"/>
      <c r="Y2037" s="3657">
        <f t="shared" si="756"/>
        <v>18</v>
      </c>
      <c r="Z2037" s="3662">
        <f>SUM(Z2038:Z2038)</f>
        <v>13455000</v>
      </c>
      <c r="AA2037" s="3657">
        <f t="shared" si="752"/>
        <v>50</v>
      </c>
      <c r="AB2037" s="3662">
        <f>SUM(AB2038:AB2038)</f>
        <v>34060000</v>
      </c>
      <c r="AC2037" s="3664">
        <f t="shared" si="754"/>
        <v>50</v>
      </c>
      <c r="AD2037" s="3664">
        <f t="shared" ref="AD2037:AD2039" si="759">(AB2037/L2037)*100</f>
        <v>45.22639755676537</v>
      </c>
      <c r="AE2037" s="3660" t="s">
        <v>4569</v>
      </c>
    </row>
    <row r="2038" spans="1:31" s="2117" customFormat="1" ht="75">
      <c r="A2038" s="18"/>
      <c r="B2038" s="15"/>
      <c r="C2038" s="36">
        <v>5</v>
      </c>
      <c r="D2038" s="36" t="s">
        <v>107</v>
      </c>
      <c r="E2038" s="36" t="s">
        <v>66</v>
      </c>
      <c r="F2038" s="36" t="s">
        <v>155</v>
      </c>
      <c r="G2038" s="36" t="s">
        <v>155</v>
      </c>
      <c r="H2038" s="36" t="s">
        <v>202</v>
      </c>
      <c r="I2038" s="15" t="s">
        <v>4371</v>
      </c>
      <c r="J2038" s="15" t="s">
        <v>4565</v>
      </c>
      <c r="K2038" s="3826">
        <v>6</v>
      </c>
      <c r="L2038" s="16">
        <v>75310000</v>
      </c>
      <c r="M2038" s="3826">
        <v>2</v>
      </c>
      <c r="N2038" s="16">
        <v>20605000</v>
      </c>
      <c r="O2038" s="3826">
        <v>1</v>
      </c>
      <c r="P2038" s="16">
        <v>13455000</v>
      </c>
      <c r="Q2038" s="3826">
        <v>0</v>
      </c>
      <c r="R2038" s="16">
        <v>0</v>
      </c>
      <c r="S2038" s="3826">
        <v>1</v>
      </c>
      <c r="T2038" s="3827">
        <v>13455000</v>
      </c>
      <c r="U2038" s="3826">
        <v>1</v>
      </c>
      <c r="V2038" s="3827">
        <v>0</v>
      </c>
      <c r="W2038" s="15"/>
      <c r="X2038" s="15"/>
      <c r="Y2038" s="3679">
        <f t="shared" si="756"/>
        <v>2</v>
      </c>
      <c r="Z2038" s="3691">
        <f>R2038+T2038+V2038+X2038</f>
        <v>13455000</v>
      </c>
      <c r="AA2038" s="3679">
        <f t="shared" si="752"/>
        <v>4</v>
      </c>
      <c r="AB2038" s="3691">
        <f t="shared" ref="AB2038" si="760">N2038+Z2038</f>
        <v>34060000</v>
      </c>
      <c r="AC2038" s="3684">
        <f t="shared" si="754"/>
        <v>66.666666666666657</v>
      </c>
      <c r="AD2038" s="3684">
        <f t="shared" si="759"/>
        <v>45.22639755676537</v>
      </c>
      <c r="AE2038" s="15" t="s">
        <v>4569</v>
      </c>
    </row>
    <row r="2039" spans="1:31" s="3825" customFormat="1" ht="66">
      <c r="A2039" s="3657">
        <v>5</v>
      </c>
      <c r="B2039" s="3835"/>
      <c r="C2039" s="3659">
        <v>5</v>
      </c>
      <c r="D2039" s="3659" t="s">
        <v>107</v>
      </c>
      <c r="E2039" s="3659" t="s">
        <v>66</v>
      </c>
      <c r="F2039" s="3659" t="s">
        <v>155</v>
      </c>
      <c r="G2039" s="3659" t="s">
        <v>448</v>
      </c>
      <c r="H2039" s="3659"/>
      <c r="I2039" s="3660" t="s">
        <v>4555</v>
      </c>
      <c r="J2039" s="3660" t="s">
        <v>4556</v>
      </c>
      <c r="K2039" s="3657">
        <v>80</v>
      </c>
      <c r="L2039" s="3662">
        <f>SUM(L2040:L2040)</f>
        <v>100000000</v>
      </c>
      <c r="M2039" s="3657">
        <v>60</v>
      </c>
      <c r="N2039" s="3662">
        <f>SUM(N2040:N2040)</f>
        <v>0</v>
      </c>
      <c r="O2039" s="3657">
        <v>15</v>
      </c>
      <c r="P2039" s="3662">
        <f>SUM(P2040:P2040)</f>
        <v>7286500</v>
      </c>
      <c r="Q2039" s="3657">
        <v>0</v>
      </c>
      <c r="R2039" s="3662">
        <f>SUM(R2040:R2040)</f>
        <v>150000</v>
      </c>
      <c r="S2039" s="3657">
        <v>10</v>
      </c>
      <c r="T2039" s="3662">
        <f>SUM(T2040)</f>
        <v>485000</v>
      </c>
      <c r="U2039" s="3661">
        <v>10</v>
      </c>
      <c r="V2039" s="3662">
        <f>SUM(V2040)</f>
        <v>0</v>
      </c>
      <c r="W2039" s="3661"/>
      <c r="X2039" s="3661"/>
      <c r="Y2039" s="3657">
        <f t="shared" si="756"/>
        <v>20</v>
      </c>
      <c r="Z2039" s="3662">
        <f>SUM(Z2040:Z2040)</f>
        <v>635000</v>
      </c>
      <c r="AA2039" s="3657">
        <f t="shared" si="752"/>
        <v>80</v>
      </c>
      <c r="AB2039" s="3662">
        <f>SUM(AB2040:AB2040)</f>
        <v>635000</v>
      </c>
      <c r="AC2039" s="3664">
        <f t="shared" si="754"/>
        <v>100</v>
      </c>
      <c r="AD2039" s="3664">
        <f t="shared" si="759"/>
        <v>0.63500000000000001</v>
      </c>
      <c r="AE2039" s="3660" t="s">
        <v>4569</v>
      </c>
    </row>
    <row r="2040" spans="1:31" s="63" customFormat="1" ht="25.5">
      <c r="A2040" s="3852"/>
      <c r="B2040" s="3854"/>
      <c r="C2040" s="3853"/>
      <c r="D2040" s="3853"/>
      <c r="E2040" s="3853"/>
      <c r="F2040" s="3853"/>
      <c r="G2040" s="3853"/>
      <c r="H2040" s="3853"/>
      <c r="I2040" s="3854" t="s">
        <v>4557</v>
      </c>
      <c r="J2040" s="3854" t="s">
        <v>4558</v>
      </c>
      <c r="K2040" s="3852">
        <v>5</v>
      </c>
      <c r="L2040" s="3863">
        <v>100000000</v>
      </c>
      <c r="M2040" s="3852">
        <v>0</v>
      </c>
      <c r="N2040" s="3863">
        <v>0</v>
      </c>
      <c r="O2040" s="3852">
        <v>1</v>
      </c>
      <c r="P2040" s="3863">
        <v>7286500</v>
      </c>
      <c r="Q2040" s="3852">
        <v>0</v>
      </c>
      <c r="R2040" s="3855">
        <v>150000</v>
      </c>
      <c r="S2040" s="3852">
        <v>1</v>
      </c>
      <c r="T2040" s="3863">
        <v>485000</v>
      </c>
      <c r="U2040" s="3852">
        <v>0</v>
      </c>
      <c r="V2040" s="3864">
        <v>0</v>
      </c>
      <c r="W2040" s="3852"/>
      <c r="X2040" s="3852"/>
      <c r="Y2040" s="3852">
        <f t="shared" si="756"/>
        <v>1</v>
      </c>
      <c r="Z2040" s="60">
        <f>R2040+T2040+V2040+X2040</f>
        <v>635000</v>
      </c>
      <c r="AA2040" s="3852">
        <f t="shared" si="752"/>
        <v>1</v>
      </c>
      <c r="AB2040" s="60">
        <f t="shared" ref="AB2040" si="761">N2040+Z2040</f>
        <v>635000</v>
      </c>
      <c r="AC2040" s="389">
        <f t="shared" si="754"/>
        <v>20</v>
      </c>
      <c r="AD2040" s="3852"/>
      <c r="AE2040" s="3851" t="s">
        <v>4569</v>
      </c>
    </row>
    <row r="2041" spans="1:31" s="3829" customFormat="1" ht="111.75" customHeight="1">
      <c r="A2041" s="3657">
        <v>6</v>
      </c>
      <c r="B2041" s="3835"/>
      <c r="C2041" s="3659">
        <v>5</v>
      </c>
      <c r="D2041" s="3659" t="s">
        <v>107</v>
      </c>
      <c r="E2041" s="3659" t="s">
        <v>66</v>
      </c>
      <c r="F2041" s="3659" t="s">
        <v>155</v>
      </c>
      <c r="G2041" s="3659" t="s">
        <v>357</v>
      </c>
      <c r="H2041" s="3657"/>
      <c r="I2041" s="3660" t="s">
        <v>4378</v>
      </c>
      <c r="J2041" s="3660" t="s">
        <v>4379</v>
      </c>
      <c r="K2041" s="3657">
        <v>100</v>
      </c>
      <c r="L2041" s="3662">
        <f>SUM(L2042:L2043)</f>
        <v>174353840</v>
      </c>
      <c r="M2041" s="3657">
        <v>32</v>
      </c>
      <c r="N2041" s="3662">
        <f>SUM(N2042:N2043)</f>
        <v>49300000</v>
      </c>
      <c r="O2041" s="3657">
        <v>18</v>
      </c>
      <c r="P2041" s="3662">
        <f>SUM(P2042:P2043)</f>
        <v>17280000</v>
      </c>
      <c r="Q2041" s="3657">
        <v>0</v>
      </c>
      <c r="R2041" s="3662">
        <f>SUM(R2042:R2043)</f>
        <v>550000</v>
      </c>
      <c r="S2041" s="3657">
        <v>2</v>
      </c>
      <c r="T2041" s="3663">
        <f>SUM(T2042:T2043)</f>
        <v>6730000</v>
      </c>
      <c r="U2041" s="3664">
        <f>V2041/P2041*100</f>
        <v>26.302083333333332</v>
      </c>
      <c r="V2041" s="3663">
        <f>SUM(V2042:V2043)</f>
        <v>4545000</v>
      </c>
      <c r="W2041" s="3661"/>
      <c r="X2041" s="3661"/>
      <c r="Y2041" s="3836">
        <f t="shared" si="756"/>
        <v>28.302083333333332</v>
      </c>
      <c r="Z2041" s="3662">
        <f>SUM(Z2042:Z2043)</f>
        <v>11825000</v>
      </c>
      <c r="AA2041" s="3836">
        <f t="shared" si="752"/>
        <v>60.302083333333329</v>
      </c>
      <c r="AB2041" s="3662">
        <f>SUM(AB2042:AB2042)</f>
        <v>54395000</v>
      </c>
      <c r="AC2041" s="3664">
        <f t="shared" si="754"/>
        <v>60.302083333333336</v>
      </c>
      <c r="AD2041" s="3664">
        <f t="shared" ref="AD2041" si="762">(AB2041/L2041)*100</f>
        <v>31.198051043785441</v>
      </c>
      <c r="AE2041" s="3660" t="s">
        <v>4569</v>
      </c>
    </row>
    <row r="2042" spans="1:31" s="6" customFormat="1" ht="75">
      <c r="A2042" s="18"/>
      <c r="B2042" s="15"/>
      <c r="C2042" s="36">
        <v>5</v>
      </c>
      <c r="D2042" s="36" t="s">
        <v>107</v>
      </c>
      <c r="E2042" s="36" t="s">
        <v>66</v>
      </c>
      <c r="F2042" s="36" t="s">
        <v>155</v>
      </c>
      <c r="G2042" s="36" t="s">
        <v>357</v>
      </c>
      <c r="H2042" s="35" t="s">
        <v>65</v>
      </c>
      <c r="I2042" s="15" t="s">
        <v>4380</v>
      </c>
      <c r="J2042" s="15" t="s">
        <v>4564</v>
      </c>
      <c r="K2042" s="3826">
        <v>60</v>
      </c>
      <c r="L2042" s="16">
        <v>129353840</v>
      </c>
      <c r="M2042" s="3826">
        <v>20</v>
      </c>
      <c r="N2042" s="16">
        <v>49300000</v>
      </c>
      <c r="O2042" s="3826">
        <v>10</v>
      </c>
      <c r="P2042" s="16">
        <v>10530000</v>
      </c>
      <c r="Q2042" s="3826">
        <v>2</v>
      </c>
      <c r="R2042" s="16">
        <v>550000</v>
      </c>
      <c r="S2042" s="3826">
        <f>4-Q2042</f>
        <v>2</v>
      </c>
      <c r="T2042" s="3827">
        <v>0</v>
      </c>
      <c r="U2042" s="3826">
        <v>2</v>
      </c>
      <c r="V2042" s="3827">
        <v>4545000</v>
      </c>
      <c r="W2042" s="15"/>
      <c r="X2042" s="15"/>
      <c r="Y2042" s="3826">
        <f t="shared" si="756"/>
        <v>6</v>
      </c>
      <c r="Z2042" s="3691">
        <f>R2042+T2042+V2042+X2042</f>
        <v>5095000</v>
      </c>
      <c r="AA2042" s="3826">
        <f t="shared" si="752"/>
        <v>26</v>
      </c>
      <c r="AB2042" s="3691">
        <f t="shared" ref="AB2042:AB2043" si="763">N2042+Z2042</f>
        <v>54395000</v>
      </c>
      <c r="AC2042" s="19">
        <f t="shared" si="754"/>
        <v>43.333333333333336</v>
      </c>
      <c r="AD2042" s="19">
        <f>(AB2042/L2042)*100</f>
        <v>42.051322171804102</v>
      </c>
      <c r="AE2042" s="15" t="s">
        <v>4569</v>
      </c>
    </row>
    <row r="2043" spans="1:31" s="6" customFormat="1" ht="30">
      <c r="A2043" s="18"/>
      <c r="B2043" s="15"/>
      <c r="C2043" s="36">
        <v>5</v>
      </c>
      <c r="D2043" s="36" t="s">
        <v>107</v>
      </c>
      <c r="E2043" s="36" t="s">
        <v>66</v>
      </c>
      <c r="F2043" s="36" t="s">
        <v>155</v>
      </c>
      <c r="G2043" s="36" t="s">
        <v>357</v>
      </c>
      <c r="H2043" s="35" t="s">
        <v>196</v>
      </c>
      <c r="I2043" s="15" t="s">
        <v>4551</v>
      </c>
      <c r="J2043" s="15" t="s">
        <v>4552</v>
      </c>
      <c r="K2043" s="3826">
        <v>60</v>
      </c>
      <c r="L2043" s="16">
        <v>45000000</v>
      </c>
      <c r="M2043" s="3826"/>
      <c r="N2043" s="16"/>
      <c r="O2043" s="3826">
        <v>10</v>
      </c>
      <c r="P2043" s="16">
        <v>6750000</v>
      </c>
      <c r="Q2043" s="3826">
        <v>2</v>
      </c>
      <c r="R2043" s="16">
        <v>0</v>
      </c>
      <c r="S2043" s="3826">
        <f>4-Q2043</f>
        <v>2</v>
      </c>
      <c r="T2043" s="3827">
        <v>6730000</v>
      </c>
      <c r="U2043" s="3826">
        <v>2</v>
      </c>
      <c r="V2043" s="3827">
        <v>0</v>
      </c>
      <c r="W2043" s="15"/>
      <c r="X2043" s="15"/>
      <c r="Y2043" s="3826">
        <f t="shared" si="756"/>
        <v>6</v>
      </c>
      <c r="Z2043" s="3691">
        <f>R2043+T2043+V2043+X2043</f>
        <v>6730000</v>
      </c>
      <c r="AA2043" s="3826">
        <f t="shared" si="752"/>
        <v>6</v>
      </c>
      <c r="AB2043" s="3691">
        <f t="shared" si="763"/>
        <v>6730000</v>
      </c>
      <c r="AC2043" s="19">
        <f t="shared" si="754"/>
        <v>10</v>
      </c>
      <c r="AD2043" s="19">
        <f>(AB2043/L2043)*100</f>
        <v>14.955555555555556</v>
      </c>
      <c r="AE2043" s="15" t="s">
        <v>4569</v>
      </c>
    </row>
    <row r="2044" spans="1:31" s="3802" customFormat="1" ht="99">
      <c r="A2044" s="3657">
        <v>8</v>
      </c>
      <c r="B2044" s="3835"/>
      <c r="C2044" s="3659">
        <v>5</v>
      </c>
      <c r="D2044" s="3659" t="s">
        <v>107</v>
      </c>
      <c r="E2044" s="3659" t="s">
        <v>66</v>
      </c>
      <c r="F2044" s="3659" t="s">
        <v>155</v>
      </c>
      <c r="G2044" s="3659" t="s">
        <v>1099</v>
      </c>
      <c r="H2044" s="3657"/>
      <c r="I2044" s="3660" t="s">
        <v>4387</v>
      </c>
      <c r="J2044" s="3660" t="s">
        <v>4388</v>
      </c>
      <c r="K2044" s="3657">
        <v>100</v>
      </c>
      <c r="L2044" s="3662">
        <f>SUM(L2045:L2050)</f>
        <v>707523000</v>
      </c>
      <c r="M2044" s="3657">
        <v>32</v>
      </c>
      <c r="N2044" s="3662">
        <f>SUM(N2045:N2050)</f>
        <v>176442400</v>
      </c>
      <c r="O2044" s="3657">
        <v>20</v>
      </c>
      <c r="P2044" s="3662">
        <f>SUM(P2045:P2050)</f>
        <v>113745000</v>
      </c>
      <c r="Q2044" s="3657">
        <v>0</v>
      </c>
      <c r="R2044" s="3662">
        <f>SUM(R2045:R2050)</f>
        <v>13190000</v>
      </c>
      <c r="S2044" s="3657">
        <v>5</v>
      </c>
      <c r="T2044" s="3662">
        <f>SUM(T2045:T2050)</f>
        <v>44470000</v>
      </c>
      <c r="U2044" s="3664">
        <f>V2044/P2044*100</f>
        <v>4.8243878851817659</v>
      </c>
      <c r="V2044" s="3662">
        <f>SUM(V2045:V2050)</f>
        <v>5487500</v>
      </c>
      <c r="W2044" s="3661"/>
      <c r="X2044" s="3661"/>
      <c r="Y2044" s="3836">
        <f>Q2044+S2044+U2044+W2044</f>
        <v>9.8243878851817659</v>
      </c>
      <c r="Z2044" s="3662">
        <f>SUM(Z2045:Z2050)</f>
        <v>63147500</v>
      </c>
      <c r="AA2044" s="3836">
        <f>M2044+Y2044</f>
        <v>41.824387885181764</v>
      </c>
      <c r="AB2044" s="3662">
        <f>SUM(AB2045:AB2050)</f>
        <v>239589900</v>
      </c>
      <c r="AC2044" s="3664">
        <f>(AA2044/K2044)*100</f>
        <v>41.824387885181764</v>
      </c>
      <c r="AD2044" s="3664">
        <f t="shared" ref="AD2044:AD2050" si="764">(AB2044/L2044)*100</f>
        <v>33.863195966774221</v>
      </c>
      <c r="AE2044" s="3660" t="s">
        <v>4569</v>
      </c>
    </row>
    <row r="2045" spans="1:31" s="6" customFormat="1" ht="63" customHeight="1">
      <c r="A2045" s="3803"/>
      <c r="B2045" s="3678"/>
      <c r="C2045" s="36">
        <v>5</v>
      </c>
      <c r="D2045" s="36" t="s">
        <v>107</v>
      </c>
      <c r="E2045" s="36" t="s">
        <v>66</v>
      </c>
      <c r="F2045" s="36" t="s">
        <v>155</v>
      </c>
      <c r="G2045" s="36" t="s">
        <v>1099</v>
      </c>
      <c r="H2045" s="3804" t="s">
        <v>66</v>
      </c>
      <c r="I2045" s="3690" t="s">
        <v>4285</v>
      </c>
      <c r="J2045" s="3690" t="s">
        <v>4563</v>
      </c>
      <c r="K2045" s="3805">
        <v>60</v>
      </c>
      <c r="L2045" s="3691">
        <v>188580500</v>
      </c>
      <c r="M2045" s="3804">
        <v>20</v>
      </c>
      <c r="N2045" s="3806">
        <v>58377900</v>
      </c>
      <c r="O2045" s="3805">
        <v>10</v>
      </c>
      <c r="P2045" s="3807">
        <v>37620000</v>
      </c>
      <c r="Q2045" s="3804">
        <v>1</v>
      </c>
      <c r="R2045" s="3691">
        <v>990000</v>
      </c>
      <c r="S2045" s="3805">
        <v>2</v>
      </c>
      <c r="T2045" s="3807">
        <f>14585000-R2045</f>
        <v>13595000</v>
      </c>
      <c r="U2045" s="3805">
        <v>2</v>
      </c>
      <c r="V2045" s="3807">
        <f>20072500-T2045-R2045</f>
        <v>5487500</v>
      </c>
      <c r="W2045" s="3803"/>
      <c r="X2045" s="3803"/>
      <c r="Y2045" s="3679">
        <f>Q2045+S2045+U2045+W2045</f>
        <v>5</v>
      </c>
      <c r="Z2045" s="3691">
        <f t="shared" ref="Z2045:Z2050" si="765">R2045+T2045+V2045+X2045</f>
        <v>20072500</v>
      </c>
      <c r="AA2045" s="3679">
        <f t="shared" ref="AA2045:AA2049" si="766">M2045+Y2045</f>
        <v>25</v>
      </c>
      <c r="AB2045" s="3691">
        <f t="shared" ref="AB2045:AB2050" si="767">N2045+Z2045</f>
        <v>78450400</v>
      </c>
      <c r="AC2045" s="3684">
        <f t="shared" ref="AC2045:AC2050" si="768">(AA2045/K2045)*100</f>
        <v>41.666666666666671</v>
      </c>
      <c r="AD2045" s="3684">
        <f t="shared" si="764"/>
        <v>41.600483613098916</v>
      </c>
      <c r="AE2045" s="3690" t="s">
        <v>4569</v>
      </c>
    </row>
    <row r="2046" spans="1:31" s="6" customFormat="1" ht="75">
      <c r="A2046" s="3803"/>
      <c r="B2046" s="3678"/>
      <c r="C2046" s="36">
        <v>5</v>
      </c>
      <c r="D2046" s="36" t="s">
        <v>107</v>
      </c>
      <c r="E2046" s="36" t="s">
        <v>66</v>
      </c>
      <c r="F2046" s="36" t="s">
        <v>155</v>
      </c>
      <c r="G2046" s="36" t="s">
        <v>1099</v>
      </c>
      <c r="H2046" s="3804" t="s">
        <v>65</v>
      </c>
      <c r="I2046" s="3690" t="s">
        <v>4390</v>
      </c>
      <c r="J2046" s="3690" t="s">
        <v>4391</v>
      </c>
      <c r="K2046" s="3805">
        <v>6</v>
      </c>
      <c r="L2046" s="3831">
        <v>137849500</v>
      </c>
      <c r="M2046" s="3804">
        <v>2</v>
      </c>
      <c r="N2046" s="3806">
        <v>36148000</v>
      </c>
      <c r="O2046" s="3805">
        <v>1</v>
      </c>
      <c r="P2046" s="3807">
        <v>16875000</v>
      </c>
      <c r="Q2046" s="3823">
        <v>0</v>
      </c>
      <c r="R2046" s="3691">
        <v>0</v>
      </c>
      <c r="S2046" s="3824">
        <v>0</v>
      </c>
      <c r="T2046" s="3691">
        <v>0</v>
      </c>
      <c r="U2046" s="3805">
        <v>0</v>
      </c>
      <c r="V2046" s="3803">
        <v>0</v>
      </c>
      <c r="W2046" s="3803"/>
      <c r="X2046" s="3803"/>
      <c r="Y2046" s="3679">
        <f t="shared" ref="Y2046:Y2048" si="769">Q2046+S2046+U2046+W2046</f>
        <v>0</v>
      </c>
      <c r="Z2046" s="3691">
        <f t="shared" si="765"/>
        <v>0</v>
      </c>
      <c r="AA2046" s="3679">
        <f t="shared" si="766"/>
        <v>2</v>
      </c>
      <c r="AB2046" s="3691">
        <f t="shared" si="767"/>
        <v>36148000</v>
      </c>
      <c r="AC2046" s="3684">
        <f t="shared" si="768"/>
        <v>33.333333333333329</v>
      </c>
      <c r="AD2046" s="3684">
        <f t="shared" si="764"/>
        <v>26.222800953213472</v>
      </c>
      <c r="AE2046" s="3690" t="s">
        <v>4569</v>
      </c>
    </row>
    <row r="2047" spans="1:31" s="6" customFormat="1" ht="105">
      <c r="A2047" s="3803"/>
      <c r="B2047" s="3678"/>
      <c r="C2047" s="36">
        <v>5</v>
      </c>
      <c r="D2047" s="36" t="s">
        <v>107</v>
      </c>
      <c r="E2047" s="36" t="s">
        <v>66</v>
      </c>
      <c r="F2047" s="36" t="s">
        <v>155</v>
      </c>
      <c r="G2047" s="36" t="s">
        <v>1099</v>
      </c>
      <c r="H2047" s="3804" t="s">
        <v>196</v>
      </c>
      <c r="I2047" s="3690" t="s">
        <v>4392</v>
      </c>
      <c r="J2047" s="3690" t="s">
        <v>4393</v>
      </c>
      <c r="K2047" s="3805">
        <v>6</v>
      </c>
      <c r="L2047" s="3691">
        <v>171393000</v>
      </c>
      <c r="M2047" s="3804">
        <v>2</v>
      </c>
      <c r="N2047" s="3806">
        <v>48716500</v>
      </c>
      <c r="O2047" s="3805">
        <v>1</v>
      </c>
      <c r="P2047" s="3807">
        <v>24100000</v>
      </c>
      <c r="Q2047" s="3804">
        <v>1</v>
      </c>
      <c r="R2047" s="3691">
        <v>12200000</v>
      </c>
      <c r="S2047" s="3824">
        <v>0</v>
      </c>
      <c r="T2047" s="3807">
        <f>24100000-R2047</f>
        <v>11900000</v>
      </c>
      <c r="U2047" s="3805">
        <v>0</v>
      </c>
      <c r="V2047" s="3807">
        <v>0</v>
      </c>
      <c r="W2047" s="3803"/>
      <c r="X2047" s="3803"/>
      <c r="Y2047" s="3679">
        <f t="shared" si="769"/>
        <v>1</v>
      </c>
      <c r="Z2047" s="3691">
        <f t="shared" si="765"/>
        <v>24100000</v>
      </c>
      <c r="AA2047" s="3679">
        <f t="shared" si="766"/>
        <v>3</v>
      </c>
      <c r="AB2047" s="3691">
        <f t="shared" si="767"/>
        <v>72816500</v>
      </c>
      <c r="AC2047" s="3684">
        <f t="shared" si="768"/>
        <v>50</v>
      </c>
      <c r="AD2047" s="3684">
        <f t="shared" si="764"/>
        <v>42.485107326436903</v>
      </c>
      <c r="AE2047" s="3690" t="s">
        <v>4569</v>
      </c>
    </row>
    <row r="2048" spans="1:31" s="6" customFormat="1" ht="90">
      <c r="A2048" s="3803"/>
      <c r="B2048" s="3678"/>
      <c r="C2048" s="36">
        <v>5</v>
      </c>
      <c r="D2048" s="36" t="s">
        <v>107</v>
      </c>
      <c r="E2048" s="36" t="s">
        <v>66</v>
      </c>
      <c r="F2048" s="36" t="s">
        <v>155</v>
      </c>
      <c r="G2048" s="36" t="s">
        <v>1099</v>
      </c>
      <c r="H2048" s="3804" t="s">
        <v>161</v>
      </c>
      <c r="I2048" s="3690" t="s">
        <v>4394</v>
      </c>
      <c r="J2048" s="3690" t="s">
        <v>4395</v>
      </c>
      <c r="K2048" s="3805">
        <v>72</v>
      </c>
      <c r="L2048" s="3691">
        <v>36000000</v>
      </c>
      <c r="M2048" s="3804">
        <v>24</v>
      </c>
      <c r="N2048" s="3806">
        <v>12000000</v>
      </c>
      <c r="O2048" s="3805">
        <v>12</v>
      </c>
      <c r="P2048" s="3807">
        <v>7090000</v>
      </c>
      <c r="Q2048" s="3804">
        <v>3</v>
      </c>
      <c r="R2048" s="3691">
        <v>0</v>
      </c>
      <c r="S2048" s="3824">
        <v>0</v>
      </c>
      <c r="T2048" s="3691">
        <v>0</v>
      </c>
      <c r="U2048" s="3805">
        <v>4</v>
      </c>
      <c r="V2048" s="3807">
        <v>0</v>
      </c>
      <c r="W2048" s="3803"/>
      <c r="X2048" s="3803"/>
      <c r="Y2048" s="3679">
        <f t="shared" si="769"/>
        <v>7</v>
      </c>
      <c r="Z2048" s="3691">
        <f t="shared" si="765"/>
        <v>0</v>
      </c>
      <c r="AA2048" s="3679">
        <f t="shared" si="766"/>
        <v>31</v>
      </c>
      <c r="AB2048" s="3691">
        <f t="shared" si="767"/>
        <v>12000000</v>
      </c>
      <c r="AC2048" s="3684">
        <f t="shared" si="768"/>
        <v>43.055555555555557</v>
      </c>
      <c r="AD2048" s="3684">
        <f t="shared" si="764"/>
        <v>33.333333333333329</v>
      </c>
      <c r="AE2048" s="3690" t="s">
        <v>4569</v>
      </c>
    </row>
    <row r="2049" spans="1:76" s="6" customFormat="1" ht="75">
      <c r="A2049" s="3803"/>
      <c r="B2049" s="3678"/>
      <c r="C2049" s="36">
        <v>5</v>
      </c>
      <c r="D2049" s="36" t="s">
        <v>107</v>
      </c>
      <c r="E2049" s="36" t="s">
        <v>66</v>
      </c>
      <c r="F2049" s="36" t="s">
        <v>155</v>
      </c>
      <c r="G2049" s="36" t="s">
        <v>1099</v>
      </c>
      <c r="H2049" s="3804" t="s">
        <v>197</v>
      </c>
      <c r="I2049" s="3690" t="s">
        <v>4293</v>
      </c>
      <c r="J2049" s="3690" t="s">
        <v>4396</v>
      </c>
      <c r="K2049" s="3805">
        <v>150</v>
      </c>
      <c r="L2049" s="3691">
        <v>76200000</v>
      </c>
      <c r="M2049" s="3804">
        <v>50</v>
      </c>
      <c r="N2049" s="3806">
        <v>21200000</v>
      </c>
      <c r="O2049" s="3805">
        <v>6</v>
      </c>
      <c r="P2049" s="3807">
        <v>8210000</v>
      </c>
      <c r="Q2049" s="3804">
        <v>0</v>
      </c>
      <c r="R2049" s="3691">
        <v>0</v>
      </c>
      <c r="S2049" s="3824">
        <v>0</v>
      </c>
      <c r="T2049" s="3691">
        <v>0</v>
      </c>
      <c r="U2049" s="3805">
        <v>2</v>
      </c>
      <c r="V2049" s="3807">
        <v>0</v>
      </c>
      <c r="W2049" s="3803"/>
      <c r="X2049" s="3803"/>
      <c r="Y2049" s="3679">
        <f>Q2049+S2049+U2049+W2049</f>
        <v>2</v>
      </c>
      <c r="Z2049" s="3691">
        <f t="shared" si="765"/>
        <v>0</v>
      </c>
      <c r="AA2049" s="3679">
        <f t="shared" si="766"/>
        <v>52</v>
      </c>
      <c r="AB2049" s="3691">
        <f t="shared" si="767"/>
        <v>21200000</v>
      </c>
      <c r="AC2049" s="3684">
        <f t="shared" si="768"/>
        <v>34.666666666666671</v>
      </c>
      <c r="AD2049" s="3684">
        <f t="shared" si="764"/>
        <v>27.821522309711288</v>
      </c>
      <c r="AE2049" s="3690" t="s">
        <v>4569</v>
      </c>
    </row>
    <row r="2050" spans="1:76" s="6" customFormat="1" ht="107.25" customHeight="1">
      <c r="A2050" s="3803"/>
      <c r="B2050" s="3678"/>
      <c r="C2050" s="36">
        <v>5</v>
      </c>
      <c r="D2050" s="36" t="s">
        <v>107</v>
      </c>
      <c r="E2050" s="36" t="s">
        <v>66</v>
      </c>
      <c r="F2050" s="36" t="s">
        <v>155</v>
      </c>
      <c r="G2050" s="36" t="s">
        <v>1099</v>
      </c>
      <c r="H2050" s="3804"/>
      <c r="I2050" s="15" t="s">
        <v>4553</v>
      </c>
      <c r="J2050" s="3690" t="s">
        <v>4554</v>
      </c>
      <c r="K2050" s="3805">
        <v>4</v>
      </c>
      <c r="L2050" s="3691">
        <v>97500000</v>
      </c>
      <c r="M2050" s="3804">
        <v>0</v>
      </c>
      <c r="N2050" s="3832">
        <v>0</v>
      </c>
      <c r="O2050" s="3805">
        <v>1</v>
      </c>
      <c r="P2050" s="3807">
        <v>19850000</v>
      </c>
      <c r="Q2050" s="3804">
        <v>0</v>
      </c>
      <c r="R2050" s="3691">
        <v>0</v>
      </c>
      <c r="S2050" s="3805">
        <v>1</v>
      </c>
      <c r="T2050" s="3691">
        <v>18975000</v>
      </c>
      <c r="U2050" s="3805">
        <v>0</v>
      </c>
      <c r="V2050" s="3807">
        <v>0</v>
      </c>
      <c r="W2050" s="3803"/>
      <c r="X2050" s="3803"/>
      <c r="Y2050" s="3679">
        <f t="shared" ref="Y2050" si="770">Q2050+S2050+U2050+W2050</f>
        <v>1</v>
      </c>
      <c r="Z2050" s="3691">
        <f t="shared" si="765"/>
        <v>18975000</v>
      </c>
      <c r="AA2050" s="3679">
        <f>M2050+Y2050</f>
        <v>1</v>
      </c>
      <c r="AB2050" s="3691">
        <f t="shared" si="767"/>
        <v>18975000</v>
      </c>
      <c r="AC2050" s="3684">
        <f t="shared" si="768"/>
        <v>25</v>
      </c>
      <c r="AD2050" s="3684">
        <f t="shared" si="764"/>
        <v>19.46153846153846</v>
      </c>
      <c r="AE2050" s="3690" t="s">
        <v>4569</v>
      </c>
    </row>
    <row r="2051" spans="1:76" customFormat="1" ht="17.25" customHeight="1">
      <c r="A2051" s="4264" t="s">
        <v>89</v>
      </c>
      <c r="B2051" s="4264"/>
      <c r="C2051" s="4265"/>
      <c r="D2051" s="4265"/>
      <c r="E2051" s="4265"/>
      <c r="F2051" s="4265"/>
      <c r="G2051" s="4265"/>
      <c r="H2051" s="4265"/>
      <c r="I2051" s="4265"/>
      <c r="J2051" s="4265"/>
      <c r="K2051" s="4265"/>
      <c r="L2051" s="4265"/>
      <c r="M2051" s="4265"/>
      <c r="N2051" s="4265"/>
      <c r="O2051" s="4265"/>
      <c r="P2051" s="4265"/>
      <c r="Q2051" s="4265"/>
      <c r="R2051" s="4265"/>
      <c r="S2051" s="4265"/>
      <c r="T2051" s="4265"/>
      <c r="U2051" s="4265"/>
      <c r="V2051" s="4265"/>
      <c r="W2051" s="4265"/>
      <c r="X2051" s="4265"/>
      <c r="Y2051" s="4265"/>
      <c r="Z2051" s="4265"/>
      <c r="AA2051" s="4265"/>
      <c r="AB2051" s="4265"/>
      <c r="AC2051" s="3784">
        <f>(AC2019+AC2030+AC2035+AC2037+AC2039+AC2041+AC2044)/7</f>
        <v>60.0452479131229</v>
      </c>
      <c r="AD2051" s="3784">
        <f>(AD2019+AD2030+AD2035+AD2037+AD2039+AD2041+AD2044)/7</f>
        <v>31.539018000017187</v>
      </c>
      <c r="AE2051" s="2116"/>
    </row>
    <row r="2052" spans="1:76" customFormat="1" ht="20.25" customHeight="1">
      <c r="A2052" s="4264" t="s">
        <v>90</v>
      </c>
      <c r="B2052" s="4264"/>
      <c r="C2052" s="4265"/>
      <c r="D2052" s="4265"/>
      <c r="E2052" s="4265"/>
      <c r="F2052" s="4265"/>
      <c r="G2052" s="4265"/>
      <c r="H2052" s="4265"/>
      <c r="I2052" s="4265"/>
      <c r="J2052" s="4265"/>
      <c r="K2052" s="4265"/>
      <c r="L2052" s="4265"/>
      <c r="M2052" s="4265"/>
      <c r="N2052" s="4265"/>
      <c r="O2052" s="4265"/>
      <c r="P2052" s="4265"/>
      <c r="Q2052" s="4265"/>
      <c r="R2052" s="4265"/>
      <c r="S2052" s="4265"/>
      <c r="T2052" s="4265"/>
      <c r="U2052" s="4265"/>
      <c r="V2052" s="4265"/>
      <c r="W2052" s="4265"/>
      <c r="X2052" s="4265"/>
      <c r="Y2052" s="4265"/>
      <c r="Z2052" s="4265"/>
      <c r="AA2052" s="4265"/>
      <c r="AB2052" s="4265"/>
      <c r="AC2052" s="3689" t="str">
        <f>IF(AC2051&gt;=91,"ST",IF(AC2051&gt;=76,"T",IF(AC2051&gt;=66,"S",IF(AC2051&gt;=51,"R","SR"))))</f>
        <v>R</v>
      </c>
      <c r="AD2052" s="3689" t="str">
        <f>IF(AD2051&gt;=91,"ST",IF(AD2051&gt;=76,"T",IF(AD2051&gt;=66,"S",IF(AD2051&gt;=51,"R","SR"))))</f>
        <v>SR</v>
      </c>
      <c r="AE2052" s="2116"/>
    </row>
    <row r="2053" spans="1:76" s="55" customFormat="1" ht="25.5" customHeight="1">
      <c r="A2053" s="2546" t="s">
        <v>3253</v>
      </c>
      <c r="B2053" s="2918"/>
      <c r="C2053" s="2546"/>
      <c r="D2053" s="2546"/>
      <c r="E2053" s="2546"/>
      <c r="F2053" s="2546"/>
      <c r="G2053" s="2546"/>
      <c r="H2053" s="2546"/>
      <c r="I2053" s="2515" t="s">
        <v>1025</v>
      </c>
      <c r="J2053" s="2918"/>
      <c r="K2053" s="2918"/>
      <c r="L2053" s="3238">
        <f>L2054+L2065+L2070+L2072+L2074+L2076+L2079</f>
        <v>2845778440</v>
      </c>
      <c r="M2053" s="2918"/>
      <c r="N2053" s="2916">
        <f>N2054+N2065+N2070+N2072+N2074+N2076+N2079</f>
        <v>775620900</v>
      </c>
      <c r="O2053" s="2918"/>
      <c r="P2053" s="2916">
        <f>P2054+P2065+P2070+P2072+P2074+P2076+P2079</f>
        <v>417910420</v>
      </c>
      <c r="Q2053" s="2918"/>
      <c r="R2053" s="2916">
        <f>R2054+R2065+R2070+R2072+R2074+R2076+R2079</f>
        <v>31968500</v>
      </c>
      <c r="S2053" s="2918"/>
      <c r="T2053" s="2916">
        <f>T2054+T2065+T2070+T2072+T2074+T2076+T2079</f>
        <v>110299600</v>
      </c>
      <c r="U2053" s="2918"/>
      <c r="V2053" s="2916">
        <f>V2054+V2065+V2070+V2072+V2074+V2076+V2079</f>
        <v>103258850</v>
      </c>
      <c r="W2053" s="2918"/>
      <c r="X2053" s="2918"/>
      <c r="Y2053" s="2546">
        <f>Q2053+S2053+U2053+W2053</f>
        <v>0</v>
      </c>
      <c r="Z2053" s="2916">
        <f>Z2054+Z2065+Z2070+Z2072+Z2074+Z2076+Z2079</f>
        <v>245526950</v>
      </c>
      <c r="AA2053" s="2918"/>
      <c r="AB2053" s="2916" t="e">
        <f>AB2054+AB2065+AB2070+AB2072+AB2074+AB2076+#REF!+AB2079+#REF!</f>
        <v>#REF!</v>
      </c>
      <c r="AC2053" s="2918"/>
      <c r="AD2053" s="2918"/>
      <c r="AE2053" s="3211"/>
      <c r="AF2053" s="145"/>
      <c r="AG2053" s="145"/>
      <c r="AH2053" s="145"/>
      <c r="AI2053" s="145"/>
      <c r="AJ2053" s="145"/>
      <c r="AK2053" s="145"/>
      <c r="AL2053" s="145"/>
      <c r="AM2053" s="145"/>
      <c r="AN2053" s="145"/>
      <c r="AO2053" s="145"/>
      <c r="AP2053" s="145"/>
      <c r="AQ2053" s="145"/>
      <c r="AR2053" s="145"/>
      <c r="AS2053" s="145"/>
      <c r="AT2053" s="145"/>
      <c r="AU2053" s="145"/>
      <c r="AV2053" s="145"/>
      <c r="AW2053" s="145"/>
      <c r="AX2053" s="145"/>
      <c r="AY2053" s="145"/>
      <c r="AZ2053" s="145"/>
      <c r="BA2053" s="145"/>
      <c r="BB2053" s="145"/>
      <c r="BC2053" s="145"/>
      <c r="BD2053" s="145"/>
      <c r="BE2053" s="145"/>
      <c r="BF2053" s="145"/>
      <c r="BG2053" s="145"/>
      <c r="BH2053" s="145"/>
      <c r="BI2053" s="145"/>
      <c r="BJ2053" s="145"/>
      <c r="BK2053" s="145"/>
      <c r="BL2053" s="145"/>
      <c r="BM2053" s="145"/>
      <c r="BN2053" s="145"/>
      <c r="BO2053" s="145"/>
      <c r="BP2053" s="145"/>
      <c r="BQ2053" s="145"/>
      <c r="BR2053" s="145"/>
      <c r="BS2053" s="145"/>
      <c r="BT2053" s="145"/>
      <c r="BU2053" s="145"/>
      <c r="BV2053" s="145"/>
      <c r="BW2053" s="145"/>
      <c r="BX2053" s="145"/>
    </row>
    <row r="2054" spans="1:76" s="3802" customFormat="1" ht="92.25" customHeight="1">
      <c r="A2054" s="3657">
        <v>1</v>
      </c>
      <c r="B2054" s="3835"/>
      <c r="C2054" s="3659">
        <v>5</v>
      </c>
      <c r="D2054" s="3659" t="s">
        <v>107</v>
      </c>
      <c r="E2054" s="3659" t="s">
        <v>66</v>
      </c>
      <c r="F2054" s="3659" t="s">
        <v>155</v>
      </c>
      <c r="G2054" s="3659" t="s">
        <v>66</v>
      </c>
      <c r="H2054" s="3657"/>
      <c r="I2054" s="3660" t="s">
        <v>4326</v>
      </c>
      <c r="J2054" s="3660" t="s">
        <v>4529</v>
      </c>
      <c r="K2054" s="3657">
        <v>72</v>
      </c>
      <c r="L2054" s="3662">
        <f>SUM(L2055:L2064)</f>
        <v>1286260600</v>
      </c>
      <c r="M2054" s="3657">
        <v>24</v>
      </c>
      <c r="N2054" s="3662">
        <f>SUM(N2055:N2064)</f>
        <v>384099500</v>
      </c>
      <c r="O2054" s="3657">
        <v>12</v>
      </c>
      <c r="P2054" s="3662">
        <f>SUM(P2055:P2064)</f>
        <v>194318920</v>
      </c>
      <c r="Q2054" s="3657">
        <v>3</v>
      </c>
      <c r="R2054" s="3662">
        <f>SUM(R2055:R2064)</f>
        <v>8678500</v>
      </c>
      <c r="S2054" s="3657">
        <v>3</v>
      </c>
      <c r="T2054" s="3662">
        <f>SUM(T2055:T2064)</f>
        <v>39459600</v>
      </c>
      <c r="U2054" s="3657">
        <v>3</v>
      </c>
      <c r="V2054" s="3662">
        <f>SUM(V2055:V2064)</f>
        <v>68173350</v>
      </c>
      <c r="W2054" s="3661"/>
      <c r="X2054" s="3661"/>
      <c r="Y2054" s="3836">
        <f>Q2054+S2054+U2054+W2054</f>
        <v>9</v>
      </c>
      <c r="Z2054" s="3662">
        <f>SUM(Z2055:Z2064)</f>
        <v>116311450</v>
      </c>
      <c r="AA2054" s="3836">
        <f>M2054+Y2054</f>
        <v>33</v>
      </c>
      <c r="AB2054" s="3662">
        <f>SUM(AB2055:AB2064)</f>
        <v>500410950</v>
      </c>
      <c r="AC2054" s="3664">
        <f>(AA2054/K2054)*100</f>
        <v>45.833333333333329</v>
      </c>
      <c r="AD2054" s="3664">
        <f>AB2054/L2054*100</f>
        <v>38.904320788493408</v>
      </c>
      <c r="AE2054" s="3661" t="s">
        <v>4546</v>
      </c>
    </row>
    <row r="2055" spans="1:76" s="2117" customFormat="1" ht="81.75" customHeight="1">
      <c r="A2055" s="3803"/>
      <c r="B2055" s="3678"/>
      <c r="C2055" s="36">
        <v>5</v>
      </c>
      <c r="D2055" s="36" t="s">
        <v>107</v>
      </c>
      <c r="E2055" s="36" t="s">
        <v>66</v>
      </c>
      <c r="F2055" s="36" t="s">
        <v>155</v>
      </c>
      <c r="G2055" s="36" t="s">
        <v>66</v>
      </c>
      <c r="H2055" s="3804" t="s">
        <v>65</v>
      </c>
      <c r="I2055" s="3690" t="s">
        <v>4330</v>
      </c>
      <c r="J2055" s="3690" t="s">
        <v>4331</v>
      </c>
      <c r="K2055" s="3805">
        <v>72</v>
      </c>
      <c r="L2055" s="3691">
        <v>74170000</v>
      </c>
      <c r="M2055" s="3804">
        <v>24</v>
      </c>
      <c r="N2055" s="3806">
        <v>16763500</v>
      </c>
      <c r="O2055" s="3805">
        <v>12</v>
      </c>
      <c r="P2055" s="3807">
        <v>7440000</v>
      </c>
      <c r="Q2055" s="3804">
        <v>3</v>
      </c>
      <c r="R2055" s="3691">
        <v>154500</v>
      </c>
      <c r="S2055" s="3805">
        <v>3</v>
      </c>
      <c r="T2055" s="3691">
        <f>1965600-R2055</f>
        <v>1811100</v>
      </c>
      <c r="U2055" s="3805">
        <v>3</v>
      </c>
      <c r="V2055" s="3807">
        <f>3069450-T2055-R2055</f>
        <v>1103850</v>
      </c>
      <c r="W2055" s="3803"/>
      <c r="X2055" s="3803"/>
      <c r="Y2055" s="3679">
        <f t="shared" ref="Y2055:Y2056" si="771">Q2055+S2055+U2055+W2055</f>
        <v>9</v>
      </c>
      <c r="Z2055" s="3691">
        <f>R2055+T2055+V2055+X2055</f>
        <v>3069450</v>
      </c>
      <c r="AA2055" s="3679">
        <f t="shared" ref="AA2055:AA2057" si="772">M2055+Y2055</f>
        <v>33</v>
      </c>
      <c r="AB2055" s="3691">
        <f t="shared" ref="AB2055:AB2064" si="773">N2055+Z2055</f>
        <v>19832950</v>
      </c>
      <c r="AC2055" s="3684">
        <f>(AA2055/K2055)*100</f>
        <v>45.833333333333329</v>
      </c>
      <c r="AD2055" s="3684">
        <f t="shared" ref="AD2055:AD2064" si="774">AB2055/L2055*100</f>
        <v>26.739854388566808</v>
      </c>
      <c r="AE2055" s="3803" t="s">
        <v>4546</v>
      </c>
    </row>
    <row r="2056" spans="1:76" s="2117" customFormat="1" ht="105">
      <c r="A2056" s="3803"/>
      <c r="B2056" s="3678"/>
      <c r="C2056" s="36">
        <v>5</v>
      </c>
      <c r="D2056" s="36" t="s">
        <v>107</v>
      </c>
      <c r="E2056" s="36" t="s">
        <v>66</v>
      </c>
      <c r="F2056" s="36" t="s">
        <v>155</v>
      </c>
      <c r="G2056" s="36" t="s">
        <v>66</v>
      </c>
      <c r="H2056" s="3804" t="s">
        <v>198</v>
      </c>
      <c r="I2056" s="3690" t="s">
        <v>4332</v>
      </c>
      <c r="J2056" s="3690" t="s">
        <v>4333</v>
      </c>
      <c r="K2056" s="3805">
        <v>72</v>
      </c>
      <c r="L2056" s="3691">
        <v>199260600</v>
      </c>
      <c r="M2056" s="3804">
        <v>24</v>
      </c>
      <c r="N2056" s="3806">
        <f>29350000+39600000</f>
        <v>68950000</v>
      </c>
      <c r="O2056" s="3805">
        <v>12</v>
      </c>
      <c r="P2056" s="3807">
        <v>44400000</v>
      </c>
      <c r="Q2056" s="3804">
        <v>3</v>
      </c>
      <c r="R2056" s="3691"/>
      <c r="S2056" s="3805">
        <v>3</v>
      </c>
      <c r="T2056" s="3691">
        <v>6800000</v>
      </c>
      <c r="U2056" s="3805">
        <v>3</v>
      </c>
      <c r="V2056" s="3807">
        <v>24350000</v>
      </c>
      <c r="W2056" s="3803"/>
      <c r="X2056" s="3803"/>
      <c r="Y2056" s="3679">
        <f t="shared" si="771"/>
        <v>9</v>
      </c>
      <c r="Z2056" s="3691">
        <f t="shared" ref="Z2056:Z2064" si="775">R2056+T2056+V2056+X2056</f>
        <v>31150000</v>
      </c>
      <c r="AA2056" s="3679">
        <f t="shared" si="772"/>
        <v>33</v>
      </c>
      <c r="AB2056" s="3691">
        <f t="shared" si="773"/>
        <v>100100000</v>
      </c>
      <c r="AC2056" s="3684">
        <f t="shared" ref="AC2056" si="776">(AA2056/K2056)*100</f>
        <v>45.833333333333329</v>
      </c>
      <c r="AD2056" s="3684">
        <f t="shared" si="774"/>
        <v>50.23572146224592</v>
      </c>
      <c r="AE2056" s="3803" t="s">
        <v>4546</v>
      </c>
    </row>
    <row r="2057" spans="1:76" s="2117" customFormat="1" ht="66.75" customHeight="1">
      <c r="A2057" s="2116"/>
      <c r="B2057" s="3678"/>
      <c r="C2057" s="36">
        <v>5</v>
      </c>
      <c r="D2057" s="36" t="s">
        <v>107</v>
      </c>
      <c r="E2057" s="36" t="s">
        <v>66</v>
      </c>
      <c r="F2057" s="36" t="s">
        <v>155</v>
      </c>
      <c r="G2057" s="36" t="s">
        <v>66</v>
      </c>
      <c r="H2057" s="36" t="s">
        <v>93</v>
      </c>
      <c r="I2057" s="3680" t="s">
        <v>876</v>
      </c>
      <c r="J2057" s="3680" t="s">
        <v>4334</v>
      </c>
      <c r="K2057" s="36">
        <v>72</v>
      </c>
      <c r="L2057" s="3682">
        <v>93500000</v>
      </c>
      <c r="M2057" s="36">
        <v>24</v>
      </c>
      <c r="N2057" s="3808">
        <v>26825000</v>
      </c>
      <c r="O2057" s="3679">
        <v>12</v>
      </c>
      <c r="P2057" s="3683">
        <v>13398000</v>
      </c>
      <c r="Q2057" s="36">
        <v>3</v>
      </c>
      <c r="R2057" s="3682">
        <v>2600500</v>
      </c>
      <c r="S2057" s="3679">
        <v>3</v>
      </c>
      <c r="T2057" s="3682">
        <v>3226000</v>
      </c>
      <c r="U2057" s="3679">
        <v>3</v>
      </c>
      <c r="V2057" s="3683">
        <f>8076500-T2057-R2057</f>
        <v>2250000</v>
      </c>
      <c r="W2057" s="2116"/>
      <c r="X2057" s="2116"/>
      <c r="Y2057" s="3679">
        <f>Q2057+S2057+U2057+W2057</f>
        <v>9</v>
      </c>
      <c r="Z2057" s="3682">
        <f t="shared" si="775"/>
        <v>8076500</v>
      </c>
      <c r="AA2057" s="3679">
        <f t="shared" si="772"/>
        <v>33</v>
      </c>
      <c r="AB2057" s="3682">
        <f t="shared" si="773"/>
        <v>34901500</v>
      </c>
      <c r="AC2057" s="3684">
        <f>(AA2057/K2057)*100</f>
        <v>45.833333333333329</v>
      </c>
      <c r="AD2057" s="3684">
        <f t="shared" si="774"/>
        <v>37.327807486631016</v>
      </c>
      <c r="AE2057" s="2116" t="s">
        <v>4546</v>
      </c>
    </row>
    <row r="2058" spans="1:76" s="2117" customFormat="1" ht="45">
      <c r="A2058" s="3803"/>
      <c r="B2058" s="3809"/>
      <c r="C2058" s="3804">
        <v>5</v>
      </c>
      <c r="D2058" s="3804" t="s">
        <v>107</v>
      </c>
      <c r="E2058" s="3804" t="s">
        <v>66</v>
      </c>
      <c r="F2058" s="3804" t="s">
        <v>155</v>
      </c>
      <c r="G2058" s="3804" t="s">
        <v>66</v>
      </c>
      <c r="H2058" s="3804" t="s">
        <v>202</v>
      </c>
      <c r="I2058" s="3690" t="s">
        <v>880</v>
      </c>
      <c r="J2058" s="3690" t="s">
        <v>443</v>
      </c>
      <c r="K2058" s="3805">
        <v>72</v>
      </c>
      <c r="L2058" s="3691">
        <v>132600000</v>
      </c>
      <c r="M2058" s="3804">
        <v>24</v>
      </c>
      <c r="N2058" s="3806">
        <v>39955000</v>
      </c>
      <c r="O2058" s="3805">
        <v>12</v>
      </c>
      <c r="P2058" s="3807">
        <v>17677420</v>
      </c>
      <c r="Q2058" s="3804">
        <v>3</v>
      </c>
      <c r="R2058" s="3691">
        <v>1848500</v>
      </c>
      <c r="S2058" s="3805">
        <v>3</v>
      </c>
      <c r="T2058" s="3691">
        <v>6154000</v>
      </c>
      <c r="U2058" s="3805">
        <v>3</v>
      </c>
      <c r="V2058" s="3807">
        <v>74000</v>
      </c>
      <c r="W2058" s="3803"/>
      <c r="X2058" s="3803"/>
      <c r="Y2058" s="3805">
        <f t="shared" ref="Y2058:Y2059" si="777">Q2058+S2058+U2058+W2058</f>
        <v>9</v>
      </c>
      <c r="Z2058" s="3691">
        <f t="shared" si="775"/>
        <v>8076500</v>
      </c>
      <c r="AA2058" s="3805">
        <f>M2058+Y2058</f>
        <v>33</v>
      </c>
      <c r="AB2058" s="3691">
        <f t="shared" si="773"/>
        <v>48031500</v>
      </c>
      <c r="AC2058" s="3810">
        <f>(AA2058/K2058)*100</f>
        <v>45.833333333333329</v>
      </c>
      <c r="AD2058" s="3810">
        <f t="shared" si="774"/>
        <v>36.222850678733032</v>
      </c>
      <c r="AE2058" s="3803" t="s">
        <v>4546</v>
      </c>
    </row>
    <row r="2059" spans="1:76" s="2117" customFormat="1" ht="75">
      <c r="A2059" s="2116"/>
      <c r="B2059" s="3678"/>
      <c r="C2059" s="36">
        <v>5</v>
      </c>
      <c r="D2059" s="36" t="s">
        <v>107</v>
      </c>
      <c r="E2059" s="36" t="s">
        <v>66</v>
      </c>
      <c r="F2059" s="36" t="s">
        <v>155</v>
      </c>
      <c r="G2059" s="36" t="s">
        <v>66</v>
      </c>
      <c r="H2059" s="36" t="s">
        <v>417</v>
      </c>
      <c r="I2059" s="3680" t="s">
        <v>882</v>
      </c>
      <c r="J2059" s="3681" t="s">
        <v>4547</v>
      </c>
      <c r="K2059" s="3679">
        <v>72</v>
      </c>
      <c r="L2059" s="3682">
        <v>65400000</v>
      </c>
      <c r="M2059" s="36">
        <v>24</v>
      </c>
      <c r="N2059" s="3808">
        <v>21002000</v>
      </c>
      <c r="O2059" s="3679">
        <v>12</v>
      </c>
      <c r="P2059" s="3683">
        <v>12141500</v>
      </c>
      <c r="Q2059" s="36">
        <v>3</v>
      </c>
      <c r="R2059" s="3682">
        <v>380000</v>
      </c>
      <c r="S2059" s="3679">
        <v>3</v>
      </c>
      <c r="T2059" s="3682">
        <v>2598000</v>
      </c>
      <c r="U2059" s="3679">
        <v>3</v>
      </c>
      <c r="V2059" s="3682">
        <v>2240000</v>
      </c>
      <c r="W2059" s="2116"/>
      <c r="X2059" s="2116"/>
      <c r="Y2059" s="3679">
        <f t="shared" si="777"/>
        <v>9</v>
      </c>
      <c r="Z2059" s="3682">
        <f t="shared" si="775"/>
        <v>5218000</v>
      </c>
      <c r="AA2059" s="3679">
        <f t="shared" ref="AA2059:AA2061" si="778">M2059+Y2059</f>
        <v>33</v>
      </c>
      <c r="AB2059" s="3682">
        <f t="shared" si="773"/>
        <v>26220000</v>
      </c>
      <c r="AC2059" s="3684">
        <f t="shared" ref="AC2059:AC2061" si="779">(AA2059/K2059)*100</f>
        <v>45.833333333333329</v>
      </c>
      <c r="AD2059" s="3684">
        <f t="shared" si="774"/>
        <v>40.091743119266056</v>
      </c>
      <c r="AE2059" s="2116" t="s">
        <v>4546</v>
      </c>
    </row>
    <row r="2060" spans="1:76" s="2117" customFormat="1" ht="92.25" customHeight="1">
      <c r="A2060" s="2116"/>
      <c r="B2060" s="3678"/>
      <c r="C2060" s="36">
        <v>5</v>
      </c>
      <c r="D2060" s="36" t="s">
        <v>107</v>
      </c>
      <c r="E2060" s="36" t="s">
        <v>66</v>
      </c>
      <c r="F2060" s="36" t="s">
        <v>155</v>
      </c>
      <c r="G2060" s="36" t="s">
        <v>66</v>
      </c>
      <c r="H2060" s="36" t="s">
        <v>160</v>
      </c>
      <c r="I2060" s="3680" t="s">
        <v>4339</v>
      </c>
      <c r="J2060" s="3680" t="s">
        <v>4519</v>
      </c>
      <c r="K2060" s="3679">
        <v>72</v>
      </c>
      <c r="L2060" s="3682">
        <v>15000000</v>
      </c>
      <c r="M2060" s="36">
        <v>24</v>
      </c>
      <c r="N2060" s="3808">
        <v>3931000</v>
      </c>
      <c r="O2060" s="3679">
        <v>12</v>
      </c>
      <c r="P2060" s="3683">
        <v>2016000</v>
      </c>
      <c r="Q2060" s="36">
        <v>3</v>
      </c>
      <c r="R2060" s="3682">
        <v>230000</v>
      </c>
      <c r="S2060" s="3679">
        <v>3</v>
      </c>
      <c r="T2060" s="3682">
        <v>248000</v>
      </c>
      <c r="U2060" s="3679">
        <v>3</v>
      </c>
      <c r="V2060" s="3683">
        <v>859000</v>
      </c>
      <c r="W2060" s="2116"/>
      <c r="X2060" s="2116"/>
      <c r="Y2060" s="3679">
        <f>Q2060+S2060+U2060+W2060</f>
        <v>9</v>
      </c>
      <c r="Z2060" s="3682">
        <f t="shared" si="775"/>
        <v>1337000</v>
      </c>
      <c r="AA2060" s="3679">
        <f t="shared" si="778"/>
        <v>33</v>
      </c>
      <c r="AB2060" s="3682">
        <f t="shared" si="773"/>
        <v>5268000</v>
      </c>
      <c r="AC2060" s="3684">
        <f t="shared" si="779"/>
        <v>45.833333333333329</v>
      </c>
      <c r="AD2060" s="3684">
        <f t="shared" si="774"/>
        <v>35.120000000000005</v>
      </c>
      <c r="AE2060" s="2116" t="s">
        <v>4546</v>
      </c>
    </row>
    <row r="2061" spans="1:76" s="2117" customFormat="1" ht="75">
      <c r="A2061" s="3803"/>
      <c r="B2061" s="3678"/>
      <c r="C2061" s="36">
        <v>5</v>
      </c>
      <c r="D2061" s="36" t="s">
        <v>107</v>
      </c>
      <c r="E2061" s="36" t="s">
        <v>66</v>
      </c>
      <c r="F2061" s="36" t="s">
        <v>155</v>
      </c>
      <c r="G2061" s="36" t="s">
        <v>66</v>
      </c>
      <c r="H2061" s="3804" t="s">
        <v>155</v>
      </c>
      <c r="I2061" s="3690" t="s">
        <v>4341</v>
      </c>
      <c r="J2061" s="3690" t="s">
        <v>4548</v>
      </c>
      <c r="K2061" s="3805">
        <v>72</v>
      </c>
      <c r="L2061" s="3691">
        <v>20130000</v>
      </c>
      <c r="M2061" s="3804">
        <v>24</v>
      </c>
      <c r="N2061" s="3806">
        <v>5640000</v>
      </c>
      <c r="O2061" s="3805">
        <v>12</v>
      </c>
      <c r="P2061" s="3807">
        <v>2880000</v>
      </c>
      <c r="Q2061" s="3804">
        <v>3</v>
      </c>
      <c r="R2061" s="3691">
        <v>480000</v>
      </c>
      <c r="S2061" s="3805">
        <v>3</v>
      </c>
      <c r="T2061" s="3691">
        <v>510000</v>
      </c>
      <c r="U2061" s="3805">
        <v>3</v>
      </c>
      <c r="V2061" s="3807">
        <v>450000</v>
      </c>
      <c r="W2061" s="3803"/>
      <c r="X2061" s="3803"/>
      <c r="Y2061" s="3679">
        <f t="shared" ref="Y2061:Y2062" si="780">Q2061+S2061+U2061+W2061</f>
        <v>9</v>
      </c>
      <c r="Z2061" s="3691">
        <f t="shared" si="775"/>
        <v>1440000</v>
      </c>
      <c r="AA2061" s="3679">
        <f t="shared" si="778"/>
        <v>33</v>
      </c>
      <c r="AB2061" s="3691">
        <f t="shared" si="773"/>
        <v>7080000</v>
      </c>
      <c r="AC2061" s="3684">
        <f t="shared" si="779"/>
        <v>45.833333333333329</v>
      </c>
      <c r="AD2061" s="3684">
        <f t="shared" si="774"/>
        <v>35.171385991058123</v>
      </c>
      <c r="AE2061" s="3803" t="s">
        <v>4546</v>
      </c>
    </row>
    <row r="2062" spans="1:76" s="2117" customFormat="1" ht="52.5" customHeight="1">
      <c r="A2062" s="2116"/>
      <c r="B2062" s="3678"/>
      <c r="C2062" s="36">
        <v>5</v>
      </c>
      <c r="D2062" s="36" t="s">
        <v>107</v>
      </c>
      <c r="E2062" s="36" t="s">
        <v>66</v>
      </c>
      <c r="F2062" s="36" t="s">
        <v>155</v>
      </c>
      <c r="G2062" s="36" t="s">
        <v>66</v>
      </c>
      <c r="H2062" s="36" t="s">
        <v>448</v>
      </c>
      <c r="I2062" s="3680" t="s">
        <v>223</v>
      </c>
      <c r="J2062" s="3681" t="s">
        <v>4343</v>
      </c>
      <c r="K2062" s="3679">
        <v>72</v>
      </c>
      <c r="L2062" s="3682">
        <v>196500000</v>
      </c>
      <c r="M2062" s="36">
        <v>24</v>
      </c>
      <c r="N2062" s="3808">
        <v>59575000</v>
      </c>
      <c r="O2062" s="3679">
        <v>12</v>
      </c>
      <c r="P2062" s="3683">
        <v>16776000</v>
      </c>
      <c r="Q2062" s="36">
        <v>3</v>
      </c>
      <c r="R2062" s="3682">
        <v>2860000</v>
      </c>
      <c r="S2062" s="3679">
        <v>3</v>
      </c>
      <c r="T2062" s="3682">
        <v>4922500</v>
      </c>
      <c r="U2062" s="3679">
        <v>3</v>
      </c>
      <c r="V2062" s="3683">
        <v>8442500</v>
      </c>
      <c r="W2062" s="2116"/>
      <c r="X2062" s="2116"/>
      <c r="Y2062" s="3679">
        <f t="shared" si="780"/>
        <v>9</v>
      </c>
      <c r="Z2062" s="3682">
        <f t="shared" si="775"/>
        <v>16225000</v>
      </c>
      <c r="AA2062" s="3679">
        <f>M2062+Y2062</f>
        <v>33</v>
      </c>
      <c r="AB2062" s="3682">
        <f t="shared" si="773"/>
        <v>75800000</v>
      </c>
      <c r="AC2062" s="3684">
        <f>(AA2062/K2062)*100</f>
        <v>45.833333333333329</v>
      </c>
      <c r="AD2062" s="3684">
        <f t="shared" si="774"/>
        <v>38.575063613231549</v>
      </c>
      <c r="AE2062" s="2116" t="s">
        <v>4546</v>
      </c>
    </row>
    <row r="2063" spans="1:76" s="2117" customFormat="1" ht="64.5" customHeight="1">
      <c r="A2063" s="2116"/>
      <c r="B2063" s="3678"/>
      <c r="C2063" s="36">
        <v>5</v>
      </c>
      <c r="D2063" s="36" t="s">
        <v>107</v>
      </c>
      <c r="E2063" s="36" t="s">
        <v>66</v>
      </c>
      <c r="F2063" s="36" t="s">
        <v>155</v>
      </c>
      <c r="G2063" s="36" t="s">
        <v>66</v>
      </c>
      <c r="H2063" s="36" t="s">
        <v>167</v>
      </c>
      <c r="I2063" s="3680" t="s">
        <v>973</v>
      </c>
      <c r="J2063" s="3680" t="s">
        <v>4345</v>
      </c>
      <c r="K2063" s="3679">
        <v>72</v>
      </c>
      <c r="L2063" s="3682">
        <v>195000000</v>
      </c>
      <c r="M2063" s="36">
        <v>24</v>
      </c>
      <c r="N2063" s="3808">
        <v>55578000</v>
      </c>
      <c r="O2063" s="3679">
        <v>12</v>
      </c>
      <c r="P2063" s="3683">
        <v>22200000</v>
      </c>
      <c r="Q2063" s="36">
        <v>3</v>
      </c>
      <c r="R2063" s="3682"/>
      <c r="S2063" s="3679">
        <v>3</v>
      </c>
      <c r="T2063" s="3682">
        <v>1000000</v>
      </c>
      <c r="U2063" s="3679">
        <v>3</v>
      </c>
      <c r="V2063" s="3683">
        <v>15654000</v>
      </c>
      <c r="W2063" s="2116"/>
      <c r="X2063" s="2116"/>
      <c r="Y2063" s="3679">
        <f>Q2063+S2063+U2063+W2063</f>
        <v>9</v>
      </c>
      <c r="Z2063" s="3682">
        <f t="shared" si="775"/>
        <v>16654000</v>
      </c>
      <c r="AA2063" s="3679">
        <f t="shared" ref="AA2063:AA2064" si="781">M2063+Y2063</f>
        <v>33</v>
      </c>
      <c r="AB2063" s="3682">
        <f t="shared" si="773"/>
        <v>72232000</v>
      </c>
      <c r="AC2063" s="3684">
        <f t="shared" ref="AC2063:AC2064" si="782">(AA2063/K2063)*100</f>
        <v>45.833333333333329</v>
      </c>
      <c r="AD2063" s="3684">
        <f t="shared" si="774"/>
        <v>37.042051282051283</v>
      </c>
      <c r="AE2063" s="2116" t="s">
        <v>4546</v>
      </c>
    </row>
    <row r="2064" spans="1:76" s="2117" customFormat="1" ht="75">
      <c r="A2064" s="3803"/>
      <c r="B2064" s="3678"/>
      <c r="C2064" s="36">
        <v>5</v>
      </c>
      <c r="D2064" s="36" t="s">
        <v>107</v>
      </c>
      <c r="E2064" s="36" t="s">
        <v>66</v>
      </c>
      <c r="F2064" s="36" t="s">
        <v>155</v>
      </c>
      <c r="G2064" s="36" t="s">
        <v>66</v>
      </c>
      <c r="H2064" s="3804" t="s">
        <v>376</v>
      </c>
      <c r="I2064" s="3690" t="s">
        <v>4346</v>
      </c>
      <c r="J2064" s="3690" t="s">
        <v>4347</v>
      </c>
      <c r="K2064" s="3805">
        <v>72</v>
      </c>
      <c r="L2064" s="3691">
        <v>294700000</v>
      </c>
      <c r="M2064" s="3804">
        <v>24</v>
      </c>
      <c r="N2064" s="3806">
        <v>85880000</v>
      </c>
      <c r="O2064" s="3805">
        <v>12</v>
      </c>
      <c r="P2064" s="3807">
        <v>55390000</v>
      </c>
      <c r="Q2064" s="3804">
        <v>3</v>
      </c>
      <c r="R2064" s="3691">
        <v>125000</v>
      </c>
      <c r="S2064" s="3805">
        <v>3</v>
      </c>
      <c r="T2064" s="3691">
        <v>12190000</v>
      </c>
      <c r="U2064" s="3805">
        <v>3</v>
      </c>
      <c r="V2064" s="3807">
        <v>12750000</v>
      </c>
      <c r="W2064" s="3803"/>
      <c r="X2064" s="3803"/>
      <c r="Y2064" s="3679">
        <f t="shared" ref="Y2064" si="783">Q2064+S2064+U2064+W2064</f>
        <v>9</v>
      </c>
      <c r="Z2064" s="3691">
        <f t="shared" si="775"/>
        <v>25065000</v>
      </c>
      <c r="AA2064" s="3679">
        <f t="shared" si="781"/>
        <v>33</v>
      </c>
      <c r="AB2064" s="3691">
        <f t="shared" si="773"/>
        <v>110945000</v>
      </c>
      <c r="AC2064" s="3684">
        <f t="shared" si="782"/>
        <v>45.833333333333329</v>
      </c>
      <c r="AD2064" s="3684">
        <f t="shared" si="774"/>
        <v>37.646759416355621</v>
      </c>
      <c r="AE2064" s="3803" t="s">
        <v>4546</v>
      </c>
    </row>
    <row r="2065" spans="1:31" s="3837" customFormat="1" ht="99">
      <c r="A2065" s="3657">
        <v>2</v>
      </c>
      <c r="B2065" s="3835"/>
      <c r="C2065" s="3659">
        <v>5</v>
      </c>
      <c r="D2065" s="3659" t="s">
        <v>107</v>
      </c>
      <c r="E2065" s="3659" t="s">
        <v>66</v>
      </c>
      <c r="F2065" s="3659" t="s">
        <v>155</v>
      </c>
      <c r="G2065" s="3659" t="s">
        <v>65</v>
      </c>
      <c r="H2065" s="3657"/>
      <c r="I2065" s="3660" t="s">
        <v>4350</v>
      </c>
      <c r="J2065" s="3660" t="s">
        <v>4313</v>
      </c>
      <c r="K2065" s="3657">
        <v>72</v>
      </c>
      <c r="L2065" s="3662">
        <f>SUM(L2066:L2069)</f>
        <v>328106000</v>
      </c>
      <c r="M2065" s="3657">
        <v>24</v>
      </c>
      <c r="N2065" s="3662">
        <f>SUM(N2066:N2069)</f>
        <v>103949000</v>
      </c>
      <c r="O2065" s="3657">
        <v>12</v>
      </c>
      <c r="P2065" s="3662">
        <f>SUM(P2066:P2069)</f>
        <v>43750000</v>
      </c>
      <c r="Q2065" s="3657">
        <v>3</v>
      </c>
      <c r="R2065" s="3662">
        <f>SUM(R2066:R2069)</f>
        <v>9400000</v>
      </c>
      <c r="S2065" s="3657">
        <v>3</v>
      </c>
      <c r="T2065" s="3662">
        <f>SUM(T2066:T2069)</f>
        <v>5700000</v>
      </c>
      <c r="U2065" s="3661">
        <v>3</v>
      </c>
      <c r="V2065" s="3662">
        <f>SUM(V2066:V2069)</f>
        <v>12553000</v>
      </c>
      <c r="W2065" s="3661"/>
      <c r="X2065" s="3661"/>
      <c r="Y2065" s="3657">
        <f>Q2065+S2065+U2065+W2065</f>
        <v>9</v>
      </c>
      <c r="Z2065" s="3662">
        <f>SUM(Z2066:Z2069)</f>
        <v>27653000</v>
      </c>
      <c r="AA2065" s="3657">
        <f>M2065+Y2065</f>
        <v>33</v>
      </c>
      <c r="AB2065" s="3662">
        <f>SUM(AB2066:AB2069)</f>
        <v>131602000</v>
      </c>
      <c r="AC2065" s="3664">
        <f>(AA2065/K2065)*100</f>
        <v>45.833333333333329</v>
      </c>
      <c r="AD2065" s="3664">
        <f>(AB2065/L2065)*100</f>
        <v>40.109598727240588</v>
      </c>
      <c r="AE2065" s="3661" t="s">
        <v>4546</v>
      </c>
    </row>
    <row r="2066" spans="1:31" s="2117" customFormat="1" ht="64.5" customHeight="1">
      <c r="A2066" s="3803"/>
      <c r="B2066" s="3678"/>
      <c r="C2066" s="36">
        <v>5</v>
      </c>
      <c r="D2066" s="36" t="s">
        <v>107</v>
      </c>
      <c r="E2066" s="36" t="s">
        <v>66</v>
      </c>
      <c r="F2066" s="36" t="s">
        <v>155</v>
      </c>
      <c r="G2066" s="36" t="s">
        <v>65</v>
      </c>
      <c r="H2066" s="36" t="s">
        <v>163</v>
      </c>
      <c r="I2066" s="3690" t="s">
        <v>4549</v>
      </c>
      <c r="J2066" s="3690" t="s">
        <v>4550</v>
      </c>
      <c r="K2066" s="3805">
        <v>6</v>
      </c>
      <c r="L2066" s="3691">
        <v>27000000</v>
      </c>
      <c r="M2066" s="3804">
        <v>2</v>
      </c>
      <c r="N2066" s="3806">
        <v>13125000</v>
      </c>
      <c r="O2066" s="3805">
        <v>1</v>
      </c>
      <c r="P2066" s="3807">
        <v>3500000</v>
      </c>
      <c r="Q2066" s="3804">
        <v>1</v>
      </c>
      <c r="R2066" s="3691">
        <v>0</v>
      </c>
      <c r="S2066" s="3805">
        <v>0</v>
      </c>
      <c r="T2066" s="3691">
        <v>0</v>
      </c>
      <c r="U2066" s="3805">
        <v>0</v>
      </c>
      <c r="V2066" s="3807">
        <v>0</v>
      </c>
      <c r="W2066" s="3803"/>
      <c r="X2066" s="3803"/>
      <c r="Y2066" s="3679">
        <f t="shared" ref="Y2066" si="784">Q2066+S2066+U2066+W2066</f>
        <v>1</v>
      </c>
      <c r="Z2066" s="3691">
        <f t="shared" ref="Z2066" si="785">R2066+T2066+V2066+X2066</f>
        <v>0</v>
      </c>
      <c r="AA2066" s="3679">
        <f t="shared" ref="AA2066" si="786">M2066+Y2066</f>
        <v>3</v>
      </c>
      <c r="AB2066" s="3691">
        <f t="shared" ref="AB2066" si="787">N2066+Z2066</f>
        <v>13125000</v>
      </c>
      <c r="AC2066" s="3684">
        <f t="shared" ref="AC2066" si="788">(AA2066/K2066)*100</f>
        <v>50</v>
      </c>
      <c r="AD2066" s="3684">
        <f t="shared" ref="AD2066" si="789">(AB2066/L2066)*100</f>
        <v>48.611111111111107</v>
      </c>
      <c r="AE2066" s="3803" t="s">
        <v>4546</v>
      </c>
    </row>
    <row r="2067" spans="1:31" s="2117" customFormat="1" ht="64.5" customHeight="1">
      <c r="A2067" s="3803"/>
      <c r="B2067" s="3678"/>
      <c r="C2067" s="36">
        <v>5</v>
      </c>
      <c r="D2067" s="36" t="s">
        <v>107</v>
      </c>
      <c r="E2067" s="36" t="s">
        <v>66</v>
      </c>
      <c r="F2067" s="36" t="s">
        <v>155</v>
      </c>
      <c r="G2067" s="36" t="s">
        <v>65</v>
      </c>
      <c r="H2067" s="36" t="s">
        <v>163</v>
      </c>
      <c r="I2067" s="3690" t="s">
        <v>1301</v>
      </c>
      <c r="J2067" s="3690" t="s">
        <v>4358</v>
      </c>
      <c r="K2067" s="3805">
        <v>6</v>
      </c>
      <c r="L2067" s="3691">
        <v>27000000</v>
      </c>
      <c r="M2067" s="3804">
        <v>2</v>
      </c>
      <c r="N2067" s="3806">
        <v>13125000</v>
      </c>
      <c r="O2067" s="3805">
        <v>1</v>
      </c>
      <c r="P2067" s="3807">
        <v>3000000</v>
      </c>
      <c r="Q2067" s="3804">
        <v>1</v>
      </c>
      <c r="R2067" s="3691">
        <v>500000</v>
      </c>
      <c r="S2067" s="3805">
        <v>0</v>
      </c>
      <c r="T2067" s="3691">
        <v>0</v>
      </c>
      <c r="U2067" s="3805">
        <v>0</v>
      </c>
      <c r="V2067" s="3807">
        <f>1250000</f>
        <v>1250000</v>
      </c>
      <c r="W2067" s="3803"/>
      <c r="X2067" s="3803"/>
      <c r="Y2067" s="3679">
        <f t="shared" ref="Y2067:Y2077" si="790">Q2067+S2067+U2067+W2067</f>
        <v>1</v>
      </c>
      <c r="Z2067" s="3691">
        <f t="shared" ref="Z2067:Z2068" si="791">R2067+T2067+V2067+X2067</f>
        <v>1750000</v>
      </c>
      <c r="AA2067" s="3679">
        <f t="shared" ref="AA2067:AA2077" si="792">M2067+Y2067</f>
        <v>3</v>
      </c>
      <c r="AB2067" s="3691">
        <f t="shared" ref="AB2067:AB2069" si="793">N2067+Z2067</f>
        <v>14875000</v>
      </c>
      <c r="AC2067" s="3684">
        <f t="shared" ref="AC2067:AC2077" si="794">(AA2067/K2067)*100</f>
        <v>50</v>
      </c>
      <c r="AD2067" s="3684">
        <f t="shared" ref="AD2067:AD2068" si="795">(AB2067/L2067)*100</f>
        <v>55.092592592592595</v>
      </c>
      <c r="AE2067" s="3803" t="s">
        <v>4546</v>
      </c>
    </row>
    <row r="2068" spans="1:31" s="2117" customFormat="1" ht="90">
      <c r="A2068" s="3803"/>
      <c r="B2068" s="3678"/>
      <c r="C2068" s="36">
        <v>5</v>
      </c>
      <c r="D2068" s="36" t="s">
        <v>107</v>
      </c>
      <c r="E2068" s="36" t="s">
        <v>66</v>
      </c>
      <c r="F2068" s="36" t="s">
        <v>155</v>
      </c>
      <c r="G2068" s="36" t="s">
        <v>65</v>
      </c>
      <c r="H2068" s="36" t="s">
        <v>165</v>
      </c>
      <c r="I2068" s="3690" t="s">
        <v>4359</v>
      </c>
      <c r="J2068" s="3690" t="s">
        <v>4360</v>
      </c>
      <c r="K2068" s="3805">
        <v>24</v>
      </c>
      <c r="L2068" s="3691">
        <v>247106000</v>
      </c>
      <c r="M2068" s="3804">
        <v>8</v>
      </c>
      <c r="N2068" s="3806">
        <v>73919000</v>
      </c>
      <c r="O2068" s="3805">
        <v>4</v>
      </c>
      <c r="P2068" s="3807">
        <v>34450000</v>
      </c>
      <c r="Q2068" s="3804">
        <v>1</v>
      </c>
      <c r="R2068" s="3691">
        <v>8500000</v>
      </c>
      <c r="S2068" s="3805">
        <v>1</v>
      </c>
      <c r="T2068" s="3807">
        <f>13800000-R2068</f>
        <v>5300000</v>
      </c>
      <c r="U2068" s="3805">
        <v>1</v>
      </c>
      <c r="V2068" s="3807">
        <f>24503000-T2068-R2068</f>
        <v>10703000</v>
      </c>
      <c r="W2068" s="3803"/>
      <c r="X2068" s="3803"/>
      <c r="Y2068" s="3679">
        <v>1</v>
      </c>
      <c r="Z2068" s="3691">
        <f t="shared" si="791"/>
        <v>24503000</v>
      </c>
      <c r="AA2068" s="3679">
        <f t="shared" si="792"/>
        <v>9</v>
      </c>
      <c r="AB2068" s="3691">
        <f t="shared" si="793"/>
        <v>98422000</v>
      </c>
      <c r="AC2068" s="3684">
        <f t="shared" si="794"/>
        <v>37.5</v>
      </c>
      <c r="AD2068" s="3684">
        <f t="shared" si="795"/>
        <v>39.829870581855559</v>
      </c>
      <c r="AE2068" s="3803" t="s">
        <v>4546</v>
      </c>
    </row>
    <row r="2069" spans="1:31" s="2117" customFormat="1" ht="75">
      <c r="A2069" s="3803"/>
      <c r="B2069" s="3678"/>
      <c r="C2069" s="36">
        <v>5</v>
      </c>
      <c r="D2069" s="36" t="s">
        <v>107</v>
      </c>
      <c r="E2069" s="36" t="s">
        <v>66</v>
      </c>
      <c r="F2069" s="36" t="s">
        <v>155</v>
      </c>
      <c r="G2069" s="36" t="s">
        <v>65</v>
      </c>
      <c r="H2069" s="36" t="s">
        <v>178</v>
      </c>
      <c r="I2069" s="3690" t="s">
        <v>4361</v>
      </c>
      <c r="J2069" s="3690" t="s">
        <v>4362</v>
      </c>
      <c r="K2069" s="3805">
        <v>96</v>
      </c>
      <c r="L2069" s="3691">
        <v>27000000</v>
      </c>
      <c r="M2069" s="3804">
        <v>12</v>
      </c>
      <c r="N2069" s="3806">
        <v>3780000</v>
      </c>
      <c r="O2069" s="3805">
        <v>13</v>
      </c>
      <c r="P2069" s="3807">
        <v>2800000</v>
      </c>
      <c r="Q2069" s="3804">
        <v>3</v>
      </c>
      <c r="R2069" s="3691">
        <v>400000</v>
      </c>
      <c r="S2069" s="3805">
        <v>3</v>
      </c>
      <c r="T2069" s="3807">
        <v>400000</v>
      </c>
      <c r="U2069" s="3805">
        <v>3</v>
      </c>
      <c r="V2069" s="3807">
        <v>600000</v>
      </c>
      <c r="W2069" s="3803"/>
      <c r="X2069" s="3803"/>
      <c r="Y2069" s="3679">
        <f t="shared" si="790"/>
        <v>9</v>
      </c>
      <c r="Z2069" s="3691">
        <f>R2069+T2069+V2069+X2069</f>
        <v>1400000</v>
      </c>
      <c r="AA2069" s="3679">
        <f t="shared" si="792"/>
        <v>21</v>
      </c>
      <c r="AB2069" s="3691">
        <f t="shared" si="793"/>
        <v>5180000</v>
      </c>
      <c r="AC2069" s="3684">
        <f t="shared" si="794"/>
        <v>21.875</v>
      </c>
      <c r="AD2069" s="3684">
        <f>(AB2069/L2069)*100</f>
        <v>19.185185185185187</v>
      </c>
      <c r="AE2069" s="3803" t="s">
        <v>4546</v>
      </c>
    </row>
    <row r="2070" spans="1:31" s="3825" customFormat="1" ht="82.5">
      <c r="A2070" s="3657">
        <v>3</v>
      </c>
      <c r="B2070" s="3835"/>
      <c r="C2070" s="3659">
        <v>5</v>
      </c>
      <c r="D2070" s="3659" t="s">
        <v>107</v>
      </c>
      <c r="E2070" s="3659" t="s">
        <v>66</v>
      </c>
      <c r="F2070" s="3659" t="s">
        <v>155</v>
      </c>
      <c r="G2070" s="3659" t="s">
        <v>448</v>
      </c>
      <c r="H2070" s="3657"/>
      <c r="I2070" s="3660" t="s">
        <v>4364</v>
      </c>
      <c r="J2070" s="3660" t="s">
        <v>4365</v>
      </c>
      <c r="K2070" s="3657">
        <v>100</v>
      </c>
      <c r="L2070" s="3662">
        <f>SUM(L2071:L2071)</f>
        <v>174225000</v>
      </c>
      <c r="M2070" s="3657">
        <v>32</v>
      </c>
      <c r="N2070" s="3662">
        <f>SUM(N2071:N2071)</f>
        <v>41225000</v>
      </c>
      <c r="O2070" s="3657">
        <v>18</v>
      </c>
      <c r="P2070" s="3662">
        <f>SUM(P2071:P2071)</f>
        <v>28075000</v>
      </c>
      <c r="Q2070" s="3657">
        <v>0</v>
      </c>
      <c r="R2070" s="3662">
        <f>SUM(R2071:R2071)</f>
        <v>0</v>
      </c>
      <c r="S2070" s="3657">
        <v>0</v>
      </c>
      <c r="T2070" s="3662">
        <f>SUM(T2071:T2071)</f>
        <v>0</v>
      </c>
      <c r="U2070" s="3664">
        <f>V2070/P2070*100</f>
        <v>44.523597506678541</v>
      </c>
      <c r="V2070" s="3662">
        <f>SUM(V2071:V2071)</f>
        <v>12500000</v>
      </c>
      <c r="W2070" s="3661"/>
      <c r="X2070" s="3661"/>
      <c r="Y2070" s="3836">
        <f t="shared" si="790"/>
        <v>44.523597506678541</v>
      </c>
      <c r="Z2070" s="3662">
        <f>SUM(Z2071:Z2071)</f>
        <v>12500000</v>
      </c>
      <c r="AA2070" s="3836">
        <f t="shared" si="792"/>
        <v>76.523597506678541</v>
      </c>
      <c r="AB2070" s="3662">
        <f>SUM(AB2071:AB2071)</f>
        <v>53725000</v>
      </c>
      <c r="AC2070" s="3664">
        <f t="shared" si="794"/>
        <v>76.523597506678541</v>
      </c>
      <c r="AD2070" s="3664">
        <f t="shared" ref="AD2070" si="796">(AB2070/L2070)*100</f>
        <v>30.836561917061271</v>
      </c>
      <c r="AE2070" s="3661" t="s">
        <v>4546</v>
      </c>
    </row>
    <row r="2071" spans="1:31" s="2117" customFormat="1" ht="45">
      <c r="A2071" s="18"/>
      <c r="B2071" s="15"/>
      <c r="C2071" s="36">
        <v>5</v>
      </c>
      <c r="D2071" s="36" t="s">
        <v>107</v>
      </c>
      <c r="E2071" s="36" t="s">
        <v>66</v>
      </c>
      <c r="F2071" s="36" t="s">
        <v>155</v>
      </c>
      <c r="G2071" s="36" t="s">
        <v>448</v>
      </c>
      <c r="H2071" s="36" t="s">
        <v>197</v>
      </c>
      <c r="I2071" s="15" t="s">
        <v>4366</v>
      </c>
      <c r="J2071" s="15" t="s">
        <v>4367</v>
      </c>
      <c r="K2071" s="3826">
        <v>6</v>
      </c>
      <c r="L2071" s="16">
        <v>174225000</v>
      </c>
      <c r="M2071" s="3826">
        <v>2</v>
      </c>
      <c r="N2071" s="16">
        <v>41225000</v>
      </c>
      <c r="O2071" s="3826">
        <v>1</v>
      </c>
      <c r="P2071" s="16">
        <v>28075000</v>
      </c>
      <c r="Q2071" s="3826">
        <v>0</v>
      </c>
      <c r="R2071" s="16">
        <v>0</v>
      </c>
      <c r="S2071" s="3826">
        <v>0</v>
      </c>
      <c r="T2071" s="16">
        <v>0</v>
      </c>
      <c r="U2071" s="3826">
        <v>1</v>
      </c>
      <c r="V2071" s="3827">
        <v>12500000</v>
      </c>
      <c r="W2071" s="15"/>
      <c r="X2071" s="15"/>
      <c r="Y2071" s="3826">
        <f t="shared" si="790"/>
        <v>1</v>
      </c>
      <c r="Z2071" s="3691">
        <f>R2071+T2071+V2071+X2071</f>
        <v>12500000</v>
      </c>
      <c r="AA2071" s="3826">
        <f t="shared" si="792"/>
        <v>3</v>
      </c>
      <c r="AB2071" s="3691">
        <f t="shared" ref="AB2071" si="797">N2071+Z2071</f>
        <v>53725000</v>
      </c>
      <c r="AC2071" s="19">
        <f t="shared" si="794"/>
        <v>50</v>
      </c>
      <c r="AD2071" s="19">
        <f>(AB2071/L2071)*100</f>
        <v>30.836561917061271</v>
      </c>
      <c r="AE2071" s="18" t="s">
        <v>4546</v>
      </c>
    </row>
    <row r="2072" spans="1:31" s="3825" customFormat="1" ht="99">
      <c r="A2072" s="3657">
        <v>4</v>
      </c>
      <c r="B2072" s="3835"/>
      <c r="C2072" s="3659">
        <v>5</v>
      </c>
      <c r="D2072" s="3659" t="s">
        <v>107</v>
      </c>
      <c r="E2072" s="3659" t="s">
        <v>66</v>
      </c>
      <c r="F2072" s="3659" t="s">
        <v>155</v>
      </c>
      <c r="G2072" s="3659" t="s">
        <v>155</v>
      </c>
      <c r="H2072" s="3659"/>
      <c r="I2072" s="3660" t="s">
        <v>4369</v>
      </c>
      <c r="J2072" s="3660" t="s">
        <v>4370</v>
      </c>
      <c r="K2072" s="3657">
        <v>100</v>
      </c>
      <c r="L2072" s="3662">
        <f>SUM(L2073:L2073)</f>
        <v>75310000</v>
      </c>
      <c r="M2072" s="3657">
        <v>32</v>
      </c>
      <c r="N2072" s="3662">
        <f>SUM(N2073:N2073)</f>
        <v>20605000</v>
      </c>
      <c r="O2072" s="3657">
        <v>18</v>
      </c>
      <c r="P2072" s="3662">
        <f>SUM(P2073:P2073)</f>
        <v>13455000</v>
      </c>
      <c r="Q2072" s="3657">
        <v>0</v>
      </c>
      <c r="R2072" s="3662">
        <f>SUM(R2073:R2073)</f>
        <v>0</v>
      </c>
      <c r="S2072" s="3657">
        <v>15</v>
      </c>
      <c r="T2072" s="3663">
        <f>SUM(T2073)</f>
        <v>13455000</v>
      </c>
      <c r="U2072" s="3661">
        <v>3</v>
      </c>
      <c r="V2072" s="3663">
        <f>SUM(V2073)</f>
        <v>0</v>
      </c>
      <c r="W2072" s="3661"/>
      <c r="X2072" s="3661"/>
      <c r="Y2072" s="3657">
        <f t="shared" si="790"/>
        <v>18</v>
      </c>
      <c r="Z2072" s="3662">
        <f>SUM(Z2073:Z2073)</f>
        <v>13455000</v>
      </c>
      <c r="AA2072" s="3657">
        <f t="shared" si="792"/>
        <v>50</v>
      </c>
      <c r="AB2072" s="3662">
        <f>SUM(AB2073:AB2073)</f>
        <v>34060000</v>
      </c>
      <c r="AC2072" s="3664">
        <f t="shared" si="794"/>
        <v>50</v>
      </c>
      <c r="AD2072" s="3664">
        <f t="shared" ref="AD2072:AD2074" si="798">(AB2072/L2072)*100</f>
        <v>45.22639755676537</v>
      </c>
      <c r="AE2072" s="3661" t="s">
        <v>4546</v>
      </c>
    </row>
    <row r="2073" spans="1:31" s="2117" customFormat="1" ht="75">
      <c r="A2073" s="18"/>
      <c r="B2073" s="15"/>
      <c r="C2073" s="36">
        <v>5</v>
      </c>
      <c r="D2073" s="36" t="s">
        <v>107</v>
      </c>
      <c r="E2073" s="36" t="s">
        <v>66</v>
      </c>
      <c r="F2073" s="36" t="s">
        <v>155</v>
      </c>
      <c r="G2073" s="36" t="s">
        <v>155</v>
      </c>
      <c r="H2073" s="36" t="s">
        <v>202</v>
      </c>
      <c r="I2073" s="15" t="s">
        <v>4371</v>
      </c>
      <c r="J2073" s="15" t="s">
        <v>4565</v>
      </c>
      <c r="K2073" s="3826">
        <v>6</v>
      </c>
      <c r="L2073" s="16">
        <v>75310000</v>
      </c>
      <c r="M2073" s="3826">
        <v>2</v>
      </c>
      <c r="N2073" s="16">
        <v>20605000</v>
      </c>
      <c r="O2073" s="3826">
        <v>1</v>
      </c>
      <c r="P2073" s="16">
        <v>13455000</v>
      </c>
      <c r="Q2073" s="3826">
        <v>0</v>
      </c>
      <c r="R2073" s="16">
        <v>0</v>
      </c>
      <c r="S2073" s="3826">
        <v>1</v>
      </c>
      <c r="T2073" s="3827">
        <v>13455000</v>
      </c>
      <c r="U2073" s="3826">
        <v>1</v>
      </c>
      <c r="V2073" s="3827">
        <v>0</v>
      </c>
      <c r="W2073" s="15"/>
      <c r="X2073" s="15"/>
      <c r="Y2073" s="3679">
        <f t="shared" si="790"/>
        <v>2</v>
      </c>
      <c r="Z2073" s="3691">
        <f>R2073+T2073+V2073+X2073</f>
        <v>13455000</v>
      </c>
      <c r="AA2073" s="3679">
        <f t="shared" si="792"/>
        <v>4</v>
      </c>
      <c r="AB2073" s="3691">
        <f t="shared" ref="AB2073" si="799">N2073+Z2073</f>
        <v>34060000</v>
      </c>
      <c r="AC2073" s="3684">
        <f t="shared" si="794"/>
        <v>66.666666666666657</v>
      </c>
      <c r="AD2073" s="3684">
        <f t="shared" si="798"/>
        <v>45.22639755676537</v>
      </c>
      <c r="AE2073" s="18" t="s">
        <v>4546</v>
      </c>
    </row>
    <row r="2074" spans="1:31" s="3825" customFormat="1" ht="66">
      <c r="A2074" s="3657">
        <v>5</v>
      </c>
      <c r="B2074" s="3835"/>
      <c r="C2074" s="3659">
        <v>5</v>
      </c>
      <c r="D2074" s="3659" t="s">
        <v>107</v>
      </c>
      <c r="E2074" s="3659" t="s">
        <v>66</v>
      </c>
      <c r="F2074" s="3659" t="s">
        <v>155</v>
      </c>
      <c r="G2074" s="3659" t="s">
        <v>448</v>
      </c>
      <c r="H2074" s="3659"/>
      <c r="I2074" s="3660" t="s">
        <v>4555</v>
      </c>
      <c r="J2074" s="3660" t="s">
        <v>4556</v>
      </c>
      <c r="K2074" s="3657">
        <v>80</v>
      </c>
      <c r="L2074" s="3662">
        <f>SUM(L2075:L2075)</f>
        <v>100000000</v>
      </c>
      <c r="M2074" s="3657">
        <v>60</v>
      </c>
      <c r="N2074" s="3662">
        <f>SUM(N2075:N2075)</f>
        <v>0</v>
      </c>
      <c r="O2074" s="3657">
        <v>15</v>
      </c>
      <c r="P2074" s="3662">
        <f>SUM(P2075:P2075)</f>
        <v>7286500</v>
      </c>
      <c r="Q2074" s="3657">
        <v>0</v>
      </c>
      <c r="R2074" s="3662">
        <f>SUM(R2075:R2075)</f>
        <v>150000</v>
      </c>
      <c r="S2074" s="3657">
        <v>10</v>
      </c>
      <c r="T2074" s="3662">
        <f>SUM(T2075)</f>
        <v>485000</v>
      </c>
      <c r="U2074" s="3661">
        <v>10</v>
      </c>
      <c r="V2074" s="3662">
        <f>SUM(V2075)</f>
        <v>0</v>
      </c>
      <c r="W2074" s="3661"/>
      <c r="X2074" s="3661"/>
      <c r="Y2074" s="3657">
        <f t="shared" si="790"/>
        <v>20</v>
      </c>
      <c r="Z2074" s="3662">
        <f>SUM(Z2075:Z2075)</f>
        <v>635000</v>
      </c>
      <c r="AA2074" s="3657">
        <f t="shared" si="792"/>
        <v>80</v>
      </c>
      <c r="AB2074" s="3662">
        <f>SUM(AB2075:AB2075)</f>
        <v>635000</v>
      </c>
      <c r="AC2074" s="3664">
        <f t="shared" si="794"/>
        <v>100</v>
      </c>
      <c r="AD2074" s="3664">
        <f t="shared" si="798"/>
        <v>0.63500000000000001</v>
      </c>
      <c r="AE2074" s="3661" t="s">
        <v>4546</v>
      </c>
    </row>
    <row r="2075" spans="1:31" s="63" customFormat="1" ht="25.5">
      <c r="A2075" s="3852"/>
      <c r="B2075" s="3854"/>
      <c r="C2075" s="3853"/>
      <c r="D2075" s="3853"/>
      <c r="E2075" s="3853"/>
      <c r="F2075" s="3853"/>
      <c r="G2075" s="3853"/>
      <c r="H2075" s="3853"/>
      <c r="I2075" s="3854" t="s">
        <v>4557</v>
      </c>
      <c r="J2075" s="3854" t="s">
        <v>4558</v>
      </c>
      <c r="K2075" s="3852">
        <v>5</v>
      </c>
      <c r="L2075" s="3863">
        <v>100000000</v>
      </c>
      <c r="M2075" s="3852">
        <v>0</v>
      </c>
      <c r="N2075" s="3863">
        <v>0</v>
      </c>
      <c r="O2075" s="3852">
        <v>1</v>
      </c>
      <c r="P2075" s="3863">
        <v>7286500</v>
      </c>
      <c r="Q2075" s="3852">
        <v>0</v>
      </c>
      <c r="R2075" s="3855">
        <v>150000</v>
      </c>
      <c r="S2075" s="3852">
        <v>1</v>
      </c>
      <c r="T2075" s="3863">
        <v>485000</v>
      </c>
      <c r="U2075" s="3852">
        <v>0</v>
      </c>
      <c r="V2075" s="3864">
        <v>0</v>
      </c>
      <c r="W2075" s="3852"/>
      <c r="X2075" s="3852"/>
      <c r="Y2075" s="3852">
        <f t="shared" si="790"/>
        <v>1</v>
      </c>
      <c r="Z2075" s="60">
        <f>R2075+T2075+V2075+X2075</f>
        <v>635000</v>
      </c>
      <c r="AA2075" s="3852">
        <f t="shared" si="792"/>
        <v>1</v>
      </c>
      <c r="AB2075" s="60">
        <f t="shared" ref="AB2075" si="800">N2075+Z2075</f>
        <v>635000</v>
      </c>
      <c r="AC2075" s="389">
        <f t="shared" si="794"/>
        <v>20</v>
      </c>
      <c r="AD2075" s="3852"/>
      <c r="AE2075" s="3852" t="s">
        <v>4546</v>
      </c>
    </row>
    <row r="2076" spans="1:31" s="3829" customFormat="1" ht="111.75" customHeight="1">
      <c r="A2076" s="3657">
        <v>6</v>
      </c>
      <c r="B2076" s="3835"/>
      <c r="C2076" s="3659">
        <v>5</v>
      </c>
      <c r="D2076" s="3659" t="s">
        <v>107</v>
      </c>
      <c r="E2076" s="3659" t="s">
        <v>66</v>
      </c>
      <c r="F2076" s="3659" t="s">
        <v>155</v>
      </c>
      <c r="G2076" s="3659" t="s">
        <v>357</v>
      </c>
      <c r="H2076" s="3657"/>
      <c r="I2076" s="3660" t="s">
        <v>4378</v>
      </c>
      <c r="J2076" s="3660" t="s">
        <v>4379</v>
      </c>
      <c r="K2076" s="3657">
        <v>100</v>
      </c>
      <c r="L2076" s="3662">
        <f>SUM(L2077:L2078)</f>
        <v>174353840</v>
      </c>
      <c r="M2076" s="3657">
        <v>32</v>
      </c>
      <c r="N2076" s="3662">
        <f>SUM(N2077:N2078)</f>
        <v>49300000</v>
      </c>
      <c r="O2076" s="3657">
        <v>18</v>
      </c>
      <c r="P2076" s="3662">
        <f>SUM(P2077:P2078)</f>
        <v>17280000</v>
      </c>
      <c r="Q2076" s="3657">
        <v>0</v>
      </c>
      <c r="R2076" s="3662">
        <f>SUM(R2077:R2078)</f>
        <v>550000</v>
      </c>
      <c r="S2076" s="3657">
        <v>2</v>
      </c>
      <c r="T2076" s="3663">
        <f>SUM(T2077:T2078)</f>
        <v>6730000</v>
      </c>
      <c r="U2076" s="3664">
        <f>V2076/P2076*100</f>
        <v>26.302083333333332</v>
      </c>
      <c r="V2076" s="3663">
        <f>SUM(V2077:V2078)</f>
        <v>4545000</v>
      </c>
      <c r="W2076" s="3661"/>
      <c r="X2076" s="3661"/>
      <c r="Y2076" s="3836">
        <f t="shared" si="790"/>
        <v>28.302083333333332</v>
      </c>
      <c r="Z2076" s="3662">
        <f>SUM(Z2077:Z2078)</f>
        <v>11825000</v>
      </c>
      <c r="AA2076" s="3836">
        <f t="shared" si="792"/>
        <v>60.302083333333329</v>
      </c>
      <c r="AB2076" s="3662">
        <f>SUM(AB2077:AB2077)</f>
        <v>54395000</v>
      </c>
      <c r="AC2076" s="3664">
        <f t="shared" si="794"/>
        <v>60.302083333333336</v>
      </c>
      <c r="AD2076" s="3664">
        <f t="shared" ref="AD2076" si="801">(AB2076/L2076)*100</f>
        <v>31.198051043785441</v>
      </c>
      <c r="AE2076" s="3661" t="s">
        <v>4546</v>
      </c>
    </row>
    <row r="2077" spans="1:31" s="6" customFormat="1" ht="105">
      <c r="A2077" s="18"/>
      <c r="B2077" s="15"/>
      <c r="C2077" s="36">
        <v>5</v>
      </c>
      <c r="D2077" s="36" t="s">
        <v>107</v>
      </c>
      <c r="E2077" s="36" t="s">
        <v>66</v>
      </c>
      <c r="F2077" s="36" t="s">
        <v>155</v>
      </c>
      <c r="G2077" s="36" t="s">
        <v>357</v>
      </c>
      <c r="H2077" s="35" t="s">
        <v>65</v>
      </c>
      <c r="I2077" s="15" t="s">
        <v>4380</v>
      </c>
      <c r="J2077" s="15" t="s">
        <v>4381</v>
      </c>
      <c r="K2077" s="3826">
        <v>60</v>
      </c>
      <c r="L2077" s="16">
        <v>129353840</v>
      </c>
      <c r="M2077" s="3826">
        <v>20</v>
      </c>
      <c r="N2077" s="16">
        <v>49300000</v>
      </c>
      <c r="O2077" s="3826">
        <v>10</v>
      </c>
      <c r="P2077" s="16">
        <v>10530000</v>
      </c>
      <c r="Q2077" s="3826">
        <v>2</v>
      </c>
      <c r="R2077" s="16">
        <v>550000</v>
      </c>
      <c r="S2077" s="3826">
        <f>4-Q2077</f>
        <v>2</v>
      </c>
      <c r="T2077" s="3827">
        <v>0</v>
      </c>
      <c r="U2077" s="3826">
        <v>2</v>
      </c>
      <c r="V2077" s="3827">
        <v>4545000</v>
      </c>
      <c r="W2077" s="15"/>
      <c r="X2077" s="15"/>
      <c r="Y2077" s="3826">
        <f t="shared" si="790"/>
        <v>6</v>
      </c>
      <c r="Z2077" s="3691">
        <f>R2077+T2077+V2077+X2077</f>
        <v>5095000</v>
      </c>
      <c r="AA2077" s="3826">
        <f t="shared" si="792"/>
        <v>26</v>
      </c>
      <c r="AB2077" s="3691">
        <f t="shared" ref="AB2077" si="802">N2077+Z2077</f>
        <v>54395000</v>
      </c>
      <c r="AC2077" s="19">
        <f t="shared" si="794"/>
        <v>43.333333333333336</v>
      </c>
      <c r="AD2077" s="19">
        <f>(AB2077/L2077)*100</f>
        <v>42.051322171804102</v>
      </c>
      <c r="AE2077" s="18" t="s">
        <v>4546</v>
      </c>
    </row>
    <row r="2078" spans="1:31" s="6" customFormat="1" ht="30">
      <c r="A2078" s="18"/>
      <c r="B2078" s="15"/>
      <c r="C2078" s="36">
        <v>5</v>
      </c>
      <c r="D2078" s="36" t="s">
        <v>107</v>
      </c>
      <c r="E2078" s="36" t="s">
        <v>66</v>
      </c>
      <c r="F2078" s="36" t="s">
        <v>155</v>
      </c>
      <c r="G2078" s="36" t="s">
        <v>357</v>
      </c>
      <c r="H2078" s="35" t="s">
        <v>196</v>
      </c>
      <c r="I2078" s="15" t="s">
        <v>4551</v>
      </c>
      <c r="J2078" s="15" t="s">
        <v>4552</v>
      </c>
      <c r="K2078" s="3826">
        <v>60</v>
      </c>
      <c r="L2078" s="16">
        <v>45000000</v>
      </c>
      <c r="M2078" s="3826"/>
      <c r="N2078" s="16"/>
      <c r="O2078" s="3826">
        <v>10</v>
      </c>
      <c r="P2078" s="16">
        <v>6750000</v>
      </c>
      <c r="Q2078" s="3826">
        <v>2</v>
      </c>
      <c r="R2078" s="16">
        <v>0</v>
      </c>
      <c r="S2078" s="3826">
        <f>4-Q2078</f>
        <v>2</v>
      </c>
      <c r="T2078" s="3827">
        <v>6730000</v>
      </c>
      <c r="U2078" s="3826">
        <v>2</v>
      </c>
      <c r="V2078" s="3827">
        <v>0</v>
      </c>
      <c r="W2078" s="15"/>
      <c r="X2078" s="15"/>
      <c r="Y2078" s="3826">
        <f t="shared" ref="Y2078" si="803">Q2078+S2078+U2078+W2078</f>
        <v>6</v>
      </c>
      <c r="Z2078" s="3691">
        <f>R2078+T2078+V2078+X2078</f>
        <v>6730000</v>
      </c>
      <c r="AA2078" s="3826">
        <f t="shared" ref="AA2078" si="804">M2078+Y2078</f>
        <v>6</v>
      </c>
      <c r="AB2078" s="3691">
        <f t="shared" ref="AB2078" si="805">N2078+Z2078</f>
        <v>6730000</v>
      </c>
      <c r="AC2078" s="19">
        <f t="shared" ref="AC2078" si="806">(AA2078/K2078)*100</f>
        <v>10</v>
      </c>
      <c r="AD2078" s="19">
        <f>(AB2078/L2078)*100</f>
        <v>14.955555555555556</v>
      </c>
      <c r="AE2078" s="18" t="s">
        <v>4546</v>
      </c>
    </row>
    <row r="2079" spans="1:31" s="3802" customFormat="1" ht="99">
      <c r="A2079" s="3657">
        <v>8</v>
      </c>
      <c r="B2079" s="3835"/>
      <c r="C2079" s="3659">
        <v>5</v>
      </c>
      <c r="D2079" s="3659" t="s">
        <v>107</v>
      </c>
      <c r="E2079" s="3659" t="s">
        <v>66</v>
      </c>
      <c r="F2079" s="3659" t="s">
        <v>155</v>
      </c>
      <c r="G2079" s="3659" t="s">
        <v>1099</v>
      </c>
      <c r="H2079" s="3657"/>
      <c r="I2079" s="3660" t="s">
        <v>4387</v>
      </c>
      <c r="J2079" s="3660" t="s">
        <v>4388</v>
      </c>
      <c r="K2079" s="3657">
        <v>100</v>
      </c>
      <c r="L2079" s="3662">
        <f>SUM(L2080:L2085)</f>
        <v>707523000</v>
      </c>
      <c r="M2079" s="3657">
        <v>32</v>
      </c>
      <c r="N2079" s="3662">
        <f>SUM(N2080:N2085)</f>
        <v>176442400</v>
      </c>
      <c r="O2079" s="3657">
        <v>20</v>
      </c>
      <c r="P2079" s="3662">
        <f>SUM(P2080:P2085)</f>
        <v>113745000</v>
      </c>
      <c r="Q2079" s="3657">
        <v>0</v>
      </c>
      <c r="R2079" s="3662">
        <f>SUM(R2080:R2085)</f>
        <v>13190000</v>
      </c>
      <c r="S2079" s="3657">
        <v>5</v>
      </c>
      <c r="T2079" s="3662">
        <f>SUM(T2080:T2085)</f>
        <v>44470000</v>
      </c>
      <c r="U2079" s="3664">
        <f>V2079/P2079*100</f>
        <v>4.8243878851817659</v>
      </c>
      <c r="V2079" s="3662">
        <f>SUM(V2080:V2085)</f>
        <v>5487500</v>
      </c>
      <c r="W2079" s="3661"/>
      <c r="X2079" s="3661"/>
      <c r="Y2079" s="3836">
        <f>Q2079+S2079+U2079+W2079</f>
        <v>9.8243878851817659</v>
      </c>
      <c r="Z2079" s="3662">
        <f>SUM(Z2080:Z2085)</f>
        <v>63147500</v>
      </c>
      <c r="AA2079" s="3836">
        <f>M2079+Y2079</f>
        <v>41.824387885181764</v>
      </c>
      <c r="AB2079" s="3662">
        <f>SUM(AB2080:AB2085)</f>
        <v>239589900</v>
      </c>
      <c r="AC2079" s="3664">
        <f>(AA2079/K2079)*100</f>
        <v>41.824387885181764</v>
      </c>
      <c r="AD2079" s="3664">
        <f t="shared" ref="AD2079:AD2085" si="807">(AB2079/L2079)*100</f>
        <v>33.863195966774221</v>
      </c>
      <c r="AE2079" s="3661" t="s">
        <v>4546</v>
      </c>
    </row>
    <row r="2080" spans="1:31" s="6" customFormat="1" ht="63" customHeight="1">
      <c r="A2080" s="3803"/>
      <c r="B2080" s="3678"/>
      <c r="C2080" s="36">
        <v>5</v>
      </c>
      <c r="D2080" s="36" t="s">
        <v>107</v>
      </c>
      <c r="E2080" s="36" t="s">
        <v>66</v>
      </c>
      <c r="F2080" s="36" t="s">
        <v>155</v>
      </c>
      <c r="G2080" s="36" t="s">
        <v>1099</v>
      </c>
      <c r="H2080" s="3804" t="s">
        <v>66</v>
      </c>
      <c r="I2080" s="3690" t="s">
        <v>4285</v>
      </c>
      <c r="J2080" s="3690" t="s">
        <v>4389</v>
      </c>
      <c r="K2080" s="3805">
        <v>60</v>
      </c>
      <c r="L2080" s="3691">
        <v>188580500</v>
      </c>
      <c r="M2080" s="3804">
        <v>20</v>
      </c>
      <c r="N2080" s="3806">
        <v>58377900</v>
      </c>
      <c r="O2080" s="3805">
        <v>10</v>
      </c>
      <c r="P2080" s="3807">
        <v>37620000</v>
      </c>
      <c r="Q2080" s="3804">
        <v>1</v>
      </c>
      <c r="R2080" s="3691">
        <v>990000</v>
      </c>
      <c r="S2080" s="3805">
        <v>2</v>
      </c>
      <c r="T2080" s="3807">
        <f>14585000-R2080</f>
        <v>13595000</v>
      </c>
      <c r="U2080" s="3805">
        <v>2</v>
      </c>
      <c r="V2080" s="3807">
        <f>20072500-T2080-R2080</f>
        <v>5487500</v>
      </c>
      <c r="W2080" s="3803"/>
      <c r="X2080" s="3803"/>
      <c r="Y2080" s="3679">
        <f>Q2080+S2080+U2080+W2080</f>
        <v>5</v>
      </c>
      <c r="Z2080" s="3691">
        <f t="shared" ref="Z2080:Z2085" si="808">R2080+T2080+V2080+X2080</f>
        <v>20072500</v>
      </c>
      <c r="AA2080" s="3679">
        <f t="shared" ref="AA2080:AA2084" si="809">M2080+Y2080</f>
        <v>25</v>
      </c>
      <c r="AB2080" s="3691">
        <f t="shared" ref="AB2080:AB2085" si="810">N2080+Z2080</f>
        <v>78450400</v>
      </c>
      <c r="AC2080" s="3684">
        <f t="shared" ref="AC2080:AC2085" si="811">(AA2080/K2080)*100</f>
        <v>41.666666666666671</v>
      </c>
      <c r="AD2080" s="3684">
        <f t="shared" si="807"/>
        <v>41.600483613098916</v>
      </c>
      <c r="AE2080" s="3803" t="s">
        <v>4546</v>
      </c>
    </row>
    <row r="2081" spans="1:76" s="6" customFormat="1" ht="75">
      <c r="A2081" s="3803"/>
      <c r="B2081" s="3678"/>
      <c r="C2081" s="36">
        <v>5</v>
      </c>
      <c r="D2081" s="36" t="s">
        <v>107</v>
      </c>
      <c r="E2081" s="36" t="s">
        <v>66</v>
      </c>
      <c r="F2081" s="36" t="s">
        <v>155</v>
      </c>
      <c r="G2081" s="36" t="s">
        <v>1099</v>
      </c>
      <c r="H2081" s="3804" t="s">
        <v>65</v>
      </c>
      <c r="I2081" s="3690" t="s">
        <v>4390</v>
      </c>
      <c r="J2081" s="3690" t="s">
        <v>4391</v>
      </c>
      <c r="K2081" s="3805">
        <v>6</v>
      </c>
      <c r="L2081" s="3831">
        <v>137849500</v>
      </c>
      <c r="M2081" s="3804">
        <v>2</v>
      </c>
      <c r="N2081" s="3806">
        <v>36148000</v>
      </c>
      <c r="O2081" s="3805">
        <v>1</v>
      </c>
      <c r="P2081" s="3807">
        <v>16875000</v>
      </c>
      <c r="Q2081" s="3823">
        <v>0</v>
      </c>
      <c r="R2081" s="3691">
        <v>0</v>
      </c>
      <c r="S2081" s="3824">
        <v>0</v>
      </c>
      <c r="T2081" s="3691">
        <v>0</v>
      </c>
      <c r="U2081" s="3805">
        <v>0</v>
      </c>
      <c r="V2081" s="3803">
        <v>0</v>
      </c>
      <c r="W2081" s="3803"/>
      <c r="X2081" s="3803"/>
      <c r="Y2081" s="3679">
        <f t="shared" ref="Y2081:Y2083" si="812">Q2081+S2081+U2081+W2081</f>
        <v>0</v>
      </c>
      <c r="Z2081" s="3691">
        <f t="shared" si="808"/>
        <v>0</v>
      </c>
      <c r="AA2081" s="3679">
        <f t="shared" si="809"/>
        <v>2</v>
      </c>
      <c r="AB2081" s="3691">
        <f t="shared" si="810"/>
        <v>36148000</v>
      </c>
      <c r="AC2081" s="3684">
        <f t="shared" si="811"/>
        <v>33.333333333333329</v>
      </c>
      <c r="AD2081" s="3684">
        <f t="shared" si="807"/>
        <v>26.222800953213472</v>
      </c>
      <c r="AE2081" s="3803" t="s">
        <v>4546</v>
      </c>
    </row>
    <row r="2082" spans="1:76" s="6" customFormat="1" ht="105">
      <c r="A2082" s="3803"/>
      <c r="B2082" s="3678"/>
      <c r="C2082" s="36">
        <v>5</v>
      </c>
      <c r="D2082" s="36" t="s">
        <v>107</v>
      </c>
      <c r="E2082" s="36" t="s">
        <v>66</v>
      </c>
      <c r="F2082" s="36" t="s">
        <v>155</v>
      </c>
      <c r="G2082" s="36" t="s">
        <v>1099</v>
      </c>
      <c r="H2082" s="3804" t="s">
        <v>196</v>
      </c>
      <c r="I2082" s="3690" t="s">
        <v>4392</v>
      </c>
      <c r="J2082" s="3690" t="s">
        <v>4393</v>
      </c>
      <c r="K2082" s="3805">
        <v>6</v>
      </c>
      <c r="L2082" s="3691">
        <v>171393000</v>
      </c>
      <c r="M2082" s="3804">
        <v>2</v>
      </c>
      <c r="N2082" s="3806">
        <v>48716500</v>
      </c>
      <c r="O2082" s="3805">
        <v>1</v>
      </c>
      <c r="P2082" s="3807">
        <v>24100000</v>
      </c>
      <c r="Q2082" s="3804">
        <v>1</v>
      </c>
      <c r="R2082" s="3691">
        <v>12200000</v>
      </c>
      <c r="S2082" s="3824">
        <v>0</v>
      </c>
      <c r="T2082" s="3807">
        <f>24100000-R2082</f>
        <v>11900000</v>
      </c>
      <c r="U2082" s="3805">
        <v>0</v>
      </c>
      <c r="V2082" s="3807">
        <v>0</v>
      </c>
      <c r="W2082" s="3803"/>
      <c r="X2082" s="3803"/>
      <c r="Y2082" s="3679">
        <f t="shared" si="812"/>
        <v>1</v>
      </c>
      <c r="Z2082" s="3691">
        <f t="shared" si="808"/>
        <v>24100000</v>
      </c>
      <c r="AA2082" s="3679">
        <f t="shared" si="809"/>
        <v>3</v>
      </c>
      <c r="AB2082" s="3691">
        <f t="shared" si="810"/>
        <v>72816500</v>
      </c>
      <c r="AC2082" s="3684">
        <f t="shared" si="811"/>
        <v>50</v>
      </c>
      <c r="AD2082" s="3684">
        <f t="shared" si="807"/>
        <v>42.485107326436903</v>
      </c>
      <c r="AE2082" s="3803" t="s">
        <v>4546</v>
      </c>
    </row>
    <row r="2083" spans="1:76" s="6" customFormat="1" ht="90">
      <c r="A2083" s="3803"/>
      <c r="B2083" s="3678"/>
      <c r="C2083" s="36">
        <v>5</v>
      </c>
      <c r="D2083" s="36" t="s">
        <v>107</v>
      </c>
      <c r="E2083" s="36" t="s">
        <v>66</v>
      </c>
      <c r="F2083" s="36" t="s">
        <v>155</v>
      </c>
      <c r="G2083" s="36" t="s">
        <v>1099</v>
      </c>
      <c r="H2083" s="3804" t="s">
        <v>161</v>
      </c>
      <c r="I2083" s="3690" t="s">
        <v>4394</v>
      </c>
      <c r="J2083" s="3690" t="s">
        <v>4395</v>
      </c>
      <c r="K2083" s="3805">
        <v>72</v>
      </c>
      <c r="L2083" s="3691">
        <v>36000000</v>
      </c>
      <c r="M2083" s="3804">
        <v>24</v>
      </c>
      <c r="N2083" s="3806">
        <v>12000000</v>
      </c>
      <c r="O2083" s="3805">
        <v>12</v>
      </c>
      <c r="P2083" s="3807">
        <v>7090000</v>
      </c>
      <c r="Q2083" s="3804">
        <v>3</v>
      </c>
      <c r="R2083" s="3691">
        <v>0</v>
      </c>
      <c r="S2083" s="3824">
        <v>0</v>
      </c>
      <c r="T2083" s="3691">
        <v>0</v>
      </c>
      <c r="U2083" s="3805">
        <v>4</v>
      </c>
      <c r="V2083" s="3807">
        <v>0</v>
      </c>
      <c r="W2083" s="3803"/>
      <c r="X2083" s="3803"/>
      <c r="Y2083" s="3679">
        <f t="shared" si="812"/>
        <v>7</v>
      </c>
      <c r="Z2083" s="3691">
        <f t="shared" si="808"/>
        <v>0</v>
      </c>
      <c r="AA2083" s="3679">
        <f t="shared" si="809"/>
        <v>31</v>
      </c>
      <c r="AB2083" s="3691">
        <f t="shared" si="810"/>
        <v>12000000</v>
      </c>
      <c r="AC2083" s="3684">
        <f t="shared" si="811"/>
        <v>43.055555555555557</v>
      </c>
      <c r="AD2083" s="3684">
        <f t="shared" si="807"/>
        <v>33.333333333333329</v>
      </c>
      <c r="AE2083" s="3803" t="s">
        <v>4546</v>
      </c>
    </row>
    <row r="2084" spans="1:76" s="6" customFormat="1" ht="75">
      <c r="A2084" s="3803"/>
      <c r="B2084" s="3678"/>
      <c r="C2084" s="36">
        <v>5</v>
      </c>
      <c r="D2084" s="36" t="s">
        <v>107</v>
      </c>
      <c r="E2084" s="36" t="s">
        <v>66</v>
      </c>
      <c r="F2084" s="36" t="s">
        <v>155</v>
      </c>
      <c r="G2084" s="36" t="s">
        <v>1099</v>
      </c>
      <c r="H2084" s="3804" t="s">
        <v>197</v>
      </c>
      <c r="I2084" s="3690" t="s">
        <v>4293</v>
      </c>
      <c r="J2084" s="3690" t="s">
        <v>4396</v>
      </c>
      <c r="K2084" s="3805">
        <v>150</v>
      </c>
      <c r="L2084" s="3691">
        <v>76200000</v>
      </c>
      <c r="M2084" s="3804">
        <v>50</v>
      </c>
      <c r="N2084" s="3806">
        <v>21200000</v>
      </c>
      <c r="O2084" s="3805">
        <v>6</v>
      </c>
      <c r="P2084" s="3807">
        <v>8210000</v>
      </c>
      <c r="Q2084" s="3804">
        <v>0</v>
      </c>
      <c r="R2084" s="3691">
        <v>0</v>
      </c>
      <c r="S2084" s="3824">
        <v>0</v>
      </c>
      <c r="T2084" s="3691">
        <v>0</v>
      </c>
      <c r="U2084" s="3805">
        <v>2</v>
      </c>
      <c r="V2084" s="3807">
        <v>0</v>
      </c>
      <c r="W2084" s="3803"/>
      <c r="X2084" s="3803"/>
      <c r="Y2084" s="3679">
        <f>Q2084+S2084+U2084+W2084</f>
        <v>2</v>
      </c>
      <c r="Z2084" s="3691">
        <f t="shared" si="808"/>
        <v>0</v>
      </c>
      <c r="AA2084" s="3679">
        <f t="shared" si="809"/>
        <v>52</v>
      </c>
      <c r="AB2084" s="3691">
        <f t="shared" si="810"/>
        <v>21200000</v>
      </c>
      <c r="AC2084" s="3684">
        <f t="shared" si="811"/>
        <v>34.666666666666671</v>
      </c>
      <c r="AD2084" s="3684">
        <f t="shared" si="807"/>
        <v>27.821522309711288</v>
      </c>
      <c r="AE2084" s="3803" t="s">
        <v>4546</v>
      </c>
    </row>
    <row r="2085" spans="1:76" s="6" customFormat="1" ht="75">
      <c r="A2085" s="3803"/>
      <c r="B2085" s="3678"/>
      <c r="C2085" s="36">
        <v>5</v>
      </c>
      <c r="D2085" s="36" t="s">
        <v>107</v>
      </c>
      <c r="E2085" s="36" t="s">
        <v>66</v>
      </c>
      <c r="F2085" s="36" t="s">
        <v>155</v>
      </c>
      <c r="G2085" s="36" t="s">
        <v>1099</v>
      </c>
      <c r="H2085" s="3804"/>
      <c r="I2085" s="15" t="s">
        <v>4553</v>
      </c>
      <c r="J2085" s="3690" t="s">
        <v>4554</v>
      </c>
      <c r="K2085" s="3805">
        <v>4</v>
      </c>
      <c r="L2085" s="3691">
        <v>97500000</v>
      </c>
      <c r="M2085" s="3804">
        <v>0</v>
      </c>
      <c r="N2085" s="3832">
        <v>0</v>
      </c>
      <c r="O2085" s="3805">
        <v>1</v>
      </c>
      <c r="P2085" s="3807">
        <v>19850000</v>
      </c>
      <c r="Q2085" s="3804">
        <v>0</v>
      </c>
      <c r="R2085" s="3691">
        <v>0</v>
      </c>
      <c r="S2085" s="3805">
        <v>1</v>
      </c>
      <c r="T2085" s="3691">
        <v>18975000</v>
      </c>
      <c r="U2085" s="3805">
        <v>0</v>
      </c>
      <c r="V2085" s="3807">
        <v>0</v>
      </c>
      <c r="W2085" s="3803"/>
      <c r="X2085" s="3803"/>
      <c r="Y2085" s="3679">
        <f t="shared" ref="Y2085" si="813">Q2085+S2085+U2085+W2085</f>
        <v>1</v>
      </c>
      <c r="Z2085" s="3691">
        <f t="shared" si="808"/>
        <v>18975000</v>
      </c>
      <c r="AA2085" s="3679">
        <f>M2085+Y2085</f>
        <v>1</v>
      </c>
      <c r="AB2085" s="3691">
        <f t="shared" si="810"/>
        <v>18975000</v>
      </c>
      <c r="AC2085" s="3684">
        <f t="shared" si="811"/>
        <v>25</v>
      </c>
      <c r="AD2085" s="3684">
        <f t="shared" si="807"/>
        <v>19.46153846153846</v>
      </c>
      <c r="AE2085" s="3803" t="s">
        <v>4546</v>
      </c>
    </row>
    <row r="2086" spans="1:76" customFormat="1" ht="17.25" customHeight="1">
      <c r="A2086" s="4264" t="s">
        <v>89</v>
      </c>
      <c r="B2086" s="4264"/>
      <c r="C2086" s="4265"/>
      <c r="D2086" s="4265"/>
      <c r="E2086" s="4265"/>
      <c r="F2086" s="4265"/>
      <c r="G2086" s="4265"/>
      <c r="H2086" s="4265"/>
      <c r="I2086" s="4265"/>
      <c r="J2086" s="4265"/>
      <c r="K2086" s="4265"/>
      <c r="L2086" s="4265"/>
      <c r="M2086" s="4265"/>
      <c r="N2086" s="4265"/>
      <c r="O2086" s="4265"/>
      <c r="P2086" s="4265"/>
      <c r="Q2086" s="4265"/>
      <c r="R2086" s="4265"/>
      <c r="S2086" s="4265"/>
      <c r="T2086" s="4265"/>
      <c r="U2086" s="4265"/>
      <c r="V2086" s="4265"/>
      <c r="W2086" s="4265"/>
      <c r="X2086" s="4265"/>
      <c r="Y2086" s="4265"/>
      <c r="Z2086" s="4265"/>
      <c r="AA2086" s="4265"/>
      <c r="AB2086" s="4265"/>
      <c r="AC2086" s="3784">
        <f>(AC2054+AC2065+AC2070+AC2072+AC2074+AC2076+AC2079)/7</f>
        <v>60.0452479131229</v>
      </c>
      <c r="AD2086" s="3784">
        <f>(AD2054+AD2065+AD2070+AD2072+AD2074+AD2076+AD2079)/7</f>
        <v>31.539018000017187</v>
      </c>
      <c r="AE2086" s="2116"/>
    </row>
    <row r="2087" spans="1:76" customFormat="1" ht="20.25" customHeight="1">
      <c r="A2087" s="4264" t="s">
        <v>90</v>
      </c>
      <c r="B2087" s="4264"/>
      <c r="C2087" s="4265"/>
      <c r="D2087" s="4265"/>
      <c r="E2087" s="4265"/>
      <c r="F2087" s="4265"/>
      <c r="G2087" s="4265"/>
      <c r="H2087" s="4265"/>
      <c r="I2087" s="4265"/>
      <c r="J2087" s="4265"/>
      <c r="K2087" s="4265"/>
      <c r="L2087" s="4265"/>
      <c r="M2087" s="4265"/>
      <c r="N2087" s="4265"/>
      <c r="O2087" s="4265"/>
      <c r="P2087" s="4265"/>
      <c r="Q2087" s="4265"/>
      <c r="R2087" s="4265"/>
      <c r="S2087" s="4265"/>
      <c r="T2087" s="4265"/>
      <c r="U2087" s="4265"/>
      <c r="V2087" s="4265"/>
      <c r="W2087" s="4265"/>
      <c r="X2087" s="4265"/>
      <c r="Y2087" s="4265"/>
      <c r="Z2087" s="4265"/>
      <c r="AA2087" s="4265"/>
      <c r="AB2087" s="4265"/>
      <c r="AC2087" s="3689" t="str">
        <f>IF(AC2086&gt;=91,"ST",IF(AC2086&gt;=76,"T",IF(AC2086&gt;=66,"S",IF(AC2086&gt;=51,"R","SR"))))</f>
        <v>R</v>
      </c>
      <c r="AD2087" s="3689" t="str">
        <f>IF(AD2086&gt;=91,"ST",IF(AD2086&gt;=76,"T",IF(AD2086&gt;=66,"S",IF(AD2086&gt;=51,"R","SR"))))</f>
        <v>SR</v>
      </c>
      <c r="AE2087" s="2116"/>
    </row>
    <row r="2088" spans="1:76" s="55" customFormat="1" ht="25.5" customHeight="1">
      <c r="A2088" s="2546" t="s">
        <v>3294</v>
      </c>
      <c r="B2088" s="2918"/>
      <c r="C2088" s="2546"/>
      <c r="D2088" s="2546"/>
      <c r="E2088" s="2546"/>
      <c r="F2088" s="2546"/>
      <c r="G2088" s="2546"/>
      <c r="H2088" s="2546"/>
      <c r="I2088" s="2515" t="s">
        <v>4409</v>
      </c>
      <c r="J2088" s="2918"/>
      <c r="K2088" s="2918"/>
      <c r="L2088" s="3238">
        <f>L2089+L2101+L2103+L2109+L2111+L2114+L2117+L2119+L2121+L2123+L2133</f>
        <v>3652354960</v>
      </c>
      <c r="M2088" s="2918"/>
      <c r="N2088" s="2916">
        <f>N2089+N2101+N2103+N2109+N2111+N2114+N2117+N2119+N2121+N2123+N2133</f>
        <v>1173060960</v>
      </c>
      <c r="O2088" s="2918"/>
      <c r="P2088" s="2916">
        <f>P2089+P2101+P2103+P2109+P2111+P2114+P2117+P2119+P2121+P2123+P2133</f>
        <v>515594300</v>
      </c>
      <c r="Q2088" s="2918"/>
      <c r="R2088" s="2916">
        <f>R2089+R2101+R2103+R2109+R2111+R2114+R2117+R2119+R2121+R2123+R2133</f>
        <v>64381902</v>
      </c>
      <c r="S2088" s="2918"/>
      <c r="T2088" s="2916">
        <f>T2089+T2101+T2103+T2109+T2111+T2114+T2117+T2119+T2121+T2123+T2133</f>
        <v>204321983</v>
      </c>
      <c r="U2088" s="2918"/>
      <c r="V2088" s="2916">
        <f>V2089+V2101+V2103+V2109+V2111+V2114+V2117+V2119+V2121+V2123+V2133</f>
        <v>248566910</v>
      </c>
      <c r="W2088" s="2918"/>
      <c r="X2088" s="2918"/>
      <c r="Y2088" s="2546">
        <f>Q2088+S2088+U2088+W2088</f>
        <v>0</v>
      </c>
      <c r="Z2088" s="2916">
        <f>Z2089+Z2101+Z2103+Z2109+Z2111+Z2114+Z2117+Z2119+Z2121+Z2123+Z2133</f>
        <v>517270795</v>
      </c>
      <c r="AA2088" s="2918"/>
      <c r="AB2088" s="2916">
        <f>AB2089+AB2101+AB2103+AB2109+AB2111+AB2114+AB2117+AB2119+AB2121+AB2123+AB2133</f>
        <v>1690331755</v>
      </c>
      <c r="AC2088" s="2918"/>
      <c r="AD2088" s="2918"/>
      <c r="AE2088" s="3211"/>
      <c r="AF2088" s="145"/>
      <c r="AG2088" s="145"/>
      <c r="AH2088" s="145"/>
      <c r="AI2088" s="145"/>
      <c r="AJ2088" s="145"/>
      <c r="AK2088" s="145"/>
      <c r="AL2088" s="145"/>
      <c r="AM2088" s="145"/>
      <c r="AN2088" s="145"/>
      <c r="AO2088" s="145"/>
      <c r="AP2088" s="145"/>
      <c r="AQ2088" s="145"/>
      <c r="AR2088" s="145"/>
      <c r="AS2088" s="145"/>
      <c r="AT2088" s="145"/>
      <c r="AU2088" s="145"/>
      <c r="AV2088" s="145"/>
      <c r="AW2088" s="145"/>
      <c r="AX2088" s="145"/>
      <c r="AY2088" s="145"/>
      <c r="AZ2088" s="145"/>
      <c r="BA2088" s="145"/>
      <c r="BB2088" s="145"/>
      <c r="BC2088" s="145"/>
      <c r="BD2088" s="145"/>
      <c r="BE2088" s="145"/>
      <c r="BF2088" s="145"/>
      <c r="BG2088" s="145"/>
      <c r="BH2088" s="145"/>
      <c r="BI2088" s="145"/>
      <c r="BJ2088" s="145"/>
      <c r="BK2088" s="145"/>
      <c r="BL2088" s="145"/>
      <c r="BM2088" s="145"/>
      <c r="BN2088" s="145"/>
      <c r="BO2088" s="145"/>
      <c r="BP2088" s="145"/>
      <c r="BQ2088" s="145"/>
      <c r="BR2088" s="145"/>
      <c r="BS2088" s="145"/>
      <c r="BT2088" s="145"/>
      <c r="BU2088" s="145"/>
      <c r="BV2088" s="145"/>
      <c r="BW2088" s="145"/>
      <c r="BX2088" s="145"/>
    </row>
    <row r="2089" spans="1:76" s="3769" customFormat="1" ht="63.75">
      <c r="A2089" s="3787" t="s">
        <v>30</v>
      </c>
      <c r="B2089" s="3787"/>
      <c r="C2089" s="3788">
        <v>5</v>
      </c>
      <c r="D2089" s="3789" t="s">
        <v>107</v>
      </c>
      <c r="E2089" s="3789" t="s">
        <v>66</v>
      </c>
      <c r="F2089" s="3789" t="s">
        <v>66</v>
      </c>
      <c r="G2089" s="3789"/>
      <c r="H2089" s="3788"/>
      <c r="I2089" s="3785" t="s">
        <v>1662</v>
      </c>
      <c r="J2089" s="3770" t="s">
        <v>4410</v>
      </c>
      <c r="K2089" s="3764">
        <v>72</v>
      </c>
      <c r="L2089" s="3067">
        <f>SUM(L2090:L2100)</f>
        <v>1276633300</v>
      </c>
      <c r="M2089" s="3766">
        <v>24</v>
      </c>
      <c r="N2089" s="3067">
        <f>SUM(N2090:N2100)</f>
        <v>434357300</v>
      </c>
      <c r="O2089" s="3766">
        <v>12</v>
      </c>
      <c r="P2089" s="3067">
        <f>SUM(P2090:P2100)</f>
        <v>232101006</v>
      </c>
      <c r="Q2089" s="3766">
        <v>3</v>
      </c>
      <c r="R2089" s="3067">
        <f>SUM(R2090:R2100)</f>
        <v>37343452</v>
      </c>
      <c r="S2089" s="3766">
        <v>3</v>
      </c>
      <c r="T2089" s="3067">
        <f>SUM(T2090:T2100)</f>
        <v>102246962</v>
      </c>
      <c r="U2089" s="3766">
        <v>3</v>
      </c>
      <c r="V2089" s="3067">
        <f>SUM(V2090:V2100)</f>
        <v>153479966</v>
      </c>
      <c r="W2089" s="3766">
        <v>0</v>
      </c>
      <c r="X2089" s="3067">
        <v>0</v>
      </c>
      <c r="Y2089" s="3766">
        <f>(Q2089+S2089+U2089+W2089)</f>
        <v>9</v>
      </c>
      <c r="Z2089" s="3921">
        <f>(R2089+T2089+V2089+X2089)</f>
        <v>293070380</v>
      </c>
      <c r="AA2089" s="3766">
        <f>(M2089+Y2089)</f>
        <v>33</v>
      </c>
      <c r="AB2089" s="3768">
        <f>(N2089+Z2089)</f>
        <v>727427680</v>
      </c>
      <c r="AC2089" s="3906">
        <f>(AA2089/K2089*100)</f>
        <v>45.833333333333329</v>
      </c>
      <c r="AD2089" s="3906">
        <f>(AB2089/L2089*100)</f>
        <v>56.980158672032132</v>
      </c>
      <c r="AE2089" s="2595" t="s">
        <v>4411</v>
      </c>
    </row>
    <row r="2090" spans="1:76" s="75" customFormat="1" ht="38.25">
      <c r="A2090" s="1718">
        <v>1</v>
      </c>
      <c r="B2090" s="3707"/>
      <c r="C2090" s="3708">
        <v>5</v>
      </c>
      <c r="D2090" s="3709" t="s">
        <v>66</v>
      </c>
      <c r="E2090" s="3709" t="s">
        <v>66</v>
      </c>
      <c r="F2090" s="3709" t="s">
        <v>66</v>
      </c>
      <c r="G2090" s="3709"/>
      <c r="H2090" s="3709" t="s">
        <v>65</v>
      </c>
      <c r="I2090" s="2634" t="s">
        <v>4412</v>
      </c>
      <c r="J2090" s="3710" t="s">
        <v>4413</v>
      </c>
      <c r="K2090" s="3711">
        <v>72</v>
      </c>
      <c r="L2090" s="2658">
        <v>70398000</v>
      </c>
      <c r="M2090" s="3712">
        <v>24</v>
      </c>
      <c r="N2090" s="2658">
        <v>20790000</v>
      </c>
      <c r="O2090" s="3712">
        <v>12</v>
      </c>
      <c r="P2090" s="2658">
        <v>11400000</v>
      </c>
      <c r="Q2090" s="3704">
        <v>3</v>
      </c>
      <c r="R2090" s="2658">
        <v>1341386</v>
      </c>
      <c r="S2090" s="3704">
        <v>3</v>
      </c>
      <c r="T2090" s="3713">
        <v>2573276</v>
      </c>
      <c r="U2090" s="3704">
        <v>3</v>
      </c>
      <c r="V2090" s="3714">
        <v>2701906</v>
      </c>
      <c r="W2090" s="3704">
        <v>0</v>
      </c>
      <c r="X2090" s="3714">
        <v>0</v>
      </c>
      <c r="Y2090" s="3704">
        <f>(Q2090+S2090+U2090+W2090)</f>
        <v>9</v>
      </c>
      <c r="Z2090" s="3920">
        <f t="shared" ref="Z2090:Z2134" si="814">(R2090+T2090+V2090+X2090)</f>
        <v>6616568</v>
      </c>
      <c r="AA2090" s="3704">
        <f>(M2090+Y2090)</f>
        <v>33</v>
      </c>
      <c r="AB2090" s="3705">
        <f>(N2090+Z2090)</f>
        <v>27406568</v>
      </c>
      <c r="AC2090" s="3907">
        <f t="shared" ref="AC2090:AC2134" si="815">(AA2090/K2090*100)</f>
        <v>45.833333333333329</v>
      </c>
      <c r="AD2090" s="3907">
        <f t="shared" ref="AD2090:AD2134" si="816">(AB2090/L2090*100)</f>
        <v>38.930890082104611</v>
      </c>
      <c r="AE2090" s="2849" t="s">
        <v>4411</v>
      </c>
    </row>
    <row r="2091" spans="1:76" s="75" customFormat="1" ht="51">
      <c r="A2091" s="1718">
        <v>2</v>
      </c>
      <c r="B2091" s="3707"/>
      <c r="C2091" s="3708">
        <v>5</v>
      </c>
      <c r="D2091" s="3709" t="s">
        <v>107</v>
      </c>
      <c r="E2091" s="3709" t="s">
        <v>66</v>
      </c>
      <c r="F2091" s="3709" t="s">
        <v>66</v>
      </c>
      <c r="G2091" s="3709"/>
      <c r="H2091" s="3709" t="s">
        <v>198</v>
      </c>
      <c r="I2091" s="2634" t="s">
        <v>148</v>
      </c>
      <c r="J2091" s="3710" t="s">
        <v>4414</v>
      </c>
      <c r="K2091" s="3711">
        <v>72</v>
      </c>
      <c r="L2091" s="2658">
        <v>214000000</v>
      </c>
      <c r="M2091" s="3711">
        <v>24</v>
      </c>
      <c r="N2091" s="2658">
        <v>86200000</v>
      </c>
      <c r="O2091" s="3711">
        <v>12</v>
      </c>
      <c r="P2091" s="2658">
        <v>83700000</v>
      </c>
      <c r="Q2091" s="3704">
        <v>3</v>
      </c>
      <c r="R2091" s="2658">
        <v>13700000</v>
      </c>
      <c r="S2091" s="3704">
        <v>3</v>
      </c>
      <c r="T2091" s="3715">
        <v>36300000</v>
      </c>
      <c r="U2091" s="3704">
        <v>3</v>
      </c>
      <c r="V2091" s="3714">
        <v>44700000</v>
      </c>
      <c r="W2091" s="3704">
        <v>0</v>
      </c>
      <c r="X2091" s="3714">
        <v>0</v>
      </c>
      <c r="Y2091" s="3704">
        <f>(Q2091+S2091+U2091+W2091)</f>
        <v>9</v>
      </c>
      <c r="Z2091" s="3920">
        <f t="shared" si="814"/>
        <v>94700000</v>
      </c>
      <c r="AA2091" s="3704">
        <f t="shared" ref="AA2091:AB2134" si="817">(M2091+Y2091)</f>
        <v>33</v>
      </c>
      <c r="AB2091" s="3705">
        <f>(N2091+Z2091)</f>
        <v>180900000</v>
      </c>
      <c r="AC2091" s="3907">
        <f t="shared" si="815"/>
        <v>45.833333333333329</v>
      </c>
      <c r="AD2091" s="3907">
        <f t="shared" si="816"/>
        <v>84.532710280373834</v>
      </c>
      <c r="AE2091" s="2849" t="s">
        <v>4411</v>
      </c>
    </row>
    <row r="2092" spans="1:76" s="75" customFormat="1" ht="25.5">
      <c r="A2092" s="1718">
        <v>3</v>
      </c>
      <c r="B2092" s="3710"/>
      <c r="C2092" s="3708">
        <v>5</v>
      </c>
      <c r="D2092" s="3709" t="s">
        <v>107</v>
      </c>
      <c r="E2092" s="3709" t="s">
        <v>66</v>
      </c>
      <c r="F2092" s="3709" t="s">
        <v>66</v>
      </c>
      <c r="G2092" s="3709"/>
      <c r="H2092" s="3709" t="s">
        <v>93</v>
      </c>
      <c r="I2092" s="2634" t="s">
        <v>876</v>
      </c>
      <c r="J2092" s="3710" t="s">
        <v>4415</v>
      </c>
      <c r="K2092" s="3711">
        <v>72</v>
      </c>
      <c r="L2092" s="2658">
        <v>91461500</v>
      </c>
      <c r="M2092" s="3711">
        <v>24</v>
      </c>
      <c r="N2092" s="2658">
        <v>36061500</v>
      </c>
      <c r="O2092" s="3711">
        <v>12</v>
      </c>
      <c r="P2092" s="2658">
        <v>15826446</v>
      </c>
      <c r="Q2092" s="3704">
        <v>3</v>
      </c>
      <c r="R2092" s="2658">
        <v>2398324</v>
      </c>
      <c r="S2092" s="3704">
        <v>3</v>
      </c>
      <c r="T2092" s="3715">
        <v>6898324</v>
      </c>
      <c r="U2092" s="3704">
        <v>3</v>
      </c>
      <c r="V2092" s="3714">
        <v>9148324</v>
      </c>
      <c r="W2092" s="3704">
        <v>0</v>
      </c>
      <c r="X2092" s="3714">
        <v>0</v>
      </c>
      <c r="Y2092" s="3704">
        <f t="shared" ref="Y2092:Y2134" si="818">(Q2092+S2092+U2092+W2092)</f>
        <v>9</v>
      </c>
      <c r="Z2092" s="3920">
        <f t="shared" si="814"/>
        <v>18444972</v>
      </c>
      <c r="AA2092" s="3704">
        <f t="shared" si="817"/>
        <v>33</v>
      </c>
      <c r="AB2092" s="3705">
        <f>(N2092+Z2092)</f>
        <v>54506472</v>
      </c>
      <c r="AC2092" s="3907">
        <f t="shared" si="815"/>
        <v>45.833333333333329</v>
      </c>
      <c r="AD2092" s="3907">
        <f t="shared" si="816"/>
        <v>59.594990241795728</v>
      </c>
      <c r="AE2092" s="2849" t="s">
        <v>4411</v>
      </c>
    </row>
    <row r="2093" spans="1:76" s="75" customFormat="1" ht="38.25">
      <c r="A2093" s="1718">
        <v>4</v>
      </c>
      <c r="B2093" s="3707"/>
      <c r="C2093" s="3708">
        <v>20</v>
      </c>
      <c r="D2093" s="3709">
        <v>19</v>
      </c>
      <c r="E2093" s="3709" t="s">
        <v>66</v>
      </c>
      <c r="F2093" s="3709" t="s">
        <v>201</v>
      </c>
      <c r="G2093" s="3709"/>
      <c r="H2093" s="3709"/>
      <c r="I2093" s="2634" t="s">
        <v>705</v>
      </c>
      <c r="J2093" s="3710" t="s">
        <v>4416</v>
      </c>
      <c r="K2093" s="3711">
        <v>72</v>
      </c>
      <c r="L2093" s="2658">
        <v>3200000</v>
      </c>
      <c r="M2093" s="3711">
        <v>24</v>
      </c>
      <c r="N2093" s="2658">
        <v>3200000</v>
      </c>
      <c r="O2093" s="3711">
        <v>12</v>
      </c>
      <c r="P2093" s="2658">
        <v>3000000</v>
      </c>
      <c r="Q2093" s="3704">
        <v>3</v>
      </c>
      <c r="R2093" s="2658">
        <v>200000</v>
      </c>
      <c r="S2093" s="3704">
        <v>3</v>
      </c>
      <c r="T2093" s="3715">
        <v>1420000</v>
      </c>
      <c r="U2093" s="3704">
        <v>3</v>
      </c>
      <c r="V2093" s="3714">
        <v>1420000</v>
      </c>
      <c r="W2093" s="3704">
        <v>0</v>
      </c>
      <c r="X2093" s="3714">
        <v>0</v>
      </c>
      <c r="Y2093" s="3704">
        <f t="shared" si="818"/>
        <v>9</v>
      </c>
      <c r="Z2093" s="3920">
        <f t="shared" si="814"/>
        <v>3040000</v>
      </c>
      <c r="AA2093" s="3704">
        <f t="shared" si="817"/>
        <v>33</v>
      </c>
      <c r="AB2093" s="3705">
        <f t="shared" si="817"/>
        <v>6240000</v>
      </c>
      <c r="AC2093" s="3907">
        <f t="shared" si="815"/>
        <v>45.833333333333329</v>
      </c>
      <c r="AD2093" s="3907">
        <f t="shared" si="816"/>
        <v>195</v>
      </c>
      <c r="AE2093" s="2849" t="s">
        <v>4411</v>
      </c>
    </row>
    <row r="2094" spans="1:76" s="75" customFormat="1" ht="38.25">
      <c r="A2094" s="1718">
        <v>5</v>
      </c>
      <c r="B2094" s="3710"/>
      <c r="C2094" s="3708">
        <v>5</v>
      </c>
      <c r="D2094" s="3709" t="s">
        <v>107</v>
      </c>
      <c r="E2094" s="3709" t="s">
        <v>66</v>
      </c>
      <c r="F2094" s="3709" t="s">
        <v>66</v>
      </c>
      <c r="G2094" s="3709"/>
      <c r="H2094" s="3709" t="s">
        <v>202</v>
      </c>
      <c r="I2094" s="2634" t="s">
        <v>150</v>
      </c>
      <c r="J2094" s="3710" t="s">
        <v>4417</v>
      </c>
      <c r="K2094" s="3711">
        <v>72</v>
      </c>
      <c r="L2094" s="2658">
        <v>129877000</v>
      </c>
      <c r="M2094" s="3712">
        <v>24</v>
      </c>
      <c r="N2094" s="2658">
        <v>34877000</v>
      </c>
      <c r="O2094" s="3712">
        <v>12</v>
      </c>
      <c r="P2094" s="2658">
        <v>17425812</v>
      </c>
      <c r="Q2094" s="3704">
        <v>3</v>
      </c>
      <c r="R2094" s="2658">
        <v>2512266</v>
      </c>
      <c r="S2094" s="3704">
        <v>3</v>
      </c>
      <c r="T2094" s="3716">
        <v>5532447</v>
      </c>
      <c r="U2094" s="3704">
        <v>3</v>
      </c>
      <c r="V2094" s="3714">
        <v>14664521</v>
      </c>
      <c r="W2094" s="3704">
        <v>0</v>
      </c>
      <c r="X2094" s="3714">
        <v>0</v>
      </c>
      <c r="Y2094" s="3704">
        <f t="shared" si="818"/>
        <v>9</v>
      </c>
      <c r="Z2094" s="3920">
        <f t="shared" si="814"/>
        <v>22709234</v>
      </c>
      <c r="AA2094" s="3704">
        <f t="shared" si="817"/>
        <v>33</v>
      </c>
      <c r="AB2094" s="3705">
        <f t="shared" si="817"/>
        <v>57586234</v>
      </c>
      <c r="AC2094" s="3907">
        <f t="shared" si="815"/>
        <v>45.833333333333329</v>
      </c>
      <c r="AD2094" s="3907">
        <f t="shared" si="816"/>
        <v>44.33905464400933</v>
      </c>
      <c r="AE2094" s="2849" t="s">
        <v>4411</v>
      </c>
    </row>
    <row r="2095" spans="1:76" s="75" customFormat="1" ht="38.25">
      <c r="A2095" s="1718">
        <v>6</v>
      </c>
      <c r="B2095" s="3710"/>
      <c r="C2095" s="3708">
        <v>5</v>
      </c>
      <c r="D2095" s="3709" t="s">
        <v>107</v>
      </c>
      <c r="E2095" s="3709" t="s">
        <v>66</v>
      </c>
      <c r="F2095" s="3709" t="s">
        <v>66</v>
      </c>
      <c r="G2095" s="3709"/>
      <c r="H2095" s="3709" t="s">
        <v>417</v>
      </c>
      <c r="I2095" s="2634" t="s">
        <v>882</v>
      </c>
      <c r="J2095" s="3707" t="s">
        <v>4140</v>
      </c>
      <c r="K2095" s="3711">
        <v>72</v>
      </c>
      <c r="L2095" s="2658">
        <v>112116800</v>
      </c>
      <c r="M2095" s="3711">
        <v>24</v>
      </c>
      <c r="N2095" s="2658">
        <v>31348800</v>
      </c>
      <c r="O2095" s="3711">
        <v>12</v>
      </c>
      <c r="P2095" s="2658">
        <v>12490128</v>
      </c>
      <c r="Q2095" s="3704">
        <v>3</v>
      </c>
      <c r="R2095" s="2658">
        <v>1391476</v>
      </c>
      <c r="S2095" s="3704">
        <v>3</v>
      </c>
      <c r="T2095" s="3716">
        <v>3219675</v>
      </c>
      <c r="U2095" s="3704">
        <v>3</v>
      </c>
      <c r="V2095" s="3714">
        <v>3894675</v>
      </c>
      <c r="W2095" s="3704">
        <v>0</v>
      </c>
      <c r="X2095" s="3714">
        <v>0</v>
      </c>
      <c r="Y2095" s="3704">
        <f t="shared" si="818"/>
        <v>9</v>
      </c>
      <c r="Z2095" s="3920">
        <f t="shared" si="814"/>
        <v>8505826</v>
      </c>
      <c r="AA2095" s="3704">
        <f t="shared" si="817"/>
        <v>33</v>
      </c>
      <c r="AB2095" s="3705">
        <f t="shared" si="817"/>
        <v>39854626</v>
      </c>
      <c r="AC2095" s="3907">
        <f t="shared" si="815"/>
        <v>45.833333333333329</v>
      </c>
      <c r="AD2095" s="3907">
        <f t="shared" si="816"/>
        <v>35.547416622664933</v>
      </c>
      <c r="AE2095" s="2849" t="s">
        <v>4411</v>
      </c>
    </row>
    <row r="2096" spans="1:76" s="75" customFormat="1" ht="51">
      <c r="A2096" s="1718">
        <v>7</v>
      </c>
      <c r="B2096" s="3710"/>
      <c r="C2096" s="3708">
        <v>5</v>
      </c>
      <c r="D2096" s="3709" t="s">
        <v>107</v>
      </c>
      <c r="E2096" s="3709" t="s">
        <v>66</v>
      </c>
      <c r="F2096" s="3709" t="s">
        <v>66</v>
      </c>
      <c r="G2096" s="3709"/>
      <c r="H2096" s="3709" t="s">
        <v>160</v>
      </c>
      <c r="I2096" s="2634" t="s">
        <v>884</v>
      </c>
      <c r="J2096" s="3707" t="s">
        <v>4418</v>
      </c>
      <c r="K2096" s="3711">
        <v>72</v>
      </c>
      <c r="L2096" s="2658">
        <v>24298000</v>
      </c>
      <c r="M2096" s="3711">
        <v>24</v>
      </c>
      <c r="N2096" s="2658">
        <v>5298000</v>
      </c>
      <c r="O2096" s="3711">
        <v>12</v>
      </c>
      <c r="P2096" s="2658">
        <v>4653620</v>
      </c>
      <c r="Q2096" s="3704">
        <v>3</v>
      </c>
      <c r="R2096" s="2658">
        <v>200000</v>
      </c>
      <c r="S2096" s="3704">
        <v>3</v>
      </c>
      <c r="T2096" s="3716">
        <v>1788240</v>
      </c>
      <c r="U2096" s="3704">
        <v>3</v>
      </c>
      <c r="V2096" s="3714">
        <v>4653240</v>
      </c>
      <c r="W2096" s="3704">
        <v>0</v>
      </c>
      <c r="X2096" s="3714">
        <v>0</v>
      </c>
      <c r="Y2096" s="3704">
        <f t="shared" si="818"/>
        <v>9</v>
      </c>
      <c r="Z2096" s="3920">
        <f t="shared" si="814"/>
        <v>6641480</v>
      </c>
      <c r="AA2096" s="3704">
        <f t="shared" si="817"/>
        <v>33</v>
      </c>
      <c r="AB2096" s="3705">
        <f t="shared" si="817"/>
        <v>11939480</v>
      </c>
      <c r="AC2096" s="3907">
        <f t="shared" si="815"/>
        <v>45.833333333333329</v>
      </c>
      <c r="AD2096" s="3907">
        <f t="shared" si="816"/>
        <v>49.137706807144625</v>
      </c>
      <c r="AE2096" s="2849" t="s">
        <v>4411</v>
      </c>
    </row>
    <row r="2097" spans="1:31" s="75" customFormat="1" ht="25.5">
      <c r="A2097" s="1718">
        <v>8</v>
      </c>
      <c r="B2097" s="3710"/>
      <c r="C2097" s="3708">
        <v>5</v>
      </c>
      <c r="D2097" s="3709" t="s">
        <v>66</v>
      </c>
      <c r="E2097" s="3709" t="s">
        <v>66</v>
      </c>
      <c r="F2097" s="3708"/>
      <c r="G2097" s="3708"/>
      <c r="H2097" s="3709" t="s">
        <v>155</v>
      </c>
      <c r="I2097" s="2634" t="s">
        <v>533</v>
      </c>
      <c r="J2097" s="3707" t="s">
        <v>4419</v>
      </c>
      <c r="K2097" s="3711">
        <v>72</v>
      </c>
      <c r="L2097" s="2658">
        <v>28600000</v>
      </c>
      <c r="M2097" s="3712">
        <v>24</v>
      </c>
      <c r="N2097" s="2658">
        <v>8800000</v>
      </c>
      <c r="O2097" s="3712">
        <v>12</v>
      </c>
      <c r="P2097" s="2658">
        <v>4320000</v>
      </c>
      <c r="Q2097" s="3704">
        <v>3</v>
      </c>
      <c r="R2097" s="2658">
        <v>480000</v>
      </c>
      <c r="S2097" s="3704">
        <v>3</v>
      </c>
      <c r="T2097" s="3716">
        <v>1200000</v>
      </c>
      <c r="U2097" s="3704">
        <v>3</v>
      </c>
      <c r="V2097" s="3714">
        <v>1920000</v>
      </c>
      <c r="W2097" s="3704">
        <v>0</v>
      </c>
      <c r="X2097" s="3714">
        <v>0</v>
      </c>
      <c r="Y2097" s="3704">
        <f t="shared" si="818"/>
        <v>9</v>
      </c>
      <c r="Z2097" s="3920">
        <f t="shared" si="814"/>
        <v>3600000</v>
      </c>
      <c r="AA2097" s="3704">
        <f t="shared" si="817"/>
        <v>33</v>
      </c>
      <c r="AB2097" s="3705">
        <f t="shared" si="817"/>
        <v>12400000</v>
      </c>
      <c r="AC2097" s="3907">
        <f t="shared" si="815"/>
        <v>45.833333333333329</v>
      </c>
      <c r="AD2097" s="3907">
        <f t="shared" si="816"/>
        <v>43.356643356643353</v>
      </c>
      <c r="AE2097" s="2849" t="s">
        <v>4411</v>
      </c>
    </row>
    <row r="2098" spans="1:31" s="75" customFormat="1" ht="25.5">
      <c r="A2098" s="1718">
        <v>9</v>
      </c>
      <c r="B2098" s="3710"/>
      <c r="C2098" s="3708">
        <v>5</v>
      </c>
      <c r="D2098" s="3709" t="s">
        <v>66</v>
      </c>
      <c r="E2098" s="3709" t="s">
        <v>66</v>
      </c>
      <c r="F2098" s="3708"/>
      <c r="G2098" s="3708"/>
      <c r="H2098" s="3709" t="s">
        <v>448</v>
      </c>
      <c r="I2098" s="2634" t="s">
        <v>206</v>
      </c>
      <c r="J2098" s="3707" t="s">
        <v>4420</v>
      </c>
      <c r="K2098" s="3711">
        <v>72</v>
      </c>
      <c r="L2098" s="2658">
        <v>156682000</v>
      </c>
      <c r="M2098" s="3711">
        <v>24</v>
      </c>
      <c r="N2098" s="2658">
        <v>56682000</v>
      </c>
      <c r="O2098" s="3711">
        <v>12</v>
      </c>
      <c r="P2098" s="2658">
        <v>16500000</v>
      </c>
      <c r="Q2098" s="3704">
        <v>3</v>
      </c>
      <c r="R2098" s="2658">
        <v>3650000</v>
      </c>
      <c r="S2098" s="3704">
        <v>3</v>
      </c>
      <c r="T2098" s="3716">
        <v>15050000</v>
      </c>
      <c r="U2098" s="3704">
        <v>3</v>
      </c>
      <c r="V2098" s="3714">
        <v>16500000</v>
      </c>
      <c r="W2098" s="3704">
        <v>0</v>
      </c>
      <c r="X2098" s="3714">
        <v>0</v>
      </c>
      <c r="Y2098" s="3704">
        <f t="shared" si="818"/>
        <v>9</v>
      </c>
      <c r="Z2098" s="3920">
        <f t="shared" si="814"/>
        <v>35200000</v>
      </c>
      <c r="AA2098" s="3704">
        <f t="shared" si="817"/>
        <v>33</v>
      </c>
      <c r="AB2098" s="3705">
        <f t="shared" si="817"/>
        <v>91882000</v>
      </c>
      <c r="AC2098" s="3907">
        <f t="shared" si="815"/>
        <v>45.833333333333329</v>
      </c>
      <c r="AD2098" s="3907">
        <f t="shared" si="816"/>
        <v>58.642345642766877</v>
      </c>
      <c r="AE2098" s="2849" t="s">
        <v>4411</v>
      </c>
    </row>
    <row r="2099" spans="1:31" s="75" customFormat="1" ht="51">
      <c r="A2099" s="1718">
        <v>10</v>
      </c>
      <c r="B2099" s="3710"/>
      <c r="C2099" s="3708">
        <v>5</v>
      </c>
      <c r="D2099" s="3709" t="s">
        <v>66</v>
      </c>
      <c r="E2099" s="3709" t="s">
        <v>66</v>
      </c>
      <c r="F2099" s="3708"/>
      <c r="G2099" s="3708"/>
      <c r="H2099" s="3709" t="s">
        <v>167</v>
      </c>
      <c r="I2099" s="2634" t="s">
        <v>207</v>
      </c>
      <c r="J2099" s="3707" t="s">
        <v>4421</v>
      </c>
      <c r="K2099" s="3711">
        <v>72</v>
      </c>
      <c r="L2099" s="2658">
        <v>186000000</v>
      </c>
      <c r="M2099" s="3712">
        <v>24</v>
      </c>
      <c r="N2099" s="2658">
        <v>71000000</v>
      </c>
      <c r="O2099" s="3711">
        <v>12</v>
      </c>
      <c r="P2099" s="2658">
        <v>17300000</v>
      </c>
      <c r="Q2099" s="3704">
        <v>3</v>
      </c>
      <c r="R2099" s="2658">
        <v>200000</v>
      </c>
      <c r="S2099" s="3704">
        <v>3</v>
      </c>
      <c r="T2099" s="2531">
        <v>2375000</v>
      </c>
      <c r="U2099" s="3704">
        <v>3</v>
      </c>
      <c r="V2099" s="3714">
        <v>16572300</v>
      </c>
      <c r="W2099" s="3704">
        <v>0</v>
      </c>
      <c r="X2099" s="3714">
        <v>0</v>
      </c>
      <c r="Y2099" s="3704">
        <f t="shared" si="818"/>
        <v>9</v>
      </c>
      <c r="Z2099" s="3920">
        <f t="shared" si="814"/>
        <v>19147300</v>
      </c>
      <c r="AA2099" s="3704">
        <f t="shared" si="817"/>
        <v>33</v>
      </c>
      <c r="AB2099" s="3705">
        <f t="shared" si="817"/>
        <v>90147300</v>
      </c>
      <c r="AC2099" s="3907">
        <f t="shared" si="815"/>
        <v>45.833333333333329</v>
      </c>
      <c r="AD2099" s="3907">
        <f t="shared" si="816"/>
        <v>48.466290322580647</v>
      </c>
      <c r="AE2099" s="2849" t="s">
        <v>4411</v>
      </c>
    </row>
    <row r="2100" spans="1:31" s="75" customFormat="1" ht="51">
      <c r="A2100" s="1718">
        <v>11</v>
      </c>
      <c r="B2100" s="3710"/>
      <c r="C2100" s="3708">
        <v>5</v>
      </c>
      <c r="D2100" s="3709" t="s">
        <v>66</v>
      </c>
      <c r="E2100" s="3709" t="s">
        <v>66</v>
      </c>
      <c r="F2100" s="3708"/>
      <c r="G2100" s="3708"/>
      <c r="H2100" s="3709" t="s">
        <v>376</v>
      </c>
      <c r="I2100" s="2634" t="s">
        <v>208</v>
      </c>
      <c r="J2100" s="3707" t="s">
        <v>4422</v>
      </c>
      <c r="K2100" s="3711">
        <v>72</v>
      </c>
      <c r="L2100" s="2658">
        <v>260000000</v>
      </c>
      <c r="M2100" s="3712">
        <v>24</v>
      </c>
      <c r="N2100" s="2658">
        <v>80100000</v>
      </c>
      <c r="O2100" s="3711">
        <v>12</v>
      </c>
      <c r="P2100" s="2658">
        <v>45485000</v>
      </c>
      <c r="Q2100" s="3704">
        <v>3</v>
      </c>
      <c r="R2100" s="2658">
        <v>11270000</v>
      </c>
      <c r="S2100" s="3704">
        <v>3</v>
      </c>
      <c r="T2100" s="3714">
        <v>25890000</v>
      </c>
      <c r="U2100" s="3704">
        <v>3</v>
      </c>
      <c r="V2100" s="3714">
        <v>37305000</v>
      </c>
      <c r="W2100" s="3704">
        <v>0</v>
      </c>
      <c r="X2100" s="3714">
        <v>0</v>
      </c>
      <c r="Y2100" s="3704">
        <f t="shared" si="818"/>
        <v>9</v>
      </c>
      <c r="Z2100" s="3920">
        <f t="shared" si="814"/>
        <v>74465000</v>
      </c>
      <c r="AA2100" s="3704">
        <f t="shared" si="817"/>
        <v>33</v>
      </c>
      <c r="AB2100" s="3705">
        <f>(N2100+Z2100)</f>
        <v>154565000</v>
      </c>
      <c r="AC2100" s="3907">
        <f t="shared" si="815"/>
        <v>45.833333333333329</v>
      </c>
      <c r="AD2100" s="3907">
        <f t="shared" si="816"/>
        <v>59.448076923076918</v>
      </c>
      <c r="AE2100" s="2849" t="s">
        <v>4411</v>
      </c>
    </row>
    <row r="2101" spans="1:31" s="3666" customFormat="1" ht="38.25">
      <c r="A2101" s="2595" t="s">
        <v>122</v>
      </c>
      <c r="B2101" s="3918"/>
      <c r="C2101" s="3762">
        <v>5</v>
      </c>
      <c r="D2101" s="3763" t="s">
        <v>66</v>
      </c>
      <c r="E2101" s="3763" t="s">
        <v>66</v>
      </c>
      <c r="F2101" s="3762"/>
      <c r="G2101" s="3762"/>
      <c r="H2101" s="3763">
        <v>30</v>
      </c>
      <c r="I2101" s="2363" t="s">
        <v>4423</v>
      </c>
      <c r="J2101" s="3918" t="s">
        <v>4424</v>
      </c>
      <c r="K2101" s="3764">
        <v>16</v>
      </c>
      <c r="L2101" s="3061">
        <f>L2102</f>
        <v>51082800</v>
      </c>
      <c r="M2101" s="3764">
        <v>8</v>
      </c>
      <c r="N2101" s="3061">
        <f>N2102</f>
        <v>17082800</v>
      </c>
      <c r="O2101" s="3764">
        <v>12</v>
      </c>
      <c r="P2101" s="3919">
        <f>P2102</f>
        <v>2182500</v>
      </c>
      <c r="Q2101" s="3766">
        <v>0</v>
      </c>
      <c r="R2101" s="3919">
        <f>R2102</f>
        <v>0</v>
      </c>
      <c r="S2101" s="3766">
        <v>3</v>
      </c>
      <c r="T2101" s="3767">
        <f>T2102</f>
        <v>2182500</v>
      </c>
      <c r="U2101" s="3766">
        <v>0</v>
      </c>
      <c r="V2101" s="3767">
        <f>V2102</f>
        <v>0</v>
      </c>
      <c r="W2101" s="3766">
        <v>0</v>
      </c>
      <c r="X2101" s="3767">
        <v>0</v>
      </c>
      <c r="Y2101" s="3766">
        <f t="shared" si="818"/>
        <v>3</v>
      </c>
      <c r="Z2101" s="3876">
        <f t="shared" si="814"/>
        <v>2182500</v>
      </c>
      <c r="AA2101" s="3766">
        <f t="shared" si="817"/>
        <v>11</v>
      </c>
      <c r="AB2101" s="3768">
        <f t="shared" si="817"/>
        <v>19265300</v>
      </c>
      <c r="AC2101" s="3906">
        <f t="shared" si="815"/>
        <v>68.75</v>
      </c>
      <c r="AD2101" s="3906">
        <f t="shared" si="816"/>
        <v>37.713868464532091</v>
      </c>
      <c r="AE2101" s="2595" t="s">
        <v>4411</v>
      </c>
    </row>
    <row r="2102" spans="1:31" s="3666" customFormat="1" ht="38.25">
      <c r="A2102" s="3717"/>
      <c r="B2102" s="3718"/>
      <c r="C2102" s="3719"/>
      <c r="D2102" s="3720"/>
      <c r="E2102" s="3720"/>
      <c r="F2102" s="3719"/>
      <c r="G2102" s="3719"/>
      <c r="H2102" s="3720"/>
      <c r="I2102" s="2634" t="s">
        <v>4423</v>
      </c>
      <c r="J2102" s="3707" t="s">
        <v>4424</v>
      </c>
      <c r="K2102" s="3721">
        <v>16</v>
      </c>
      <c r="L2102" s="3722">
        <v>51082800</v>
      </c>
      <c r="M2102" s="3721">
        <v>8</v>
      </c>
      <c r="N2102" s="3722">
        <v>17082800</v>
      </c>
      <c r="O2102" s="3721">
        <v>12</v>
      </c>
      <c r="P2102" s="3723">
        <v>2182500</v>
      </c>
      <c r="Q2102" s="3704">
        <v>0</v>
      </c>
      <c r="R2102" s="3723"/>
      <c r="S2102" s="3704"/>
      <c r="T2102" s="3714">
        <v>2182500</v>
      </c>
      <c r="U2102" s="3704">
        <v>0</v>
      </c>
      <c r="V2102" s="3714">
        <v>0</v>
      </c>
      <c r="W2102" s="3704">
        <v>0</v>
      </c>
      <c r="X2102" s="3714">
        <v>0</v>
      </c>
      <c r="Y2102" s="3704">
        <f t="shared" si="818"/>
        <v>0</v>
      </c>
      <c r="Z2102" s="3920">
        <f t="shared" si="814"/>
        <v>2182500</v>
      </c>
      <c r="AA2102" s="3704">
        <f t="shared" si="817"/>
        <v>8</v>
      </c>
      <c r="AB2102" s="3705">
        <f t="shared" si="817"/>
        <v>19265300</v>
      </c>
      <c r="AC2102" s="3907">
        <f t="shared" si="815"/>
        <v>50</v>
      </c>
      <c r="AD2102" s="3907">
        <f t="shared" si="816"/>
        <v>37.713868464532091</v>
      </c>
      <c r="AE2102" s="2849" t="s">
        <v>4411</v>
      </c>
    </row>
    <row r="2103" spans="1:31" s="75" customFormat="1" ht="76.5">
      <c r="A2103" s="2595" t="s">
        <v>123</v>
      </c>
      <c r="B2103" s="2363"/>
      <c r="C2103" s="3763" t="s">
        <v>4322</v>
      </c>
      <c r="D2103" s="3763" t="s">
        <v>107</v>
      </c>
      <c r="E2103" s="3763" t="s">
        <v>66</v>
      </c>
      <c r="F2103" s="3763" t="s">
        <v>65</v>
      </c>
      <c r="G2103" s="3763"/>
      <c r="H2103" s="3762"/>
      <c r="I2103" s="2363" t="s">
        <v>4425</v>
      </c>
      <c r="J2103" s="2363" t="s">
        <v>4426</v>
      </c>
      <c r="K2103" s="3764">
        <v>72</v>
      </c>
      <c r="L2103" s="3061">
        <f>SUM(L2104:L2108)</f>
        <v>415200060</v>
      </c>
      <c r="M2103" s="3764">
        <v>24</v>
      </c>
      <c r="N2103" s="3061">
        <f>SUM(N2104:N2108)</f>
        <v>212000060</v>
      </c>
      <c r="O2103" s="3764">
        <v>12</v>
      </c>
      <c r="P2103" s="3061">
        <f>SUM(P2104:P2108)</f>
        <v>88122894</v>
      </c>
      <c r="Q2103" s="3766">
        <v>3</v>
      </c>
      <c r="R2103" s="3061">
        <f>SUM(R2104:R2108)</f>
        <v>22225950</v>
      </c>
      <c r="S2103" s="3766">
        <v>3</v>
      </c>
      <c r="T2103" s="3767">
        <f>SUM(T2104:T2108)</f>
        <v>44045021</v>
      </c>
      <c r="U2103" s="3766">
        <v>3</v>
      </c>
      <c r="V2103" s="3767">
        <f>SUM(V2104:V2108)</f>
        <v>54986944</v>
      </c>
      <c r="W2103" s="3766">
        <v>0</v>
      </c>
      <c r="X2103" s="3767">
        <v>0</v>
      </c>
      <c r="Y2103" s="3766">
        <f t="shared" si="818"/>
        <v>9</v>
      </c>
      <c r="Z2103" s="3876">
        <f t="shared" si="814"/>
        <v>121257915</v>
      </c>
      <c r="AA2103" s="3766">
        <f t="shared" si="817"/>
        <v>33</v>
      </c>
      <c r="AB2103" s="3768">
        <f t="shared" si="817"/>
        <v>333257975</v>
      </c>
      <c r="AC2103" s="3906">
        <f t="shared" si="815"/>
        <v>45.833333333333329</v>
      </c>
      <c r="AD2103" s="3906">
        <f t="shared" si="816"/>
        <v>80.264433246950887</v>
      </c>
      <c r="AE2103" s="2595" t="s">
        <v>4411</v>
      </c>
    </row>
    <row r="2104" spans="1:31" s="75" customFormat="1" ht="38.25">
      <c r="A2104" s="1718">
        <v>1</v>
      </c>
      <c r="B2104" s="2634"/>
      <c r="C2104" s="3709" t="s">
        <v>4322</v>
      </c>
      <c r="D2104" s="3709" t="s">
        <v>107</v>
      </c>
      <c r="E2104" s="3709" t="s">
        <v>66</v>
      </c>
      <c r="F2104" s="3709" t="s">
        <v>65</v>
      </c>
      <c r="G2104" s="3709"/>
      <c r="H2104" s="3709" t="s">
        <v>201</v>
      </c>
      <c r="I2104" s="2634" t="s">
        <v>4427</v>
      </c>
      <c r="J2104" s="3727" t="s">
        <v>4428</v>
      </c>
      <c r="K2104" s="3711">
        <v>6</v>
      </c>
      <c r="L2104" s="2658">
        <v>103445000</v>
      </c>
      <c r="M2104" s="3712">
        <v>3</v>
      </c>
      <c r="N2104" s="2658">
        <v>73445000</v>
      </c>
      <c r="O2104" s="3711">
        <v>12</v>
      </c>
      <c r="P2104" s="2658">
        <v>42747823</v>
      </c>
      <c r="Q2104" s="3704">
        <v>3</v>
      </c>
      <c r="R2104" s="2658">
        <v>14506250</v>
      </c>
      <c r="S2104" s="3704">
        <v>3</v>
      </c>
      <c r="T2104" s="3728">
        <v>14506250</v>
      </c>
      <c r="U2104" s="3704">
        <v>3</v>
      </c>
      <c r="V2104" s="3714">
        <v>21846573</v>
      </c>
      <c r="W2104" s="3704">
        <v>0</v>
      </c>
      <c r="X2104" s="3714">
        <v>0</v>
      </c>
      <c r="Y2104" s="3704">
        <f t="shared" si="818"/>
        <v>9</v>
      </c>
      <c r="Z2104" s="3920">
        <f t="shared" si="814"/>
        <v>50859073</v>
      </c>
      <c r="AA2104" s="3704">
        <f t="shared" si="817"/>
        <v>12</v>
      </c>
      <c r="AB2104" s="3705">
        <f t="shared" si="817"/>
        <v>124304073</v>
      </c>
      <c r="AC2104" s="3907">
        <f t="shared" si="815"/>
        <v>200</v>
      </c>
      <c r="AD2104" s="3907">
        <f t="shared" si="816"/>
        <v>120.16440910628836</v>
      </c>
      <c r="AE2104" s="2849" t="s">
        <v>4411</v>
      </c>
    </row>
    <row r="2105" spans="1:31" s="75" customFormat="1" ht="25.5">
      <c r="A2105" s="3717">
        <v>2</v>
      </c>
      <c r="B2105" s="3727"/>
      <c r="C2105" s="3709" t="s">
        <v>4322</v>
      </c>
      <c r="D2105" s="3709" t="s">
        <v>107</v>
      </c>
      <c r="E2105" s="3709" t="s">
        <v>66</v>
      </c>
      <c r="F2105" s="3709" t="s">
        <v>65</v>
      </c>
      <c r="G2105" s="3709"/>
      <c r="H2105" s="3709" t="s">
        <v>163</v>
      </c>
      <c r="I2105" s="2634" t="s">
        <v>4429</v>
      </c>
      <c r="J2105" s="3727" t="s">
        <v>4430</v>
      </c>
      <c r="K2105" s="3711">
        <v>6</v>
      </c>
      <c r="L2105" s="3729">
        <v>78867500</v>
      </c>
      <c r="M2105" s="3711">
        <v>24</v>
      </c>
      <c r="N2105" s="3729">
        <v>38867500</v>
      </c>
      <c r="O2105" s="3711">
        <v>12</v>
      </c>
      <c r="P2105" s="2658">
        <v>6149071</v>
      </c>
      <c r="Q2105" s="3704">
        <v>0</v>
      </c>
      <c r="R2105" s="2658">
        <v>0</v>
      </c>
      <c r="S2105" s="3704">
        <v>3</v>
      </c>
      <c r="T2105" s="3728">
        <v>6149071</v>
      </c>
      <c r="U2105" s="3704">
        <v>3</v>
      </c>
      <c r="V2105" s="3714">
        <v>6149071</v>
      </c>
      <c r="W2105" s="3704">
        <v>0</v>
      </c>
      <c r="X2105" s="3714">
        <v>0</v>
      </c>
      <c r="Y2105" s="3704">
        <f t="shared" si="818"/>
        <v>6</v>
      </c>
      <c r="Z2105" s="3920">
        <f t="shared" si="814"/>
        <v>12298142</v>
      </c>
      <c r="AA2105" s="3704">
        <f t="shared" si="817"/>
        <v>30</v>
      </c>
      <c r="AB2105" s="3705">
        <f t="shared" si="817"/>
        <v>51165642</v>
      </c>
      <c r="AC2105" s="3907">
        <f t="shared" si="815"/>
        <v>500</v>
      </c>
      <c r="AD2105" s="3907">
        <f t="shared" si="816"/>
        <v>64.875445525723521</v>
      </c>
      <c r="AE2105" s="2849" t="s">
        <v>4411</v>
      </c>
    </row>
    <row r="2106" spans="1:31" s="75" customFormat="1" ht="51">
      <c r="A2106" s="3717">
        <v>3</v>
      </c>
      <c r="B2106" s="3727"/>
      <c r="C2106" s="3709"/>
      <c r="D2106" s="3709"/>
      <c r="E2106" s="3709"/>
      <c r="F2106" s="3709"/>
      <c r="G2106" s="3709"/>
      <c r="H2106" s="3709"/>
      <c r="I2106" s="2634" t="s">
        <v>4431</v>
      </c>
      <c r="J2106" s="3727" t="s">
        <v>4432</v>
      </c>
      <c r="K2106" s="3711">
        <v>2</v>
      </c>
      <c r="L2106" s="3729">
        <v>40200000</v>
      </c>
      <c r="M2106" s="3711">
        <v>1</v>
      </c>
      <c r="N2106" s="3729">
        <v>40000000</v>
      </c>
      <c r="O2106" s="3711">
        <v>1</v>
      </c>
      <c r="P2106" s="2658">
        <v>15200000</v>
      </c>
      <c r="Q2106" s="3704">
        <v>0</v>
      </c>
      <c r="R2106" s="2658">
        <v>0</v>
      </c>
      <c r="S2106" s="3704">
        <v>3</v>
      </c>
      <c r="T2106" s="3714">
        <v>11200000</v>
      </c>
      <c r="U2106" s="3704">
        <v>3</v>
      </c>
      <c r="V2106" s="3714">
        <v>11200000</v>
      </c>
      <c r="W2106" s="3704"/>
      <c r="X2106" s="3714"/>
      <c r="Y2106" s="3704">
        <f t="shared" si="818"/>
        <v>6</v>
      </c>
      <c r="Z2106" s="3920">
        <f t="shared" si="814"/>
        <v>22400000</v>
      </c>
      <c r="AA2106" s="3704">
        <f t="shared" si="817"/>
        <v>7</v>
      </c>
      <c r="AB2106" s="3705">
        <f t="shared" si="817"/>
        <v>62400000</v>
      </c>
      <c r="AC2106" s="3907">
        <f t="shared" si="815"/>
        <v>350</v>
      </c>
      <c r="AD2106" s="3907">
        <f t="shared" si="816"/>
        <v>155.22388059701493</v>
      </c>
      <c r="AE2106" s="2849"/>
    </row>
    <row r="2107" spans="1:31" s="75" customFormat="1" ht="25.5">
      <c r="A2107" s="1718">
        <v>4</v>
      </c>
      <c r="B2107" s="3727"/>
      <c r="C2107" s="3709">
        <v>5</v>
      </c>
      <c r="D2107" s="3709" t="s">
        <v>107</v>
      </c>
      <c r="E2107" s="3709" t="s">
        <v>66</v>
      </c>
      <c r="F2107" s="3709" t="s">
        <v>65</v>
      </c>
      <c r="G2107" s="3709"/>
      <c r="H2107" s="3709">
        <v>22</v>
      </c>
      <c r="I2107" s="2634" t="s">
        <v>4433</v>
      </c>
      <c r="J2107" s="3727" t="s">
        <v>4434</v>
      </c>
      <c r="K2107" s="3711">
        <v>6</v>
      </c>
      <c r="L2107" s="2658">
        <v>34600000</v>
      </c>
      <c r="M2107" s="3712">
        <v>2</v>
      </c>
      <c r="N2107" s="3729">
        <v>9600000</v>
      </c>
      <c r="O2107" s="3711">
        <v>1</v>
      </c>
      <c r="P2107" s="2658">
        <v>6164000</v>
      </c>
      <c r="Q2107" s="3730">
        <v>0</v>
      </c>
      <c r="R2107" s="2658">
        <v>0</v>
      </c>
      <c r="S2107" s="3704">
        <v>0</v>
      </c>
      <c r="T2107" s="3731">
        <v>0</v>
      </c>
      <c r="U2107" s="3704">
        <v>0</v>
      </c>
      <c r="V2107" s="3731">
        <v>0</v>
      </c>
      <c r="W2107" s="3704">
        <v>0</v>
      </c>
      <c r="X2107" s="3731">
        <v>0</v>
      </c>
      <c r="Y2107" s="3704">
        <f t="shared" si="818"/>
        <v>0</v>
      </c>
      <c r="Z2107" s="3920">
        <f t="shared" si="814"/>
        <v>0</v>
      </c>
      <c r="AA2107" s="3704">
        <f t="shared" si="817"/>
        <v>2</v>
      </c>
      <c r="AB2107" s="3705">
        <f t="shared" si="817"/>
        <v>9600000</v>
      </c>
      <c r="AC2107" s="3907">
        <f t="shared" si="815"/>
        <v>33.333333333333329</v>
      </c>
      <c r="AD2107" s="3907">
        <f t="shared" si="816"/>
        <v>27.74566473988439</v>
      </c>
      <c r="AE2107" s="2849" t="s">
        <v>4411</v>
      </c>
    </row>
    <row r="2108" spans="1:31" s="75" customFormat="1" ht="25.5">
      <c r="A2108" s="3717">
        <v>5</v>
      </c>
      <c r="B2108" s="3727"/>
      <c r="C2108" s="3709" t="s">
        <v>4322</v>
      </c>
      <c r="D2108" s="3709" t="s">
        <v>107</v>
      </c>
      <c r="E2108" s="3709" t="s">
        <v>66</v>
      </c>
      <c r="F2108" s="3709" t="s">
        <v>65</v>
      </c>
      <c r="G2108" s="3709"/>
      <c r="H2108" s="3709" t="s">
        <v>165</v>
      </c>
      <c r="I2108" s="2634" t="s">
        <v>4435</v>
      </c>
      <c r="J2108" s="3727" t="s">
        <v>4436</v>
      </c>
      <c r="K2108" s="3711">
        <v>72</v>
      </c>
      <c r="L2108" s="2658">
        <v>158087560</v>
      </c>
      <c r="M2108" s="3712">
        <v>24</v>
      </c>
      <c r="N2108" s="2658">
        <v>50087560</v>
      </c>
      <c r="O2108" s="3711">
        <v>12</v>
      </c>
      <c r="P2108" s="2658">
        <v>17862000</v>
      </c>
      <c r="Q2108" s="3704">
        <v>3</v>
      </c>
      <c r="R2108" s="2658">
        <v>7719700</v>
      </c>
      <c r="S2108" s="3704">
        <v>3</v>
      </c>
      <c r="T2108" s="3728">
        <v>12189700</v>
      </c>
      <c r="U2108" s="3704">
        <v>3</v>
      </c>
      <c r="V2108" s="3714">
        <v>15791300</v>
      </c>
      <c r="W2108" s="3704">
        <v>0</v>
      </c>
      <c r="X2108" s="3714">
        <v>0</v>
      </c>
      <c r="Y2108" s="3704">
        <f t="shared" si="818"/>
        <v>9</v>
      </c>
      <c r="Z2108" s="3920">
        <f t="shared" si="814"/>
        <v>35700700</v>
      </c>
      <c r="AA2108" s="3704">
        <f t="shared" si="817"/>
        <v>33</v>
      </c>
      <c r="AB2108" s="3705">
        <f t="shared" si="817"/>
        <v>85788260</v>
      </c>
      <c r="AC2108" s="3907">
        <f t="shared" si="815"/>
        <v>45.833333333333329</v>
      </c>
      <c r="AD2108" s="3907">
        <f t="shared" si="816"/>
        <v>54.266293944950505</v>
      </c>
      <c r="AE2108" s="2849" t="s">
        <v>4411</v>
      </c>
    </row>
    <row r="2109" spans="1:31" s="75" customFormat="1" ht="51">
      <c r="A2109" s="2595" t="s">
        <v>123</v>
      </c>
      <c r="B2109" s="3770"/>
      <c r="C2109" s="3763">
        <v>5</v>
      </c>
      <c r="D2109" s="3763" t="s">
        <v>107</v>
      </c>
      <c r="E2109" s="3763" t="s">
        <v>66</v>
      </c>
      <c r="F2109" s="3763">
        <v>5</v>
      </c>
      <c r="G2109" s="3763"/>
      <c r="H2109" s="3763"/>
      <c r="I2109" s="2363" t="s">
        <v>4437</v>
      </c>
      <c r="J2109" s="2363" t="s">
        <v>4438</v>
      </c>
      <c r="K2109" s="3764">
        <v>72</v>
      </c>
      <c r="L2109" s="3061">
        <f>SUM(L2110)</f>
        <v>121400000</v>
      </c>
      <c r="M2109" s="3765">
        <v>24</v>
      </c>
      <c r="N2109" s="3061">
        <f>SUM(N2110)</f>
        <v>21400000</v>
      </c>
      <c r="O2109" s="3764">
        <v>0</v>
      </c>
      <c r="P2109" s="3061">
        <f>SUM(P2110)</f>
        <v>0</v>
      </c>
      <c r="Q2109" s="3766">
        <v>0</v>
      </c>
      <c r="R2109" s="3061">
        <f>SUM(R2110)</f>
        <v>0</v>
      </c>
      <c r="S2109" s="3766">
        <v>0</v>
      </c>
      <c r="T2109" s="3061">
        <f>SUM(T2110)</f>
        <v>0</v>
      </c>
      <c r="U2109" s="3766">
        <v>0</v>
      </c>
      <c r="V2109" s="3061">
        <f>SUM(V2110)</f>
        <v>0</v>
      </c>
      <c r="W2109" s="3766">
        <v>0</v>
      </c>
      <c r="X2109" s="3061">
        <v>0</v>
      </c>
      <c r="Y2109" s="3766">
        <f t="shared" si="818"/>
        <v>0</v>
      </c>
      <c r="Z2109" s="3876">
        <f t="shared" si="814"/>
        <v>0</v>
      </c>
      <c r="AA2109" s="3766">
        <f t="shared" si="817"/>
        <v>24</v>
      </c>
      <c r="AB2109" s="3768">
        <f t="shared" si="817"/>
        <v>21400000</v>
      </c>
      <c r="AC2109" s="3906">
        <f t="shared" si="815"/>
        <v>33.333333333333329</v>
      </c>
      <c r="AD2109" s="3906">
        <f t="shared" si="816"/>
        <v>17.627677100494235</v>
      </c>
      <c r="AE2109" s="2595" t="s">
        <v>4411</v>
      </c>
    </row>
    <row r="2110" spans="1:31" s="75" customFormat="1" ht="38.25">
      <c r="A2110" s="3157">
        <v>1</v>
      </c>
      <c r="B2110" s="676"/>
      <c r="C2110" s="2220">
        <v>5</v>
      </c>
      <c r="D2110" s="3733" t="s">
        <v>107</v>
      </c>
      <c r="E2110" s="3733" t="s">
        <v>66</v>
      </c>
      <c r="F2110" s="3733" t="s">
        <v>161</v>
      </c>
      <c r="G2110" s="3733"/>
      <c r="H2110" s="3733" t="s">
        <v>66</v>
      </c>
      <c r="I2110" s="728" t="s">
        <v>1224</v>
      </c>
      <c r="J2110" s="676" t="s">
        <v>4439</v>
      </c>
      <c r="K2110" s="3734">
        <v>12</v>
      </c>
      <c r="L2110" s="3735">
        <v>121400000</v>
      </c>
      <c r="M2110" s="3736">
        <v>4</v>
      </c>
      <c r="N2110" s="3735">
        <v>21400000</v>
      </c>
      <c r="O2110" s="3734">
        <v>0</v>
      </c>
      <c r="P2110" s="3735">
        <v>0</v>
      </c>
      <c r="Q2110" s="3730">
        <v>0</v>
      </c>
      <c r="R2110" s="3735">
        <v>0</v>
      </c>
      <c r="S2110" s="3704">
        <v>0</v>
      </c>
      <c r="T2110" s="3735">
        <v>0</v>
      </c>
      <c r="U2110" s="3704">
        <v>0</v>
      </c>
      <c r="V2110" s="3735">
        <v>0</v>
      </c>
      <c r="W2110" s="3704">
        <v>0</v>
      </c>
      <c r="X2110" s="3735">
        <v>0</v>
      </c>
      <c r="Y2110" s="3704">
        <f t="shared" si="818"/>
        <v>0</v>
      </c>
      <c r="Z2110" s="3883">
        <f t="shared" si="814"/>
        <v>0</v>
      </c>
      <c r="AA2110" s="3704">
        <f t="shared" si="817"/>
        <v>4</v>
      </c>
      <c r="AB2110" s="3705">
        <f t="shared" si="817"/>
        <v>21400000</v>
      </c>
      <c r="AC2110" s="3907">
        <f t="shared" si="815"/>
        <v>33.333333333333329</v>
      </c>
      <c r="AD2110" s="3907">
        <f t="shared" si="816"/>
        <v>17.627677100494235</v>
      </c>
      <c r="AE2110" s="2849" t="s">
        <v>4411</v>
      </c>
    </row>
    <row r="2111" spans="1:31" s="75" customFormat="1" ht="38.25">
      <c r="A2111" s="2595" t="s">
        <v>3252</v>
      </c>
      <c r="B2111" s="3761"/>
      <c r="C2111" s="3762">
        <v>5</v>
      </c>
      <c r="D2111" s="3763">
        <v>0</v>
      </c>
      <c r="E2111" s="3763">
        <v>1</v>
      </c>
      <c r="F2111" s="3763">
        <v>21</v>
      </c>
      <c r="G2111" s="3763"/>
      <c r="H2111" s="3763"/>
      <c r="I2111" s="2363" t="s">
        <v>2620</v>
      </c>
      <c r="J2111" s="3761"/>
      <c r="K2111" s="3764">
        <v>72</v>
      </c>
      <c r="L2111" s="3061">
        <f>SUM(L2112:L2113)</f>
        <v>310000000</v>
      </c>
      <c r="M2111" s="3765">
        <v>24</v>
      </c>
      <c r="N2111" s="3061">
        <f>SUM(N2112:N2113)</f>
        <v>74000000</v>
      </c>
      <c r="O2111" s="3764">
        <v>12</v>
      </c>
      <c r="P2111" s="3061">
        <f>SUM(P2112:P2113)</f>
        <v>21875000</v>
      </c>
      <c r="Q2111" s="3766">
        <v>3</v>
      </c>
      <c r="R2111" s="3061">
        <f>SUM(R2112:R2113)</f>
        <v>0</v>
      </c>
      <c r="S2111" s="3766">
        <v>3</v>
      </c>
      <c r="T2111" s="3061">
        <f>SUM(T2112:T2113)</f>
        <v>9257500</v>
      </c>
      <c r="U2111" s="3766">
        <v>3</v>
      </c>
      <c r="V2111" s="3061">
        <f>SUM(V2112:V2113)</f>
        <v>3000000</v>
      </c>
      <c r="W2111" s="3766">
        <v>0</v>
      </c>
      <c r="X2111" s="3061">
        <v>0</v>
      </c>
      <c r="Y2111" s="3766">
        <f t="shared" si="818"/>
        <v>9</v>
      </c>
      <c r="Z2111" s="3876">
        <f>(R2111+T2111+V2111+X2111)</f>
        <v>12257500</v>
      </c>
      <c r="AA2111" s="3766">
        <f t="shared" si="817"/>
        <v>33</v>
      </c>
      <c r="AB2111" s="3768">
        <f t="shared" si="817"/>
        <v>86257500</v>
      </c>
      <c r="AC2111" s="3906">
        <f t="shared" si="815"/>
        <v>45.833333333333329</v>
      </c>
      <c r="AD2111" s="3906">
        <f t="shared" si="816"/>
        <v>27.824999999999999</v>
      </c>
      <c r="AE2111" s="2595" t="s">
        <v>4411</v>
      </c>
    </row>
    <row r="2112" spans="1:31" s="75" customFormat="1" ht="25.5">
      <c r="A2112" s="3157">
        <v>1</v>
      </c>
      <c r="B2112" s="676"/>
      <c r="C2112" s="2220">
        <v>5</v>
      </c>
      <c r="D2112" s="3733">
        <v>0</v>
      </c>
      <c r="E2112" s="3733">
        <v>1</v>
      </c>
      <c r="F2112" s="3733">
        <v>21</v>
      </c>
      <c r="G2112" s="3733"/>
      <c r="H2112" s="3733">
        <v>1</v>
      </c>
      <c r="I2112" s="728" t="s">
        <v>4440</v>
      </c>
      <c r="J2112" s="728" t="s">
        <v>4441</v>
      </c>
      <c r="K2112" s="3734">
        <v>72</v>
      </c>
      <c r="L2112" s="3735">
        <v>210000000</v>
      </c>
      <c r="M2112" s="3736">
        <v>24</v>
      </c>
      <c r="N2112" s="3735">
        <v>50000000</v>
      </c>
      <c r="O2112" s="3734">
        <v>12</v>
      </c>
      <c r="P2112" s="3735">
        <v>6875000</v>
      </c>
      <c r="Q2112" s="3704">
        <v>3</v>
      </c>
      <c r="R2112" s="3735">
        <v>0</v>
      </c>
      <c r="S2112" s="3704">
        <v>3</v>
      </c>
      <c r="T2112" s="3726">
        <v>6632500</v>
      </c>
      <c r="U2112" s="3704">
        <v>0</v>
      </c>
      <c r="V2112" s="3737">
        <v>0</v>
      </c>
      <c r="W2112" s="3704">
        <v>0</v>
      </c>
      <c r="X2112" s="2849">
        <v>0</v>
      </c>
      <c r="Y2112" s="3704">
        <f t="shared" si="818"/>
        <v>6</v>
      </c>
      <c r="Z2112" s="3883">
        <f t="shared" si="814"/>
        <v>6632500</v>
      </c>
      <c r="AA2112" s="3704">
        <f t="shared" si="817"/>
        <v>30</v>
      </c>
      <c r="AB2112" s="3705">
        <f t="shared" si="817"/>
        <v>56632500</v>
      </c>
      <c r="AC2112" s="3907">
        <f t="shared" si="815"/>
        <v>41.666666666666671</v>
      </c>
      <c r="AD2112" s="3907">
        <f t="shared" si="816"/>
        <v>26.967857142857142</v>
      </c>
      <c r="AE2112" s="2849" t="s">
        <v>4411</v>
      </c>
    </row>
    <row r="2113" spans="1:31" s="75" customFormat="1" ht="38.25">
      <c r="A2113" s="2849">
        <v>2</v>
      </c>
      <c r="B2113" s="676"/>
      <c r="C2113" s="2220">
        <v>5</v>
      </c>
      <c r="D2113" s="3733">
        <v>0</v>
      </c>
      <c r="E2113" s="3733">
        <v>1</v>
      </c>
      <c r="F2113" s="3733">
        <v>21</v>
      </c>
      <c r="G2113" s="3733"/>
      <c r="H2113" s="3733">
        <v>3</v>
      </c>
      <c r="I2113" s="728" t="s">
        <v>4442</v>
      </c>
      <c r="J2113" s="3738"/>
      <c r="K2113" s="3739">
        <v>72</v>
      </c>
      <c r="L2113" s="3740">
        <v>100000000</v>
      </c>
      <c r="M2113" s="3741">
        <v>24</v>
      </c>
      <c r="N2113" s="3735">
        <v>24000000</v>
      </c>
      <c r="O2113" s="3739">
        <v>12</v>
      </c>
      <c r="P2113" s="3742">
        <v>15000000</v>
      </c>
      <c r="Q2113" s="3743">
        <v>3</v>
      </c>
      <c r="R2113" s="3742">
        <v>0</v>
      </c>
      <c r="S2113" s="3704">
        <v>3</v>
      </c>
      <c r="T2113" s="3726">
        <v>2625000</v>
      </c>
      <c r="U2113" s="3743">
        <v>3</v>
      </c>
      <c r="V2113" s="3737">
        <v>3000000</v>
      </c>
      <c r="W2113" s="3743">
        <v>0</v>
      </c>
      <c r="X2113" s="2849">
        <v>0</v>
      </c>
      <c r="Y2113" s="3704">
        <f t="shared" si="818"/>
        <v>9</v>
      </c>
      <c r="Z2113" s="3883">
        <f t="shared" si="814"/>
        <v>5625000</v>
      </c>
      <c r="AA2113" s="3704">
        <f t="shared" si="817"/>
        <v>33</v>
      </c>
      <c r="AB2113" s="3705">
        <f t="shared" si="817"/>
        <v>29625000</v>
      </c>
      <c r="AC2113" s="3907">
        <f t="shared" si="815"/>
        <v>45.833333333333329</v>
      </c>
      <c r="AD2113" s="3907">
        <f t="shared" si="816"/>
        <v>29.625</v>
      </c>
      <c r="AE2113" s="2849"/>
    </row>
    <row r="2114" spans="1:31" s="75" customFormat="1" ht="51">
      <c r="A2114" s="2595" t="s">
        <v>3253</v>
      </c>
      <c r="B2114" s="3761"/>
      <c r="C2114" s="3762">
        <v>5</v>
      </c>
      <c r="D2114" s="3763" t="s">
        <v>107</v>
      </c>
      <c r="E2114" s="3763" t="s">
        <v>66</v>
      </c>
      <c r="F2114" s="3762">
        <v>17</v>
      </c>
      <c r="G2114" s="3762"/>
      <c r="H2114" s="3763"/>
      <c r="I2114" s="2363" t="s">
        <v>4443</v>
      </c>
      <c r="J2114" s="3859" t="s">
        <v>4444</v>
      </c>
      <c r="K2114" s="3764">
        <v>72</v>
      </c>
      <c r="L2114" s="3061">
        <f>SUM(L2115:L2116)</f>
        <v>205128000</v>
      </c>
      <c r="M2114" s="3765">
        <v>24</v>
      </c>
      <c r="N2114" s="3061">
        <v>41153000</v>
      </c>
      <c r="O2114" s="3764">
        <v>12</v>
      </c>
      <c r="P2114" s="3061">
        <v>14745000</v>
      </c>
      <c r="Q2114" s="3766">
        <v>0</v>
      </c>
      <c r="R2114" s="3061">
        <v>0</v>
      </c>
      <c r="S2114" s="3766">
        <v>0</v>
      </c>
      <c r="T2114" s="3061">
        <f>(T2115+T2116)</f>
        <v>0</v>
      </c>
      <c r="U2114" s="3766">
        <v>3</v>
      </c>
      <c r="V2114" s="3061">
        <f>SUM(V2115:V2116)</f>
        <v>9725000</v>
      </c>
      <c r="W2114" s="3766">
        <v>0</v>
      </c>
      <c r="X2114" s="3061">
        <v>0</v>
      </c>
      <c r="Y2114" s="3766">
        <f t="shared" si="818"/>
        <v>3</v>
      </c>
      <c r="Z2114" s="3876">
        <f t="shared" si="814"/>
        <v>9725000</v>
      </c>
      <c r="AA2114" s="3766">
        <f t="shared" si="817"/>
        <v>27</v>
      </c>
      <c r="AB2114" s="3768">
        <f t="shared" si="817"/>
        <v>50878000</v>
      </c>
      <c r="AC2114" s="3906">
        <f t="shared" si="815"/>
        <v>37.5</v>
      </c>
      <c r="AD2114" s="3906">
        <f t="shared" si="816"/>
        <v>24.803049803049802</v>
      </c>
      <c r="AE2114" s="2595" t="s">
        <v>4411</v>
      </c>
    </row>
    <row r="2115" spans="1:31" s="75" customFormat="1" ht="25.5">
      <c r="A2115" s="3157">
        <v>1</v>
      </c>
      <c r="B2115" s="728"/>
      <c r="C2115" s="2220">
        <v>5</v>
      </c>
      <c r="D2115" s="3733" t="s">
        <v>107</v>
      </c>
      <c r="E2115" s="3733" t="s">
        <v>66</v>
      </c>
      <c r="F2115" s="2220">
        <v>17</v>
      </c>
      <c r="G2115" s="2220"/>
      <c r="H2115" s="3733" t="s">
        <v>197</v>
      </c>
      <c r="I2115" s="728" t="s">
        <v>4445</v>
      </c>
      <c r="J2115" s="3674" t="s">
        <v>4446</v>
      </c>
      <c r="K2115" s="3734">
        <v>6</v>
      </c>
      <c r="L2115" s="3735">
        <v>124128000</v>
      </c>
      <c r="M2115" s="3736">
        <v>2</v>
      </c>
      <c r="N2115" s="3735">
        <v>41153000</v>
      </c>
      <c r="O2115" s="3734">
        <v>1</v>
      </c>
      <c r="P2115" s="3735">
        <v>9725000</v>
      </c>
      <c r="Q2115" s="3730">
        <v>0</v>
      </c>
      <c r="R2115" s="3735">
        <v>0</v>
      </c>
      <c r="S2115" s="3704">
        <v>0</v>
      </c>
      <c r="T2115" s="3737">
        <v>0</v>
      </c>
      <c r="U2115" s="3704">
        <v>3</v>
      </c>
      <c r="V2115" s="3726">
        <v>9725000</v>
      </c>
      <c r="W2115" s="3704">
        <v>0</v>
      </c>
      <c r="X2115" s="3726">
        <v>0</v>
      </c>
      <c r="Y2115" s="3704">
        <f t="shared" si="818"/>
        <v>3</v>
      </c>
      <c r="Z2115" s="3883">
        <f t="shared" si="814"/>
        <v>9725000</v>
      </c>
      <c r="AA2115" s="3704">
        <f t="shared" si="817"/>
        <v>5</v>
      </c>
      <c r="AB2115" s="3705">
        <f t="shared" si="817"/>
        <v>50878000</v>
      </c>
      <c r="AC2115" s="3907">
        <f t="shared" si="815"/>
        <v>83.333333333333343</v>
      </c>
      <c r="AD2115" s="3907">
        <f t="shared" si="816"/>
        <v>40.98833462232534</v>
      </c>
      <c r="AE2115" s="2849" t="s">
        <v>4411</v>
      </c>
    </row>
    <row r="2116" spans="1:31" s="75" customFormat="1" ht="25.5">
      <c r="A2116" s="2849">
        <v>2</v>
      </c>
      <c r="B2116" s="3744"/>
      <c r="C2116" s="2220">
        <v>5</v>
      </c>
      <c r="D2116" s="3733">
        <v>0</v>
      </c>
      <c r="E2116" s="3733">
        <v>1</v>
      </c>
      <c r="F2116" s="2220">
        <v>17</v>
      </c>
      <c r="G2116" s="2220"/>
      <c r="H2116" s="3733">
        <v>20</v>
      </c>
      <c r="I2116" s="728" t="s">
        <v>4447</v>
      </c>
      <c r="J2116" s="3854" t="s">
        <v>4448</v>
      </c>
      <c r="K2116" s="3734">
        <v>12</v>
      </c>
      <c r="L2116" s="3735">
        <v>81000000</v>
      </c>
      <c r="M2116" s="3736">
        <v>0</v>
      </c>
      <c r="N2116" s="3735">
        <v>0</v>
      </c>
      <c r="O2116" s="3734">
        <v>2</v>
      </c>
      <c r="P2116" s="3735">
        <v>5020000</v>
      </c>
      <c r="Q2116" s="3704">
        <v>0</v>
      </c>
      <c r="R2116" s="3735">
        <v>0</v>
      </c>
      <c r="S2116" s="3704">
        <v>0</v>
      </c>
      <c r="T2116" s="3737">
        <v>0</v>
      </c>
      <c r="U2116" s="3704">
        <v>0</v>
      </c>
      <c r="V2116" s="3726">
        <v>0</v>
      </c>
      <c r="W2116" s="3704">
        <v>0</v>
      </c>
      <c r="X2116" s="3726">
        <v>0</v>
      </c>
      <c r="Y2116" s="3704">
        <f t="shared" si="818"/>
        <v>0</v>
      </c>
      <c r="Z2116" s="3883">
        <f t="shared" si="814"/>
        <v>0</v>
      </c>
      <c r="AA2116" s="3704">
        <f t="shared" si="817"/>
        <v>0</v>
      </c>
      <c r="AB2116" s="3705">
        <f t="shared" si="817"/>
        <v>0</v>
      </c>
      <c r="AC2116" s="3907">
        <f t="shared" si="815"/>
        <v>0</v>
      </c>
      <c r="AD2116" s="3907">
        <f t="shared" si="816"/>
        <v>0</v>
      </c>
      <c r="AE2116" s="2849" t="s">
        <v>4411</v>
      </c>
    </row>
    <row r="2117" spans="1:31" s="75" customFormat="1" ht="96.75" customHeight="1">
      <c r="A2117" s="2595" t="s">
        <v>3294</v>
      </c>
      <c r="B2117" s="3859"/>
      <c r="C2117" s="3762">
        <v>5</v>
      </c>
      <c r="D2117" s="3763" t="s">
        <v>107</v>
      </c>
      <c r="E2117" s="3763" t="s">
        <v>66</v>
      </c>
      <c r="F2117" s="3762">
        <v>16</v>
      </c>
      <c r="G2117" s="3762"/>
      <c r="H2117" s="3763"/>
      <c r="I2117" s="2363" t="s">
        <v>4449</v>
      </c>
      <c r="J2117" s="3859" t="s">
        <v>4450</v>
      </c>
      <c r="K2117" s="3764">
        <v>72</v>
      </c>
      <c r="L2117" s="3061">
        <f>SUM(L2118)</f>
        <v>49748500</v>
      </c>
      <c r="M2117" s="3765">
        <v>24</v>
      </c>
      <c r="N2117" s="3061">
        <f>SUM(N2118)</f>
        <v>15905500</v>
      </c>
      <c r="O2117" s="3764">
        <v>0</v>
      </c>
      <c r="P2117" s="3061">
        <f>SUM(P2118)</f>
        <v>0</v>
      </c>
      <c r="Q2117" s="3766">
        <v>0</v>
      </c>
      <c r="R2117" s="3061">
        <f>SUM(R2118)</f>
        <v>0</v>
      </c>
      <c r="S2117" s="3766">
        <v>0</v>
      </c>
      <c r="T2117" s="3061">
        <f>SUM(T2118)</f>
        <v>0</v>
      </c>
      <c r="U2117" s="3766">
        <v>0</v>
      </c>
      <c r="V2117" s="3061">
        <f>SUM(V2118)</f>
        <v>0</v>
      </c>
      <c r="W2117" s="3766">
        <v>0</v>
      </c>
      <c r="X2117" s="3061">
        <v>0</v>
      </c>
      <c r="Y2117" s="3766">
        <f t="shared" si="818"/>
        <v>0</v>
      </c>
      <c r="Z2117" s="3876">
        <f t="shared" si="814"/>
        <v>0</v>
      </c>
      <c r="AA2117" s="3766">
        <f t="shared" si="817"/>
        <v>24</v>
      </c>
      <c r="AB2117" s="3768">
        <f t="shared" si="817"/>
        <v>15905500</v>
      </c>
      <c r="AC2117" s="3906">
        <f t="shared" si="815"/>
        <v>33.333333333333329</v>
      </c>
      <c r="AD2117" s="3906">
        <f t="shared" si="816"/>
        <v>31.971818245776255</v>
      </c>
      <c r="AE2117" s="2595" t="s">
        <v>4411</v>
      </c>
    </row>
    <row r="2118" spans="1:31" s="75" customFormat="1" ht="25.5">
      <c r="A2118" s="3157">
        <v>1</v>
      </c>
      <c r="B2118" s="3674"/>
      <c r="C2118" s="2220">
        <v>5</v>
      </c>
      <c r="D2118" s="3733">
        <v>0</v>
      </c>
      <c r="E2118" s="3733" t="s">
        <v>66</v>
      </c>
      <c r="F2118" s="2220">
        <v>16</v>
      </c>
      <c r="G2118" s="2220"/>
      <c r="H2118" s="3733">
        <v>20</v>
      </c>
      <c r="I2118" s="3674" t="s">
        <v>4451</v>
      </c>
      <c r="J2118" s="3854" t="s">
        <v>4452</v>
      </c>
      <c r="K2118" s="3734">
        <v>60</v>
      </c>
      <c r="L2118" s="3735">
        <v>49748500</v>
      </c>
      <c r="M2118" s="3736">
        <v>24</v>
      </c>
      <c r="N2118" s="3735">
        <v>15905500</v>
      </c>
      <c r="O2118" s="3734">
        <v>0</v>
      </c>
      <c r="P2118" s="3735">
        <v>0</v>
      </c>
      <c r="Q2118" s="3704">
        <v>0</v>
      </c>
      <c r="R2118" s="3735">
        <v>0</v>
      </c>
      <c r="S2118" s="3704">
        <v>0</v>
      </c>
      <c r="T2118" s="3726">
        <v>0</v>
      </c>
      <c r="U2118" s="3704">
        <v>0</v>
      </c>
      <c r="V2118" s="3726">
        <v>0</v>
      </c>
      <c r="W2118" s="3704">
        <v>0</v>
      </c>
      <c r="X2118" s="3745">
        <v>0</v>
      </c>
      <c r="Y2118" s="3704">
        <f t="shared" si="818"/>
        <v>0</v>
      </c>
      <c r="Z2118" s="3883">
        <f t="shared" si="814"/>
        <v>0</v>
      </c>
      <c r="AA2118" s="3704">
        <f t="shared" si="817"/>
        <v>24</v>
      </c>
      <c r="AB2118" s="3705">
        <f t="shared" si="817"/>
        <v>15905500</v>
      </c>
      <c r="AC2118" s="3907">
        <f t="shared" si="815"/>
        <v>40</v>
      </c>
      <c r="AD2118" s="3907">
        <f t="shared" si="816"/>
        <v>31.971818245776255</v>
      </c>
      <c r="AE2118" s="2849" t="s">
        <v>4411</v>
      </c>
    </row>
    <row r="2119" spans="1:31" s="75" customFormat="1" ht="63" customHeight="1">
      <c r="A2119" s="2595" t="s">
        <v>3347</v>
      </c>
      <c r="B2119" s="3761"/>
      <c r="C2119" s="3762">
        <v>5</v>
      </c>
      <c r="D2119" s="3763" t="s">
        <v>107</v>
      </c>
      <c r="E2119" s="3763" t="s">
        <v>66</v>
      </c>
      <c r="F2119" s="3762">
        <v>18</v>
      </c>
      <c r="G2119" s="3762"/>
      <c r="H2119" s="3763"/>
      <c r="I2119" s="3859" t="s">
        <v>2466</v>
      </c>
      <c r="J2119" s="3859" t="s">
        <v>4453</v>
      </c>
      <c r="K2119" s="3764">
        <v>72</v>
      </c>
      <c r="L2119" s="3061">
        <f>SUM(L2120)</f>
        <v>148406100</v>
      </c>
      <c r="M2119" s="3765">
        <v>24</v>
      </c>
      <c r="N2119" s="3061">
        <f>SUM(N2120)</f>
        <v>50406100</v>
      </c>
      <c r="O2119" s="3764">
        <v>12</v>
      </c>
      <c r="P2119" s="3061">
        <f>SUM(P2120)</f>
        <v>16815000</v>
      </c>
      <c r="Q2119" s="3766">
        <v>0</v>
      </c>
      <c r="R2119" s="3061">
        <f>SUM(R2120)</f>
        <v>0</v>
      </c>
      <c r="S2119" s="3766">
        <v>3</v>
      </c>
      <c r="T2119" s="3767">
        <f>SUM(T2120)</f>
        <v>10340000</v>
      </c>
      <c r="U2119" s="3766">
        <v>0</v>
      </c>
      <c r="V2119" s="3767">
        <f>SUM(V2120)</f>
        <v>0</v>
      </c>
      <c r="W2119" s="3766">
        <v>0</v>
      </c>
      <c r="X2119" s="3917">
        <f>SUM(X2120)</f>
        <v>0</v>
      </c>
      <c r="Y2119" s="3766">
        <f t="shared" si="818"/>
        <v>3</v>
      </c>
      <c r="Z2119" s="3876">
        <f t="shared" si="814"/>
        <v>10340000</v>
      </c>
      <c r="AA2119" s="3766">
        <f t="shared" si="817"/>
        <v>27</v>
      </c>
      <c r="AB2119" s="3768">
        <f t="shared" si="817"/>
        <v>60746100</v>
      </c>
      <c r="AC2119" s="3906">
        <f t="shared" si="815"/>
        <v>37.5</v>
      </c>
      <c r="AD2119" s="3906">
        <f t="shared" si="816"/>
        <v>40.932347120502463</v>
      </c>
      <c r="AE2119" s="2595" t="s">
        <v>4411</v>
      </c>
    </row>
    <row r="2120" spans="1:31" s="75" customFormat="1" ht="71.25" customHeight="1">
      <c r="A2120" s="3157">
        <v>1</v>
      </c>
      <c r="B2120" s="676"/>
      <c r="C2120" s="1198">
        <v>5</v>
      </c>
      <c r="D2120" s="3724" t="s">
        <v>107</v>
      </c>
      <c r="E2120" s="3724" t="s">
        <v>66</v>
      </c>
      <c r="F2120" s="1198">
        <v>18</v>
      </c>
      <c r="G2120" s="1198"/>
      <c r="H2120" s="3724" t="s">
        <v>198</v>
      </c>
      <c r="I2120" s="3674" t="s">
        <v>4454</v>
      </c>
      <c r="J2120" s="3674" t="s">
        <v>4455</v>
      </c>
      <c r="K2120" s="3734">
        <v>6</v>
      </c>
      <c r="L2120" s="3735">
        <v>148406100</v>
      </c>
      <c r="M2120" s="3736">
        <v>2</v>
      </c>
      <c r="N2120" s="3735">
        <v>50406100</v>
      </c>
      <c r="O2120" s="3734">
        <v>1</v>
      </c>
      <c r="P2120" s="3735">
        <v>16815000</v>
      </c>
      <c r="Q2120" s="3704">
        <v>0</v>
      </c>
      <c r="R2120" s="3735">
        <v>0</v>
      </c>
      <c r="S2120" s="3704">
        <v>3</v>
      </c>
      <c r="T2120" s="3726">
        <v>10340000</v>
      </c>
      <c r="U2120" s="3704">
        <v>0</v>
      </c>
      <c r="V2120" s="3745">
        <v>0</v>
      </c>
      <c r="W2120" s="3704">
        <v>0</v>
      </c>
      <c r="X2120" s="3745">
        <v>0</v>
      </c>
      <c r="Y2120" s="3704">
        <f t="shared" si="818"/>
        <v>3</v>
      </c>
      <c r="Z2120" s="3883">
        <f t="shared" si="814"/>
        <v>10340000</v>
      </c>
      <c r="AA2120" s="3704">
        <f t="shared" si="817"/>
        <v>5</v>
      </c>
      <c r="AB2120" s="3705">
        <f t="shared" si="817"/>
        <v>60746100</v>
      </c>
      <c r="AC2120" s="3907">
        <f t="shared" si="815"/>
        <v>83.333333333333343</v>
      </c>
      <c r="AD2120" s="3907">
        <f t="shared" si="816"/>
        <v>40.932347120502463</v>
      </c>
      <c r="AE2120" s="2849" t="s">
        <v>4411</v>
      </c>
    </row>
    <row r="2121" spans="1:31" s="75" customFormat="1" ht="88.5" customHeight="1">
      <c r="A2121" s="2595" t="s">
        <v>3353</v>
      </c>
      <c r="B2121" s="3761"/>
      <c r="C2121" s="3762">
        <v>5</v>
      </c>
      <c r="D2121" s="3763" t="s">
        <v>107</v>
      </c>
      <c r="E2121" s="3763" t="s">
        <v>66</v>
      </c>
      <c r="F2121" s="3762">
        <v>19</v>
      </c>
      <c r="G2121" s="3762"/>
      <c r="H2121" s="3763"/>
      <c r="I2121" s="3859" t="s">
        <v>4456</v>
      </c>
      <c r="J2121" s="3859" t="s">
        <v>4457</v>
      </c>
      <c r="K2121" s="3764">
        <v>72</v>
      </c>
      <c r="L2121" s="3061">
        <f>SUM(L2122)</f>
        <v>146827000</v>
      </c>
      <c r="M2121" s="3765">
        <v>24</v>
      </c>
      <c r="N2121" s="3061">
        <f>SUM(N2122)</f>
        <v>46827000</v>
      </c>
      <c r="O2121" s="3764">
        <v>12</v>
      </c>
      <c r="P2121" s="3061">
        <f>SUM(P2122)</f>
        <v>9600000</v>
      </c>
      <c r="Q2121" s="3766">
        <v>3</v>
      </c>
      <c r="R2121" s="3061">
        <f>SUM(R2122)</f>
        <v>962500</v>
      </c>
      <c r="S2121" s="3766">
        <v>3</v>
      </c>
      <c r="T2121" s="3061">
        <f>SUM(T2122)</f>
        <v>0</v>
      </c>
      <c r="U2121" s="3766">
        <v>3</v>
      </c>
      <c r="V2121" s="3061">
        <f>SUM(V2122)</f>
        <v>7125000</v>
      </c>
      <c r="W2121" s="3766">
        <v>0</v>
      </c>
      <c r="X2121" s="3887">
        <f>SUM(X2122)</f>
        <v>0</v>
      </c>
      <c r="Y2121" s="3766">
        <f t="shared" si="818"/>
        <v>9</v>
      </c>
      <c r="Z2121" s="3876">
        <f t="shared" si="814"/>
        <v>8087500</v>
      </c>
      <c r="AA2121" s="3766">
        <f t="shared" si="817"/>
        <v>33</v>
      </c>
      <c r="AB2121" s="3768">
        <f t="shared" si="817"/>
        <v>54914500</v>
      </c>
      <c r="AC2121" s="3906">
        <f t="shared" si="815"/>
        <v>45.833333333333329</v>
      </c>
      <c r="AD2121" s="3906">
        <f t="shared" si="816"/>
        <v>37.400818650520677</v>
      </c>
      <c r="AE2121" s="2595" t="s">
        <v>4411</v>
      </c>
    </row>
    <row r="2122" spans="1:31" s="75" customFormat="1" ht="51">
      <c r="A2122" s="3157">
        <v>1</v>
      </c>
      <c r="B2122" s="728"/>
      <c r="C2122" s="1198">
        <v>5</v>
      </c>
      <c r="D2122" s="3724">
        <v>0</v>
      </c>
      <c r="E2122" s="3724" t="s">
        <v>66</v>
      </c>
      <c r="F2122" s="1198">
        <v>19</v>
      </c>
      <c r="G2122" s="1198"/>
      <c r="H2122" s="3724">
        <v>2</v>
      </c>
      <c r="I2122" s="728" t="s">
        <v>4380</v>
      </c>
      <c r="J2122" s="728" t="s">
        <v>4458</v>
      </c>
      <c r="K2122" s="3734">
        <v>72</v>
      </c>
      <c r="L2122" s="3735">
        <v>146827000</v>
      </c>
      <c r="M2122" s="3736">
        <v>24</v>
      </c>
      <c r="N2122" s="3735">
        <v>46827000</v>
      </c>
      <c r="O2122" s="3734">
        <v>12</v>
      </c>
      <c r="P2122" s="3735">
        <v>9600000</v>
      </c>
      <c r="Q2122" s="3704">
        <v>3</v>
      </c>
      <c r="R2122" s="3735">
        <v>962500</v>
      </c>
      <c r="S2122" s="3704">
        <v>3</v>
      </c>
      <c r="T2122" s="3726">
        <v>0</v>
      </c>
      <c r="U2122" s="3704">
        <v>3</v>
      </c>
      <c r="V2122" s="3726">
        <v>7125000</v>
      </c>
      <c r="W2122" s="3704">
        <v>0</v>
      </c>
      <c r="X2122" s="3745">
        <v>0</v>
      </c>
      <c r="Y2122" s="3704">
        <f t="shared" si="818"/>
        <v>9</v>
      </c>
      <c r="Z2122" s="3883">
        <f t="shared" si="814"/>
        <v>8087500</v>
      </c>
      <c r="AA2122" s="3704">
        <f t="shared" si="817"/>
        <v>33</v>
      </c>
      <c r="AB2122" s="3705">
        <f t="shared" si="817"/>
        <v>54914500</v>
      </c>
      <c r="AC2122" s="3907">
        <f t="shared" si="815"/>
        <v>45.833333333333329</v>
      </c>
      <c r="AD2122" s="3907">
        <f t="shared" si="816"/>
        <v>37.400818650520677</v>
      </c>
      <c r="AE2122" s="2849" t="s">
        <v>4411</v>
      </c>
    </row>
    <row r="2123" spans="1:31" s="75" customFormat="1" ht="60" customHeight="1">
      <c r="A2123" s="2595" t="s">
        <v>3355</v>
      </c>
      <c r="B2123" s="3761"/>
      <c r="C2123" s="3762">
        <v>5</v>
      </c>
      <c r="D2123" s="3763" t="s">
        <v>107</v>
      </c>
      <c r="E2123" s="3763" t="s">
        <v>66</v>
      </c>
      <c r="F2123" s="3762">
        <v>56</v>
      </c>
      <c r="G2123" s="3762"/>
      <c r="H2123" s="3763"/>
      <c r="I2123" s="3858" t="s">
        <v>4459</v>
      </c>
      <c r="J2123" s="3858" t="s">
        <v>4460</v>
      </c>
      <c r="K2123" s="3764">
        <v>72</v>
      </c>
      <c r="L2123" s="3061">
        <f>SUM(L2124:L2132)</f>
        <v>855929200</v>
      </c>
      <c r="M2123" s="3765">
        <v>24</v>
      </c>
      <c r="N2123" s="3061">
        <f>SUM(N2124:N2132)</f>
        <v>259929200</v>
      </c>
      <c r="O2123" s="3764">
        <v>12</v>
      </c>
      <c r="P2123" s="3061">
        <f>SUM(P2124:P2132)</f>
        <v>120402900</v>
      </c>
      <c r="Q2123" s="3766">
        <v>3</v>
      </c>
      <c r="R2123" s="3061">
        <f>SUM(R2124:R2132)</f>
        <v>3850000</v>
      </c>
      <c r="S2123" s="3766">
        <v>3</v>
      </c>
      <c r="T2123" s="3061">
        <f>SUM(T2124:T2132)</f>
        <v>36250000</v>
      </c>
      <c r="U2123" s="3766">
        <v>3</v>
      </c>
      <c r="V2123" s="3061">
        <f>SUM(V2124:V2132)</f>
        <v>20250000</v>
      </c>
      <c r="W2123" s="3766">
        <v>0</v>
      </c>
      <c r="X2123" s="3061">
        <f>SUM(X2124:X2132)</f>
        <v>0</v>
      </c>
      <c r="Y2123" s="3766">
        <f t="shared" si="818"/>
        <v>9</v>
      </c>
      <c r="Z2123" s="3876">
        <f t="shared" si="814"/>
        <v>60350000</v>
      </c>
      <c r="AA2123" s="3766">
        <f t="shared" si="817"/>
        <v>33</v>
      </c>
      <c r="AB2123" s="3768">
        <f t="shared" si="817"/>
        <v>320279200</v>
      </c>
      <c r="AC2123" s="3906">
        <f t="shared" si="815"/>
        <v>45.833333333333329</v>
      </c>
      <c r="AD2123" s="3906">
        <f t="shared" si="816"/>
        <v>37.418889319350242</v>
      </c>
      <c r="AE2123" s="2595" t="s">
        <v>4411</v>
      </c>
    </row>
    <row r="2124" spans="1:31" s="75" customFormat="1" ht="38.25">
      <c r="A2124" s="3157">
        <v>1</v>
      </c>
      <c r="B2124" s="3674"/>
      <c r="C2124" s="1198">
        <v>5</v>
      </c>
      <c r="D2124" s="3724" t="s">
        <v>107</v>
      </c>
      <c r="E2124" s="3724" t="s">
        <v>66</v>
      </c>
      <c r="F2124" s="1198">
        <v>56</v>
      </c>
      <c r="G2124" s="1198"/>
      <c r="H2124" s="3724" t="s">
        <v>66</v>
      </c>
      <c r="I2124" s="1936" t="s">
        <v>4285</v>
      </c>
      <c r="J2124" s="3674" t="s">
        <v>4461</v>
      </c>
      <c r="K2124" s="3734">
        <v>72</v>
      </c>
      <c r="L2124" s="3735">
        <v>284456000</v>
      </c>
      <c r="M2124" s="3736">
        <v>24</v>
      </c>
      <c r="N2124" s="3735">
        <v>104456000</v>
      </c>
      <c r="O2124" s="3734">
        <v>12</v>
      </c>
      <c r="P2124" s="3735">
        <v>47650000</v>
      </c>
      <c r="Q2124" s="3704">
        <v>3</v>
      </c>
      <c r="R2124" s="3735">
        <v>2850000</v>
      </c>
      <c r="S2124" s="3704">
        <v>3</v>
      </c>
      <c r="T2124" s="3726">
        <v>28675000</v>
      </c>
      <c r="U2124" s="3704">
        <v>3</v>
      </c>
      <c r="V2124" s="3746">
        <v>11800000</v>
      </c>
      <c r="W2124" s="3704">
        <v>0</v>
      </c>
      <c r="X2124" s="3726">
        <v>0</v>
      </c>
      <c r="Y2124" s="3704">
        <f t="shared" si="818"/>
        <v>9</v>
      </c>
      <c r="Z2124" s="3883">
        <f>(R2124+T2124+V2124+X2124)</f>
        <v>43325000</v>
      </c>
      <c r="AA2124" s="3704">
        <f t="shared" si="817"/>
        <v>33</v>
      </c>
      <c r="AB2124" s="3705">
        <f t="shared" si="817"/>
        <v>147781000</v>
      </c>
      <c r="AC2124" s="3907">
        <f t="shared" si="815"/>
        <v>45.833333333333329</v>
      </c>
      <c r="AD2124" s="3907">
        <f t="shared" si="816"/>
        <v>51.952147256517698</v>
      </c>
      <c r="AE2124" s="2849" t="s">
        <v>4411</v>
      </c>
    </row>
    <row r="2125" spans="1:31" s="75" customFormat="1" ht="38.25">
      <c r="A2125" s="3157">
        <v>2</v>
      </c>
      <c r="B2125" s="657"/>
      <c r="C2125" s="1198">
        <v>5</v>
      </c>
      <c r="D2125" s="3724" t="s">
        <v>107</v>
      </c>
      <c r="E2125" s="3724" t="s">
        <v>66</v>
      </c>
      <c r="F2125" s="1198">
        <v>56</v>
      </c>
      <c r="G2125" s="1198"/>
      <c r="H2125" s="3724" t="s">
        <v>65</v>
      </c>
      <c r="I2125" s="3674" t="s">
        <v>4462</v>
      </c>
      <c r="J2125" s="3674" t="s">
        <v>4463</v>
      </c>
      <c r="K2125" s="3734">
        <v>6</v>
      </c>
      <c r="L2125" s="3735">
        <v>116411000</v>
      </c>
      <c r="M2125" s="3736">
        <v>2</v>
      </c>
      <c r="N2125" s="3735">
        <v>40411000</v>
      </c>
      <c r="O2125" s="3734">
        <v>1</v>
      </c>
      <c r="P2125" s="3735">
        <v>8500400</v>
      </c>
      <c r="Q2125" s="3704">
        <v>0</v>
      </c>
      <c r="R2125" s="3735">
        <v>0</v>
      </c>
      <c r="S2125" s="3704">
        <v>0</v>
      </c>
      <c r="T2125" s="3726">
        <v>0</v>
      </c>
      <c r="U2125" s="3704">
        <v>0</v>
      </c>
      <c r="V2125" s="3726">
        <v>0</v>
      </c>
      <c r="W2125" s="3704">
        <v>0</v>
      </c>
      <c r="X2125" s="3726">
        <v>0</v>
      </c>
      <c r="Y2125" s="3704">
        <f t="shared" si="818"/>
        <v>0</v>
      </c>
      <c r="Z2125" s="3883">
        <f t="shared" si="814"/>
        <v>0</v>
      </c>
      <c r="AA2125" s="3704">
        <f t="shared" si="817"/>
        <v>2</v>
      </c>
      <c r="AB2125" s="3705">
        <f t="shared" si="817"/>
        <v>40411000</v>
      </c>
      <c r="AC2125" s="3907">
        <f t="shared" si="815"/>
        <v>33.333333333333329</v>
      </c>
      <c r="AD2125" s="3907">
        <f t="shared" si="816"/>
        <v>34.714073412306398</v>
      </c>
      <c r="AE2125" s="2849" t="s">
        <v>4411</v>
      </c>
    </row>
    <row r="2126" spans="1:31" s="75" customFormat="1" ht="25.5">
      <c r="A2126" s="3157">
        <v>3</v>
      </c>
      <c r="B2126" s="3674"/>
      <c r="C2126" s="1198">
        <v>5</v>
      </c>
      <c r="D2126" s="3724" t="s">
        <v>107</v>
      </c>
      <c r="E2126" s="3724" t="s">
        <v>66</v>
      </c>
      <c r="F2126" s="1198">
        <v>56</v>
      </c>
      <c r="G2126" s="1198"/>
      <c r="H2126" s="3724" t="s">
        <v>196</v>
      </c>
      <c r="I2126" s="728" t="s">
        <v>4464</v>
      </c>
      <c r="J2126" s="3674" t="s">
        <v>4465</v>
      </c>
      <c r="K2126" s="3734">
        <v>6</v>
      </c>
      <c r="L2126" s="3735">
        <v>74841400</v>
      </c>
      <c r="M2126" s="3736">
        <v>2</v>
      </c>
      <c r="N2126" s="3735">
        <v>26841400</v>
      </c>
      <c r="O2126" s="3734">
        <v>1</v>
      </c>
      <c r="P2126" s="3735">
        <v>8450000</v>
      </c>
      <c r="Q2126" s="3704">
        <v>3</v>
      </c>
      <c r="R2126" s="3735">
        <v>0</v>
      </c>
      <c r="S2126" s="3704">
        <v>0</v>
      </c>
      <c r="T2126" s="3726">
        <v>0</v>
      </c>
      <c r="U2126" s="3704">
        <v>3</v>
      </c>
      <c r="V2126" s="3747">
        <v>8450000</v>
      </c>
      <c r="W2126" s="3704">
        <v>0</v>
      </c>
      <c r="X2126" s="3726">
        <v>0</v>
      </c>
      <c r="Y2126" s="3704">
        <f t="shared" si="818"/>
        <v>6</v>
      </c>
      <c r="Z2126" s="3883">
        <f t="shared" si="814"/>
        <v>8450000</v>
      </c>
      <c r="AA2126" s="3704">
        <f t="shared" si="817"/>
        <v>8</v>
      </c>
      <c r="AB2126" s="3705">
        <f t="shared" si="817"/>
        <v>35291400</v>
      </c>
      <c r="AC2126" s="3907">
        <f t="shared" si="815"/>
        <v>133.33333333333331</v>
      </c>
      <c r="AD2126" s="3907">
        <f t="shared" si="816"/>
        <v>47.154916931003427</v>
      </c>
      <c r="AE2126" s="2849" t="s">
        <v>4411</v>
      </c>
    </row>
    <row r="2127" spans="1:31" s="75" customFormat="1" ht="38.25">
      <c r="A2127" s="3157">
        <v>4</v>
      </c>
      <c r="B2127" s="676"/>
      <c r="C2127" s="1198">
        <v>5</v>
      </c>
      <c r="D2127" s="3724">
        <v>0</v>
      </c>
      <c r="E2127" s="3724">
        <v>1</v>
      </c>
      <c r="F2127" s="1198">
        <v>56</v>
      </c>
      <c r="G2127" s="1198"/>
      <c r="H2127" s="3724">
        <v>22</v>
      </c>
      <c r="I2127" s="728" t="s">
        <v>4466</v>
      </c>
      <c r="J2127" s="3674" t="s">
        <v>4467</v>
      </c>
      <c r="K2127" s="3734">
        <v>6</v>
      </c>
      <c r="L2127" s="3735">
        <v>88000000</v>
      </c>
      <c r="M2127" s="3736">
        <v>0</v>
      </c>
      <c r="N2127" s="3735">
        <v>0</v>
      </c>
      <c r="O2127" s="3734">
        <v>1</v>
      </c>
      <c r="P2127" s="3735">
        <v>5692500</v>
      </c>
      <c r="Q2127" s="3704">
        <v>0</v>
      </c>
      <c r="R2127" s="3735">
        <v>0</v>
      </c>
      <c r="S2127" s="3704">
        <v>0</v>
      </c>
      <c r="T2127" s="3726">
        <v>0</v>
      </c>
      <c r="U2127" s="3704">
        <v>0</v>
      </c>
      <c r="V2127" s="3726">
        <v>0</v>
      </c>
      <c r="W2127" s="3704">
        <v>0</v>
      </c>
      <c r="X2127" s="3726">
        <v>0</v>
      </c>
      <c r="Y2127" s="3704">
        <f t="shared" si="818"/>
        <v>0</v>
      </c>
      <c r="Z2127" s="3883">
        <f t="shared" si="814"/>
        <v>0</v>
      </c>
      <c r="AA2127" s="3704">
        <f t="shared" si="817"/>
        <v>0</v>
      </c>
      <c r="AB2127" s="3705">
        <f t="shared" si="817"/>
        <v>0</v>
      </c>
      <c r="AC2127" s="3907">
        <f t="shared" si="815"/>
        <v>0</v>
      </c>
      <c r="AD2127" s="3907">
        <f t="shared" si="816"/>
        <v>0</v>
      </c>
      <c r="AE2127" s="2849" t="s">
        <v>4411</v>
      </c>
    </row>
    <row r="2128" spans="1:31" s="75" customFormat="1" ht="38.25">
      <c r="A2128" s="3157">
        <v>5</v>
      </c>
      <c r="B2128" s="676"/>
      <c r="C2128" s="1198">
        <v>5</v>
      </c>
      <c r="D2128" s="3724" t="s">
        <v>107</v>
      </c>
      <c r="E2128" s="3724" t="s">
        <v>66</v>
      </c>
      <c r="F2128" s="1198">
        <v>56</v>
      </c>
      <c r="G2128" s="1198"/>
      <c r="H2128" s="3724" t="s">
        <v>161</v>
      </c>
      <c r="I2128" s="728" t="s">
        <v>4468</v>
      </c>
      <c r="J2128" s="3674" t="s">
        <v>4469</v>
      </c>
      <c r="K2128" s="3734">
        <v>72</v>
      </c>
      <c r="L2128" s="3735">
        <v>33720000</v>
      </c>
      <c r="M2128" s="3736">
        <v>24</v>
      </c>
      <c r="N2128" s="3735">
        <v>9720000</v>
      </c>
      <c r="O2128" s="3734">
        <v>12</v>
      </c>
      <c r="P2128" s="3735">
        <v>14400000</v>
      </c>
      <c r="Q2128" s="3704">
        <v>0</v>
      </c>
      <c r="R2128" s="3735">
        <v>0</v>
      </c>
      <c r="S2128" s="3704">
        <v>3</v>
      </c>
      <c r="T2128" s="3726">
        <v>1900000</v>
      </c>
      <c r="U2128" s="3704">
        <v>0</v>
      </c>
      <c r="V2128" s="3726">
        <v>0</v>
      </c>
      <c r="W2128" s="3704">
        <v>0</v>
      </c>
      <c r="X2128" s="3745">
        <v>0</v>
      </c>
      <c r="Y2128" s="3704">
        <f t="shared" si="818"/>
        <v>3</v>
      </c>
      <c r="Z2128" s="3883">
        <f t="shared" si="814"/>
        <v>1900000</v>
      </c>
      <c r="AA2128" s="3704">
        <f t="shared" si="817"/>
        <v>27</v>
      </c>
      <c r="AB2128" s="3705">
        <f t="shared" si="817"/>
        <v>11620000</v>
      </c>
      <c r="AC2128" s="3907">
        <f t="shared" si="815"/>
        <v>37.5</v>
      </c>
      <c r="AD2128" s="3907">
        <f t="shared" si="816"/>
        <v>34.46026097271649</v>
      </c>
      <c r="AE2128" s="2849" t="s">
        <v>4411</v>
      </c>
    </row>
    <row r="2129" spans="1:76" s="75" customFormat="1" ht="38.25">
      <c r="A2129" s="3157">
        <v>6</v>
      </c>
      <c r="B2129" s="676"/>
      <c r="C2129" s="1198"/>
      <c r="D2129" s="3724"/>
      <c r="E2129" s="3724"/>
      <c r="F2129" s="1198"/>
      <c r="G2129" s="1198"/>
      <c r="H2129" s="3724"/>
      <c r="I2129" s="728" t="s">
        <v>4470</v>
      </c>
      <c r="J2129" s="3674" t="s">
        <v>4471</v>
      </c>
      <c r="K2129" s="3734">
        <v>48</v>
      </c>
      <c r="L2129" s="3735">
        <v>66000000</v>
      </c>
      <c r="M2129" s="3736">
        <v>0</v>
      </c>
      <c r="N2129" s="3735">
        <v>0</v>
      </c>
      <c r="O2129" s="3734">
        <v>12</v>
      </c>
      <c r="P2129" s="3735">
        <v>6950000</v>
      </c>
      <c r="Q2129" s="3704">
        <v>3</v>
      </c>
      <c r="R2129" s="3735">
        <v>1000000</v>
      </c>
      <c r="S2129" s="3704">
        <v>3</v>
      </c>
      <c r="T2129" s="3726">
        <v>1000000</v>
      </c>
      <c r="U2129" s="3704">
        <v>0</v>
      </c>
      <c r="V2129" s="3726">
        <v>0</v>
      </c>
      <c r="W2129" s="3704">
        <v>0</v>
      </c>
      <c r="X2129" s="3745">
        <v>0</v>
      </c>
      <c r="Y2129" s="3704">
        <f t="shared" si="818"/>
        <v>6</v>
      </c>
      <c r="Z2129" s="3883">
        <f t="shared" si="814"/>
        <v>2000000</v>
      </c>
      <c r="AA2129" s="3704">
        <f t="shared" si="817"/>
        <v>6</v>
      </c>
      <c r="AB2129" s="3705">
        <f t="shared" si="817"/>
        <v>2000000</v>
      </c>
      <c r="AC2129" s="3907">
        <f t="shared" si="815"/>
        <v>12.5</v>
      </c>
      <c r="AD2129" s="3907">
        <f t="shared" si="816"/>
        <v>3.0303030303030303</v>
      </c>
      <c r="AE2129" s="2849" t="s">
        <v>4411</v>
      </c>
    </row>
    <row r="2130" spans="1:76" s="75" customFormat="1" ht="25.5">
      <c r="A2130" s="1718">
        <v>7</v>
      </c>
      <c r="B2130" s="3748"/>
      <c r="C2130" s="1198">
        <v>5</v>
      </c>
      <c r="D2130" s="3724">
        <v>0</v>
      </c>
      <c r="E2130" s="3724">
        <v>1</v>
      </c>
      <c r="F2130" s="1198">
        <v>56</v>
      </c>
      <c r="G2130" s="1198"/>
      <c r="H2130" s="3724">
        <v>28</v>
      </c>
      <c r="I2130" s="728" t="s">
        <v>4472</v>
      </c>
      <c r="J2130" s="3674" t="s">
        <v>4473</v>
      </c>
      <c r="K2130" s="3734">
        <v>24</v>
      </c>
      <c r="L2130" s="3735">
        <v>8250000</v>
      </c>
      <c r="M2130" s="3736">
        <v>6</v>
      </c>
      <c r="N2130" s="3735">
        <v>8250000</v>
      </c>
      <c r="O2130" s="3734">
        <v>3</v>
      </c>
      <c r="P2130" s="3735">
        <v>8250000</v>
      </c>
      <c r="Q2130" s="3704">
        <v>0</v>
      </c>
      <c r="R2130" s="3735">
        <v>0</v>
      </c>
      <c r="S2130" s="3704">
        <v>0</v>
      </c>
      <c r="T2130" s="3726">
        <v>0</v>
      </c>
      <c r="U2130" s="3704">
        <v>0</v>
      </c>
      <c r="V2130" s="3726">
        <v>0</v>
      </c>
      <c r="W2130" s="3704">
        <v>0</v>
      </c>
      <c r="X2130" s="3726">
        <v>0</v>
      </c>
      <c r="Y2130" s="3704">
        <f t="shared" si="818"/>
        <v>0</v>
      </c>
      <c r="Z2130" s="3920">
        <f t="shared" si="814"/>
        <v>0</v>
      </c>
      <c r="AA2130" s="3704">
        <f t="shared" si="817"/>
        <v>6</v>
      </c>
      <c r="AB2130" s="3705">
        <f t="shared" si="817"/>
        <v>8250000</v>
      </c>
      <c r="AC2130" s="3907">
        <f t="shared" si="815"/>
        <v>25</v>
      </c>
      <c r="AD2130" s="3907">
        <f t="shared" si="816"/>
        <v>100</v>
      </c>
      <c r="AE2130" s="2849" t="s">
        <v>4411</v>
      </c>
    </row>
    <row r="2131" spans="1:76" s="75" customFormat="1" ht="63.75">
      <c r="A2131" s="3157">
        <v>8</v>
      </c>
      <c r="B2131" s="676"/>
      <c r="C2131" s="1198">
        <v>5</v>
      </c>
      <c r="D2131" s="3724" t="s">
        <v>107</v>
      </c>
      <c r="E2131" s="3724" t="s">
        <v>66</v>
      </c>
      <c r="F2131" s="1198">
        <v>56</v>
      </c>
      <c r="G2131" s="1198"/>
      <c r="H2131" s="3724" t="s">
        <v>197</v>
      </c>
      <c r="I2131" s="728" t="s">
        <v>4474</v>
      </c>
      <c r="J2131" s="3674" t="s">
        <v>4475</v>
      </c>
      <c r="K2131" s="3734">
        <v>72</v>
      </c>
      <c r="L2131" s="3735">
        <v>92125400</v>
      </c>
      <c r="M2131" s="3736">
        <v>24</v>
      </c>
      <c r="N2131" s="3735">
        <v>35125400</v>
      </c>
      <c r="O2131" s="3734">
        <v>12</v>
      </c>
      <c r="P2131" s="3735">
        <v>10255000</v>
      </c>
      <c r="Q2131" s="3704">
        <v>0</v>
      </c>
      <c r="R2131" s="3735">
        <v>0</v>
      </c>
      <c r="S2131" s="3704">
        <v>3</v>
      </c>
      <c r="T2131" s="3726">
        <v>4675000</v>
      </c>
      <c r="U2131" s="3704">
        <v>0</v>
      </c>
      <c r="V2131" s="3726">
        <v>0</v>
      </c>
      <c r="W2131" s="3704">
        <v>0</v>
      </c>
      <c r="X2131" s="3726">
        <v>0</v>
      </c>
      <c r="Y2131" s="3704">
        <f t="shared" si="818"/>
        <v>3</v>
      </c>
      <c r="Z2131" s="3883">
        <f t="shared" si="814"/>
        <v>4675000</v>
      </c>
      <c r="AA2131" s="3704">
        <f t="shared" si="817"/>
        <v>27</v>
      </c>
      <c r="AB2131" s="3705">
        <f t="shared" si="817"/>
        <v>39800400</v>
      </c>
      <c r="AC2131" s="3907">
        <f t="shared" si="815"/>
        <v>37.5</v>
      </c>
      <c r="AD2131" s="3907">
        <f t="shared" si="816"/>
        <v>43.202417574306324</v>
      </c>
      <c r="AE2131" s="2849" t="s">
        <v>4411</v>
      </c>
    </row>
    <row r="2132" spans="1:76" s="75" customFormat="1" ht="38.25">
      <c r="A2132" s="3157">
        <v>9</v>
      </c>
      <c r="B2132" s="657"/>
      <c r="C2132" s="1198">
        <v>5</v>
      </c>
      <c r="D2132" s="3724">
        <v>0</v>
      </c>
      <c r="E2132" s="3724">
        <v>1</v>
      </c>
      <c r="F2132" s="1198">
        <v>56</v>
      </c>
      <c r="G2132" s="1198"/>
      <c r="H2132" s="3724">
        <v>6</v>
      </c>
      <c r="I2132" s="3674" t="s">
        <v>4476</v>
      </c>
      <c r="J2132" s="3674" t="s">
        <v>4477</v>
      </c>
      <c r="K2132" s="3734">
        <v>72</v>
      </c>
      <c r="L2132" s="3735">
        <v>92125400</v>
      </c>
      <c r="M2132" s="3736">
        <v>24</v>
      </c>
      <c r="N2132" s="3735">
        <v>35125400</v>
      </c>
      <c r="O2132" s="3734">
        <v>12</v>
      </c>
      <c r="P2132" s="3735">
        <v>10255000</v>
      </c>
      <c r="Q2132" s="3704">
        <v>0</v>
      </c>
      <c r="R2132" s="3735"/>
      <c r="S2132" s="3704">
        <v>0</v>
      </c>
      <c r="T2132" s="3726">
        <v>0</v>
      </c>
      <c r="U2132" s="3704">
        <v>0</v>
      </c>
      <c r="V2132" s="3726">
        <v>0</v>
      </c>
      <c r="W2132" s="3704">
        <v>0</v>
      </c>
      <c r="X2132" s="3726">
        <v>0</v>
      </c>
      <c r="Y2132" s="3704">
        <f t="shared" si="818"/>
        <v>0</v>
      </c>
      <c r="Z2132" s="3883">
        <f t="shared" si="814"/>
        <v>0</v>
      </c>
      <c r="AA2132" s="3704">
        <f t="shared" si="817"/>
        <v>24</v>
      </c>
      <c r="AB2132" s="3705">
        <f t="shared" si="817"/>
        <v>35125400</v>
      </c>
      <c r="AC2132" s="3907">
        <f t="shared" si="815"/>
        <v>33.333333333333329</v>
      </c>
      <c r="AD2132" s="3907">
        <f t="shared" si="816"/>
        <v>38.127812742197051</v>
      </c>
      <c r="AE2132" s="2849" t="s">
        <v>4411</v>
      </c>
    </row>
    <row r="2133" spans="1:76" s="3769" customFormat="1" ht="51">
      <c r="A2133" s="2595" t="s">
        <v>3362</v>
      </c>
      <c r="B2133" s="3761"/>
      <c r="C2133" s="3762">
        <v>5</v>
      </c>
      <c r="D2133" s="3763">
        <v>0</v>
      </c>
      <c r="E2133" s="3763">
        <v>1</v>
      </c>
      <c r="F2133" s="3762">
        <v>56</v>
      </c>
      <c r="G2133" s="3762"/>
      <c r="H2133" s="3763">
        <v>29</v>
      </c>
      <c r="I2133" s="2363" t="s">
        <v>4478</v>
      </c>
      <c r="J2133" s="3859" t="s">
        <v>4479</v>
      </c>
      <c r="K2133" s="3764">
        <v>72</v>
      </c>
      <c r="L2133" s="3061">
        <f>SUM(L2134)</f>
        <v>72000000</v>
      </c>
      <c r="M2133" s="3765">
        <v>0</v>
      </c>
      <c r="N2133" s="3061">
        <f>SUM(N2134)</f>
        <v>0</v>
      </c>
      <c r="O2133" s="3764">
        <v>5</v>
      </c>
      <c r="P2133" s="3061">
        <f>SUM(P2134)</f>
        <v>9750000</v>
      </c>
      <c r="Q2133" s="3766">
        <v>0</v>
      </c>
      <c r="R2133" s="3061">
        <f>SUM(R2134)</f>
        <v>0</v>
      </c>
      <c r="S2133" s="3766">
        <v>0</v>
      </c>
      <c r="T2133" s="3767">
        <f>SUM(T2134)</f>
        <v>0</v>
      </c>
      <c r="U2133" s="3766">
        <v>0</v>
      </c>
      <c r="V2133" s="3767">
        <f>SUM(V2134)</f>
        <v>0</v>
      </c>
      <c r="W2133" s="3766">
        <v>0</v>
      </c>
      <c r="X2133" s="3767">
        <f>SUM(X2134)</f>
        <v>0</v>
      </c>
      <c r="Y2133" s="3766">
        <f t="shared" si="818"/>
        <v>0</v>
      </c>
      <c r="Z2133" s="3876">
        <f t="shared" si="814"/>
        <v>0</v>
      </c>
      <c r="AA2133" s="3766">
        <f t="shared" si="817"/>
        <v>0</v>
      </c>
      <c r="AB2133" s="3768">
        <f t="shared" si="817"/>
        <v>0</v>
      </c>
      <c r="AC2133" s="3906">
        <f t="shared" si="815"/>
        <v>0</v>
      </c>
      <c r="AD2133" s="3906">
        <f t="shared" si="816"/>
        <v>0</v>
      </c>
      <c r="AE2133" s="2595" t="s">
        <v>4411</v>
      </c>
    </row>
    <row r="2134" spans="1:76" s="75" customFormat="1" ht="38.25">
      <c r="A2134" s="3749">
        <v>1</v>
      </c>
      <c r="B2134" s="3750"/>
      <c r="C2134" s="3751">
        <v>5</v>
      </c>
      <c r="D2134" s="3752">
        <v>0</v>
      </c>
      <c r="E2134" s="3752">
        <v>1</v>
      </c>
      <c r="F2134" s="3751">
        <v>56</v>
      </c>
      <c r="G2134" s="3751"/>
      <c r="H2134" s="3752">
        <v>30</v>
      </c>
      <c r="I2134" s="3675" t="s">
        <v>4480</v>
      </c>
      <c r="J2134" s="3675" t="s">
        <v>4481</v>
      </c>
      <c r="K2134" s="3753">
        <v>20</v>
      </c>
      <c r="L2134" s="3754">
        <v>72000000</v>
      </c>
      <c r="M2134" s="3755">
        <v>0</v>
      </c>
      <c r="N2134" s="3754">
        <v>0</v>
      </c>
      <c r="O2134" s="3753">
        <v>5</v>
      </c>
      <c r="P2134" s="3754">
        <v>9750000</v>
      </c>
      <c r="Q2134" s="3756">
        <v>0</v>
      </c>
      <c r="R2134" s="3757">
        <v>0</v>
      </c>
      <c r="S2134" s="3704">
        <v>0</v>
      </c>
      <c r="T2134" s="3758">
        <v>0</v>
      </c>
      <c r="U2134" s="3756">
        <v>0</v>
      </c>
      <c r="V2134" s="3758">
        <v>0</v>
      </c>
      <c r="W2134" s="3756">
        <v>0</v>
      </c>
      <c r="X2134" s="3758">
        <v>0</v>
      </c>
      <c r="Y2134" s="3704">
        <f t="shared" si="818"/>
        <v>0</v>
      </c>
      <c r="Z2134" s="3920">
        <f t="shared" si="814"/>
        <v>0</v>
      </c>
      <c r="AA2134" s="3704">
        <f t="shared" si="817"/>
        <v>0</v>
      </c>
      <c r="AB2134" s="3705">
        <f t="shared" si="817"/>
        <v>0</v>
      </c>
      <c r="AC2134" s="3907">
        <f t="shared" si="815"/>
        <v>0</v>
      </c>
      <c r="AD2134" s="3907">
        <f t="shared" si="816"/>
        <v>0</v>
      </c>
      <c r="AE2134" s="2849" t="s">
        <v>4411</v>
      </c>
    </row>
    <row r="2135" spans="1:76" customFormat="1" ht="17.25" customHeight="1">
      <c r="A2135" s="4264" t="s">
        <v>89</v>
      </c>
      <c r="B2135" s="4264"/>
      <c r="C2135" s="4265"/>
      <c r="D2135" s="4265"/>
      <c r="E2135" s="4265"/>
      <c r="F2135" s="4265"/>
      <c r="G2135" s="4265"/>
      <c r="H2135" s="4265"/>
      <c r="I2135" s="4265"/>
      <c r="J2135" s="4265"/>
      <c r="K2135" s="4265"/>
      <c r="L2135" s="4265"/>
      <c r="M2135" s="4265"/>
      <c r="N2135" s="4265"/>
      <c r="O2135" s="4265"/>
      <c r="P2135" s="4265"/>
      <c r="Q2135" s="4265"/>
      <c r="R2135" s="4265"/>
      <c r="S2135" s="4265"/>
      <c r="T2135" s="4265"/>
      <c r="U2135" s="4265"/>
      <c r="V2135" s="4265"/>
      <c r="W2135" s="4265"/>
      <c r="X2135" s="4265"/>
      <c r="Y2135" s="4265"/>
      <c r="Z2135" s="4265"/>
      <c r="AA2135" s="4265"/>
      <c r="AB2135" s="4265"/>
      <c r="AC2135" s="3784">
        <f>(AC2089+AC2101+AC2103+AC2109+AC2111+AC2114+AC2117+AC2119+AC2121+AC2123+AC2133)/11</f>
        <v>39.962121212121204</v>
      </c>
      <c r="AD2135" s="3784">
        <f>(AD2089+AD2101+AD2103+AD2109+AD2111+AD2114+AD2117+AD2119+AD2121+AD2123+AD2133)/11</f>
        <v>35.721641874837161</v>
      </c>
      <c r="AE2135" s="2116"/>
    </row>
    <row r="2136" spans="1:76" customFormat="1" ht="20.25" customHeight="1">
      <c r="A2136" s="4264" t="s">
        <v>90</v>
      </c>
      <c r="B2136" s="4264"/>
      <c r="C2136" s="4265"/>
      <c r="D2136" s="4265"/>
      <c r="E2136" s="4265"/>
      <c r="F2136" s="4265"/>
      <c r="G2136" s="4265"/>
      <c r="H2136" s="4265"/>
      <c r="I2136" s="4265"/>
      <c r="J2136" s="4265"/>
      <c r="K2136" s="4265"/>
      <c r="L2136" s="4265"/>
      <c r="M2136" s="4265"/>
      <c r="N2136" s="4265"/>
      <c r="O2136" s="4265"/>
      <c r="P2136" s="4265"/>
      <c r="Q2136" s="4265"/>
      <c r="R2136" s="4265"/>
      <c r="S2136" s="4265"/>
      <c r="T2136" s="4265"/>
      <c r="U2136" s="4265"/>
      <c r="V2136" s="4265"/>
      <c r="W2136" s="4265"/>
      <c r="X2136" s="4265"/>
      <c r="Y2136" s="4265"/>
      <c r="Z2136" s="4265"/>
      <c r="AA2136" s="4265"/>
      <c r="AB2136" s="4265"/>
      <c r="AC2136" s="3689" t="str">
        <f>IF(AC2135&gt;=91,"ST",IF(AC2135&gt;=76,"T",IF(AC2135&gt;=66,"S",IF(AC2135&gt;=51,"R","SR"))))</f>
        <v>SR</v>
      </c>
      <c r="AD2136" s="3689" t="str">
        <f>IF(AD2135&gt;=91,"ST",IF(AD2135&gt;=76,"T",IF(AD2135&gt;=66,"S",IF(AD2135&gt;=51,"R","SR"))))</f>
        <v>SR</v>
      </c>
      <c r="AE2136" s="2116"/>
    </row>
    <row r="2137" spans="1:76" s="55" customFormat="1" ht="25.5" customHeight="1">
      <c r="A2137" s="3287" t="s">
        <v>3347</v>
      </c>
      <c r="B2137" s="3288"/>
      <c r="C2137" s="3287"/>
      <c r="D2137" s="3287"/>
      <c r="E2137" s="3287"/>
      <c r="F2137" s="3287"/>
      <c r="G2137" s="3287"/>
      <c r="H2137" s="3287"/>
      <c r="I2137" s="3289" t="s">
        <v>1028</v>
      </c>
      <c r="J2137" s="3288"/>
      <c r="K2137" s="3288"/>
      <c r="L2137" s="3759">
        <f>L2138+L2151+L2157+L2159+L2161+L2163+L2165+L2167+L2170+L2178</f>
        <v>4674463000</v>
      </c>
      <c r="M2137" s="3288"/>
      <c r="N2137" s="3293">
        <f>N2138+N2151+N2157+N2159+N2161+N2163+N2165+N2167+N2170+N2178</f>
        <v>843416370</v>
      </c>
      <c r="O2137" s="3288"/>
      <c r="P2137" s="3293">
        <f>P2138+P2151+P2157+P2159+P2161+P2163+P2165+P2167+P2170+P2178</f>
        <v>1105998540</v>
      </c>
      <c r="Q2137" s="3288"/>
      <c r="R2137" s="3293">
        <f>R2138+R2151+R2157+R2159+R2161+R2163+R2165+R2167+R2170+R2178</f>
        <v>75441100</v>
      </c>
      <c r="S2137" s="3288"/>
      <c r="T2137" s="3293">
        <f>T2138+T2151+T2157+T2159+T2161+T2163+T2165+T2167+T2170+T2178</f>
        <v>508691722</v>
      </c>
      <c r="U2137" s="3288"/>
      <c r="V2137" s="3293">
        <f>V2138+V2151+V2157+V2159+V2161+V2163+V2165+V2167+V2170+V2178</f>
        <v>1002377318</v>
      </c>
      <c r="W2137" s="3288"/>
      <c r="X2137" s="3288"/>
      <c r="Y2137" s="3287">
        <f>Q2137+S2137+U2137+W2137</f>
        <v>0</v>
      </c>
      <c r="Z2137" s="3293">
        <f>Z2138+Z2151+Z2157+Z2159+Z2161+Z2163+Z2165+Z2167+Z2170+Z2178</f>
        <v>1175028724</v>
      </c>
      <c r="AA2137" s="3288"/>
      <c r="AB2137" s="3293">
        <f>AB2138+AB2151+AB2157+AB2159+AB2161+AB2163+AB2165+AB2167+AB2170+AB2178</f>
        <v>1658410094</v>
      </c>
      <c r="AC2137" s="3288"/>
      <c r="AD2137" s="2918"/>
      <c r="AE2137" s="3211"/>
      <c r="AF2137" s="145"/>
      <c r="AG2137" s="145"/>
      <c r="AH2137" s="145"/>
      <c r="AI2137" s="145"/>
      <c r="AJ2137" s="145"/>
      <c r="AK2137" s="145"/>
      <c r="AL2137" s="145"/>
      <c r="AM2137" s="145"/>
      <c r="AN2137" s="145"/>
      <c r="AO2137" s="145"/>
      <c r="AP2137" s="145"/>
      <c r="AQ2137" s="145"/>
      <c r="AR2137" s="145"/>
      <c r="AS2137" s="145"/>
      <c r="AT2137" s="145"/>
      <c r="AU2137" s="145"/>
      <c r="AV2137" s="145"/>
      <c r="AW2137" s="145"/>
      <c r="AX2137" s="145"/>
      <c r="AY2137" s="145"/>
      <c r="AZ2137" s="145"/>
      <c r="BA2137" s="145"/>
      <c r="BB2137" s="145"/>
      <c r="BC2137" s="145"/>
      <c r="BD2137" s="145"/>
      <c r="BE2137" s="145"/>
      <c r="BF2137" s="145"/>
      <c r="BG2137" s="145"/>
      <c r="BH2137" s="145"/>
      <c r="BI2137" s="145"/>
      <c r="BJ2137" s="145"/>
      <c r="BK2137" s="145"/>
      <c r="BL2137" s="145"/>
      <c r="BM2137" s="145"/>
      <c r="BN2137" s="145"/>
      <c r="BO2137" s="145"/>
      <c r="BP2137" s="145"/>
      <c r="BQ2137" s="145"/>
      <c r="BR2137" s="145"/>
      <c r="BS2137" s="145"/>
      <c r="BT2137" s="145"/>
      <c r="BU2137" s="145"/>
      <c r="BV2137" s="145"/>
      <c r="BW2137" s="145"/>
      <c r="BX2137" s="145"/>
    </row>
    <row r="2138" spans="1:76" s="494" customFormat="1" ht="39.75" customHeight="1">
      <c r="A2138" s="2595" t="s">
        <v>30</v>
      </c>
      <c r="B2138" s="2595"/>
      <c r="C2138" s="3857">
        <v>5</v>
      </c>
      <c r="D2138" s="2374" t="s">
        <v>107</v>
      </c>
      <c r="E2138" s="2374" t="s">
        <v>66</v>
      </c>
      <c r="F2138" s="2374" t="s">
        <v>66</v>
      </c>
      <c r="G2138" s="2374"/>
      <c r="H2138" s="3857"/>
      <c r="I2138" s="3859" t="s">
        <v>1662</v>
      </c>
      <c r="J2138" s="2363"/>
      <c r="K2138" s="3764">
        <v>72</v>
      </c>
      <c r="L2138" s="3067">
        <f>SUM(L2139:L2150)</f>
        <v>990878000</v>
      </c>
      <c r="M2138" s="3766">
        <v>24</v>
      </c>
      <c r="N2138" s="3923">
        <f>SUM(N2139:N2150)</f>
        <v>324933300</v>
      </c>
      <c r="O2138" s="3766">
        <v>12</v>
      </c>
      <c r="P2138" s="3923">
        <f>SUM(P2139:P2150)</f>
        <v>190022989</v>
      </c>
      <c r="Q2138" s="3766">
        <v>3</v>
      </c>
      <c r="R2138" s="3923">
        <f>SUM(R2139:R2150)</f>
        <v>37346100</v>
      </c>
      <c r="S2138" s="3766">
        <v>3</v>
      </c>
      <c r="T2138" s="3924">
        <f>SUM(T2139:T2150)</f>
        <v>106671722</v>
      </c>
      <c r="U2138" s="3766">
        <v>3</v>
      </c>
      <c r="V2138" s="3925">
        <f>SUM(V2139:V2150)</f>
        <v>140350308</v>
      </c>
      <c r="W2138" s="3766">
        <v>0</v>
      </c>
      <c r="X2138" s="3865" t="s">
        <v>2034</v>
      </c>
      <c r="Y2138" s="3766">
        <f>(Q2138+S2138+U2138+W2138)</f>
        <v>9</v>
      </c>
      <c r="Z2138" s="3926">
        <f>SUM(Z2139:Z2150)</f>
        <v>269146630</v>
      </c>
      <c r="AA2138" s="3766">
        <f>(M2138+Y2138)</f>
        <v>33</v>
      </c>
      <c r="AB2138" s="3911">
        <f>SUM(AB2139:AB2150)</f>
        <v>596454930</v>
      </c>
      <c r="AC2138" s="3906">
        <f>(AA2138/K2138*100)</f>
        <v>45.833333333333329</v>
      </c>
      <c r="AD2138" s="3927">
        <f>(AB2138/L2138*100)</f>
        <v>60.194588032028165</v>
      </c>
      <c r="AE2138" s="3787" t="s">
        <v>4482</v>
      </c>
    </row>
    <row r="2139" spans="1:76" s="75" customFormat="1" ht="60" customHeight="1">
      <c r="A2139" s="3157">
        <v>1</v>
      </c>
      <c r="B2139" s="3866"/>
      <c r="C2139" s="3851">
        <v>5</v>
      </c>
      <c r="D2139" s="1218" t="s">
        <v>66</v>
      </c>
      <c r="E2139" s="1218" t="s">
        <v>66</v>
      </c>
      <c r="F2139" s="1218" t="s">
        <v>66</v>
      </c>
      <c r="G2139" s="1218"/>
      <c r="H2139" s="1218" t="s">
        <v>65</v>
      </c>
      <c r="I2139" s="728" t="s">
        <v>195</v>
      </c>
      <c r="J2139" s="3866" t="s">
        <v>4413</v>
      </c>
      <c r="K2139" s="3734">
        <v>72</v>
      </c>
      <c r="L2139" s="3735">
        <v>72978000</v>
      </c>
      <c r="M2139" s="3736">
        <v>24</v>
      </c>
      <c r="N2139" s="3735">
        <v>25404000</v>
      </c>
      <c r="O2139" s="3736">
        <v>12</v>
      </c>
      <c r="P2139" s="3735">
        <v>9300000</v>
      </c>
      <c r="Q2139" s="3730">
        <v>3</v>
      </c>
      <c r="R2139" s="3735">
        <v>1474360</v>
      </c>
      <c r="S2139" s="3730">
        <v>3</v>
      </c>
      <c r="T2139" s="3867">
        <v>2573276</v>
      </c>
      <c r="U2139" s="3730">
        <v>3</v>
      </c>
      <c r="V2139" s="3868">
        <v>9230370</v>
      </c>
      <c r="W2139" s="3730">
        <v>0</v>
      </c>
      <c r="X2139" s="3747">
        <v>0</v>
      </c>
      <c r="Y2139" s="3730">
        <f>(Q2139+S2139+U2139+W2139)</f>
        <v>9</v>
      </c>
      <c r="Z2139" s="3868">
        <f t="shared" ref="Z2139:Z2174" si="819">(R2139+T2139+V2139+X2139)</f>
        <v>13278006</v>
      </c>
      <c r="AA2139" s="3730">
        <f>(M2139+Y2139)</f>
        <v>33</v>
      </c>
      <c r="AB2139" s="3910">
        <f>(N2139+Z2139)</f>
        <v>38682006</v>
      </c>
      <c r="AC2139" s="3905">
        <f t="shared" ref="AC2139:AC2177" si="820">(AA2139/K2139*100)</f>
        <v>45.833333333333329</v>
      </c>
      <c r="AD2139" s="3905">
        <f t="shared" ref="AD2139:AD2179" si="821">(AB2139/L2139*100)</f>
        <v>53.005023431719145</v>
      </c>
      <c r="AE2139" s="3157" t="s">
        <v>4482</v>
      </c>
      <c r="AF2139" s="3760"/>
      <c r="AH2139" s="3922"/>
    </row>
    <row r="2140" spans="1:76" s="75" customFormat="1" ht="49.5" customHeight="1">
      <c r="A2140" s="3157">
        <v>2</v>
      </c>
      <c r="B2140" s="3866"/>
      <c r="C2140" s="3851">
        <v>5</v>
      </c>
      <c r="D2140" s="1218" t="s">
        <v>107</v>
      </c>
      <c r="E2140" s="1218" t="s">
        <v>66</v>
      </c>
      <c r="F2140" s="1218" t="s">
        <v>66</v>
      </c>
      <c r="G2140" s="1218"/>
      <c r="H2140" s="1218" t="s">
        <v>198</v>
      </c>
      <c r="I2140" s="728" t="s">
        <v>199</v>
      </c>
      <c r="J2140" s="3866" t="s">
        <v>4414</v>
      </c>
      <c r="K2140" s="3734">
        <v>72</v>
      </c>
      <c r="L2140" s="3735">
        <v>153000000</v>
      </c>
      <c r="M2140" s="3734">
        <v>24</v>
      </c>
      <c r="N2140" s="3735">
        <v>9750000</v>
      </c>
      <c r="O2140" s="3734">
        <v>12</v>
      </c>
      <c r="P2140" s="3735">
        <v>42100000</v>
      </c>
      <c r="Q2140" s="3870" t="s">
        <v>2034</v>
      </c>
      <c r="R2140" s="3871" t="s">
        <v>2034</v>
      </c>
      <c r="S2140" s="3730">
        <v>3</v>
      </c>
      <c r="T2140" s="3872">
        <v>36300000</v>
      </c>
      <c r="U2140" s="3730">
        <v>3</v>
      </c>
      <c r="V2140" s="3868">
        <v>21950000</v>
      </c>
      <c r="W2140" s="3730">
        <v>0</v>
      </c>
      <c r="X2140" s="3747">
        <v>0</v>
      </c>
      <c r="Y2140" s="3730">
        <f>(Q2140+S2140+U2140+W2140)</f>
        <v>6</v>
      </c>
      <c r="Z2140" s="3868">
        <f t="shared" si="819"/>
        <v>58250000</v>
      </c>
      <c r="AA2140" s="3730">
        <f t="shared" ref="AA2140:AB2177" si="822">(M2140+Y2140)</f>
        <v>30</v>
      </c>
      <c r="AB2140" s="3910">
        <f>(N2140+Z2140)</f>
        <v>68000000</v>
      </c>
      <c r="AC2140" s="3905">
        <f t="shared" si="820"/>
        <v>41.666666666666671</v>
      </c>
      <c r="AD2140" s="3905">
        <f t="shared" si="821"/>
        <v>44.444444444444443</v>
      </c>
      <c r="AE2140" s="3157" t="s">
        <v>4482</v>
      </c>
      <c r="AH2140" s="3922"/>
    </row>
    <row r="2141" spans="1:76" s="75" customFormat="1" ht="46.5" customHeight="1">
      <c r="A2141" s="3157">
        <v>3</v>
      </c>
      <c r="B2141" s="3866"/>
      <c r="C2141" s="3851">
        <v>5</v>
      </c>
      <c r="D2141" s="1218" t="s">
        <v>107</v>
      </c>
      <c r="E2141" s="1218" t="s">
        <v>66</v>
      </c>
      <c r="F2141" s="1218" t="s">
        <v>66</v>
      </c>
      <c r="G2141" s="1218"/>
      <c r="H2141" s="1218" t="s">
        <v>93</v>
      </c>
      <c r="I2141" s="728" t="s">
        <v>200</v>
      </c>
      <c r="J2141" s="3866" t="s">
        <v>4415</v>
      </c>
      <c r="K2141" s="3734">
        <v>72</v>
      </c>
      <c r="L2141" s="3735">
        <v>69000000</v>
      </c>
      <c r="M2141" s="3734">
        <v>24</v>
      </c>
      <c r="N2141" s="3735">
        <v>51900000</v>
      </c>
      <c r="O2141" s="3734">
        <v>12</v>
      </c>
      <c r="P2141" s="3735">
        <v>15800100</v>
      </c>
      <c r="Q2141" s="3730">
        <v>3</v>
      </c>
      <c r="R2141" s="3735">
        <v>3187000</v>
      </c>
      <c r="S2141" s="3730">
        <v>3</v>
      </c>
      <c r="T2141" s="3872">
        <v>6898324</v>
      </c>
      <c r="U2141" s="3730">
        <v>3</v>
      </c>
      <c r="V2141" s="3868">
        <v>10763200</v>
      </c>
      <c r="W2141" s="3730">
        <v>0</v>
      </c>
      <c r="X2141" s="3747">
        <v>0</v>
      </c>
      <c r="Y2141" s="3730">
        <f t="shared" ref="Y2141:Y2177" si="823">(Q2141+S2141+U2141+W2141)</f>
        <v>9</v>
      </c>
      <c r="Z2141" s="3868">
        <f t="shared" si="819"/>
        <v>20848524</v>
      </c>
      <c r="AA2141" s="3730">
        <f t="shared" si="822"/>
        <v>33</v>
      </c>
      <c r="AB2141" s="3910">
        <f>(N2141+Z2141)</f>
        <v>72748524</v>
      </c>
      <c r="AC2141" s="3905">
        <f t="shared" si="820"/>
        <v>45.833333333333329</v>
      </c>
      <c r="AD2141" s="3905">
        <f t="shared" si="821"/>
        <v>105.43264347826087</v>
      </c>
      <c r="AE2141" s="3157" t="s">
        <v>4482</v>
      </c>
      <c r="AH2141" s="3922"/>
    </row>
    <row r="2142" spans="1:76" s="75" customFormat="1" ht="51" customHeight="1">
      <c r="A2142" s="3157">
        <v>4</v>
      </c>
      <c r="B2142" s="3866"/>
      <c r="C2142" s="3851">
        <v>20</v>
      </c>
      <c r="D2142" s="1218">
        <v>19</v>
      </c>
      <c r="E2142" s="1218" t="s">
        <v>66</v>
      </c>
      <c r="F2142" s="1218" t="s">
        <v>201</v>
      </c>
      <c r="G2142" s="1218"/>
      <c r="H2142" s="1218"/>
      <c r="I2142" s="728" t="s">
        <v>705</v>
      </c>
      <c r="J2142" s="3866" t="s">
        <v>4416</v>
      </c>
      <c r="K2142" s="3734">
        <v>72</v>
      </c>
      <c r="L2142" s="3735">
        <v>5000000</v>
      </c>
      <c r="M2142" s="3734">
        <v>24</v>
      </c>
      <c r="N2142" s="3735">
        <v>13976200</v>
      </c>
      <c r="O2142" s="3734">
        <v>12</v>
      </c>
      <c r="P2142" s="3871" t="s">
        <v>154</v>
      </c>
      <c r="Q2142" s="3730">
        <v>3</v>
      </c>
      <c r="R2142" s="3735"/>
      <c r="S2142" s="3730">
        <v>3</v>
      </c>
      <c r="T2142" s="3872">
        <v>1420000</v>
      </c>
      <c r="U2142" s="3730">
        <v>3</v>
      </c>
      <c r="V2142" s="3868">
        <v>0</v>
      </c>
      <c r="W2142" s="3730">
        <v>0</v>
      </c>
      <c r="X2142" s="3747">
        <v>0</v>
      </c>
      <c r="Y2142" s="3730">
        <f t="shared" si="823"/>
        <v>9</v>
      </c>
      <c r="Z2142" s="3868">
        <f t="shared" si="819"/>
        <v>1420000</v>
      </c>
      <c r="AA2142" s="3730">
        <f t="shared" si="822"/>
        <v>33</v>
      </c>
      <c r="AB2142" s="3910">
        <f t="shared" si="822"/>
        <v>15396200</v>
      </c>
      <c r="AC2142" s="3905">
        <f t="shared" si="820"/>
        <v>45.833333333333329</v>
      </c>
      <c r="AD2142" s="3905">
        <f t="shared" si="821"/>
        <v>307.92399999999998</v>
      </c>
      <c r="AE2142" s="3157" t="s">
        <v>4482</v>
      </c>
      <c r="AH2142" s="3922"/>
    </row>
    <row r="2143" spans="1:76" s="75" customFormat="1" ht="76.5" customHeight="1">
      <c r="A2143" s="3157">
        <v>5</v>
      </c>
      <c r="B2143" s="3866"/>
      <c r="C2143" s="3851">
        <v>5</v>
      </c>
      <c r="D2143" s="1218" t="s">
        <v>107</v>
      </c>
      <c r="E2143" s="1218" t="s">
        <v>66</v>
      </c>
      <c r="F2143" s="1218" t="s">
        <v>66</v>
      </c>
      <c r="G2143" s="1218"/>
      <c r="H2143" s="1218" t="s">
        <v>202</v>
      </c>
      <c r="I2143" s="728" t="s">
        <v>203</v>
      </c>
      <c r="J2143" s="3866" t="s">
        <v>4417</v>
      </c>
      <c r="K2143" s="3734">
        <v>72</v>
      </c>
      <c r="L2143" s="3735">
        <v>105000000</v>
      </c>
      <c r="M2143" s="3736">
        <v>24</v>
      </c>
      <c r="N2143" s="3735">
        <v>9750000</v>
      </c>
      <c r="O2143" s="3736">
        <v>12</v>
      </c>
      <c r="P2143" s="3735">
        <v>17674713</v>
      </c>
      <c r="Q2143" s="3730">
        <v>3</v>
      </c>
      <c r="R2143" s="3735">
        <v>5470740</v>
      </c>
      <c r="S2143" s="3730">
        <v>3</v>
      </c>
      <c r="T2143" s="3873">
        <v>5532447</v>
      </c>
      <c r="U2143" s="3730">
        <v>3</v>
      </c>
      <c r="V2143" s="3868">
        <v>13268196</v>
      </c>
      <c r="W2143" s="3730">
        <v>0</v>
      </c>
      <c r="X2143" s="3747">
        <v>0</v>
      </c>
      <c r="Y2143" s="3730">
        <f t="shared" si="823"/>
        <v>9</v>
      </c>
      <c r="Z2143" s="3868">
        <f t="shared" si="819"/>
        <v>24271383</v>
      </c>
      <c r="AA2143" s="3730">
        <f t="shared" si="822"/>
        <v>33</v>
      </c>
      <c r="AB2143" s="3910">
        <f t="shared" si="822"/>
        <v>34021383</v>
      </c>
      <c r="AC2143" s="3905">
        <f t="shared" si="820"/>
        <v>45.833333333333329</v>
      </c>
      <c r="AD2143" s="3905">
        <f t="shared" si="821"/>
        <v>32.401317142857145</v>
      </c>
      <c r="AE2143" s="3157" t="s">
        <v>4482</v>
      </c>
      <c r="AH2143" s="3922"/>
    </row>
    <row r="2144" spans="1:76" s="75" customFormat="1" ht="49.5" customHeight="1">
      <c r="A2144" s="3157">
        <v>6</v>
      </c>
      <c r="B2144" s="3866"/>
      <c r="C2144" s="3851">
        <v>5</v>
      </c>
      <c r="D2144" s="1218" t="s">
        <v>107</v>
      </c>
      <c r="E2144" s="1218" t="s">
        <v>66</v>
      </c>
      <c r="F2144" s="1218" t="s">
        <v>66</v>
      </c>
      <c r="G2144" s="1218"/>
      <c r="H2144" s="1218" t="s">
        <v>417</v>
      </c>
      <c r="I2144" s="728" t="s">
        <v>204</v>
      </c>
      <c r="J2144" s="3866" t="s">
        <v>4140</v>
      </c>
      <c r="K2144" s="3734">
        <v>72</v>
      </c>
      <c r="L2144" s="3735">
        <v>74000000</v>
      </c>
      <c r="M2144" s="3734">
        <v>24</v>
      </c>
      <c r="N2144" s="3735">
        <v>51551900</v>
      </c>
      <c r="O2144" s="3734">
        <v>12</v>
      </c>
      <c r="P2144" s="3735">
        <v>13150176</v>
      </c>
      <c r="Q2144" s="3730">
        <v>3</v>
      </c>
      <c r="R2144" s="3735">
        <v>2394000</v>
      </c>
      <c r="S2144" s="3730">
        <v>3</v>
      </c>
      <c r="T2144" s="3873">
        <v>3219675</v>
      </c>
      <c r="U2144" s="3730">
        <v>3</v>
      </c>
      <c r="V2144" s="3868">
        <v>8577542</v>
      </c>
      <c r="W2144" s="3730">
        <v>0</v>
      </c>
      <c r="X2144" s="3747">
        <v>0</v>
      </c>
      <c r="Y2144" s="3730">
        <f t="shared" si="823"/>
        <v>9</v>
      </c>
      <c r="Z2144" s="3868">
        <f t="shared" si="819"/>
        <v>14191217</v>
      </c>
      <c r="AA2144" s="3730">
        <f t="shared" si="822"/>
        <v>33</v>
      </c>
      <c r="AB2144" s="3910">
        <f t="shared" si="822"/>
        <v>65743117</v>
      </c>
      <c r="AC2144" s="3905">
        <f t="shared" si="820"/>
        <v>45.833333333333329</v>
      </c>
      <c r="AD2144" s="3905">
        <f t="shared" si="821"/>
        <v>88.84205</v>
      </c>
      <c r="AE2144" s="3157" t="s">
        <v>4482</v>
      </c>
      <c r="AH2144" s="3922"/>
    </row>
    <row r="2145" spans="1:34" s="75" customFormat="1" ht="79.5" customHeight="1">
      <c r="A2145" s="3157">
        <v>7</v>
      </c>
      <c r="B2145" s="3866"/>
      <c r="C2145" s="3851">
        <v>5</v>
      </c>
      <c r="D2145" s="1218" t="s">
        <v>107</v>
      </c>
      <c r="E2145" s="1218" t="s">
        <v>66</v>
      </c>
      <c r="F2145" s="1218" t="s">
        <v>66</v>
      </c>
      <c r="G2145" s="1218"/>
      <c r="H2145" s="1218" t="s">
        <v>160</v>
      </c>
      <c r="I2145" s="728" t="s">
        <v>205</v>
      </c>
      <c r="J2145" s="3866" t="s">
        <v>4418</v>
      </c>
      <c r="K2145" s="3734">
        <v>72</v>
      </c>
      <c r="L2145" s="3735">
        <v>15000000</v>
      </c>
      <c r="M2145" s="3734">
        <v>24</v>
      </c>
      <c r="N2145" s="3735">
        <v>17674200</v>
      </c>
      <c r="O2145" s="3734">
        <v>12</v>
      </c>
      <c r="P2145" s="3735">
        <v>1553000</v>
      </c>
      <c r="Q2145" s="3730">
        <v>3</v>
      </c>
      <c r="R2145" s="3735">
        <v>820000</v>
      </c>
      <c r="S2145" s="3730">
        <v>3</v>
      </c>
      <c r="T2145" s="3873">
        <v>1553000</v>
      </c>
      <c r="U2145" s="3730">
        <v>3</v>
      </c>
      <c r="V2145" s="3874" t="s">
        <v>2034</v>
      </c>
      <c r="W2145" s="3730">
        <v>0</v>
      </c>
      <c r="X2145" s="3747">
        <v>0</v>
      </c>
      <c r="Y2145" s="3730">
        <f t="shared" si="823"/>
        <v>9</v>
      </c>
      <c r="Z2145" s="3868">
        <f t="shared" si="819"/>
        <v>2373000</v>
      </c>
      <c r="AA2145" s="3730">
        <f t="shared" si="822"/>
        <v>33</v>
      </c>
      <c r="AB2145" s="3910">
        <f t="shared" si="822"/>
        <v>20047200</v>
      </c>
      <c r="AC2145" s="3905">
        <f t="shared" si="820"/>
        <v>45.833333333333329</v>
      </c>
      <c r="AD2145" s="3905">
        <f t="shared" si="821"/>
        <v>133.648</v>
      </c>
      <c r="AE2145" s="3157" t="s">
        <v>4482</v>
      </c>
      <c r="AH2145" s="3922"/>
    </row>
    <row r="2146" spans="1:34" s="75" customFormat="1" ht="63" customHeight="1">
      <c r="A2146" s="3157">
        <v>8</v>
      </c>
      <c r="B2146" s="3866"/>
      <c r="C2146" s="3851">
        <v>5</v>
      </c>
      <c r="D2146" s="1218" t="s">
        <v>66</v>
      </c>
      <c r="E2146" s="1218" t="s">
        <v>66</v>
      </c>
      <c r="F2146" s="3851"/>
      <c r="G2146" s="3851"/>
      <c r="H2146" s="1218" t="s">
        <v>155</v>
      </c>
      <c r="I2146" s="728" t="s">
        <v>533</v>
      </c>
      <c r="J2146" s="3866" t="s">
        <v>4419</v>
      </c>
      <c r="K2146" s="3734">
        <v>72</v>
      </c>
      <c r="L2146" s="3735">
        <v>12600000</v>
      </c>
      <c r="M2146" s="3736">
        <v>24</v>
      </c>
      <c r="N2146" s="3735">
        <v>16977000</v>
      </c>
      <c r="O2146" s="3736">
        <v>12</v>
      </c>
      <c r="P2146" s="3735">
        <v>3200000</v>
      </c>
      <c r="Q2146" s="3730">
        <v>3</v>
      </c>
      <c r="R2146" s="3735">
        <v>450000</v>
      </c>
      <c r="S2146" s="3730">
        <v>3</v>
      </c>
      <c r="T2146" s="3873">
        <v>1200000</v>
      </c>
      <c r="U2146" s="3730">
        <v>3</v>
      </c>
      <c r="V2146" s="3868">
        <v>2550000</v>
      </c>
      <c r="W2146" s="3730">
        <v>0</v>
      </c>
      <c r="X2146" s="3747">
        <v>0</v>
      </c>
      <c r="Y2146" s="3730">
        <f t="shared" si="823"/>
        <v>9</v>
      </c>
      <c r="Z2146" s="3868">
        <f t="shared" si="819"/>
        <v>4200000</v>
      </c>
      <c r="AA2146" s="3730">
        <f t="shared" si="822"/>
        <v>33</v>
      </c>
      <c r="AB2146" s="3910">
        <f t="shared" si="822"/>
        <v>21177000</v>
      </c>
      <c r="AC2146" s="3905">
        <f t="shared" si="820"/>
        <v>45.833333333333329</v>
      </c>
      <c r="AD2146" s="3905">
        <f t="shared" si="821"/>
        <v>168.07142857142856</v>
      </c>
      <c r="AE2146" s="3157" t="s">
        <v>4482</v>
      </c>
      <c r="AH2146" s="3922"/>
    </row>
    <row r="2147" spans="1:34" s="75" customFormat="1" ht="76.5" customHeight="1">
      <c r="A2147" s="3157">
        <v>9</v>
      </c>
      <c r="B2147" s="3866"/>
      <c r="C2147" s="3851">
        <v>5</v>
      </c>
      <c r="D2147" s="1218" t="s">
        <v>66</v>
      </c>
      <c r="E2147" s="1218" t="s">
        <v>66</v>
      </c>
      <c r="F2147" s="3851"/>
      <c r="G2147" s="3851"/>
      <c r="H2147" s="1218" t="s">
        <v>448</v>
      </c>
      <c r="I2147" s="728" t="s">
        <v>206</v>
      </c>
      <c r="J2147" s="3866" t="s">
        <v>4420</v>
      </c>
      <c r="K2147" s="3734">
        <v>72</v>
      </c>
      <c r="L2147" s="3735">
        <v>100000000</v>
      </c>
      <c r="M2147" s="3734">
        <v>24</v>
      </c>
      <c r="N2147" s="3735">
        <v>11080000</v>
      </c>
      <c r="O2147" s="3734">
        <v>12</v>
      </c>
      <c r="P2147" s="3735">
        <v>17695000</v>
      </c>
      <c r="Q2147" s="3730">
        <v>3</v>
      </c>
      <c r="R2147" s="3735">
        <v>2840000</v>
      </c>
      <c r="S2147" s="3730">
        <v>3</v>
      </c>
      <c r="T2147" s="3873">
        <v>15050000</v>
      </c>
      <c r="U2147" s="3730">
        <v>3</v>
      </c>
      <c r="V2147" s="3868">
        <v>15739500</v>
      </c>
      <c r="W2147" s="3730">
        <v>0</v>
      </c>
      <c r="X2147" s="3747">
        <v>0</v>
      </c>
      <c r="Y2147" s="3730">
        <f t="shared" si="823"/>
        <v>9</v>
      </c>
      <c r="Z2147" s="3868">
        <f t="shared" si="819"/>
        <v>33629500</v>
      </c>
      <c r="AA2147" s="3730">
        <f t="shared" si="822"/>
        <v>33</v>
      </c>
      <c r="AB2147" s="3910">
        <f t="shared" si="822"/>
        <v>44709500</v>
      </c>
      <c r="AC2147" s="3905">
        <f t="shared" si="820"/>
        <v>45.833333333333329</v>
      </c>
      <c r="AD2147" s="3905">
        <f t="shared" si="821"/>
        <v>44.709500000000006</v>
      </c>
      <c r="AE2147" s="3157" t="s">
        <v>4482</v>
      </c>
      <c r="AH2147" s="3922"/>
    </row>
    <row r="2148" spans="1:34" s="75" customFormat="1" ht="83.25" customHeight="1">
      <c r="A2148" s="3157">
        <v>10</v>
      </c>
      <c r="B2148" s="3866"/>
      <c r="C2148" s="3851">
        <v>5</v>
      </c>
      <c r="D2148" s="1218" t="s">
        <v>66</v>
      </c>
      <c r="E2148" s="1218" t="s">
        <v>66</v>
      </c>
      <c r="F2148" s="3851"/>
      <c r="G2148" s="3851"/>
      <c r="H2148" s="1218" t="s">
        <v>167</v>
      </c>
      <c r="I2148" s="728" t="s">
        <v>207</v>
      </c>
      <c r="J2148" s="3866" t="s">
        <v>4421</v>
      </c>
      <c r="K2148" s="3734">
        <v>72</v>
      </c>
      <c r="L2148" s="3735">
        <v>120350000</v>
      </c>
      <c r="M2148" s="3736">
        <v>24</v>
      </c>
      <c r="N2148" s="3735">
        <v>63970000</v>
      </c>
      <c r="O2148" s="3734">
        <v>12</v>
      </c>
      <c r="P2148" s="3871">
        <v>23800000</v>
      </c>
      <c r="Q2148" s="3730">
        <v>3</v>
      </c>
      <c r="R2148" s="3871" t="s">
        <v>154</v>
      </c>
      <c r="S2148" s="3730">
        <v>3</v>
      </c>
      <c r="T2148" s="3875">
        <v>2375000</v>
      </c>
      <c r="U2148" s="3730">
        <v>3</v>
      </c>
      <c r="V2148" s="3868">
        <v>12846500</v>
      </c>
      <c r="W2148" s="3730">
        <v>0</v>
      </c>
      <c r="X2148" s="3747">
        <v>0</v>
      </c>
      <c r="Y2148" s="3730">
        <f t="shared" si="823"/>
        <v>9</v>
      </c>
      <c r="Z2148" s="3874" t="s">
        <v>4483</v>
      </c>
      <c r="AA2148" s="3730">
        <f t="shared" si="822"/>
        <v>33</v>
      </c>
      <c r="AB2148" s="3910">
        <f t="shared" si="822"/>
        <v>66345000</v>
      </c>
      <c r="AC2148" s="3905">
        <f t="shared" si="820"/>
        <v>45.833333333333329</v>
      </c>
      <c r="AD2148" s="3905">
        <f t="shared" si="821"/>
        <v>55.126713751557958</v>
      </c>
      <c r="AE2148" s="3157" t="s">
        <v>4482</v>
      </c>
      <c r="AH2148" s="3922"/>
    </row>
    <row r="2149" spans="1:34" s="75" customFormat="1" ht="87.75" customHeight="1">
      <c r="A2149" s="3157">
        <v>11</v>
      </c>
      <c r="B2149" s="3866"/>
      <c r="C2149" s="3851">
        <v>5</v>
      </c>
      <c r="D2149" s="1218" t="s">
        <v>66</v>
      </c>
      <c r="E2149" s="1218" t="s">
        <v>66</v>
      </c>
      <c r="F2149" s="3851"/>
      <c r="G2149" s="3851"/>
      <c r="H2149" s="1218" t="s">
        <v>376</v>
      </c>
      <c r="I2149" s="728" t="s">
        <v>208</v>
      </c>
      <c r="J2149" s="3866" t="s">
        <v>4422</v>
      </c>
      <c r="K2149" s="3734">
        <v>72</v>
      </c>
      <c r="L2149" s="3735">
        <v>231250000</v>
      </c>
      <c r="M2149" s="3736">
        <v>24</v>
      </c>
      <c r="N2149" s="3735">
        <v>52900000</v>
      </c>
      <c r="O2149" s="3734">
        <v>12</v>
      </c>
      <c r="P2149" s="3735">
        <v>40300000</v>
      </c>
      <c r="Q2149" s="3730">
        <v>3</v>
      </c>
      <c r="R2149" s="3735">
        <v>19640000</v>
      </c>
      <c r="S2149" s="3730">
        <v>3</v>
      </c>
      <c r="T2149" s="3747">
        <v>25890000</v>
      </c>
      <c r="U2149" s="3730">
        <v>3</v>
      </c>
      <c r="V2149" s="3868">
        <v>40265000</v>
      </c>
      <c r="W2149" s="3730">
        <v>0</v>
      </c>
      <c r="X2149" s="3747">
        <v>0</v>
      </c>
      <c r="Y2149" s="3730">
        <f t="shared" si="823"/>
        <v>9</v>
      </c>
      <c r="Z2149" s="3868">
        <f t="shared" si="819"/>
        <v>85795000</v>
      </c>
      <c r="AA2149" s="3730">
        <f t="shared" si="822"/>
        <v>33</v>
      </c>
      <c r="AB2149" s="3910">
        <f>(N2149+Z2149)</f>
        <v>138695000</v>
      </c>
      <c r="AC2149" s="3905">
        <f t="shared" si="820"/>
        <v>45.833333333333329</v>
      </c>
      <c r="AD2149" s="3905">
        <f t="shared" si="821"/>
        <v>59.976216216216216</v>
      </c>
      <c r="AE2149" s="3157" t="s">
        <v>4482</v>
      </c>
      <c r="AH2149" s="3922"/>
    </row>
    <row r="2150" spans="1:34" s="75" customFormat="1" ht="61.5" customHeight="1">
      <c r="A2150" s="3157">
        <v>12</v>
      </c>
      <c r="B2150" s="3866"/>
      <c r="C2150" s="3851">
        <v>5</v>
      </c>
      <c r="D2150" s="1218" t="s">
        <v>66</v>
      </c>
      <c r="E2150" s="1218" t="s">
        <v>66</v>
      </c>
      <c r="F2150" s="3851"/>
      <c r="G2150" s="3851"/>
      <c r="H2150" s="1218">
        <v>30</v>
      </c>
      <c r="I2150" s="728" t="s">
        <v>4423</v>
      </c>
      <c r="J2150" s="3866" t="s">
        <v>4424</v>
      </c>
      <c r="K2150" s="3734">
        <v>72</v>
      </c>
      <c r="L2150" s="3735">
        <f>6*P2150</f>
        <v>32700000</v>
      </c>
      <c r="M2150" s="3734">
        <v>24</v>
      </c>
      <c r="N2150" s="3735"/>
      <c r="O2150" s="3734">
        <v>12</v>
      </c>
      <c r="P2150" s="3735">
        <v>5450000</v>
      </c>
      <c r="Q2150" s="3730">
        <v>3</v>
      </c>
      <c r="R2150" s="3044">
        <v>1070000</v>
      </c>
      <c r="S2150" s="3870">
        <v>3</v>
      </c>
      <c r="T2150" s="3044">
        <v>4660000</v>
      </c>
      <c r="U2150" s="3730">
        <v>3</v>
      </c>
      <c r="V2150" s="3044">
        <v>5160000</v>
      </c>
      <c r="W2150" s="3730">
        <v>0</v>
      </c>
      <c r="X2150" s="3747">
        <v>0</v>
      </c>
      <c r="Y2150" s="3730">
        <f t="shared" si="823"/>
        <v>9</v>
      </c>
      <c r="Z2150" s="3874">
        <v>10890000</v>
      </c>
      <c r="AA2150" s="3730">
        <v>33</v>
      </c>
      <c r="AB2150" s="3910">
        <v>10890000</v>
      </c>
      <c r="AC2150" s="3905">
        <f t="shared" si="820"/>
        <v>45.833333333333329</v>
      </c>
      <c r="AD2150" s="3905">
        <f t="shared" si="821"/>
        <v>33.302752293577981</v>
      </c>
      <c r="AE2150" s="3157" t="s">
        <v>4482</v>
      </c>
      <c r="AH2150" s="3922"/>
    </row>
    <row r="2151" spans="1:34" s="494" customFormat="1" ht="47.25" customHeight="1">
      <c r="A2151" s="2595" t="s">
        <v>31</v>
      </c>
      <c r="B2151" s="2363"/>
      <c r="C2151" s="2374" t="s">
        <v>4322</v>
      </c>
      <c r="D2151" s="2374" t="s">
        <v>107</v>
      </c>
      <c r="E2151" s="2374" t="s">
        <v>66</v>
      </c>
      <c r="F2151" s="2374" t="s">
        <v>65</v>
      </c>
      <c r="G2151" s="2374"/>
      <c r="H2151" s="3857"/>
      <c r="I2151" s="2363" t="s">
        <v>162</v>
      </c>
      <c r="J2151" s="2363"/>
      <c r="K2151" s="3764">
        <v>72</v>
      </c>
      <c r="L2151" s="3061">
        <f>SUM(L2152:L2156)</f>
        <v>1240520000</v>
      </c>
      <c r="M2151" s="3764">
        <v>24</v>
      </c>
      <c r="N2151" s="2510">
        <f>SUM(N2152:N2156)</f>
        <v>154199060</v>
      </c>
      <c r="O2151" s="3764">
        <v>12</v>
      </c>
      <c r="P2151" s="2510">
        <f>SUM(P2152:P2156)</f>
        <v>432630000</v>
      </c>
      <c r="Q2151" s="3766">
        <v>3</v>
      </c>
      <c r="R2151" s="2510">
        <f>SUM(R2152:R2156)</f>
        <v>14375000</v>
      </c>
      <c r="S2151" s="3766"/>
      <c r="T2151" s="2514">
        <f>SUM(T2152:T2156)</f>
        <v>369000000</v>
      </c>
      <c r="U2151" s="3766">
        <v>3</v>
      </c>
      <c r="V2151" s="2514">
        <f>SUM(V2152:V2156)</f>
        <v>410493368</v>
      </c>
      <c r="W2151" s="3766">
        <v>0</v>
      </c>
      <c r="X2151" s="3767">
        <v>0</v>
      </c>
      <c r="Y2151" s="3766">
        <f t="shared" si="823"/>
        <v>6</v>
      </c>
      <c r="Z2151" s="2514">
        <f>SUM(Z2152:Z2156)</f>
        <v>823522686</v>
      </c>
      <c r="AA2151" s="3766">
        <f t="shared" si="822"/>
        <v>30</v>
      </c>
      <c r="AB2151" s="2514">
        <f>SUM(AB2152:AB2156)</f>
        <v>615311746</v>
      </c>
      <c r="AC2151" s="3906">
        <f t="shared" si="820"/>
        <v>41.666666666666671</v>
      </c>
      <c r="AD2151" s="3906">
        <f t="shared" si="821"/>
        <v>49.601114532615355</v>
      </c>
      <c r="AE2151" s="2595" t="s">
        <v>4482</v>
      </c>
      <c r="AH2151" s="3928"/>
    </row>
    <row r="2152" spans="1:34" s="75" customFormat="1" ht="48" customHeight="1">
      <c r="A2152" s="3157">
        <v>1</v>
      </c>
      <c r="B2152" s="728"/>
      <c r="C2152" s="1218" t="s">
        <v>4322</v>
      </c>
      <c r="D2152" s="1218" t="s">
        <v>107</v>
      </c>
      <c r="E2152" s="1218" t="s">
        <v>66</v>
      </c>
      <c r="F2152" s="1218" t="s">
        <v>65</v>
      </c>
      <c r="G2152" s="1218"/>
      <c r="H2152" s="1218" t="s">
        <v>201</v>
      </c>
      <c r="I2152" s="728" t="s">
        <v>4427</v>
      </c>
      <c r="J2152" s="728" t="s">
        <v>4428</v>
      </c>
      <c r="K2152" s="3734">
        <v>72</v>
      </c>
      <c r="L2152" s="3735">
        <v>175000000</v>
      </c>
      <c r="M2152" s="3736">
        <v>24</v>
      </c>
      <c r="N2152" s="3735">
        <v>66200000</v>
      </c>
      <c r="O2152" s="3734">
        <v>12</v>
      </c>
      <c r="P2152" s="3735">
        <v>4700000</v>
      </c>
      <c r="Q2152" s="3730">
        <v>3</v>
      </c>
      <c r="R2152" s="3735">
        <v>1335000</v>
      </c>
      <c r="S2152" s="3730">
        <v>3</v>
      </c>
      <c r="T2152" s="3747" t="s">
        <v>4485</v>
      </c>
      <c r="U2152" s="3730">
        <v>3</v>
      </c>
      <c r="V2152" s="3868">
        <v>4700000</v>
      </c>
      <c r="W2152" s="3730">
        <v>0</v>
      </c>
      <c r="X2152" s="3747">
        <v>0</v>
      </c>
      <c r="Y2152" s="3730">
        <f t="shared" si="823"/>
        <v>9</v>
      </c>
      <c r="Z2152" s="3868">
        <v>9332000</v>
      </c>
      <c r="AA2152" s="3730">
        <f t="shared" si="822"/>
        <v>33</v>
      </c>
      <c r="AB2152" s="3910">
        <f t="shared" si="822"/>
        <v>75532000</v>
      </c>
      <c r="AC2152" s="3905">
        <f t="shared" si="820"/>
        <v>45.833333333333329</v>
      </c>
      <c r="AD2152" s="3905">
        <f t="shared" si="821"/>
        <v>43.161142857142856</v>
      </c>
      <c r="AE2152" s="3157" t="s">
        <v>4482</v>
      </c>
      <c r="AH2152" s="3922"/>
    </row>
    <row r="2153" spans="1:34" s="75" customFormat="1" ht="39.75" customHeight="1">
      <c r="A2153" s="2849">
        <v>2</v>
      </c>
      <c r="B2153" s="728"/>
      <c r="C2153" s="1218" t="s">
        <v>4322</v>
      </c>
      <c r="D2153" s="1218" t="s">
        <v>107</v>
      </c>
      <c r="E2153" s="1218" t="s">
        <v>66</v>
      </c>
      <c r="F2153" s="1218" t="s">
        <v>65</v>
      </c>
      <c r="G2153" s="1218"/>
      <c r="H2153" s="1218" t="s">
        <v>163</v>
      </c>
      <c r="I2153" s="728" t="s">
        <v>4486</v>
      </c>
      <c r="J2153" s="728" t="s">
        <v>4430</v>
      </c>
      <c r="K2153" s="3734">
        <v>72</v>
      </c>
      <c r="L2153" s="3735">
        <v>100000000</v>
      </c>
      <c r="M2153" s="3734">
        <v>24</v>
      </c>
      <c r="N2153" s="3735">
        <v>9725000</v>
      </c>
      <c r="O2153" s="3736">
        <v>12</v>
      </c>
      <c r="P2153" s="3877" t="s">
        <v>2034</v>
      </c>
      <c r="Q2153" s="3730">
        <v>0</v>
      </c>
      <c r="R2153" s="3871" t="s">
        <v>2034</v>
      </c>
      <c r="S2153" s="3870" t="s">
        <v>2034</v>
      </c>
      <c r="T2153" s="3878" t="s">
        <v>2034</v>
      </c>
      <c r="U2153" s="3870" t="s">
        <v>2034</v>
      </c>
      <c r="V2153" s="3868">
        <v>0</v>
      </c>
      <c r="W2153" s="3730">
        <v>0</v>
      </c>
      <c r="X2153" s="3747">
        <v>0</v>
      </c>
      <c r="Y2153" s="3730">
        <f t="shared" si="823"/>
        <v>0</v>
      </c>
      <c r="Z2153" s="3868">
        <f t="shared" si="819"/>
        <v>0</v>
      </c>
      <c r="AA2153" s="3730">
        <f t="shared" si="822"/>
        <v>24</v>
      </c>
      <c r="AB2153" s="3910">
        <f t="shared" si="822"/>
        <v>9725000</v>
      </c>
      <c r="AC2153" s="3905">
        <f t="shared" si="820"/>
        <v>33.333333333333329</v>
      </c>
      <c r="AD2153" s="3905">
        <f t="shared" si="821"/>
        <v>9.7249999999999996</v>
      </c>
      <c r="AE2153" s="3157" t="s">
        <v>4482</v>
      </c>
      <c r="AH2153" s="3922"/>
    </row>
    <row r="2154" spans="1:34" s="75" customFormat="1" ht="40.5" customHeight="1">
      <c r="A2154" s="3157">
        <v>4</v>
      </c>
      <c r="B2154" s="728"/>
      <c r="C2154" s="1218">
        <v>5</v>
      </c>
      <c r="D2154" s="1218" t="s">
        <v>107</v>
      </c>
      <c r="E2154" s="1218" t="s">
        <v>66</v>
      </c>
      <c r="F2154" s="1218" t="s">
        <v>65</v>
      </c>
      <c r="G2154" s="1218"/>
      <c r="H2154" s="1218">
        <v>22</v>
      </c>
      <c r="I2154" s="728" t="s">
        <v>4433</v>
      </c>
      <c r="J2154" s="728" t="s">
        <v>4434</v>
      </c>
      <c r="K2154" s="3734">
        <v>72</v>
      </c>
      <c r="L2154" s="3735">
        <v>75000000</v>
      </c>
      <c r="M2154" s="3736">
        <v>24</v>
      </c>
      <c r="N2154" s="3735">
        <v>24346500</v>
      </c>
      <c r="O2154" s="3734">
        <v>12</v>
      </c>
      <c r="P2154" s="3735">
        <v>3925000</v>
      </c>
      <c r="Q2154" s="3730">
        <v>3</v>
      </c>
      <c r="R2154" s="3735">
        <v>500000</v>
      </c>
      <c r="S2154" s="3730">
        <v>3</v>
      </c>
      <c r="T2154" s="3747" t="s">
        <v>4487</v>
      </c>
      <c r="U2154" s="3730">
        <v>3</v>
      </c>
      <c r="V2154" s="3874">
        <v>3365500</v>
      </c>
      <c r="W2154" s="3730">
        <v>0</v>
      </c>
      <c r="X2154" s="3878">
        <v>0</v>
      </c>
      <c r="Y2154" s="3730">
        <f t="shared" si="823"/>
        <v>9</v>
      </c>
      <c r="Z2154" s="3868">
        <v>5703500</v>
      </c>
      <c r="AA2154" s="3730">
        <f t="shared" si="822"/>
        <v>33</v>
      </c>
      <c r="AB2154" s="3910">
        <f>(N2154+Z2154)</f>
        <v>30050000</v>
      </c>
      <c r="AC2154" s="3905">
        <f t="shared" si="820"/>
        <v>45.833333333333329</v>
      </c>
      <c r="AD2154" s="3905">
        <f t="shared" si="821"/>
        <v>40.06666666666667</v>
      </c>
      <c r="AE2154" s="3157" t="s">
        <v>4482</v>
      </c>
      <c r="AH2154" s="3922"/>
    </row>
    <row r="2155" spans="1:34" s="75" customFormat="1" ht="52.5" customHeight="1">
      <c r="A2155" s="3157">
        <v>5</v>
      </c>
      <c r="B2155" s="728"/>
      <c r="C2155" s="1218" t="s">
        <v>4322</v>
      </c>
      <c r="D2155" s="1218" t="s">
        <v>107</v>
      </c>
      <c r="E2155" s="1218" t="s">
        <v>66</v>
      </c>
      <c r="F2155" s="1218" t="s">
        <v>65</v>
      </c>
      <c r="G2155" s="1218"/>
      <c r="H2155" s="1218" t="s">
        <v>165</v>
      </c>
      <c r="I2155" s="728" t="s">
        <v>4435</v>
      </c>
      <c r="J2155" s="728" t="s">
        <v>4436</v>
      </c>
      <c r="K2155" s="3734">
        <v>72</v>
      </c>
      <c r="L2155" s="3735">
        <v>130520000</v>
      </c>
      <c r="M2155" s="3736">
        <v>24</v>
      </c>
      <c r="N2155" s="3735">
        <v>50087560</v>
      </c>
      <c r="O2155" s="3734">
        <v>12</v>
      </c>
      <c r="P2155" s="3735">
        <v>44005000</v>
      </c>
      <c r="Q2155" s="3730">
        <v>3</v>
      </c>
      <c r="R2155" s="3735">
        <v>12540000</v>
      </c>
      <c r="S2155" s="3730">
        <v>3</v>
      </c>
      <c r="T2155" s="3747" t="s">
        <v>4488</v>
      </c>
      <c r="U2155" s="3730">
        <v>3</v>
      </c>
      <c r="V2155" s="3868">
        <v>35177868</v>
      </c>
      <c r="W2155" s="3730">
        <v>0</v>
      </c>
      <c r="X2155" s="3747">
        <v>0</v>
      </c>
      <c r="Y2155" s="3730">
        <f t="shared" si="823"/>
        <v>9</v>
      </c>
      <c r="Z2155" s="3868">
        <v>72237186</v>
      </c>
      <c r="AA2155" s="3730">
        <f t="shared" si="822"/>
        <v>33</v>
      </c>
      <c r="AB2155" s="3910">
        <f t="shared" si="822"/>
        <v>122324746</v>
      </c>
      <c r="AC2155" s="3905">
        <f t="shared" si="820"/>
        <v>45.833333333333329</v>
      </c>
      <c r="AD2155" s="3905">
        <f t="shared" si="821"/>
        <v>93.721074164878942</v>
      </c>
      <c r="AE2155" s="3157" t="s">
        <v>4482</v>
      </c>
      <c r="AH2155" s="3922"/>
    </row>
    <row r="2156" spans="1:34" s="75" customFormat="1" ht="52.5" customHeight="1">
      <c r="A2156" s="2849">
        <v>6</v>
      </c>
      <c r="B2156" s="728"/>
      <c r="C2156" s="1218" t="s">
        <v>4322</v>
      </c>
      <c r="D2156" s="1218" t="s">
        <v>107</v>
      </c>
      <c r="E2156" s="1218" t="s">
        <v>66</v>
      </c>
      <c r="F2156" s="1218" t="s">
        <v>65</v>
      </c>
      <c r="G2156" s="1218"/>
      <c r="H2156" s="1218" t="s">
        <v>165</v>
      </c>
      <c r="I2156" s="728" t="s">
        <v>4489</v>
      </c>
      <c r="J2156" s="728" t="s">
        <v>4490</v>
      </c>
      <c r="K2156" s="3734">
        <v>72</v>
      </c>
      <c r="L2156" s="3871">
        <f>2*P2156</f>
        <v>760000000</v>
      </c>
      <c r="M2156" s="3736">
        <v>24</v>
      </c>
      <c r="N2156" s="3735">
        <v>3840000</v>
      </c>
      <c r="O2156" s="3871" t="s">
        <v>160</v>
      </c>
      <c r="P2156" s="3871">
        <v>380000000</v>
      </c>
      <c r="Q2156" s="3730">
        <v>0</v>
      </c>
      <c r="R2156" s="3877" t="s">
        <v>154</v>
      </c>
      <c r="S2156" s="3730">
        <v>3</v>
      </c>
      <c r="T2156" s="3747">
        <v>369000000</v>
      </c>
      <c r="U2156" s="3730">
        <v>3</v>
      </c>
      <c r="V2156" s="3868">
        <v>367250000</v>
      </c>
      <c r="W2156" s="3730">
        <v>0</v>
      </c>
      <c r="X2156" s="3747">
        <v>0</v>
      </c>
      <c r="Y2156" s="3730">
        <v>6</v>
      </c>
      <c r="Z2156" s="3868">
        <v>736250000</v>
      </c>
      <c r="AA2156" s="3730">
        <f t="shared" si="822"/>
        <v>30</v>
      </c>
      <c r="AB2156" s="3910">
        <v>377680000</v>
      </c>
      <c r="AC2156" s="3905">
        <f t="shared" si="820"/>
        <v>41.666666666666671</v>
      </c>
      <c r="AD2156" s="3905">
        <f t="shared" si="821"/>
        <v>49.694736842105264</v>
      </c>
      <c r="AE2156" s="3157" t="s">
        <v>4482</v>
      </c>
      <c r="AH2156" s="3922"/>
    </row>
    <row r="2157" spans="1:34" s="498" customFormat="1" ht="53.25" customHeight="1">
      <c r="A2157" s="3892" t="s">
        <v>122</v>
      </c>
      <c r="B2157" s="3895"/>
      <c r="C2157" s="3894">
        <v>5</v>
      </c>
      <c r="D2157" s="3894" t="s">
        <v>107</v>
      </c>
      <c r="E2157" s="3894" t="s">
        <v>66</v>
      </c>
      <c r="F2157" s="3894">
        <v>5</v>
      </c>
      <c r="G2157" s="3894"/>
      <c r="H2157" s="3894"/>
      <c r="I2157" s="3895" t="s">
        <v>4437</v>
      </c>
      <c r="J2157" s="3895"/>
      <c r="K2157" s="3896">
        <v>72</v>
      </c>
      <c r="L2157" s="3929">
        <f>SUM(L2158)</f>
        <v>75000000</v>
      </c>
      <c r="M2157" s="3930">
        <v>24</v>
      </c>
      <c r="N2157" s="3929">
        <f>SUM(N2158)</f>
        <v>7000000</v>
      </c>
      <c r="O2157" s="3896">
        <v>0</v>
      </c>
      <c r="P2157" s="3929">
        <f>SUM(P2158)</f>
        <v>0</v>
      </c>
      <c r="Q2157" s="3898">
        <v>0</v>
      </c>
      <c r="R2157" s="3929">
        <f>SUM(R2158)</f>
        <v>0</v>
      </c>
      <c r="S2157" s="3898">
        <v>0</v>
      </c>
      <c r="T2157" s="3929">
        <f>SUM(T2158)</f>
        <v>0</v>
      </c>
      <c r="U2157" s="3931" t="s">
        <v>2034</v>
      </c>
      <c r="V2157" s="3932">
        <f>SUM(V2158)</f>
        <v>0</v>
      </c>
      <c r="W2157" s="3898">
        <v>0</v>
      </c>
      <c r="X2157" s="3933" t="s">
        <v>2034</v>
      </c>
      <c r="Y2157" s="3898">
        <f>(Q2157+S2157+U2157+W2157)</f>
        <v>0</v>
      </c>
      <c r="Z2157" s="3934">
        <f>SUM(Z2158)</f>
        <v>0</v>
      </c>
      <c r="AA2157" s="3898">
        <f t="shared" si="822"/>
        <v>24</v>
      </c>
      <c r="AB2157" s="3909">
        <f>SUM(AB2158)</f>
        <v>7000000</v>
      </c>
      <c r="AC2157" s="3904">
        <f t="shared" si="820"/>
        <v>33.333333333333329</v>
      </c>
      <c r="AD2157" s="3904">
        <f t="shared" si="821"/>
        <v>9.3333333333333339</v>
      </c>
      <c r="AE2157" s="3892" t="s">
        <v>4482</v>
      </c>
      <c r="AH2157" s="3928"/>
    </row>
    <row r="2158" spans="1:34" s="75" customFormat="1" ht="42" customHeight="1">
      <c r="A2158" s="3157">
        <v>1</v>
      </c>
      <c r="B2158" s="3854"/>
      <c r="C2158" s="3851">
        <v>5</v>
      </c>
      <c r="D2158" s="1218" t="s">
        <v>107</v>
      </c>
      <c r="E2158" s="1218" t="s">
        <v>66</v>
      </c>
      <c r="F2158" s="1218" t="s">
        <v>161</v>
      </c>
      <c r="G2158" s="1218"/>
      <c r="H2158" s="1218" t="s">
        <v>66</v>
      </c>
      <c r="I2158" s="728" t="s">
        <v>1224</v>
      </c>
      <c r="J2158" s="3854" t="s">
        <v>4439</v>
      </c>
      <c r="K2158" s="3734">
        <v>12</v>
      </c>
      <c r="L2158" s="3735">
        <v>75000000</v>
      </c>
      <c r="M2158" s="3736">
        <v>4</v>
      </c>
      <c r="N2158" s="3735">
        <v>7000000</v>
      </c>
      <c r="O2158" s="3734">
        <v>0</v>
      </c>
      <c r="P2158" s="3735">
        <v>0</v>
      </c>
      <c r="Q2158" s="3730">
        <v>0</v>
      </c>
      <c r="R2158" s="3735">
        <v>0</v>
      </c>
      <c r="S2158" s="3730">
        <v>0</v>
      </c>
      <c r="T2158" s="3735">
        <v>0</v>
      </c>
      <c r="U2158" s="3870" t="s">
        <v>2034</v>
      </c>
      <c r="V2158" s="3877" t="s">
        <v>2034</v>
      </c>
      <c r="W2158" s="3730">
        <v>0</v>
      </c>
      <c r="X2158" s="3871" t="s">
        <v>2034</v>
      </c>
      <c r="Y2158" s="3730">
        <f t="shared" si="823"/>
        <v>0</v>
      </c>
      <c r="Z2158" s="3868">
        <f t="shared" si="819"/>
        <v>0</v>
      </c>
      <c r="AA2158" s="3730">
        <f t="shared" si="822"/>
        <v>4</v>
      </c>
      <c r="AB2158" s="3910">
        <f t="shared" si="822"/>
        <v>7000000</v>
      </c>
      <c r="AC2158" s="3905">
        <f t="shared" si="820"/>
        <v>33.333333333333329</v>
      </c>
      <c r="AD2158" s="3905">
        <f t="shared" si="821"/>
        <v>9.3333333333333339</v>
      </c>
      <c r="AE2158" s="3157" t="s">
        <v>4482</v>
      </c>
      <c r="AH2158" s="3922"/>
    </row>
    <row r="2159" spans="1:34" s="494" customFormat="1" ht="73.5" customHeight="1">
      <c r="A2159" s="3892" t="s">
        <v>123</v>
      </c>
      <c r="B2159" s="3835"/>
      <c r="C2159" s="3893">
        <v>5</v>
      </c>
      <c r="D2159" s="3894">
        <v>0</v>
      </c>
      <c r="E2159" s="3894">
        <v>1</v>
      </c>
      <c r="F2159" s="3894">
        <v>21</v>
      </c>
      <c r="G2159" s="3894"/>
      <c r="H2159" s="3894"/>
      <c r="I2159" s="3895" t="s">
        <v>2620</v>
      </c>
      <c r="J2159" s="3835"/>
      <c r="K2159" s="3896">
        <v>72</v>
      </c>
      <c r="L2159" s="3929">
        <f>SUM(L2160:L2162)</f>
        <v>975000000</v>
      </c>
      <c r="M2159" s="3930">
        <v>24</v>
      </c>
      <c r="N2159" s="3929">
        <f>SUM(N2160:N2162)</f>
        <v>98500000</v>
      </c>
      <c r="O2159" s="3896">
        <v>12</v>
      </c>
      <c r="P2159" s="3929">
        <f>SUM(P2160:P2162)</f>
        <v>180535000</v>
      </c>
      <c r="Q2159" s="3898">
        <v>3</v>
      </c>
      <c r="R2159" s="3929">
        <f>SUM(R2160:R2162)</f>
        <v>1007500</v>
      </c>
      <c r="S2159" s="3931" t="s">
        <v>2034</v>
      </c>
      <c r="T2159" s="3933">
        <f>SUM(T2160:T2162)</f>
        <v>0</v>
      </c>
      <c r="U2159" s="3898">
        <v>3</v>
      </c>
      <c r="V2159" s="3932">
        <f>SUM(V2160:V2162)</f>
        <v>178334500</v>
      </c>
      <c r="W2159" s="3898">
        <v>0</v>
      </c>
      <c r="X2159" s="3933" t="s">
        <v>2034</v>
      </c>
      <c r="Y2159" s="3898">
        <v>6</v>
      </c>
      <c r="Z2159" s="3934">
        <f>SUM(Z2160:Z2162)</f>
        <v>6232500</v>
      </c>
      <c r="AA2159" s="3898">
        <f t="shared" si="822"/>
        <v>30</v>
      </c>
      <c r="AB2159" s="3909">
        <f>SUM(AB2160:AB2162)</f>
        <v>104732500</v>
      </c>
      <c r="AC2159" s="3904">
        <f t="shared" si="820"/>
        <v>41.666666666666671</v>
      </c>
      <c r="AD2159" s="3904">
        <f t="shared" si="821"/>
        <v>10.741794871794871</v>
      </c>
      <c r="AE2159" s="3892" t="s">
        <v>4482</v>
      </c>
      <c r="AH2159" s="3928"/>
    </row>
    <row r="2160" spans="1:34" s="75" customFormat="1" ht="38.25" customHeight="1">
      <c r="A2160" s="3157">
        <v>1</v>
      </c>
      <c r="B2160" s="3854"/>
      <c r="C2160" s="3851">
        <v>5</v>
      </c>
      <c r="D2160" s="1218">
        <v>0</v>
      </c>
      <c r="E2160" s="1218">
        <v>1</v>
      </c>
      <c r="F2160" s="1218">
        <v>21</v>
      </c>
      <c r="G2160" s="1218"/>
      <c r="H2160" s="1218">
        <v>1</v>
      </c>
      <c r="I2160" s="728" t="s">
        <v>4491</v>
      </c>
      <c r="J2160" s="728" t="s">
        <v>4441</v>
      </c>
      <c r="K2160" s="3734">
        <v>72</v>
      </c>
      <c r="L2160" s="3735">
        <v>625000000</v>
      </c>
      <c r="M2160" s="3736">
        <v>24</v>
      </c>
      <c r="N2160" s="3735">
        <v>45450000</v>
      </c>
      <c r="O2160" s="3734">
        <v>12</v>
      </c>
      <c r="P2160" s="3735">
        <v>3575000</v>
      </c>
      <c r="Q2160" s="3730">
        <v>3</v>
      </c>
      <c r="R2160" s="3735">
        <v>1007500</v>
      </c>
      <c r="S2160" s="3730">
        <v>0</v>
      </c>
      <c r="T2160" s="3878" t="s">
        <v>2034</v>
      </c>
      <c r="U2160" s="3704">
        <v>3</v>
      </c>
      <c r="V2160" s="3874">
        <v>1375000</v>
      </c>
      <c r="W2160" s="3730">
        <v>0</v>
      </c>
      <c r="X2160" s="3157">
        <v>0</v>
      </c>
      <c r="Y2160" s="3730">
        <v>6</v>
      </c>
      <c r="Z2160" s="3868">
        <f t="shared" si="819"/>
        <v>2382500</v>
      </c>
      <c r="AA2160" s="3730">
        <f t="shared" si="822"/>
        <v>30</v>
      </c>
      <c r="AB2160" s="3910">
        <f t="shared" si="822"/>
        <v>47832500</v>
      </c>
      <c r="AC2160" s="3907">
        <f t="shared" si="820"/>
        <v>41.666666666666671</v>
      </c>
      <c r="AD2160" s="3907">
        <f t="shared" si="821"/>
        <v>7.6532</v>
      </c>
      <c r="AE2160" s="3157" t="s">
        <v>4482</v>
      </c>
      <c r="AH2160" s="3922"/>
    </row>
    <row r="2161" spans="1:34" s="75" customFormat="1" ht="52.5" customHeight="1">
      <c r="A2161" s="3892" t="s">
        <v>3252</v>
      </c>
      <c r="B2161" s="3835"/>
      <c r="C2161" s="3893">
        <v>5</v>
      </c>
      <c r="D2161" s="3894" t="s">
        <v>107</v>
      </c>
      <c r="E2161" s="3894" t="s">
        <v>66</v>
      </c>
      <c r="F2161" s="3893">
        <v>17</v>
      </c>
      <c r="G2161" s="3893"/>
      <c r="H2161" s="3894"/>
      <c r="I2161" s="3895" t="s">
        <v>4443</v>
      </c>
      <c r="J2161" s="3835"/>
      <c r="K2161" s="3896">
        <v>72</v>
      </c>
      <c r="L2161" s="3929">
        <f>SUM(L2162)</f>
        <v>175000000</v>
      </c>
      <c r="M2161" s="3930">
        <v>24</v>
      </c>
      <c r="N2161" s="3929">
        <f>SUM(N2162)</f>
        <v>26525000</v>
      </c>
      <c r="O2161" s="3896">
        <v>12</v>
      </c>
      <c r="P2161" s="3929">
        <f>SUM(P2162)</f>
        <v>88480000</v>
      </c>
      <c r="Q2161" s="3898">
        <v>0</v>
      </c>
      <c r="R2161" s="3933">
        <f>SUM(R2162)</f>
        <v>0</v>
      </c>
      <c r="S2161" s="3898">
        <v>0</v>
      </c>
      <c r="T2161" s="3935">
        <f>SUM(T2162)</f>
        <v>0</v>
      </c>
      <c r="U2161" s="3898">
        <v>3</v>
      </c>
      <c r="V2161" s="3932">
        <f>SUM(V2162)</f>
        <v>88479750</v>
      </c>
      <c r="W2161" s="3898">
        <v>0</v>
      </c>
      <c r="X2161" s="3933" t="s">
        <v>2034</v>
      </c>
      <c r="Y2161" s="3898">
        <v>6</v>
      </c>
      <c r="Z2161" s="3936">
        <v>1925000</v>
      </c>
      <c r="AA2161" s="3898">
        <f t="shared" si="822"/>
        <v>30</v>
      </c>
      <c r="AB2161" s="3909">
        <f t="shared" si="822"/>
        <v>28450000</v>
      </c>
      <c r="AC2161" s="3904">
        <f t="shared" si="820"/>
        <v>41.666666666666671</v>
      </c>
      <c r="AD2161" s="3904">
        <f t="shared" si="821"/>
        <v>16.257142857142856</v>
      </c>
      <c r="AE2161" s="3892" t="s">
        <v>4482</v>
      </c>
      <c r="AH2161" s="3922"/>
    </row>
    <row r="2162" spans="1:34" s="75" customFormat="1" ht="37.5" customHeight="1">
      <c r="A2162" s="3157">
        <v>1</v>
      </c>
      <c r="B2162" s="728"/>
      <c r="C2162" s="3851">
        <v>5</v>
      </c>
      <c r="D2162" s="1218" t="s">
        <v>107</v>
      </c>
      <c r="E2162" s="1218" t="s">
        <v>66</v>
      </c>
      <c r="F2162" s="3851">
        <v>17</v>
      </c>
      <c r="G2162" s="3851"/>
      <c r="H2162" s="1218" t="s">
        <v>197</v>
      </c>
      <c r="I2162" s="728" t="s">
        <v>4445</v>
      </c>
      <c r="J2162" s="3854" t="s">
        <v>4446</v>
      </c>
      <c r="K2162" s="3734">
        <v>6</v>
      </c>
      <c r="L2162" s="3735">
        <v>175000000</v>
      </c>
      <c r="M2162" s="3736">
        <v>2</v>
      </c>
      <c r="N2162" s="3735">
        <v>26525000</v>
      </c>
      <c r="O2162" s="3734">
        <v>1</v>
      </c>
      <c r="P2162" s="3735">
        <v>88480000</v>
      </c>
      <c r="Q2162" s="3730">
        <v>0</v>
      </c>
      <c r="R2162" s="3871" t="s">
        <v>2034</v>
      </c>
      <c r="S2162" s="3704">
        <v>0</v>
      </c>
      <c r="T2162" s="3747" t="s">
        <v>4492</v>
      </c>
      <c r="U2162" s="3730">
        <v>3</v>
      </c>
      <c r="V2162" s="3868">
        <v>88479750</v>
      </c>
      <c r="W2162" s="3730">
        <v>0</v>
      </c>
      <c r="X2162" s="3747">
        <v>0</v>
      </c>
      <c r="Y2162" s="3730">
        <v>6</v>
      </c>
      <c r="Z2162" s="3868">
        <v>1925000</v>
      </c>
      <c r="AA2162" s="3730">
        <f t="shared" si="822"/>
        <v>8</v>
      </c>
      <c r="AB2162" s="3910">
        <f t="shared" si="822"/>
        <v>28450000</v>
      </c>
      <c r="AC2162" s="3905">
        <f t="shared" si="820"/>
        <v>133.33333333333331</v>
      </c>
      <c r="AD2162" s="3905">
        <f t="shared" si="821"/>
        <v>16.257142857142856</v>
      </c>
      <c r="AE2162" s="3157" t="s">
        <v>4482</v>
      </c>
      <c r="AH2162" s="3922"/>
    </row>
    <row r="2163" spans="1:34" s="494" customFormat="1" ht="54" customHeight="1">
      <c r="A2163" s="3892" t="s">
        <v>3253</v>
      </c>
      <c r="B2163" s="3835"/>
      <c r="C2163" s="3893">
        <v>5</v>
      </c>
      <c r="D2163" s="3894" t="s">
        <v>107</v>
      </c>
      <c r="E2163" s="3894" t="s">
        <v>66</v>
      </c>
      <c r="F2163" s="3893">
        <v>16</v>
      </c>
      <c r="G2163" s="3893"/>
      <c r="H2163" s="3894"/>
      <c r="I2163" s="3895" t="s">
        <v>4449</v>
      </c>
      <c r="J2163" s="3835"/>
      <c r="K2163" s="3896">
        <v>72</v>
      </c>
      <c r="L2163" s="3929">
        <f>SUM(L2164:L2166)</f>
        <v>295000000</v>
      </c>
      <c r="M2163" s="3930">
        <v>24</v>
      </c>
      <c r="N2163" s="3929">
        <f>SUM(N2164:N2166)</f>
        <v>72265000</v>
      </c>
      <c r="O2163" s="3896">
        <v>0</v>
      </c>
      <c r="P2163" s="3933">
        <f>SUM(P2164:P2166)</f>
        <v>27600000</v>
      </c>
      <c r="Q2163" s="3898">
        <v>0</v>
      </c>
      <c r="R2163" s="3933">
        <f>SUM(R2164:R2166)</f>
        <v>0</v>
      </c>
      <c r="S2163" s="3898">
        <v>0</v>
      </c>
      <c r="T2163" s="3933">
        <f>SUM(T2164:T2166)</f>
        <v>20680000</v>
      </c>
      <c r="U2163" s="3931" t="s">
        <v>2034</v>
      </c>
      <c r="V2163" s="3932">
        <f>SUM(V2164:V2166)</f>
        <v>27440000</v>
      </c>
      <c r="W2163" s="3898">
        <v>0</v>
      </c>
      <c r="X2163" s="3933" t="s">
        <v>2034</v>
      </c>
      <c r="Y2163" s="3898">
        <f t="shared" si="823"/>
        <v>0</v>
      </c>
      <c r="Z2163" s="3937" t="s">
        <v>2034</v>
      </c>
      <c r="AA2163" s="3898">
        <f t="shared" si="822"/>
        <v>24</v>
      </c>
      <c r="AB2163" s="3909">
        <f t="shared" si="822"/>
        <v>72265000</v>
      </c>
      <c r="AC2163" s="3904">
        <f t="shared" si="820"/>
        <v>33.333333333333329</v>
      </c>
      <c r="AD2163" s="3904">
        <f t="shared" si="821"/>
        <v>24.496610169491525</v>
      </c>
      <c r="AE2163" s="3892" t="s">
        <v>4482</v>
      </c>
      <c r="AH2163" s="3928"/>
    </row>
    <row r="2164" spans="1:34" s="75" customFormat="1" ht="38.25" customHeight="1">
      <c r="A2164" s="3157">
        <v>1</v>
      </c>
      <c r="B2164" s="3854"/>
      <c r="C2164" s="3851">
        <v>5</v>
      </c>
      <c r="D2164" s="1218">
        <v>0</v>
      </c>
      <c r="E2164" s="1218" t="s">
        <v>66</v>
      </c>
      <c r="F2164" s="3851">
        <v>16</v>
      </c>
      <c r="G2164" s="3851"/>
      <c r="H2164" s="1218">
        <v>20</v>
      </c>
      <c r="I2164" s="3854" t="s">
        <v>4451</v>
      </c>
      <c r="J2164" s="3854" t="s">
        <v>4452</v>
      </c>
      <c r="K2164" s="3734">
        <v>60</v>
      </c>
      <c r="L2164" s="3735">
        <v>35000000</v>
      </c>
      <c r="M2164" s="3736">
        <v>24</v>
      </c>
      <c r="N2164" s="3735">
        <v>17305000</v>
      </c>
      <c r="O2164" s="3734">
        <v>0</v>
      </c>
      <c r="P2164" s="3735">
        <v>0</v>
      </c>
      <c r="Q2164" s="3704">
        <v>0</v>
      </c>
      <c r="R2164" s="3735">
        <v>0</v>
      </c>
      <c r="S2164" s="3704">
        <v>0</v>
      </c>
      <c r="T2164" s="3726">
        <v>0</v>
      </c>
      <c r="U2164" s="3885" t="s">
        <v>2034</v>
      </c>
      <c r="V2164" s="3883">
        <v>0</v>
      </c>
      <c r="W2164" s="3704">
        <v>0</v>
      </c>
      <c r="X2164" s="3745">
        <v>0</v>
      </c>
      <c r="Y2164" s="3704">
        <f t="shared" si="823"/>
        <v>0</v>
      </c>
      <c r="Z2164" s="3883">
        <f t="shared" si="819"/>
        <v>0</v>
      </c>
      <c r="AA2164" s="3704">
        <f t="shared" si="822"/>
        <v>24</v>
      </c>
      <c r="AB2164" s="3912">
        <f t="shared" si="822"/>
        <v>17305000</v>
      </c>
      <c r="AC2164" s="3907">
        <f t="shared" si="820"/>
        <v>40</v>
      </c>
      <c r="AD2164" s="3907">
        <f t="shared" si="821"/>
        <v>49.442857142857143</v>
      </c>
      <c r="AE2164" s="3157" t="s">
        <v>4482</v>
      </c>
      <c r="AH2164" s="3922"/>
    </row>
    <row r="2165" spans="1:34" s="75" customFormat="1" ht="46.5" customHeight="1">
      <c r="A2165" s="3892" t="s">
        <v>3294</v>
      </c>
      <c r="B2165" s="3835"/>
      <c r="C2165" s="3893">
        <v>5</v>
      </c>
      <c r="D2165" s="3894" t="s">
        <v>107</v>
      </c>
      <c r="E2165" s="3894" t="s">
        <v>66</v>
      </c>
      <c r="F2165" s="3893">
        <v>18</v>
      </c>
      <c r="G2165" s="3893"/>
      <c r="H2165" s="3894"/>
      <c r="I2165" s="3660" t="s">
        <v>2466</v>
      </c>
      <c r="J2165" s="3835"/>
      <c r="K2165" s="3896">
        <v>72</v>
      </c>
      <c r="L2165" s="3929">
        <f>SUM(L2166)</f>
        <v>130000000</v>
      </c>
      <c r="M2165" s="3930">
        <v>24</v>
      </c>
      <c r="N2165" s="3929">
        <f>SUM(N2166)</f>
        <v>27480000</v>
      </c>
      <c r="O2165" s="3896">
        <v>12</v>
      </c>
      <c r="P2165" s="3929">
        <f>SUM(P2166)</f>
        <v>13800000</v>
      </c>
      <c r="Q2165" s="3898">
        <v>0</v>
      </c>
      <c r="R2165" s="3929">
        <f>SUM(R2166)</f>
        <v>0</v>
      </c>
      <c r="S2165" s="3898">
        <v>3</v>
      </c>
      <c r="T2165" s="3935">
        <f>SUM(T2166)</f>
        <v>10340000</v>
      </c>
      <c r="U2165" s="3898">
        <v>3</v>
      </c>
      <c r="V2165" s="3936">
        <f>SUM(V2166)</f>
        <v>13720000</v>
      </c>
      <c r="W2165" s="3898">
        <v>0</v>
      </c>
      <c r="X2165" s="3938">
        <v>0</v>
      </c>
      <c r="Y2165" s="3898">
        <f t="shared" si="823"/>
        <v>6</v>
      </c>
      <c r="Z2165" s="3936">
        <f t="shared" si="819"/>
        <v>24060000</v>
      </c>
      <c r="AA2165" s="3898">
        <v>5</v>
      </c>
      <c r="AB2165" s="3909">
        <f t="shared" si="822"/>
        <v>51540000</v>
      </c>
      <c r="AC2165" s="3904">
        <f t="shared" si="820"/>
        <v>6.9444444444444446</v>
      </c>
      <c r="AD2165" s="3904">
        <f t="shared" si="821"/>
        <v>39.646153846153851</v>
      </c>
      <c r="AE2165" s="3892" t="s">
        <v>4482</v>
      </c>
      <c r="AH2165" s="3922"/>
    </row>
    <row r="2166" spans="1:34" s="75" customFormat="1" ht="63.75" customHeight="1">
      <c r="A2166" s="3157">
        <v>1</v>
      </c>
      <c r="B2166" s="3854"/>
      <c r="C2166" s="753">
        <v>5</v>
      </c>
      <c r="D2166" s="2071" t="s">
        <v>107</v>
      </c>
      <c r="E2166" s="2071" t="s">
        <v>66</v>
      </c>
      <c r="F2166" s="753">
        <v>18</v>
      </c>
      <c r="G2166" s="753"/>
      <c r="H2166" s="2071" t="s">
        <v>198</v>
      </c>
      <c r="I2166" s="3854" t="s">
        <v>4454</v>
      </c>
      <c r="J2166" s="3854" t="s">
        <v>4455</v>
      </c>
      <c r="K2166" s="3734">
        <v>6</v>
      </c>
      <c r="L2166" s="3735">
        <v>130000000</v>
      </c>
      <c r="M2166" s="3736">
        <v>2</v>
      </c>
      <c r="N2166" s="3735">
        <v>27480000</v>
      </c>
      <c r="O2166" s="3734">
        <v>1</v>
      </c>
      <c r="P2166" s="3735">
        <v>13800000</v>
      </c>
      <c r="Q2166" s="3704">
        <v>0</v>
      </c>
      <c r="R2166" s="3735">
        <v>0</v>
      </c>
      <c r="S2166" s="3704">
        <v>3</v>
      </c>
      <c r="T2166" s="3726">
        <v>10340000</v>
      </c>
      <c r="U2166" s="3704">
        <v>3</v>
      </c>
      <c r="V2166" s="3886">
        <v>13720000</v>
      </c>
      <c r="W2166" s="3704">
        <v>0</v>
      </c>
      <c r="X2166" s="3745">
        <v>0</v>
      </c>
      <c r="Y2166" s="3704">
        <f t="shared" si="823"/>
        <v>6</v>
      </c>
      <c r="Z2166" s="3883">
        <f t="shared" si="819"/>
        <v>24060000</v>
      </c>
      <c r="AA2166" s="3704">
        <f t="shared" si="822"/>
        <v>8</v>
      </c>
      <c r="AB2166" s="3912">
        <f t="shared" si="822"/>
        <v>51540000</v>
      </c>
      <c r="AC2166" s="3907">
        <f t="shared" si="820"/>
        <v>133.33333333333331</v>
      </c>
      <c r="AD2166" s="3907">
        <f t="shared" si="821"/>
        <v>39.646153846153851</v>
      </c>
      <c r="AE2166" s="3157" t="s">
        <v>4482</v>
      </c>
      <c r="AH2166" s="3922"/>
    </row>
    <row r="2167" spans="1:34" s="494" customFormat="1" ht="87" customHeight="1">
      <c r="A2167" s="3892" t="s">
        <v>3347</v>
      </c>
      <c r="B2167" s="3835"/>
      <c r="C2167" s="3893">
        <v>5</v>
      </c>
      <c r="D2167" s="3894" t="s">
        <v>107</v>
      </c>
      <c r="E2167" s="3894" t="s">
        <v>66</v>
      </c>
      <c r="F2167" s="3893">
        <v>19</v>
      </c>
      <c r="G2167" s="3893"/>
      <c r="H2167" s="3894"/>
      <c r="I2167" s="3835" t="s">
        <v>4456</v>
      </c>
      <c r="J2167" s="3835"/>
      <c r="K2167" s="3896">
        <v>72</v>
      </c>
      <c r="L2167" s="3929">
        <f>SUM(L2168:L2169)</f>
        <v>122525000</v>
      </c>
      <c r="M2167" s="3930">
        <v>24</v>
      </c>
      <c r="N2167" s="3929">
        <f>SUM(N2168:N2169)</f>
        <v>35855500</v>
      </c>
      <c r="O2167" s="3896">
        <v>12</v>
      </c>
      <c r="P2167" s="3929">
        <f>SUM(P2168:P2169)</f>
        <v>30035000</v>
      </c>
      <c r="Q2167" s="3898">
        <v>3</v>
      </c>
      <c r="R2167" s="3929">
        <f>SUM(R2168:R2169)</f>
        <v>2840000</v>
      </c>
      <c r="S2167" s="3898">
        <v>3</v>
      </c>
      <c r="T2167" s="3929">
        <f>SUM(T2168:T2169)</f>
        <v>0</v>
      </c>
      <c r="U2167" s="3898">
        <v>3</v>
      </c>
      <c r="V2167" s="3932">
        <f>SUM(V2168:V2169)</f>
        <v>19232500</v>
      </c>
      <c r="W2167" s="3898">
        <v>0</v>
      </c>
      <c r="X2167" s="3939">
        <v>0</v>
      </c>
      <c r="Y2167" s="3898">
        <f t="shared" si="823"/>
        <v>9</v>
      </c>
      <c r="Z2167" s="3936">
        <v>15090000</v>
      </c>
      <c r="AA2167" s="3898">
        <f t="shared" si="822"/>
        <v>33</v>
      </c>
      <c r="AB2167" s="3909">
        <f t="shared" si="822"/>
        <v>50945500</v>
      </c>
      <c r="AC2167" s="3904">
        <f t="shared" si="820"/>
        <v>45.833333333333329</v>
      </c>
      <c r="AD2167" s="3904">
        <f t="shared" si="821"/>
        <v>41.579677616812894</v>
      </c>
      <c r="AE2167" s="3892" t="s">
        <v>4482</v>
      </c>
      <c r="AH2167" s="3928"/>
    </row>
    <row r="2168" spans="1:34" s="75" customFormat="1" ht="75" customHeight="1">
      <c r="A2168" s="2849"/>
      <c r="B2168" s="728"/>
      <c r="C2168" s="753">
        <v>5</v>
      </c>
      <c r="D2168" s="2071">
        <v>2</v>
      </c>
      <c r="E2168" s="2071">
        <v>2</v>
      </c>
      <c r="F2168" s="2071" t="s">
        <v>161</v>
      </c>
      <c r="G2168" s="2071"/>
      <c r="H2168" s="2071" t="s">
        <v>4494</v>
      </c>
      <c r="I2168" s="3854" t="s">
        <v>4495</v>
      </c>
      <c r="J2168" s="3854" t="s">
        <v>4496</v>
      </c>
      <c r="K2168" s="3736">
        <v>72</v>
      </c>
      <c r="L2168" s="3871">
        <f>5*P2168</f>
        <v>92525000</v>
      </c>
      <c r="M2168" s="3732" t="s">
        <v>2034</v>
      </c>
      <c r="N2168" s="3882" t="s">
        <v>2034</v>
      </c>
      <c r="O2168" s="3734">
        <v>12</v>
      </c>
      <c r="P2168" s="3735">
        <v>18505000</v>
      </c>
      <c r="Q2168" s="3730">
        <v>3</v>
      </c>
      <c r="R2168" s="3735">
        <v>2240000</v>
      </c>
      <c r="S2168" s="3704">
        <v>3</v>
      </c>
      <c r="T2168" s="3735" t="s">
        <v>4497</v>
      </c>
      <c r="U2168" s="3885">
        <v>3</v>
      </c>
      <c r="V2168" s="3877">
        <v>11967500</v>
      </c>
      <c r="W2168" s="3885" t="s">
        <v>2034</v>
      </c>
      <c r="X2168" s="3888" t="s">
        <v>2034</v>
      </c>
      <c r="Y2168" s="3885">
        <v>9</v>
      </c>
      <c r="Z2168" s="3868">
        <v>9630000</v>
      </c>
      <c r="AA2168" s="3730">
        <v>33</v>
      </c>
      <c r="AB2168" s="3910">
        <v>9630000</v>
      </c>
      <c r="AC2168" s="3907">
        <f t="shared" si="820"/>
        <v>45.833333333333329</v>
      </c>
      <c r="AD2168" s="3907">
        <f t="shared" si="821"/>
        <v>10.407997838422048</v>
      </c>
      <c r="AE2168" s="2849" t="s">
        <v>4482</v>
      </c>
      <c r="AH2168" s="3922"/>
    </row>
    <row r="2169" spans="1:34" s="75" customFormat="1" ht="63" customHeight="1">
      <c r="A2169" s="3157">
        <v>1</v>
      </c>
      <c r="B2169" s="728"/>
      <c r="C2169" s="753">
        <v>5</v>
      </c>
      <c r="D2169" s="2071">
        <v>2</v>
      </c>
      <c r="E2169" s="2071">
        <v>2</v>
      </c>
      <c r="F2169" s="2071" t="s">
        <v>161</v>
      </c>
      <c r="G2169" s="2071"/>
      <c r="H2169" s="2071" t="s">
        <v>4494</v>
      </c>
      <c r="I2169" s="728" t="s">
        <v>4498</v>
      </c>
      <c r="J2169" s="3854" t="s">
        <v>4499</v>
      </c>
      <c r="K2169" s="3734">
        <v>72</v>
      </c>
      <c r="L2169" s="3735">
        <v>30000000</v>
      </c>
      <c r="M2169" s="3736">
        <v>24</v>
      </c>
      <c r="N2169" s="3735">
        <v>35855500</v>
      </c>
      <c r="O2169" s="3734">
        <v>12</v>
      </c>
      <c r="P2169" s="3735">
        <v>11530000</v>
      </c>
      <c r="Q2169" s="3730">
        <v>3</v>
      </c>
      <c r="R2169" s="3735">
        <v>600000</v>
      </c>
      <c r="S2169" s="3730">
        <v>3</v>
      </c>
      <c r="T2169" s="3747" t="s">
        <v>4500</v>
      </c>
      <c r="U2169" s="3730">
        <v>3</v>
      </c>
      <c r="V2169" s="3868">
        <v>7265000</v>
      </c>
      <c r="W2169" s="3730">
        <v>0</v>
      </c>
      <c r="X2169" s="3889">
        <v>0</v>
      </c>
      <c r="Y2169" s="3730">
        <f t="shared" si="823"/>
        <v>9</v>
      </c>
      <c r="Z2169" s="3868">
        <v>5460000</v>
      </c>
      <c r="AA2169" s="3730">
        <f t="shared" si="822"/>
        <v>33</v>
      </c>
      <c r="AB2169" s="3910">
        <f t="shared" si="822"/>
        <v>41315500</v>
      </c>
      <c r="AC2169" s="3905">
        <f t="shared" si="820"/>
        <v>45.833333333333329</v>
      </c>
      <c r="AD2169" s="3905">
        <f t="shared" si="821"/>
        <v>137.71833333333333</v>
      </c>
      <c r="AE2169" s="3157" t="s">
        <v>4482</v>
      </c>
      <c r="AH2169" s="3922"/>
    </row>
    <row r="2170" spans="1:34" s="494" customFormat="1" ht="52.5" customHeight="1">
      <c r="A2170" s="3892" t="s">
        <v>3353</v>
      </c>
      <c r="B2170" s="3835"/>
      <c r="C2170" s="3893">
        <v>5</v>
      </c>
      <c r="D2170" s="3894" t="s">
        <v>107</v>
      </c>
      <c r="E2170" s="3894" t="s">
        <v>66</v>
      </c>
      <c r="F2170" s="3893">
        <v>56</v>
      </c>
      <c r="G2170" s="3893"/>
      <c r="H2170" s="3894"/>
      <c r="I2170" s="3940" t="s">
        <v>4459</v>
      </c>
      <c r="J2170" s="3940"/>
      <c r="K2170" s="3896">
        <v>72</v>
      </c>
      <c r="L2170" s="3929">
        <f>SUM(L2171:L2177)</f>
        <v>634240000</v>
      </c>
      <c r="M2170" s="3930">
        <v>24</v>
      </c>
      <c r="N2170" s="3929">
        <f>SUM(N2171:N2177)</f>
        <v>96658510</v>
      </c>
      <c r="O2170" s="3896">
        <v>12</v>
      </c>
      <c r="P2170" s="3929">
        <f>SUM(P2171:P2177)</f>
        <v>133820551</v>
      </c>
      <c r="Q2170" s="3898">
        <v>3</v>
      </c>
      <c r="R2170" s="3929">
        <f>SUM(R2171:R2177)</f>
        <v>19872500</v>
      </c>
      <c r="S2170" s="3898">
        <v>3</v>
      </c>
      <c r="T2170" s="3929">
        <f>SUM(T2171:T2177)</f>
        <v>2000000</v>
      </c>
      <c r="U2170" s="3898">
        <v>3</v>
      </c>
      <c r="V2170" s="3941">
        <f>SUM(V2171:V2177)</f>
        <v>124326892</v>
      </c>
      <c r="W2170" s="3898">
        <v>0</v>
      </c>
      <c r="X2170" s="3929">
        <f>SUM(X2171:X2177)</f>
        <v>0</v>
      </c>
      <c r="Y2170" s="3898">
        <f t="shared" si="823"/>
        <v>9</v>
      </c>
      <c r="Z2170" s="3941">
        <v>35051908</v>
      </c>
      <c r="AA2170" s="3898">
        <f t="shared" si="822"/>
        <v>33</v>
      </c>
      <c r="AB2170" s="3909">
        <f t="shared" si="822"/>
        <v>131710418</v>
      </c>
      <c r="AC2170" s="3904">
        <f t="shared" si="820"/>
        <v>45.833333333333329</v>
      </c>
      <c r="AD2170" s="3904">
        <f t="shared" si="821"/>
        <v>20.766652686680121</v>
      </c>
      <c r="AE2170" s="3892" t="s">
        <v>4482</v>
      </c>
      <c r="AH2170" s="3928"/>
    </row>
    <row r="2171" spans="1:34" s="75" customFormat="1" ht="58.5" customHeight="1">
      <c r="A2171" s="3157">
        <v>1</v>
      </c>
      <c r="B2171" s="3854"/>
      <c r="C2171" s="753">
        <v>5</v>
      </c>
      <c r="D2171" s="2071" t="s">
        <v>107</v>
      </c>
      <c r="E2171" s="2071" t="s">
        <v>66</v>
      </c>
      <c r="F2171" s="753">
        <v>56</v>
      </c>
      <c r="G2171" s="753"/>
      <c r="H2171" s="2071" t="s">
        <v>66</v>
      </c>
      <c r="I2171" s="1936" t="s">
        <v>4285</v>
      </c>
      <c r="J2171" s="3854" t="s">
        <v>4461</v>
      </c>
      <c r="K2171" s="3734">
        <v>72</v>
      </c>
      <c r="L2171" s="3735">
        <v>235000000</v>
      </c>
      <c r="M2171" s="3736">
        <v>24</v>
      </c>
      <c r="N2171" s="3735">
        <v>10649150</v>
      </c>
      <c r="O2171" s="3734">
        <v>12</v>
      </c>
      <c r="P2171" s="3735">
        <v>68040750</v>
      </c>
      <c r="Q2171" s="3704">
        <v>3</v>
      </c>
      <c r="R2171" s="3735">
        <v>10702500</v>
      </c>
      <c r="S2171" s="3704">
        <v>3</v>
      </c>
      <c r="T2171" s="3747" t="s">
        <v>4502</v>
      </c>
      <c r="U2171" s="3730">
        <v>3</v>
      </c>
      <c r="V2171" s="3868">
        <v>57608932</v>
      </c>
      <c r="W2171" s="3704">
        <v>0</v>
      </c>
      <c r="X2171" s="3726">
        <v>0</v>
      </c>
      <c r="Y2171" s="3704">
        <f t="shared" si="823"/>
        <v>9</v>
      </c>
      <c r="Z2171" s="3868">
        <v>55886432</v>
      </c>
      <c r="AA2171" s="3730">
        <f t="shared" si="822"/>
        <v>33</v>
      </c>
      <c r="AB2171" s="3910">
        <f t="shared" si="822"/>
        <v>66535582</v>
      </c>
      <c r="AC2171" s="3905">
        <f t="shared" si="820"/>
        <v>45.833333333333329</v>
      </c>
      <c r="AD2171" s="3905">
        <f t="shared" si="821"/>
        <v>28.313013617021277</v>
      </c>
      <c r="AE2171" s="3157" t="s">
        <v>4482</v>
      </c>
      <c r="AH2171" s="3922"/>
    </row>
    <row r="2172" spans="1:34" s="75" customFormat="1" ht="64.5" customHeight="1">
      <c r="A2172" s="3157">
        <v>2</v>
      </c>
      <c r="B2172" s="618"/>
      <c r="C2172" s="753">
        <v>5</v>
      </c>
      <c r="D2172" s="2071" t="s">
        <v>107</v>
      </c>
      <c r="E2172" s="2071" t="s">
        <v>66</v>
      </c>
      <c r="F2172" s="753">
        <v>56</v>
      </c>
      <c r="G2172" s="753"/>
      <c r="H2172" s="2071" t="s">
        <v>65</v>
      </c>
      <c r="I2172" s="3854" t="s">
        <v>4503</v>
      </c>
      <c r="J2172" s="3854" t="s">
        <v>4463</v>
      </c>
      <c r="K2172" s="3734">
        <v>72</v>
      </c>
      <c r="L2172" s="3735">
        <v>50000000</v>
      </c>
      <c r="M2172" s="3736">
        <v>2</v>
      </c>
      <c r="N2172" s="3735">
        <v>24447900</v>
      </c>
      <c r="O2172" s="3734">
        <v>1</v>
      </c>
      <c r="P2172" s="3735">
        <v>9326602</v>
      </c>
      <c r="Q2172" s="3730">
        <v>0</v>
      </c>
      <c r="R2172" s="3871" t="s">
        <v>2034</v>
      </c>
      <c r="S2172" s="3730">
        <v>3</v>
      </c>
      <c r="T2172" s="3747" t="s">
        <v>4504</v>
      </c>
      <c r="U2172" s="3730">
        <v>3</v>
      </c>
      <c r="V2172" s="3868">
        <v>9326500</v>
      </c>
      <c r="W2172" s="3704">
        <v>0</v>
      </c>
      <c r="X2172" s="3726">
        <v>0</v>
      </c>
      <c r="Y2172" s="3704">
        <v>6</v>
      </c>
      <c r="Z2172" s="3868">
        <v>1000000</v>
      </c>
      <c r="AA2172" s="3704">
        <f t="shared" si="822"/>
        <v>8</v>
      </c>
      <c r="AB2172" s="3910">
        <f t="shared" si="822"/>
        <v>25447900</v>
      </c>
      <c r="AC2172" s="3905">
        <f t="shared" si="820"/>
        <v>11.111111111111111</v>
      </c>
      <c r="AD2172" s="3905">
        <f t="shared" si="821"/>
        <v>50.895800000000001</v>
      </c>
      <c r="AE2172" s="3157" t="s">
        <v>4482</v>
      </c>
      <c r="AH2172" s="3922"/>
    </row>
    <row r="2173" spans="1:34" s="75" customFormat="1" ht="54.75" customHeight="1">
      <c r="A2173" s="3157">
        <v>3</v>
      </c>
      <c r="B2173" s="3854"/>
      <c r="C2173" s="753">
        <v>5</v>
      </c>
      <c r="D2173" s="2071" t="s">
        <v>107</v>
      </c>
      <c r="E2173" s="2071" t="s">
        <v>66</v>
      </c>
      <c r="F2173" s="753">
        <v>56</v>
      </c>
      <c r="G2173" s="753"/>
      <c r="H2173" s="2071" t="s">
        <v>196</v>
      </c>
      <c r="I2173" s="728" t="s">
        <v>4464</v>
      </c>
      <c r="J2173" s="3854" t="s">
        <v>4465</v>
      </c>
      <c r="K2173" s="3734">
        <v>72</v>
      </c>
      <c r="L2173" s="3735">
        <v>60000000</v>
      </c>
      <c r="M2173" s="3736">
        <v>2</v>
      </c>
      <c r="N2173" s="3735">
        <v>22961460</v>
      </c>
      <c r="O2173" s="3736" t="s">
        <v>2034</v>
      </c>
      <c r="P2173" s="3871" t="s">
        <v>2034</v>
      </c>
      <c r="Q2173" s="3870" t="s">
        <v>2034</v>
      </c>
      <c r="R2173" s="3871" t="s">
        <v>2034</v>
      </c>
      <c r="S2173" s="3870" t="s">
        <v>2034</v>
      </c>
      <c r="T2173" s="3878" t="s">
        <v>2034</v>
      </c>
      <c r="U2173" s="3730">
        <v>3</v>
      </c>
      <c r="V2173" s="3868">
        <v>20156460</v>
      </c>
      <c r="W2173" s="3704">
        <v>0</v>
      </c>
      <c r="X2173" s="3726">
        <v>0</v>
      </c>
      <c r="Y2173" s="3730">
        <v>6</v>
      </c>
      <c r="Z2173" s="3868">
        <v>33601920</v>
      </c>
      <c r="AA2173" s="3730">
        <f t="shared" si="822"/>
        <v>8</v>
      </c>
      <c r="AB2173" s="3910">
        <f t="shared" si="822"/>
        <v>56563380</v>
      </c>
      <c r="AC2173" s="3905">
        <f t="shared" si="820"/>
        <v>11.111111111111111</v>
      </c>
      <c r="AD2173" s="3905">
        <f t="shared" si="821"/>
        <v>94.272300000000001</v>
      </c>
      <c r="AE2173" s="3157" t="s">
        <v>4482</v>
      </c>
      <c r="AH2173" s="3922"/>
    </row>
    <row r="2174" spans="1:34" s="75" customFormat="1" ht="61.5" customHeight="1">
      <c r="A2174" s="3157">
        <v>5</v>
      </c>
      <c r="B2174" s="3854"/>
      <c r="C2174" s="753">
        <v>5</v>
      </c>
      <c r="D2174" s="2071" t="s">
        <v>107</v>
      </c>
      <c r="E2174" s="2071" t="s">
        <v>66</v>
      </c>
      <c r="F2174" s="753">
        <v>56</v>
      </c>
      <c r="G2174" s="753"/>
      <c r="H2174" s="2071" t="s">
        <v>161</v>
      </c>
      <c r="I2174" s="728" t="s">
        <v>4468</v>
      </c>
      <c r="J2174" s="3854" t="s">
        <v>4469</v>
      </c>
      <c r="K2174" s="3734">
        <v>72</v>
      </c>
      <c r="L2174" s="3735">
        <v>28800000</v>
      </c>
      <c r="M2174" s="3736">
        <v>24</v>
      </c>
      <c r="N2174" s="3735">
        <v>12000000</v>
      </c>
      <c r="O2174" s="3734">
        <v>12</v>
      </c>
      <c r="P2174" s="3735">
        <v>4247199</v>
      </c>
      <c r="Q2174" s="3704">
        <v>3</v>
      </c>
      <c r="R2174" s="3735">
        <v>2000000</v>
      </c>
      <c r="S2174" s="3730">
        <v>0</v>
      </c>
      <c r="T2174" s="1232">
        <v>2000000</v>
      </c>
      <c r="U2174" s="3730">
        <v>3</v>
      </c>
      <c r="V2174" s="3868">
        <v>2600000</v>
      </c>
      <c r="W2174" s="3704">
        <v>0</v>
      </c>
      <c r="X2174" s="3745">
        <v>0</v>
      </c>
      <c r="Y2174" s="3704">
        <f t="shared" si="823"/>
        <v>6</v>
      </c>
      <c r="Z2174" s="3868">
        <f t="shared" si="819"/>
        <v>6600000</v>
      </c>
      <c r="AA2174" s="3730">
        <f t="shared" si="822"/>
        <v>30</v>
      </c>
      <c r="AB2174" s="3910">
        <f t="shared" si="822"/>
        <v>18600000</v>
      </c>
      <c r="AC2174" s="3908">
        <f t="shared" si="820"/>
        <v>41.666666666666671</v>
      </c>
      <c r="AD2174" s="3905">
        <f t="shared" si="821"/>
        <v>64.583333333333343</v>
      </c>
      <c r="AE2174" s="3157" t="s">
        <v>4482</v>
      </c>
      <c r="AH2174" s="3922"/>
    </row>
    <row r="2175" spans="1:34" s="75" customFormat="1" ht="61.5" customHeight="1">
      <c r="A2175" s="3157"/>
      <c r="B2175" s="3854"/>
      <c r="C2175" s="753"/>
      <c r="D2175" s="2071"/>
      <c r="E2175" s="2071"/>
      <c r="F2175" s="753"/>
      <c r="G2175" s="753"/>
      <c r="H2175" s="2071"/>
      <c r="I2175" s="728" t="s">
        <v>4323</v>
      </c>
      <c r="J2175" s="3854" t="s">
        <v>4505</v>
      </c>
      <c r="K2175" s="3736">
        <v>72</v>
      </c>
      <c r="L2175" s="3871">
        <f>4*P2175</f>
        <v>91440000</v>
      </c>
      <c r="M2175" s="3736" t="s">
        <v>2034</v>
      </c>
      <c r="N2175" s="3871" t="s">
        <v>2034</v>
      </c>
      <c r="O2175" s="3734">
        <v>12</v>
      </c>
      <c r="P2175" s="3735">
        <v>22860000</v>
      </c>
      <c r="Q2175" s="3704">
        <v>3</v>
      </c>
      <c r="R2175" s="1232">
        <v>3070000</v>
      </c>
      <c r="S2175" s="3730">
        <v>3</v>
      </c>
      <c r="T2175" s="1232" t="s">
        <v>4506</v>
      </c>
      <c r="U2175" s="3730">
        <v>3</v>
      </c>
      <c r="V2175" s="3868">
        <v>14510000</v>
      </c>
      <c r="W2175" s="3704">
        <v>0</v>
      </c>
      <c r="X2175" s="3745">
        <v>0</v>
      </c>
      <c r="Y2175" s="3704">
        <v>9</v>
      </c>
      <c r="Z2175" s="3868">
        <v>29370000</v>
      </c>
      <c r="AA2175" s="3730">
        <v>33</v>
      </c>
      <c r="AB2175" s="3910">
        <v>29370000</v>
      </c>
      <c r="AC2175" s="3908">
        <f t="shared" si="820"/>
        <v>45.833333333333329</v>
      </c>
      <c r="AD2175" s="3905">
        <f t="shared" si="821"/>
        <v>32.119422572178479</v>
      </c>
      <c r="AE2175" s="3157" t="s">
        <v>4482</v>
      </c>
      <c r="AH2175" s="3922"/>
    </row>
    <row r="2176" spans="1:34" s="75" customFormat="1" ht="57.75" customHeight="1">
      <c r="A2176" s="3157">
        <v>6</v>
      </c>
      <c r="B2176" s="3854"/>
      <c r="C2176" s="753"/>
      <c r="D2176" s="2071"/>
      <c r="E2176" s="2071"/>
      <c r="F2176" s="753"/>
      <c r="G2176" s="753"/>
      <c r="H2176" s="2071"/>
      <c r="I2176" s="728" t="s">
        <v>4470</v>
      </c>
      <c r="J2176" s="3854" t="s">
        <v>4471</v>
      </c>
      <c r="K2176" s="3734">
        <v>48</v>
      </c>
      <c r="L2176" s="3871">
        <f>6*P2176</f>
        <v>69000000</v>
      </c>
      <c r="M2176" s="3736">
        <v>0</v>
      </c>
      <c r="N2176" s="3890">
        <v>0</v>
      </c>
      <c r="O2176" s="3734">
        <v>12</v>
      </c>
      <c r="P2176" s="3735">
        <v>11500000</v>
      </c>
      <c r="Q2176" s="3704">
        <v>3</v>
      </c>
      <c r="R2176" s="3735">
        <v>1700000</v>
      </c>
      <c r="S2176" s="3730">
        <v>3</v>
      </c>
      <c r="T2176" s="3747" t="s">
        <v>4507</v>
      </c>
      <c r="U2176" s="3730">
        <v>3</v>
      </c>
      <c r="V2176" s="3868">
        <v>8225000</v>
      </c>
      <c r="W2176" s="3730">
        <v>0</v>
      </c>
      <c r="X2176" s="3889">
        <v>0</v>
      </c>
      <c r="Y2176" s="3730">
        <f t="shared" si="823"/>
        <v>9</v>
      </c>
      <c r="Z2176" s="3868">
        <v>3350000</v>
      </c>
      <c r="AA2176" s="3730">
        <f t="shared" si="822"/>
        <v>9</v>
      </c>
      <c r="AB2176" s="3910">
        <v>3350000</v>
      </c>
      <c r="AC2176" s="3908">
        <f t="shared" si="820"/>
        <v>18.75</v>
      </c>
      <c r="AD2176" s="3905">
        <f t="shared" si="821"/>
        <v>4.8550724637681162</v>
      </c>
      <c r="AE2176" s="3157" t="s">
        <v>4482</v>
      </c>
      <c r="AH2176" s="3922"/>
    </row>
    <row r="2177" spans="1:76" s="75" customFormat="1" ht="65.25" customHeight="1">
      <c r="A2177" s="3157">
        <v>8</v>
      </c>
      <c r="B2177" s="3854"/>
      <c r="C2177" s="753">
        <v>5</v>
      </c>
      <c r="D2177" s="2071" t="s">
        <v>107</v>
      </c>
      <c r="E2177" s="2071" t="s">
        <v>66</v>
      </c>
      <c r="F2177" s="753">
        <v>56</v>
      </c>
      <c r="G2177" s="753"/>
      <c r="H2177" s="2071" t="s">
        <v>197</v>
      </c>
      <c r="I2177" s="728" t="s">
        <v>4474</v>
      </c>
      <c r="J2177" s="3854"/>
      <c r="K2177" s="3734">
        <v>72</v>
      </c>
      <c r="L2177" s="3735">
        <v>100000000</v>
      </c>
      <c r="M2177" s="3736">
        <v>24</v>
      </c>
      <c r="N2177" s="3735">
        <v>26600000</v>
      </c>
      <c r="O2177" s="3734">
        <v>12</v>
      </c>
      <c r="P2177" s="3735">
        <v>17846000</v>
      </c>
      <c r="Q2177" s="3704">
        <v>3</v>
      </c>
      <c r="R2177" s="3735">
        <v>2400000</v>
      </c>
      <c r="S2177" s="3704">
        <v>3</v>
      </c>
      <c r="T2177" s="3747" t="s">
        <v>4508</v>
      </c>
      <c r="U2177" s="3704">
        <v>3</v>
      </c>
      <c r="V2177" s="3868">
        <v>11900000</v>
      </c>
      <c r="W2177" s="3704">
        <v>0</v>
      </c>
      <c r="X2177" s="3726">
        <v>0</v>
      </c>
      <c r="Y2177" s="3704">
        <f t="shared" si="823"/>
        <v>9</v>
      </c>
      <c r="Z2177" s="3868">
        <v>9439910</v>
      </c>
      <c r="AA2177" s="3730">
        <f t="shared" si="822"/>
        <v>33</v>
      </c>
      <c r="AB2177" s="3910">
        <f t="shared" si="822"/>
        <v>36039910</v>
      </c>
      <c r="AC2177" s="3908">
        <f t="shared" si="820"/>
        <v>45.833333333333329</v>
      </c>
      <c r="AD2177" s="3905">
        <f t="shared" si="821"/>
        <v>36.039909999999999</v>
      </c>
      <c r="AE2177" s="3157" t="s">
        <v>4482</v>
      </c>
      <c r="AH2177" s="3922"/>
    </row>
    <row r="2178" spans="1:76" s="494" customFormat="1" ht="65.25" customHeight="1">
      <c r="A2178" s="3892" t="s">
        <v>3355</v>
      </c>
      <c r="B2178" s="3835"/>
      <c r="C2178" s="3893">
        <v>5</v>
      </c>
      <c r="D2178" s="3894" t="s">
        <v>107</v>
      </c>
      <c r="E2178" s="3894" t="s">
        <v>66</v>
      </c>
      <c r="F2178" s="3894" t="s">
        <v>93</v>
      </c>
      <c r="G2178" s="3894"/>
      <c r="H2178" s="3894">
        <v>59</v>
      </c>
      <c r="I2178" s="3895" t="s">
        <v>4509</v>
      </c>
      <c r="J2178" s="3835" t="s">
        <v>4510</v>
      </c>
      <c r="K2178" s="3930" t="s">
        <v>2034</v>
      </c>
      <c r="L2178" s="3933">
        <f>SUM(L2179)</f>
        <v>36300000</v>
      </c>
      <c r="M2178" s="3930" t="s">
        <v>2034</v>
      </c>
      <c r="N2178" s="3933" t="s">
        <v>2034</v>
      </c>
      <c r="O2178" s="3896">
        <v>12</v>
      </c>
      <c r="P2178" s="3933">
        <v>9075000</v>
      </c>
      <c r="Q2178" s="3931" t="s">
        <v>2034</v>
      </c>
      <c r="R2178" s="3933" t="s">
        <v>2034</v>
      </c>
      <c r="S2178" s="3931" t="s">
        <v>2034</v>
      </c>
      <c r="T2178" s="3942" t="s">
        <v>2034</v>
      </c>
      <c r="U2178" s="3931" t="s">
        <v>2034</v>
      </c>
      <c r="V2178" s="3937" t="s">
        <v>2034</v>
      </c>
      <c r="W2178" s="3931" t="s">
        <v>2034</v>
      </c>
      <c r="X2178" s="3942">
        <f>SUM(X2179)</f>
        <v>0</v>
      </c>
      <c r="Y2178" s="3931" t="s">
        <v>2034</v>
      </c>
      <c r="Z2178" s="3937" t="s">
        <v>2034</v>
      </c>
      <c r="AA2178" s="3931" t="s">
        <v>2034</v>
      </c>
      <c r="AB2178" s="3943" t="s">
        <v>2034</v>
      </c>
      <c r="AC2178" s="3904">
        <v>0</v>
      </c>
      <c r="AD2178" s="3904">
        <f t="shared" si="821"/>
        <v>0</v>
      </c>
      <c r="AE2178" s="2849"/>
      <c r="AH2178" s="3928"/>
    </row>
    <row r="2179" spans="1:76" s="75" customFormat="1" ht="65.25" customHeight="1">
      <c r="A2179" s="2849"/>
      <c r="B2179" s="3854"/>
      <c r="C2179" s="753">
        <v>5</v>
      </c>
      <c r="D2179" s="2071">
        <v>2</v>
      </c>
      <c r="E2179" s="2071">
        <v>2</v>
      </c>
      <c r="F2179" s="2071" t="s">
        <v>161</v>
      </c>
      <c r="G2179" s="2071"/>
      <c r="H2179" s="2071" t="s">
        <v>4494</v>
      </c>
      <c r="I2179" s="728" t="s">
        <v>4511</v>
      </c>
      <c r="J2179" s="3854" t="s">
        <v>4512</v>
      </c>
      <c r="K2179" s="3736" t="s">
        <v>2034</v>
      </c>
      <c r="L2179" s="3871">
        <f>4*P2179</f>
        <v>36300000</v>
      </c>
      <c r="M2179" s="3736" t="s">
        <v>2034</v>
      </c>
      <c r="N2179" s="3871" t="s">
        <v>2034</v>
      </c>
      <c r="O2179" s="3734">
        <v>12</v>
      </c>
      <c r="P2179" s="3871">
        <v>9075000</v>
      </c>
      <c r="Q2179" s="3870" t="s">
        <v>2034</v>
      </c>
      <c r="R2179" s="3871" t="s">
        <v>2034</v>
      </c>
      <c r="S2179" s="3870" t="s">
        <v>2034</v>
      </c>
      <c r="T2179" s="3878" t="s">
        <v>2034</v>
      </c>
      <c r="U2179" s="3870" t="s">
        <v>2034</v>
      </c>
      <c r="V2179" s="3868">
        <v>0</v>
      </c>
      <c r="W2179" s="3730">
        <v>0</v>
      </c>
      <c r="X2179" s="3747">
        <v>0</v>
      </c>
      <c r="Y2179" s="3730">
        <v>0</v>
      </c>
      <c r="Z2179" s="3874" t="s">
        <v>2034</v>
      </c>
      <c r="AA2179" s="3870" t="s">
        <v>2034</v>
      </c>
      <c r="AB2179" s="3914" t="s">
        <v>2034</v>
      </c>
      <c r="AC2179" s="3907">
        <v>0</v>
      </c>
      <c r="AD2179" s="3907">
        <f t="shared" si="821"/>
        <v>0</v>
      </c>
      <c r="AE2179" s="2849"/>
      <c r="AH2179" s="3922"/>
    </row>
    <row r="2180" spans="1:76" customFormat="1" ht="17.25" customHeight="1">
      <c r="A2180" s="4264" t="s">
        <v>89</v>
      </c>
      <c r="B2180" s="4264"/>
      <c r="C2180" s="4265"/>
      <c r="D2180" s="4265"/>
      <c r="E2180" s="4265"/>
      <c r="F2180" s="4265"/>
      <c r="G2180" s="4265"/>
      <c r="H2180" s="4265"/>
      <c r="I2180" s="4265"/>
      <c r="J2180" s="4265"/>
      <c r="K2180" s="4265"/>
      <c r="L2180" s="4265"/>
      <c r="M2180" s="4265"/>
      <c r="N2180" s="4265"/>
      <c r="O2180" s="4265"/>
      <c r="P2180" s="4265"/>
      <c r="Q2180" s="4265"/>
      <c r="R2180" s="4265"/>
      <c r="S2180" s="4265"/>
      <c r="T2180" s="4265"/>
      <c r="U2180" s="4265"/>
      <c r="V2180" s="4265"/>
      <c r="W2180" s="4265"/>
      <c r="X2180" s="4265"/>
      <c r="Y2180" s="4265"/>
      <c r="Z2180" s="4265"/>
      <c r="AA2180" s="4265"/>
      <c r="AB2180" s="4265"/>
      <c r="AC2180" s="3784">
        <f>(AC2138+AC2151+AC2157+AC2159+AC2161+AC2163+AC2165+AC2167+AC2170+AC2178)/10</f>
        <v>33.611111111111107</v>
      </c>
      <c r="AD2180" s="3784">
        <f>(AD2138+AD2151+AD2157+AD2159+AD2161+AD2163+AD2165+AD2167+AD2170+AD2178)/10</f>
        <v>27.261706794605299</v>
      </c>
      <c r="AE2180" s="2116"/>
    </row>
    <row r="2181" spans="1:76" customFormat="1" ht="20.25" customHeight="1">
      <c r="A2181" s="4264" t="s">
        <v>90</v>
      </c>
      <c r="B2181" s="4264"/>
      <c r="C2181" s="4265"/>
      <c r="D2181" s="4265"/>
      <c r="E2181" s="4265"/>
      <c r="F2181" s="4265"/>
      <c r="G2181" s="4265"/>
      <c r="H2181" s="4265"/>
      <c r="I2181" s="4265"/>
      <c r="J2181" s="4265"/>
      <c r="K2181" s="4265"/>
      <c r="L2181" s="4265"/>
      <c r="M2181" s="4265"/>
      <c r="N2181" s="4265"/>
      <c r="O2181" s="4265"/>
      <c r="P2181" s="4265"/>
      <c r="Q2181" s="4265"/>
      <c r="R2181" s="4265"/>
      <c r="S2181" s="4265"/>
      <c r="T2181" s="4265"/>
      <c r="U2181" s="4265"/>
      <c r="V2181" s="4265"/>
      <c r="W2181" s="4265"/>
      <c r="X2181" s="4265"/>
      <c r="Y2181" s="4265"/>
      <c r="Z2181" s="4265"/>
      <c r="AA2181" s="4265"/>
      <c r="AB2181" s="4265"/>
      <c r="AC2181" s="3689" t="str">
        <f>IF(AC2180&gt;=91,"ST",IF(AC2180&gt;=76,"T",IF(AC2180&gt;=66,"S",IF(AC2180&gt;=51,"R","SR"))))</f>
        <v>SR</v>
      </c>
      <c r="AD2181" s="3689" t="str">
        <f>IF(AD2180&gt;=91,"ST",IF(AD2180&gt;=76,"T",IF(AD2180&gt;=66,"S",IF(AD2180&gt;=51,"R","SR"))))</f>
        <v>SR</v>
      </c>
      <c r="AE2181" s="2116"/>
    </row>
    <row r="2182" spans="1:76" s="55" customFormat="1" ht="25.5" customHeight="1">
      <c r="A2182" s="2546" t="s">
        <v>3353</v>
      </c>
      <c r="B2182" s="2918"/>
      <c r="C2182" s="2546"/>
      <c r="D2182" s="2546"/>
      <c r="E2182" s="2546"/>
      <c r="F2182" s="2546"/>
      <c r="G2182" s="2546"/>
      <c r="H2182" s="2546"/>
      <c r="I2182" s="2515" t="s">
        <v>1029</v>
      </c>
      <c r="J2182" s="2918"/>
      <c r="K2182" s="2918"/>
      <c r="L2182" s="3238">
        <f>L2183+L2194+L2200+L2202+L2204+L2206+L2208+L2210+L2212+L2214+L2216</f>
        <v>2952401640</v>
      </c>
      <c r="M2182" s="2918"/>
      <c r="N2182" s="2916">
        <f>N2183+N2194+N2200+N2202+N2204+N2206+N2208+N2210+N2212+N2214+N2216</f>
        <v>914254620</v>
      </c>
      <c r="O2182" s="2918"/>
      <c r="P2182" s="2916">
        <f>P2183+P2194+P2200+P2202+P2204+P2206+P2208+P2210+P2212+P2214+P2216</f>
        <v>468217492</v>
      </c>
      <c r="Q2182" s="2918"/>
      <c r="R2182" s="2916">
        <f>R2183+R2194+R2200+R2202+R2204+R2206+R2208+R2210+R2212+R2214+R2216</f>
        <v>46629700</v>
      </c>
      <c r="S2182" s="2918"/>
      <c r="T2182" s="2916">
        <f>T2183+T2194+T2200+T2202+T2204+T2206+T2208+T2210+T2212+T2214+T2216</f>
        <v>167314950</v>
      </c>
      <c r="U2182" s="2918"/>
      <c r="V2182" s="2916">
        <f>V2183+V2194+V2200+V2202+V2204+V2206+V2208+V2210+V2212+V2214+V2216</f>
        <v>111290900</v>
      </c>
      <c r="W2182" s="2918"/>
      <c r="X2182" s="2918"/>
      <c r="Y2182" s="2546">
        <f>Q2182+S2182+U2182+W2182</f>
        <v>0</v>
      </c>
      <c r="Z2182" s="2916">
        <f>Z2183+Z2194+Z2200+Z2202+Z2204+Z2206+Z2208+Z2210+Z2212+Z2214+Z2216</f>
        <v>325235550</v>
      </c>
      <c r="AA2182" s="2918"/>
      <c r="AB2182" s="2916">
        <f>AB2183+AB2194+AB2200+AB2202+AB2204+AB2206+AB2208+AB2210+AB2212+AB2214+AB2216</f>
        <v>1582913270</v>
      </c>
      <c r="AC2182" s="2918"/>
      <c r="AD2182" s="2918"/>
      <c r="AE2182" s="3211"/>
      <c r="AF2182" s="145"/>
      <c r="AG2182" s="145"/>
      <c r="AH2182" s="145"/>
      <c r="AI2182" s="145"/>
      <c r="AJ2182" s="145"/>
      <c r="AK2182" s="145"/>
      <c r="AL2182" s="145"/>
      <c r="AM2182" s="145"/>
      <c r="AN2182" s="145"/>
      <c r="AO2182" s="145"/>
      <c r="AP2182" s="145"/>
      <c r="AQ2182" s="145"/>
      <c r="AR2182" s="145"/>
      <c r="AS2182" s="145"/>
      <c r="AT2182" s="145"/>
      <c r="AU2182" s="145"/>
      <c r="AV2182" s="145"/>
      <c r="AW2182" s="145"/>
      <c r="AX2182" s="145"/>
      <c r="AY2182" s="145"/>
      <c r="AZ2182" s="145"/>
      <c r="BA2182" s="145"/>
      <c r="BB2182" s="145"/>
      <c r="BC2182" s="145"/>
      <c r="BD2182" s="145"/>
      <c r="BE2182" s="145"/>
      <c r="BF2182" s="145"/>
      <c r="BG2182" s="145"/>
      <c r="BH2182" s="145"/>
      <c r="BI2182" s="145"/>
      <c r="BJ2182" s="145"/>
      <c r="BK2182" s="145"/>
      <c r="BL2182" s="145"/>
      <c r="BM2182" s="145"/>
      <c r="BN2182" s="145"/>
      <c r="BO2182" s="145"/>
      <c r="BP2182" s="145"/>
      <c r="BQ2182" s="145"/>
      <c r="BR2182" s="145"/>
      <c r="BS2182" s="145"/>
      <c r="BT2182" s="145"/>
      <c r="BU2182" s="145"/>
      <c r="BV2182" s="145"/>
      <c r="BW2182" s="145"/>
      <c r="BX2182" s="145"/>
    </row>
    <row r="2183" spans="1:76" s="3655" customFormat="1" ht="92.25" customHeight="1">
      <c r="A2183" s="3657">
        <v>1</v>
      </c>
      <c r="B2183" s="3835"/>
      <c r="C2183" s="3659">
        <v>5</v>
      </c>
      <c r="D2183" s="3659" t="s">
        <v>107</v>
      </c>
      <c r="E2183" s="3659" t="s">
        <v>66</v>
      </c>
      <c r="F2183" s="3659" t="s">
        <v>155</v>
      </c>
      <c r="G2183" s="3659" t="s">
        <v>66</v>
      </c>
      <c r="H2183" s="3657"/>
      <c r="I2183" s="3660" t="s">
        <v>4326</v>
      </c>
      <c r="J2183" s="3660" t="s">
        <v>4529</v>
      </c>
      <c r="K2183" s="3657">
        <v>72</v>
      </c>
      <c r="L2183" s="3662">
        <f>SUM(L2184:L2193)</f>
        <v>1343141500</v>
      </c>
      <c r="M2183" s="3657">
        <v>24</v>
      </c>
      <c r="N2183" s="3662">
        <f>SUM(N2184:N2193)</f>
        <v>433863500</v>
      </c>
      <c r="O2183" s="3657">
        <v>12</v>
      </c>
      <c r="P2183" s="3662">
        <f>SUM(P2184:P2193)</f>
        <v>214757809.75</v>
      </c>
      <c r="Q2183" s="3657">
        <v>3</v>
      </c>
      <c r="R2183" s="3662">
        <f>SUM(R2184:R2193)</f>
        <v>28258800</v>
      </c>
      <c r="S2183" s="3657">
        <v>3</v>
      </c>
      <c r="T2183" s="3662">
        <f>SUM(T2184:T2193)</f>
        <v>61286400</v>
      </c>
      <c r="U2183" s="3657">
        <v>3</v>
      </c>
      <c r="V2183" s="3662">
        <f>SUM(V2184:V2193)</f>
        <v>55711700</v>
      </c>
      <c r="W2183" s="3661"/>
      <c r="X2183" s="3661"/>
      <c r="Y2183" s="3836">
        <f>Q2183+S2183+U2183+W2183</f>
        <v>9</v>
      </c>
      <c r="Z2183" s="3662">
        <f>SUM(Z2184:Z2193)</f>
        <v>145256900</v>
      </c>
      <c r="AA2183" s="3836">
        <f>M2183+Y2183</f>
        <v>33</v>
      </c>
      <c r="AB2183" s="3662">
        <f>SUM(AB2184:AB2193)</f>
        <v>579120400</v>
      </c>
      <c r="AC2183" s="3664">
        <f>(AA2183/K2183)*100</f>
        <v>45.833333333333329</v>
      </c>
      <c r="AD2183" s="3664">
        <f>AB2183/L2183*100</f>
        <v>43.116857010225658</v>
      </c>
      <c r="AE2183" s="3660" t="s">
        <v>4570</v>
      </c>
    </row>
    <row r="2184" spans="1:76" s="4029" customFormat="1" ht="81.75" customHeight="1">
      <c r="A2184" s="4018"/>
      <c r="B2184" s="4019"/>
      <c r="C2184" s="4020">
        <v>5</v>
      </c>
      <c r="D2184" s="4020" t="s">
        <v>107</v>
      </c>
      <c r="E2184" s="4020" t="s">
        <v>66</v>
      </c>
      <c r="F2184" s="4020" t="s">
        <v>155</v>
      </c>
      <c r="G2184" s="4020" t="s">
        <v>66</v>
      </c>
      <c r="H2184" s="4021" t="s">
        <v>65</v>
      </c>
      <c r="I2184" s="4022" t="s">
        <v>4330</v>
      </c>
      <c r="J2184" s="4022" t="s">
        <v>4331</v>
      </c>
      <c r="K2184" s="4023">
        <v>72</v>
      </c>
      <c r="L2184" s="4024">
        <f>N2184*3</f>
        <v>23290500</v>
      </c>
      <c r="M2184" s="4021">
        <v>24</v>
      </c>
      <c r="N2184" s="4025">
        <v>7763500</v>
      </c>
      <c r="O2184" s="4023">
        <v>12</v>
      </c>
      <c r="P2184" s="4026">
        <v>3500000</v>
      </c>
      <c r="Q2184" s="4021">
        <v>3</v>
      </c>
      <c r="R2184" s="4024">
        <v>874700</v>
      </c>
      <c r="S2184" s="4023">
        <v>3</v>
      </c>
      <c r="T2184" s="4024">
        <v>874700</v>
      </c>
      <c r="U2184" s="4023">
        <v>3</v>
      </c>
      <c r="V2184" s="4026">
        <v>874700</v>
      </c>
      <c r="W2184" s="4018"/>
      <c r="X2184" s="4018"/>
      <c r="Y2184" s="4027">
        <f t="shared" ref="Y2184:Z2193" si="824">Q2184+S2184+U2184+W2184</f>
        <v>9</v>
      </c>
      <c r="Z2184" s="4024">
        <f>R2184+T2184+V2184+X2184</f>
        <v>2624100</v>
      </c>
      <c r="AA2184" s="4027">
        <f t="shared" ref="AA2184:AB2193" si="825">M2184+Y2184</f>
        <v>33</v>
      </c>
      <c r="AB2184" s="4024">
        <f t="shared" si="825"/>
        <v>10387600</v>
      </c>
      <c r="AC2184" s="4028">
        <f>(AA2184/K2184)*100</f>
        <v>45.833333333333329</v>
      </c>
      <c r="AD2184" s="4028">
        <f t="shared" ref="AD2184:AD2193" si="826">AB2184/L2184*100</f>
        <v>44.600158863055753</v>
      </c>
      <c r="AE2184" s="4022" t="s">
        <v>4570</v>
      </c>
    </row>
    <row r="2185" spans="1:76" s="4029" customFormat="1" ht="99">
      <c r="A2185" s="4018"/>
      <c r="B2185" s="4019"/>
      <c r="C2185" s="4020">
        <v>5</v>
      </c>
      <c r="D2185" s="4020" t="s">
        <v>107</v>
      </c>
      <c r="E2185" s="4020" t="s">
        <v>66</v>
      </c>
      <c r="F2185" s="4020" t="s">
        <v>155</v>
      </c>
      <c r="G2185" s="4020" t="s">
        <v>66</v>
      </c>
      <c r="H2185" s="4021" t="s">
        <v>198</v>
      </c>
      <c r="I2185" s="4022" t="s">
        <v>4332</v>
      </c>
      <c r="J2185" s="4022" t="s">
        <v>4333</v>
      </c>
      <c r="K2185" s="4023">
        <v>72</v>
      </c>
      <c r="L2185" s="4024">
        <f>3*N2185</f>
        <v>252000000</v>
      </c>
      <c r="M2185" s="4021">
        <v>24</v>
      </c>
      <c r="N2185" s="4025">
        <v>84000000</v>
      </c>
      <c r="O2185" s="4023">
        <v>12</v>
      </c>
      <c r="P2185" s="4026">
        <v>41400000</v>
      </c>
      <c r="Q2185" s="4021">
        <v>3</v>
      </c>
      <c r="R2185" s="4024">
        <v>10350000</v>
      </c>
      <c r="S2185" s="4023">
        <v>3</v>
      </c>
      <c r="T2185" s="4024">
        <v>10350000</v>
      </c>
      <c r="U2185" s="4023">
        <v>3</v>
      </c>
      <c r="V2185" s="4026">
        <v>10350000</v>
      </c>
      <c r="W2185" s="4018"/>
      <c r="X2185" s="4018"/>
      <c r="Y2185" s="4027">
        <f t="shared" si="824"/>
        <v>9</v>
      </c>
      <c r="Z2185" s="4024">
        <f t="shared" si="824"/>
        <v>31050000</v>
      </c>
      <c r="AA2185" s="4027">
        <f t="shared" si="825"/>
        <v>33</v>
      </c>
      <c r="AB2185" s="4024">
        <f t="shared" si="825"/>
        <v>115050000</v>
      </c>
      <c r="AC2185" s="4028">
        <f t="shared" ref="AC2185" si="827">(AA2185/K2185)*100</f>
        <v>45.833333333333329</v>
      </c>
      <c r="AD2185" s="4028">
        <f t="shared" si="826"/>
        <v>45.654761904761905</v>
      </c>
      <c r="AE2185" s="4022" t="s">
        <v>4570</v>
      </c>
    </row>
    <row r="2186" spans="1:76" s="4029" customFormat="1" ht="66.75" customHeight="1">
      <c r="A2186" s="4030"/>
      <c r="B2186" s="4019"/>
      <c r="C2186" s="4020">
        <v>5</v>
      </c>
      <c r="D2186" s="4020" t="s">
        <v>107</v>
      </c>
      <c r="E2186" s="4020" t="s">
        <v>66</v>
      </c>
      <c r="F2186" s="4020" t="s">
        <v>155</v>
      </c>
      <c r="G2186" s="4020" t="s">
        <v>66</v>
      </c>
      <c r="H2186" s="4020" t="s">
        <v>93</v>
      </c>
      <c r="I2186" s="4031" t="s">
        <v>876</v>
      </c>
      <c r="J2186" s="4031" t="s">
        <v>4334</v>
      </c>
      <c r="K2186" s="4020">
        <v>72</v>
      </c>
      <c r="L2186" s="4032">
        <f>3*N2186</f>
        <v>192000000</v>
      </c>
      <c r="M2186" s="4020">
        <v>24</v>
      </c>
      <c r="N2186" s="4033">
        <v>64000000</v>
      </c>
      <c r="O2186" s="4027">
        <v>12</v>
      </c>
      <c r="P2186" s="4034">
        <v>31614000</v>
      </c>
      <c r="Q2186" s="4020">
        <v>3</v>
      </c>
      <c r="R2186" s="4032">
        <v>903200</v>
      </c>
      <c r="S2186" s="4027">
        <v>3</v>
      </c>
      <c r="T2186" s="4032">
        <v>7000000</v>
      </c>
      <c r="U2186" s="4027">
        <v>3</v>
      </c>
      <c r="V2186" s="4034">
        <v>6800000</v>
      </c>
      <c r="W2186" s="4030"/>
      <c r="X2186" s="4030"/>
      <c r="Y2186" s="4027">
        <f>Q2186+S2186+U2186+W2186</f>
        <v>9</v>
      </c>
      <c r="Z2186" s="4032">
        <f t="shared" si="824"/>
        <v>14703200</v>
      </c>
      <c r="AA2186" s="4027">
        <f t="shared" si="825"/>
        <v>33</v>
      </c>
      <c r="AB2186" s="4032">
        <f t="shared" si="825"/>
        <v>78703200</v>
      </c>
      <c r="AC2186" s="4028">
        <f>(AA2186/K2186)*100</f>
        <v>45.833333333333329</v>
      </c>
      <c r="AD2186" s="4028">
        <f t="shared" si="826"/>
        <v>40.991250000000001</v>
      </c>
      <c r="AE2186" s="4031" t="s">
        <v>4570</v>
      </c>
    </row>
    <row r="2187" spans="1:76" s="4029" customFormat="1" ht="33">
      <c r="A2187" s="4018"/>
      <c r="B2187" s="4035"/>
      <c r="C2187" s="4021">
        <v>5</v>
      </c>
      <c r="D2187" s="4021" t="s">
        <v>107</v>
      </c>
      <c r="E2187" s="4021" t="s">
        <v>66</v>
      </c>
      <c r="F2187" s="4021" t="s">
        <v>155</v>
      </c>
      <c r="G2187" s="4021" t="s">
        <v>66</v>
      </c>
      <c r="H2187" s="4021" t="s">
        <v>202</v>
      </c>
      <c r="I2187" s="4022" t="s">
        <v>880</v>
      </c>
      <c r="J2187" s="4022" t="s">
        <v>443</v>
      </c>
      <c r="K2187" s="4023">
        <v>72</v>
      </c>
      <c r="L2187" s="4024">
        <v>132600000</v>
      </c>
      <c r="M2187" s="4021">
        <v>24</v>
      </c>
      <c r="N2187" s="4025">
        <v>39955000</v>
      </c>
      <c r="O2187" s="4023">
        <v>12</v>
      </c>
      <c r="P2187" s="4026">
        <v>17165719.75</v>
      </c>
      <c r="Q2187" s="4021">
        <v>3</v>
      </c>
      <c r="R2187" s="4024">
        <v>4291400</v>
      </c>
      <c r="S2187" s="4023">
        <v>3</v>
      </c>
      <c r="T2187" s="4024">
        <v>4291400</v>
      </c>
      <c r="U2187" s="4023">
        <v>3</v>
      </c>
      <c r="V2187" s="4024">
        <v>4291400</v>
      </c>
      <c r="W2187" s="4018"/>
      <c r="X2187" s="4018"/>
      <c r="Y2187" s="4023">
        <f t="shared" ref="Y2187:Y2188" si="828">Q2187+S2187+U2187+W2187</f>
        <v>9</v>
      </c>
      <c r="Z2187" s="4024">
        <f t="shared" si="824"/>
        <v>12874200</v>
      </c>
      <c r="AA2187" s="4023">
        <f>M2187+Y2187</f>
        <v>33</v>
      </c>
      <c r="AB2187" s="4024">
        <f t="shared" si="825"/>
        <v>52829200</v>
      </c>
      <c r="AC2187" s="4036">
        <f>(AA2187/K2187)*100</f>
        <v>45.833333333333329</v>
      </c>
      <c r="AD2187" s="4036">
        <f t="shared" si="826"/>
        <v>39.841025641025638</v>
      </c>
      <c r="AE2187" s="4022" t="s">
        <v>4570</v>
      </c>
    </row>
    <row r="2188" spans="1:76" s="4029" customFormat="1" ht="66">
      <c r="A2188" s="4030"/>
      <c r="B2188" s="4019"/>
      <c r="C2188" s="4020">
        <v>5</v>
      </c>
      <c r="D2188" s="4020" t="s">
        <v>107</v>
      </c>
      <c r="E2188" s="4020" t="s">
        <v>66</v>
      </c>
      <c r="F2188" s="4020" t="s">
        <v>155</v>
      </c>
      <c r="G2188" s="4020" t="s">
        <v>66</v>
      </c>
      <c r="H2188" s="4020" t="s">
        <v>417</v>
      </c>
      <c r="I2188" s="4031" t="s">
        <v>882</v>
      </c>
      <c r="J2188" s="4037" t="s">
        <v>4547</v>
      </c>
      <c r="K2188" s="4027">
        <v>72</v>
      </c>
      <c r="L2188" s="4032">
        <f>N2188*3</f>
        <v>78006000</v>
      </c>
      <c r="M2188" s="4020">
        <v>24</v>
      </c>
      <c r="N2188" s="4033">
        <v>26002000</v>
      </c>
      <c r="O2188" s="4027">
        <v>12</v>
      </c>
      <c r="P2188" s="4034">
        <v>13470590</v>
      </c>
      <c r="Q2188" s="4020">
        <v>3</v>
      </c>
      <c r="R2188" s="4032">
        <v>380000</v>
      </c>
      <c r="S2188" s="4027">
        <v>3</v>
      </c>
      <c r="T2188" s="4032">
        <v>2598000</v>
      </c>
      <c r="U2188" s="4027">
        <v>3</v>
      </c>
      <c r="V2188" s="4032">
        <v>2240000</v>
      </c>
      <c r="W2188" s="4030"/>
      <c r="X2188" s="4030"/>
      <c r="Y2188" s="4027">
        <f t="shared" si="828"/>
        <v>9</v>
      </c>
      <c r="Z2188" s="4032">
        <f t="shared" si="824"/>
        <v>5218000</v>
      </c>
      <c r="AA2188" s="4027">
        <f t="shared" ref="AA2188:AA2190" si="829">M2188+Y2188</f>
        <v>33</v>
      </c>
      <c r="AB2188" s="4032">
        <f t="shared" si="825"/>
        <v>31220000</v>
      </c>
      <c r="AC2188" s="4028">
        <f t="shared" ref="AC2188:AC2190" si="830">(AA2188/K2188)*100</f>
        <v>45.833333333333329</v>
      </c>
      <c r="AD2188" s="4028">
        <f t="shared" si="826"/>
        <v>40.022562366997413</v>
      </c>
      <c r="AE2188" s="4031" t="s">
        <v>4570</v>
      </c>
    </row>
    <row r="2189" spans="1:76" s="4029" customFormat="1" ht="92.25" customHeight="1">
      <c r="A2189" s="4030"/>
      <c r="B2189" s="4019"/>
      <c r="C2189" s="4020">
        <v>5</v>
      </c>
      <c r="D2189" s="4020" t="s">
        <v>107</v>
      </c>
      <c r="E2189" s="4020" t="s">
        <v>66</v>
      </c>
      <c r="F2189" s="4020" t="s">
        <v>155</v>
      </c>
      <c r="G2189" s="4020" t="s">
        <v>66</v>
      </c>
      <c r="H2189" s="4020" t="s">
        <v>160</v>
      </c>
      <c r="I2189" s="4031" t="s">
        <v>4339</v>
      </c>
      <c r="J2189" s="4031" t="s">
        <v>4519</v>
      </c>
      <c r="K2189" s="4027">
        <v>72</v>
      </c>
      <c r="L2189" s="4032">
        <v>18500000</v>
      </c>
      <c r="M2189" s="4020">
        <v>24</v>
      </c>
      <c r="N2189" s="4033">
        <v>6150000</v>
      </c>
      <c r="O2189" s="4027">
        <v>12</v>
      </c>
      <c r="P2189" s="4034">
        <v>3100000</v>
      </c>
      <c r="Q2189" s="4020">
        <v>3</v>
      </c>
      <c r="R2189" s="4032">
        <v>0</v>
      </c>
      <c r="S2189" s="4027">
        <v>3</v>
      </c>
      <c r="T2189" s="4032">
        <v>1250000</v>
      </c>
      <c r="U2189" s="4027">
        <v>3</v>
      </c>
      <c r="V2189" s="4034">
        <v>775000</v>
      </c>
      <c r="W2189" s="4030"/>
      <c r="X2189" s="4030"/>
      <c r="Y2189" s="4027">
        <f>Q2189+S2189+U2189+W2189</f>
        <v>9</v>
      </c>
      <c r="Z2189" s="4032">
        <f t="shared" si="824"/>
        <v>2025000</v>
      </c>
      <c r="AA2189" s="4027">
        <f t="shared" si="829"/>
        <v>33</v>
      </c>
      <c r="AB2189" s="4032">
        <f t="shared" si="825"/>
        <v>8175000</v>
      </c>
      <c r="AC2189" s="4028">
        <f t="shared" si="830"/>
        <v>45.833333333333329</v>
      </c>
      <c r="AD2189" s="4028">
        <f t="shared" si="826"/>
        <v>44.189189189189186</v>
      </c>
      <c r="AE2189" s="4031" t="s">
        <v>4570</v>
      </c>
    </row>
    <row r="2190" spans="1:76" s="4029" customFormat="1" ht="82.5">
      <c r="A2190" s="4018"/>
      <c r="B2190" s="4019"/>
      <c r="C2190" s="4020">
        <v>5</v>
      </c>
      <c r="D2190" s="4020" t="s">
        <v>107</v>
      </c>
      <c r="E2190" s="4020" t="s">
        <v>66</v>
      </c>
      <c r="F2190" s="4020" t="s">
        <v>155</v>
      </c>
      <c r="G2190" s="4020" t="s">
        <v>66</v>
      </c>
      <c r="H2190" s="4021" t="s">
        <v>155</v>
      </c>
      <c r="I2190" s="4022" t="s">
        <v>4341</v>
      </c>
      <c r="J2190" s="4022" t="s">
        <v>4548</v>
      </c>
      <c r="K2190" s="4023">
        <v>72</v>
      </c>
      <c r="L2190" s="4024">
        <v>32000000</v>
      </c>
      <c r="M2190" s="4021">
        <v>24</v>
      </c>
      <c r="N2190" s="4025">
        <v>10500000</v>
      </c>
      <c r="O2190" s="4023">
        <v>12</v>
      </c>
      <c r="P2190" s="4026">
        <v>5400000</v>
      </c>
      <c r="Q2190" s="4021">
        <v>3</v>
      </c>
      <c r="R2190" s="4024">
        <v>1350000</v>
      </c>
      <c r="S2190" s="4023">
        <v>3</v>
      </c>
      <c r="T2190" s="4024">
        <v>1350000</v>
      </c>
      <c r="U2190" s="4023">
        <v>3</v>
      </c>
      <c r="V2190" s="4024">
        <v>1350000</v>
      </c>
      <c r="W2190" s="4018"/>
      <c r="X2190" s="4018"/>
      <c r="Y2190" s="4027">
        <f t="shared" ref="Y2190:Y2191" si="831">Q2190+S2190+U2190+W2190</f>
        <v>9</v>
      </c>
      <c r="Z2190" s="4024">
        <f t="shared" si="824"/>
        <v>4050000</v>
      </c>
      <c r="AA2190" s="4027">
        <f t="shared" si="829"/>
        <v>33</v>
      </c>
      <c r="AB2190" s="4024">
        <f t="shared" si="825"/>
        <v>14550000</v>
      </c>
      <c r="AC2190" s="4028">
        <f t="shared" si="830"/>
        <v>45.833333333333329</v>
      </c>
      <c r="AD2190" s="4028">
        <f t="shared" si="826"/>
        <v>45.46875</v>
      </c>
      <c r="AE2190" s="4022" t="s">
        <v>4570</v>
      </c>
    </row>
    <row r="2191" spans="1:76" s="4029" customFormat="1" ht="52.5" customHeight="1">
      <c r="A2191" s="4030"/>
      <c r="B2191" s="4019"/>
      <c r="C2191" s="4020">
        <v>5</v>
      </c>
      <c r="D2191" s="4020" t="s">
        <v>107</v>
      </c>
      <c r="E2191" s="4020" t="s">
        <v>66</v>
      </c>
      <c r="F2191" s="4020" t="s">
        <v>155</v>
      </c>
      <c r="G2191" s="4020" t="s">
        <v>66</v>
      </c>
      <c r="H2191" s="4020" t="s">
        <v>448</v>
      </c>
      <c r="I2191" s="4031" t="s">
        <v>223</v>
      </c>
      <c r="J2191" s="4037" t="s">
        <v>4343</v>
      </c>
      <c r="K2191" s="4027">
        <v>72</v>
      </c>
      <c r="L2191" s="4032">
        <f>3*N2191</f>
        <v>103845000</v>
      </c>
      <c r="M2191" s="4020">
        <v>24</v>
      </c>
      <c r="N2191" s="4033">
        <f>P2191*2</f>
        <v>34615000</v>
      </c>
      <c r="O2191" s="4027">
        <v>12</v>
      </c>
      <c r="P2191" s="4034">
        <v>17307500</v>
      </c>
      <c r="Q2191" s="4020">
        <v>3</v>
      </c>
      <c r="R2191" s="4032">
        <v>2860000</v>
      </c>
      <c r="S2191" s="4027">
        <v>3</v>
      </c>
      <c r="T2191" s="4032">
        <v>4922500</v>
      </c>
      <c r="U2191" s="4027">
        <v>3</v>
      </c>
      <c r="V2191" s="4034">
        <v>8442500</v>
      </c>
      <c r="W2191" s="4030"/>
      <c r="X2191" s="4030"/>
      <c r="Y2191" s="4027">
        <f t="shared" si="831"/>
        <v>9</v>
      </c>
      <c r="Z2191" s="4032">
        <f t="shared" si="824"/>
        <v>16225000</v>
      </c>
      <c r="AA2191" s="4027">
        <f>M2191+Y2191</f>
        <v>33</v>
      </c>
      <c r="AB2191" s="4032">
        <f t="shared" si="825"/>
        <v>50840000</v>
      </c>
      <c r="AC2191" s="4028">
        <f>(AA2191/K2191)*100</f>
        <v>45.833333333333329</v>
      </c>
      <c r="AD2191" s="4028">
        <f t="shared" si="826"/>
        <v>48.957581010159373</v>
      </c>
      <c r="AE2191" s="4031" t="s">
        <v>4570</v>
      </c>
    </row>
    <row r="2192" spans="1:76" s="4029" customFormat="1" ht="64.5" customHeight="1">
      <c r="A2192" s="4030"/>
      <c r="B2192" s="4019"/>
      <c r="C2192" s="4020">
        <v>5</v>
      </c>
      <c r="D2192" s="4020" t="s">
        <v>107</v>
      </c>
      <c r="E2192" s="4020" t="s">
        <v>66</v>
      </c>
      <c r="F2192" s="4020" t="s">
        <v>155</v>
      </c>
      <c r="G2192" s="4020" t="s">
        <v>66</v>
      </c>
      <c r="H2192" s="4020" t="s">
        <v>167</v>
      </c>
      <c r="I2192" s="4031" t="s">
        <v>973</v>
      </c>
      <c r="J2192" s="4031" t="s">
        <v>4345</v>
      </c>
      <c r="K2192" s="4027">
        <v>72</v>
      </c>
      <c r="L2192" s="4032">
        <v>195000000</v>
      </c>
      <c r="M2192" s="4020">
        <v>24</v>
      </c>
      <c r="N2192" s="4033">
        <v>55578000</v>
      </c>
      <c r="O2192" s="4027">
        <v>12</v>
      </c>
      <c r="P2192" s="4034">
        <v>29150000</v>
      </c>
      <c r="Q2192" s="4020">
        <v>3</v>
      </c>
      <c r="R2192" s="4032">
        <v>4087000</v>
      </c>
      <c r="S2192" s="4027">
        <v>3</v>
      </c>
      <c r="T2192" s="4032">
        <v>10487300</v>
      </c>
      <c r="U2192" s="4027">
        <v>3</v>
      </c>
      <c r="V2192" s="4034">
        <v>4088100</v>
      </c>
      <c r="W2192" s="4030"/>
      <c r="X2192" s="4030"/>
      <c r="Y2192" s="4027">
        <f>Q2192+S2192+U2192+W2192</f>
        <v>9</v>
      </c>
      <c r="Z2192" s="4032">
        <f t="shared" si="824"/>
        <v>18662400</v>
      </c>
      <c r="AA2192" s="4027">
        <f t="shared" ref="AA2192:AA2193" si="832">M2192+Y2192</f>
        <v>33</v>
      </c>
      <c r="AB2192" s="4032">
        <f t="shared" si="825"/>
        <v>74240400</v>
      </c>
      <c r="AC2192" s="4028">
        <f t="shared" ref="AC2192:AC2193" si="833">(AA2192/K2192)*100</f>
        <v>45.833333333333329</v>
      </c>
      <c r="AD2192" s="4028">
        <f t="shared" si="826"/>
        <v>38.072000000000003</v>
      </c>
      <c r="AE2192" s="4031" t="s">
        <v>4570</v>
      </c>
    </row>
    <row r="2193" spans="1:76" s="4029" customFormat="1" ht="66">
      <c r="A2193" s="4018"/>
      <c r="B2193" s="4019"/>
      <c r="C2193" s="4020">
        <v>5</v>
      </c>
      <c r="D2193" s="4020" t="s">
        <v>107</v>
      </c>
      <c r="E2193" s="4020" t="s">
        <v>66</v>
      </c>
      <c r="F2193" s="4020" t="s">
        <v>155</v>
      </c>
      <c r="G2193" s="4020" t="s">
        <v>66</v>
      </c>
      <c r="H2193" s="4021" t="s">
        <v>376</v>
      </c>
      <c r="I2193" s="4022" t="s">
        <v>4346</v>
      </c>
      <c r="J2193" s="4022" t="s">
        <v>4347</v>
      </c>
      <c r="K2193" s="4023">
        <v>72</v>
      </c>
      <c r="L2193" s="4024">
        <f>3*N2193</f>
        <v>315900000</v>
      </c>
      <c r="M2193" s="4021">
        <v>24</v>
      </c>
      <c r="N2193" s="4025">
        <f>2*P2193</f>
        <v>105300000</v>
      </c>
      <c r="O2193" s="4023">
        <v>12</v>
      </c>
      <c r="P2193" s="4026">
        <v>52650000</v>
      </c>
      <c r="Q2193" s="4021">
        <v>3</v>
      </c>
      <c r="R2193" s="4024">
        <v>3162500</v>
      </c>
      <c r="S2193" s="4023">
        <v>3</v>
      </c>
      <c r="T2193" s="4024">
        <v>18162500</v>
      </c>
      <c r="U2193" s="4023">
        <v>3</v>
      </c>
      <c r="V2193" s="4026">
        <v>16500000</v>
      </c>
      <c r="W2193" s="4018"/>
      <c r="X2193" s="4018"/>
      <c r="Y2193" s="4027">
        <f t="shared" ref="Y2193" si="834">Q2193+S2193+U2193+W2193</f>
        <v>9</v>
      </c>
      <c r="Z2193" s="4024">
        <f t="shared" si="824"/>
        <v>37825000</v>
      </c>
      <c r="AA2193" s="4027">
        <f t="shared" si="832"/>
        <v>33</v>
      </c>
      <c r="AB2193" s="4024">
        <f t="shared" si="825"/>
        <v>143125000</v>
      </c>
      <c r="AC2193" s="4028">
        <f t="shared" si="833"/>
        <v>45.833333333333329</v>
      </c>
      <c r="AD2193" s="4028">
        <f t="shared" si="826"/>
        <v>45.307059195948085</v>
      </c>
      <c r="AE2193" s="4022" t="s">
        <v>4570</v>
      </c>
    </row>
    <row r="2194" spans="1:76" s="3837" customFormat="1" ht="99">
      <c r="A2194" s="3657">
        <v>2</v>
      </c>
      <c r="B2194" s="3835"/>
      <c r="C2194" s="3659">
        <v>5</v>
      </c>
      <c r="D2194" s="3659" t="s">
        <v>107</v>
      </c>
      <c r="E2194" s="3659" t="s">
        <v>66</v>
      </c>
      <c r="F2194" s="3659" t="s">
        <v>155</v>
      </c>
      <c r="G2194" s="3659" t="s">
        <v>65</v>
      </c>
      <c r="H2194" s="3657"/>
      <c r="I2194" s="3660" t="s">
        <v>4350</v>
      </c>
      <c r="J2194" s="3660" t="s">
        <v>4313</v>
      </c>
      <c r="K2194" s="3657">
        <v>72</v>
      </c>
      <c r="L2194" s="3662">
        <f>SUM(L2195:L2199)</f>
        <v>539902800</v>
      </c>
      <c r="M2194" s="3657">
        <v>24</v>
      </c>
      <c r="N2194" s="3662">
        <f>SUM(N2195:N2199)</f>
        <v>117971620</v>
      </c>
      <c r="O2194" s="3657">
        <v>12</v>
      </c>
      <c r="P2194" s="3662">
        <f>SUM(P2195:P2199)</f>
        <v>75179000</v>
      </c>
      <c r="Q2194" s="3657">
        <v>3</v>
      </c>
      <c r="R2194" s="3662">
        <f>SUM(R2195:R2199)</f>
        <v>9388700</v>
      </c>
      <c r="S2194" s="3657">
        <v>3</v>
      </c>
      <c r="T2194" s="3662">
        <f>SUM(T2195:T2199)</f>
        <v>24371150</v>
      </c>
      <c r="U2194" s="3661">
        <v>3</v>
      </c>
      <c r="V2194" s="3662">
        <f>SUM(V2195:V2199)</f>
        <v>8152000</v>
      </c>
      <c r="W2194" s="3661"/>
      <c r="X2194" s="3661"/>
      <c r="Y2194" s="3657">
        <f>Q2194+S2194+U2194+W2194</f>
        <v>9</v>
      </c>
      <c r="Z2194" s="3662">
        <f>SUM(Z2195:Z2199)</f>
        <v>41911850</v>
      </c>
      <c r="AA2194" s="3657">
        <f>M2194+Y2194</f>
        <v>33</v>
      </c>
      <c r="AB2194" s="3662">
        <f>SUM(AB2195:AB2199)</f>
        <v>503306570</v>
      </c>
      <c r="AC2194" s="3664">
        <f>(AA2194/K2194)*100</f>
        <v>45.833333333333329</v>
      </c>
      <c r="AD2194" s="3664">
        <f>(AB2194/L2194)*100</f>
        <v>93.221700276420123</v>
      </c>
      <c r="AE2194" s="3660" t="s">
        <v>4570</v>
      </c>
    </row>
    <row r="2195" spans="1:76" s="75" customFormat="1" ht="52.5" customHeight="1">
      <c r="A2195" s="2849"/>
      <c r="B2195" s="728"/>
      <c r="C2195" s="1218" t="s">
        <v>4322</v>
      </c>
      <c r="D2195" s="1218" t="s">
        <v>107</v>
      </c>
      <c r="E2195" s="1218" t="s">
        <v>66</v>
      </c>
      <c r="F2195" s="1218" t="s">
        <v>65</v>
      </c>
      <c r="G2195" s="1218" t="s">
        <v>65</v>
      </c>
      <c r="H2195" s="1218" t="s">
        <v>165</v>
      </c>
      <c r="I2195" s="728" t="s">
        <v>2844</v>
      </c>
      <c r="J2195" s="728" t="s">
        <v>4604</v>
      </c>
      <c r="K2195" s="3734">
        <v>12</v>
      </c>
      <c r="L2195" s="3871">
        <v>204656500</v>
      </c>
      <c r="M2195" s="3736">
        <v>5</v>
      </c>
      <c r="N2195" s="3735">
        <v>32156500</v>
      </c>
      <c r="O2195" s="3871">
        <v>1</v>
      </c>
      <c r="P2195" s="3871">
        <v>24500000</v>
      </c>
      <c r="Q2195" s="3730"/>
      <c r="R2195" s="3877"/>
      <c r="S2195" s="3730">
        <v>1</v>
      </c>
      <c r="T2195" s="3868">
        <v>2100400</v>
      </c>
      <c r="U2195" s="3730"/>
      <c r="V2195" s="3868"/>
      <c r="W2195" s="3730">
        <v>0</v>
      </c>
      <c r="X2195" s="3747">
        <v>0</v>
      </c>
      <c r="Y2195" s="3730">
        <v>6</v>
      </c>
      <c r="Z2195" s="3868">
        <f t="shared" ref="Z2195:Z2199" si="835">R2195+T2195+V2195+X2195</f>
        <v>2100400</v>
      </c>
      <c r="AA2195" s="3730">
        <f t="shared" ref="AA2195:AB2199" si="836">(M2195+Y2195)</f>
        <v>11</v>
      </c>
      <c r="AB2195" s="3910">
        <v>377680000</v>
      </c>
      <c r="AC2195" s="3905">
        <f t="shared" ref="AC2195:AD2199" si="837">(AA2195/K2195*100%)</f>
        <v>0.91666666666666663</v>
      </c>
      <c r="AD2195" s="3869">
        <v>0.78</v>
      </c>
      <c r="AE2195" s="3157" t="s">
        <v>4560</v>
      </c>
    </row>
    <row r="2196" spans="1:76" s="75" customFormat="1" ht="39.75" customHeight="1">
      <c r="A2196" s="2849"/>
      <c r="B2196" s="728"/>
      <c r="C2196" s="1218" t="s">
        <v>4322</v>
      </c>
      <c r="D2196" s="1218" t="s">
        <v>107</v>
      </c>
      <c r="E2196" s="1218" t="s">
        <v>66</v>
      </c>
      <c r="F2196" s="1218" t="s">
        <v>65</v>
      </c>
      <c r="G2196" s="1218" t="s">
        <v>65</v>
      </c>
      <c r="H2196" s="1218" t="s">
        <v>163</v>
      </c>
      <c r="I2196" s="728" t="s">
        <v>4486</v>
      </c>
      <c r="J2196" s="728" t="s">
        <v>4605</v>
      </c>
      <c r="K2196" s="3734">
        <v>72</v>
      </c>
      <c r="L2196" s="3735">
        <v>51645000</v>
      </c>
      <c r="M2196" s="3734">
        <v>24</v>
      </c>
      <c r="N2196" s="3735">
        <v>15000000</v>
      </c>
      <c r="O2196" s="3736">
        <v>12</v>
      </c>
      <c r="P2196" s="3877">
        <v>7900000</v>
      </c>
      <c r="Q2196" s="3730">
        <v>3</v>
      </c>
      <c r="R2196" s="3871">
        <v>1000000</v>
      </c>
      <c r="S2196" s="3870">
        <v>3</v>
      </c>
      <c r="T2196" s="3874">
        <v>6500000</v>
      </c>
      <c r="U2196" s="3870">
        <v>3</v>
      </c>
      <c r="V2196" s="3868">
        <v>0</v>
      </c>
      <c r="W2196" s="3730">
        <v>0</v>
      </c>
      <c r="X2196" s="3747">
        <v>0</v>
      </c>
      <c r="Y2196" s="3730">
        <f t="shared" ref="Y2196:Y2199" si="838">(Q2196+S2196+U2196+W2196)</f>
        <v>9</v>
      </c>
      <c r="Z2196" s="3868">
        <f t="shared" si="835"/>
        <v>7500000</v>
      </c>
      <c r="AA2196" s="3730">
        <f t="shared" si="836"/>
        <v>33</v>
      </c>
      <c r="AB2196" s="3910">
        <f t="shared" si="836"/>
        <v>22500000</v>
      </c>
      <c r="AC2196" s="3905">
        <f t="shared" si="837"/>
        <v>0.45833333333333331</v>
      </c>
      <c r="AD2196" s="3869">
        <f t="shared" si="837"/>
        <v>0.43566656985187335</v>
      </c>
      <c r="AE2196" s="3157" t="s">
        <v>4560</v>
      </c>
    </row>
    <row r="2197" spans="1:76" s="75" customFormat="1" ht="40.5" customHeight="1">
      <c r="A2197" s="3157"/>
      <c r="B2197" s="728"/>
      <c r="C2197" s="1218">
        <v>5</v>
      </c>
      <c r="D2197" s="1218" t="s">
        <v>107</v>
      </c>
      <c r="E2197" s="1218" t="s">
        <v>66</v>
      </c>
      <c r="F2197" s="1218" t="s">
        <v>65</v>
      </c>
      <c r="G2197" s="1218" t="s">
        <v>65</v>
      </c>
      <c r="H2197" s="1218">
        <v>22</v>
      </c>
      <c r="I2197" s="728" t="s">
        <v>4433</v>
      </c>
      <c r="J2197" s="728" t="s">
        <v>4434</v>
      </c>
      <c r="K2197" s="3734">
        <v>72</v>
      </c>
      <c r="L2197" s="3735">
        <f>3*N2197</f>
        <v>43920000</v>
      </c>
      <c r="M2197" s="3736">
        <v>24</v>
      </c>
      <c r="N2197" s="3735">
        <v>14640000</v>
      </c>
      <c r="O2197" s="3734">
        <v>12</v>
      </c>
      <c r="P2197" s="3735">
        <v>12300000</v>
      </c>
      <c r="Q2197" s="3730">
        <v>3</v>
      </c>
      <c r="R2197" s="3735">
        <v>4500000</v>
      </c>
      <c r="S2197" s="3730">
        <v>3</v>
      </c>
      <c r="T2197" s="3868">
        <v>6140000</v>
      </c>
      <c r="U2197" s="3730">
        <v>3</v>
      </c>
      <c r="V2197" s="3874">
        <v>500000</v>
      </c>
      <c r="W2197" s="3730">
        <v>0</v>
      </c>
      <c r="X2197" s="3878">
        <v>0</v>
      </c>
      <c r="Y2197" s="3730">
        <f t="shared" si="838"/>
        <v>9</v>
      </c>
      <c r="Z2197" s="3868">
        <f t="shared" si="835"/>
        <v>11140000</v>
      </c>
      <c r="AA2197" s="3730">
        <f t="shared" si="836"/>
        <v>33</v>
      </c>
      <c r="AB2197" s="3910">
        <f>(N2197+Z2197)</f>
        <v>25780000</v>
      </c>
      <c r="AC2197" s="3905">
        <f t="shared" si="837"/>
        <v>0.45833333333333331</v>
      </c>
      <c r="AD2197" s="3869">
        <f t="shared" si="837"/>
        <v>0.58697632058287796</v>
      </c>
      <c r="AE2197" s="3157" t="s">
        <v>4560</v>
      </c>
    </row>
    <row r="2198" spans="1:76" s="75" customFormat="1" ht="52.5" customHeight="1">
      <c r="A2198" s="3157"/>
      <c r="B2198" s="728"/>
      <c r="C2198" s="1218" t="s">
        <v>4322</v>
      </c>
      <c r="D2198" s="1218" t="s">
        <v>107</v>
      </c>
      <c r="E2198" s="1218" t="s">
        <v>66</v>
      </c>
      <c r="F2198" s="1218" t="s">
        <v>65</v>
      </c>
      <c r="G2198" s="1218" t="s">
        <v>65</v>
      </c>
      <c r="H2198" s="1218" t="s">
        <v>165</v>
      </c>
      <c r="I2198" s="728" t="s">
        <v>4606</v>
      </c>
      <c r="J2198" s="728" t="s">
        <v>4607</v>
      </c>
      <c r="K2198" s="3734">
        <v>72</v>
      </c>
      <c r="L2198" s="3735">
        <v>20300000</v>
      </c>
      <c r="M2198" s="3736">
        <v>24</v>
      </c>
      <c r="N2198" s="3735">
        <v>6087560</v>
      </c>
      <c r="O2198" s="3734">
        <v>12</v>
      </c>
      <c r="P2198" s="3735">
        <v>2920000</v>
      </c>
      <c r="Q2198" s="3730">
        <v>3</v>
      </c>
      <c r="R2198" s="3735"/>
      <c r="S2198" s="3730">
        <v>3</v>
      </c>
      <c r="T2198" s="3868">
        <v>1030000</v>
      </c>
      <c r="U2198" s="3730">
        <v>3</v>
      </c>
      <c r="V2198" s="3868">
        <v>760000</v>
      </c>
      <c r="W2198" s="3730">
        <v>0</v>
      </c>
      <c r="X2198" s="3747">
        <v>0</v>
      </c>
      <c r="Y2198" s="3730">
        <f t="shared" si="838"/>
        <v>9</v>
      </c>
      <c r="Z2198" s="3868">
        <f t="shared" si="835"/>
        <v>1790000</v>
      </c>
      <c r="AA2198" s="3730">
        <f t="shared" si="836"/>
        <v>33</v>
      </c>
      <c r="AB2198" s="3910">
        <f t="shared" si="836"/>
        <v>7877560</v>
      </c>
      <c r="AC2198" s="3905">
        <f t="shared" si="837"/>
        <v>0.45833333333333331</v>
      </c>
      <c r="AD2198" s="3869">
        <f t="shared" si="837"/>
        <v>0.38805714285714288</v>
      </c>
      <c r="AE2198" s="3157" t="s">
        <v>4560</v>
      </c>
    </row>
    <row r="2199" spans="1:76" s="75" customFormat="1" ht="52.5" customHeight="1">
      <c r="A2199" s="3157"/>
      <c r="B2199" s="728"/>
      <c r="C2199" s="1218" t="s">
        <v>4322</v>
      </c>
      <c r="D2199" s="1218" t="s">
        <v>107</v>
      </c>
      <c r="E2199" s="1218" t="s">
        <v>66</v>
      </c>
      <c r="F2199" s="1218" t="s">
        <v>65</v>
      </c>
      <c r="G2199" s="1218" t="s">
        <v>65</v>
      </c>
      <c r="H2199" s="1218" t="s">
        <v>165</v>
      </c>
      <c r="I2199" s="728" t="s">
        <v>4435</v>
      </c>
      <c r="J2199" s="728" t="s">
        <v>4436</v>
      </c>
      <c r="K2199" s="3734">
        <v>72</v>
      </c>
      <c r="L2199" s="3735">
        <v>219381300</v>
      </c>
      <c r="M2199" s="3736">
        <v>24</v>
      </c>
      <c r="N2199" s="3735">
        <v>50087560</v>
      </c>
      <c r="O2199" s="3734">
        <v>12</v>
      </c>
      <c r="P2199" s="3735">
        <v>27559000</v>
      </c>
      <c r="Q2199" s="3730">
        <v>3</v>
      </c>
      <c r="R2199" s="3735">
        <v>3888700</v>
      </c>
      <c r="S2199" s="3730">
        <v>3</v>
      </c>
      <c r="T2199" s="3868">
        <v>8600750</v>
      </c>
      <c r="U2199" s="3730">
        <v>3</v>
      </c>
      <c r="V2199" s="3868">
        <v>6892000</v>
      </c>
      <c r="W2199" s="3730">
        <v>0</v>
      </c>
      <c r="X2199" s="3747">
        <v>0</v>
      </c>
      <c r="Y2199" s="3730">
        <f t="shared" si="838"/>
        <v>9</v>
      </c>
      <c r="Z2199" s="3868">
        <f t="shared" si="835"/>
        <v>19381450</v>
      </c>
      <c r="AA2199" s="3730">
        <f t="shared" si="836"/>
        <v>33</v>
      </c>
      <c r="AB2199" s="3910">
        <f t="shared" si="836"/>
        <v>69469010</v>
      </c>
      <c r="AC2199" s="3905">
        <f t="shared" si="837"/>
        <v>0.45833333333333331</v>
      </c>
      <c r="AD2199" s="3869">
        <f t="shared" si="837"/>
        <v>0.31665875806187677</v>
      </c>
      <c r="AE2199" s="3157" t="s">
        <v>4560</v>
      </c>
    </row>
    <row r="2200" spans="1:76" s="2117" customFormat="1" ht="78" customHeight="1">
      <c r="A2200" s="3838">
        <v>3</v>
      </c>
      <c r="B2200" s="3838"/>
      <c r="C2200" s="3838">
        <v>5</v>
      </c>
      <c r="D2200" s="3839" t="s">
        <v>107</v>
      </c>
      <c r="E2200" s="3839" t="s">
        <v>66</v>
      </c>
      <c r="F2200" s="3839" t="s">
        <v>155</v>
      </c>
      <c r="G2200" s="3839" t="s">
        <v>155</v>
      </c>
      <c r="H2200" s="3838"/>
      <c r="I2200" s="3660" t="s">
        <v>4608</v>
      </c>
      <c r="J2200" s="3953" t="s">
        <v>4400</v>
      </c>
      <c r="K2200" s="3954">
        <v>10</v>
      </c>
      <c r="L2200" s="3955">
        <f>SUM(L2201)</f>
        <v>43000000</v>
      </c>
      <c r="M2200" s="3954">
        <v>0</v>
      </c>
      <c r="N2200" s="3955">
        <f>SUM(N2201)</f>
        <v>13000000</v>
      </c>
      <c r="O2200" s="3954">
        <v>2</v>
      </c>
      <c r="P2200" s="3955">
        <f>SUM(P2201)</f>
        <v>6855000</v>
      </c>
      <c r="Q2200" s="3954">
        <v>0</v>
      </c>
      <c r="R2200" s="3955">
        <f>SUM(R2201)</f>
        <v>1713300</v>
      </c>
      <c r="S2200" s="3956">
        <v>0</v>
      </c>
      <c r="T2200" s="3955">
        <f>T2201</f>
        <v>1713300</v>
      </c>
      <c r="U2200" s="3956">
        <v>0</v>
      </c>
      <c r="V2200" s="3957">
        <f>V2201</f>
        <v>1713300</v>
      </c>
      <c r="W2200" s="3954"/>
      <c r="X2200" s="3954"/>
      <c r="Y2200" s="3954">
        <f>Q2200+S2200+U2200+W2200</f>
        <v>0</v>
      </c>
      <c r="Z2200" s="3955">
        <f>SUM(Z2201)</f>
        <v>5139900</v>
      </c>
      <c r="AA2200" s="3954">
        <f>M2200+Y2200</f>
        <v>0</v>
      </c>
      <c r="AB2200" s="3955">
        <f>SUM(AB2201)</f>
        <v>18139900</v>
      </c>
      <c r="AC2200" s="3956">
        <f>(AA2200/K2200)*100</f>
        <v>0</v>
      </c>
      <c r="AD2200" s="3956">
        <f t="shared" ref="AD2200:AD2202" si="839">(AB2200/L2200)*100</f>
        <v>42.18581395348837</v>
      </c>
      <c r="AE2200" s="3660" t="s">
        <v>4328</v>
      </c>
      <c r="AG2200" s="4038"/>
      <c r="AH2200" s="4038"/>
    </row>
    <row r="2201" spans="1:76" s="6" customFormat="1" ht="99" customHeight="1">
      <c r="A2201" s="64"/>
      <c r="B2201" s="2632"/>
      <c r="C2201" s="4001">
        <v>5</v>
      </c>
      <c r="D2201" s="4000" t="s">
        <v>107</v>
      </c>
      <c r="E2201" s="4000" t="s">
        <v>66</v>
      </c>
      <c r="F2201" s="4000" t="s">
        <v>155</v>
      </c>
      <c r="G2201" s="4000" t="s">
        <v>155</v>
      </c>
      <c r="H2201" s="1715" t="s">
        <v>357</v>
      </c>
      <c r="I2201" s="2632" t="s">
        <v>4609</v>
      </c>
      <c r="J2201" s="2632" t="s">
        <v>4610</v>
      </c>
      <c r="K2201" s="64">
        <v>96</v>
      </c>
      <c r="L2201" s="1689">
        <v>43000000</v>
      </c>
      <c r="M2201" s="64">
        <v>32</v>
      </c>
      <c r="N2201" s="64">
        <v>13000000</v>
      </c>
      <c r="O2201" s="64">
        <v>16</v>
      </c>
      <c r="P2201" s="1690">
        <v>6855000</v>
      </c>
      <c r="Q2201" s="64">
        <v>4</v>
      </c>
      <c r="R2201" s="1689">
        <v>1713300</v>
      </c>
      <c r="S2201" s="64">
        <v>4</v>
      </c>
      <c r="T2201" s="1689">
        <v>1713300</v>
      </c>
      <c r="U2201" s="64">
        <v>4</v>
      </c>
      <c r="V2201" s="1689">
        <v>1713300</v>
      </c>
      <c r="W2201" s="64"/>
      <c r="X2201" s="64"/>
      <c r="Y2201" s="64">
        <f>Q2201+S2201+U2201+W2201</f>
        <v>12</v>
      </c>
      <c r="Z2201" s="386">
        <f t="shared" ref="Z2201" si="840">R2201+T2201+V2201+X2201</f>
        <v>5139900</v>
      </c>
      <c r="AA2201" s="64">
        <f>M2201+Y2201</f>
        <v>44</v>
      </c>
      <c r="AB2201" s="386">
        <f t="shared" ref="AB2201" si="841">N2201+Z2201</f>
        <v>18139900</v>
      </c>
      <c r="AC2201" s="3668">
        <f>(AA2201/K2201)*100</f>
        <v>45.833333333333329</v>
      </c>
      <c r="AD2201" s="1946">
        <f t="shared" si="839"/>
        <v>42.18581395348837</v>
      </c>
      <c r="AE2201" s="1374" t="s">
        <v>4328</v>
      </c>
      <c r="AG2201" s="4039"/>
      <c r="AH2201" s="4039"/>
    </row>
    <row r="2202" spans="1:76" s="3825" customFormat="1" ht="99">
      <c r="A2202" s="3657">
        <v>4</v>
      </c>
      <c r="B2202" s="3835"/>
      <c r="C2202" s="3659">
        <v>5</v>
      </c>
      <c r="D2202" s="3659" t="s">
        <v>107</v>
      </c>
      <c r="E2202" s="3659" t="s">
        <v>66</v>
      </c>
      <c r="F2202" s="3659" t="s">
        <v>155</v>
      </c>
      <c r="G2202" s="3659" t="s">
        <v>166</v>
      </c>
      <c r="H2202" s="3657"/>
      <c r="I2202" s="3660" t="s">
        <v>4611</v>
      </c>
      <c r="J2202" s="3660" t="s">
        <v>4612</v>
      </c>
      <c r="K2202" s="3657">
        <v>100</v>
      </c>
      <c r="L2202" s="3662">
        <f>SUM(L2203:L2203)</f>
        <v>34225000</v>
      </c>
      <c r="M2202" s="3657">
        <v>70</v>
      </c>
      <c r="N2202" s="3662">
        <f>SUM(N2203:N2203)</f>
        <v>11225000</v>
      </c>
      <c r="O2202" s="3657">
        <v>15</v>
      </c>
      <c r="P2202" s="3662">
        <f>SUM(P2203:P2203)</f>
        <v>4497411.75</v>
      </c>
      <c r="Q2202" s="3657">
        <v>4</v>
      </c>
      <c r="R2202" s="3662">
        <f>SUM(R2203:R2203)</f>
        <v>1123900</v>
      </c>
      <c r="S2202" s="3657">
        <v>4</v>
      </c>
      <c r="T2202" s="3662">
        <f>SUM(T2203:T2203)</f>
        <v>1123900</v>
      </c>
      <c r="U2202" s="3664">
        <v>4</v>
      </c>
      <c r="V2202" s="3662">
        <f>SUM(V2203:V2203)</f>
        <v>1123900</v>
      </c>
      <c r="W2202" s="3661"/>
      <c r="X2202" s="3661"/>
      <c r="Y2202" s="3836">
        <f t="shared" ref="Y2202:Y2215" si="842">Q2202+S2202+U2202+W2202</f>
        <v>12</v>
      </c>
      <c r="Z2202" s="3662">
        <f>SUM(Z2203:Z2203)</f>
        <v>3371700</v>
      </c>
      <c r="AA2202" s="3836">
        <f t="shared" ref="AA2202:AB2215" si="843">M2202+Y2202</f>
        <v>82</v>
      </c>
      <c r="AB2202" s="3662">
        <f>SUM(AB2203:AB2203)</f>
        <v>14596700</v>
      </c>
      <c r="AC2202" s="3664">
        <f t="shared" ref="AC2202:AD2215" si="844">(AA2202/K2202)*100</f>
        <v>82</v>
      </c>
      <c r="AD2202" s="3664">
        <f t="shared" si="839"/>
        <v>42.649233016800586</v>
      </c>
      <c r="AE2202" s="3660" t="s">
        <v>4571</v>
      </c>
    </row>
    <row r="2203" spans="1:76" s="2117" customFormat="1" ht="30">
      <c r="A2203" s="18"/>
      <c r="B2203" s="15"/>
      <c r="C2203" s="36">
        <v>5</v>
      </c>
      <c r="D2203" s="36" t="s">
        <v>107</v>
      </c>
      <c r="E2203" s="36" t="s">
        <v>66</v>
      </c>
      <c r="F2203" s="36" t="s">
        <v>155</v>
      </c>
      <c r="G2203" s="36" t="s">
        <v>166</v>
      </c>
      <c r="H2203" s="36" t="s">
        <v>401</v>
      </c>
      <c r="I2203" s="15" t="s">
        <v>4323</v>
      </c>
      <c r="J2203" s="15" t="s">
        <v>4613</v>
      </c>
      <c r="K2203" s="3826">
        <v>96</v>
      </c>
      <c r="L2203" s="16">
        <v>34225000</v>
      </c>
      <c r="M2203" s="3826">
        <v>32</v>
      </c>
      <c r="N2203" s="16">
        <v>11225000</v>
      </c>
      <c r="O2203" s="3826">
        <v>16</v>
      </c>
      <c r="P2203" s="16">
        <v>4497411.75</v>
      </c>
      <c r="Q2203" s="3826">
        <v>4</v>
      </c>
      <c r="R2203" s="16">
        <v>1123900</v>
      </c>
      <c r="S2203" s="4040">
        <v>4</v>
      </c>
      <c r="T2203" s="16">
        <v>1123900</v>
      </c>
      <c r="U2203" s="3826">
        <v>4</v>
      </c>
      <c r="V2203" s="16">
        <v>1123900</v>
      </c>
      <c r="W2203" s="15"/>
      <c r="X2203" s="15"/>
      <c r="Y2203" s="3826">
        <f t="shared" si="842"/>
        <v>12</v>
      </c>
      <c r="Z2203" s="3691">
        <f>R2203+T2203+V2203+X2203</f>
        <v>3371700</v>
      </c>
      <c r="AA2203" s="3826">
        <f t="shared" si="843"/>
        <v>44</v>
      </c>
      <c r="AB2203" s="3691">
        <f t="shared" si="843"/>
        <v>14596700</v>
      </c>
      <c r="AC2203" s="19">
        <f t="shared" si="844"/>
        <v>45.833333333333329</v>
      </c>
      <c r="AD2203" s="19">
        <f>(AB2203/L2203)*100</f>
        <v>42.649233016800586</v>
      </c>
      <c r="AE2203" s="15" t="s">
        <v>4571</v>
      </c>
    </row>
    <row r="2204" spans="1:76" s="3829" customFormat="1" ht="111.75" customHeight="1">
      <c r="A2204" s="3657">
        <v>5</v>
      </c>
      <c r="B2204" s="3835"/>
      <c r="C2204" s="3659">
        <v>5</v>
      </c>
      <c r="D2204" s="3659" t="s">
        <v>107</v>
      </c>
      <c r="E2204" s="3659" t="s">
        <v>66</v>
      </c>
      <c r="F2204" s="3659" t="s">
        <v>155</v>
      </c>
      <c r="G2204" s="3659" t="s">
        <v>67</v>
      </c>
      <c r="H2204" s="3657"/>
      <c r="I2204" s="3660" t="s">
        <v>4279</v>
      </c>
      <c r="J2204" s="3660" t="s">
        <v>4614</v>
      </c>
      <c r="K2204" s="3657">
        <v>80</v>
      </c>
      <c r="L2204" s="3662">
        <f>SUM(L2205:L2205)</f>
        <v>29353840</v>
      </c>
      <c r="M2204" s="3657">
        <v>32</v>
      </c>
      <c r="N2204" s="3662">
        <f>SUM(N2205:N2205)</f>
        <v>0</v>
      </c>
      <c r="O2204" s="3657">
        <v>18</v>
      </c>
      <c r="P2204" s="3662">
        <f>SUM(P2205:P2205)</f>
        <v>5178299.5</v>
      </c>
      <c r="Q2204" s="3657">
        <v>0</v>
      </c>
      <c r="R2204" s="3662">
        <f>SUM(R2205:R2205)</f>
        <v>0</v>
      </c>
      <c r="S2204" s="3657">
        <v>2</v>
      </c>
      <c r="T2204" s="3663">
        <f>SUM(T2205:T2205)</f>
        <v>5078000</v>
      </c>
      <c r="U2204" s="4041">
        <f>V2204/P2204*100</f>
        <v>0</v>
      </c>
      <c r="V2204" s="3663">
        <f>SUM(V2205:V2205)</f>
        <v>0</v>
      </c>
      <c r="W2204" s="3661"/>
      <c r="X2204" s="3661"/>
      <c r="Y2204" s="3836">
        <f t="shared" si="842"/>
        <v>2</v>
      </c>
      <c r="Z2204" s="3662">
        <f>SUM(Z2205:Z2205)</f>
        <v>5078000</v>
      </c>
      <c r="AA2204" s="3836">
        <f t="shared" si="843"/>
        <v>34</v>
      </c>
      <c r="AB2204" s="3662">
        <f>SUM(AB2205:AB2205)</f>
        <v>5078000</v>
      </c>
      <c r="AC2204" s="3664">
        <f t="shared" si="844"/>
        <v>42.5</v>
      </c>
      <c r="AD2204" s="3664">
        <f t="shared" si="844"/>
        <v>17.299269874060773</v>
      </c>
      <c r="AE2204" s="3660" t="s">
        <v>4571</v>
      </c>
    </row>
    <row r="2205" spans="1:76" ht="25.5">
      <c r="A2205" s="64"/>
      <c r="B2205" s="2632"/>
      <c r="C2205" s="4000">
        <v>5</v>
      </c>
      <c r="D2205" s="4000" t="s">
        <v>107</v>
      </c>
      <c r="E2205" s="4000" t="s">
        <v>66</v>
      </c>
      <c r="F2205" s="4000" t="s">
        <v>155</v>
      </c>
      <c r="G2205" s="4000" t="s">
        <v>67</v>
      </c>
      <c r="H2205" s="1727" t="s">
        <v>363</v>
      </c>
      <c r="I2205" s="2632" t="s">
        <v>4615</v>
      </c>
      <c r="J2205" s="2632" t="s">
        <v>4616</v>
      </c>
      <c r="K2205" s="4012">
        <v>16</v>
      </c>
      <c r="L2205" s="1731">
        <v>29353840</v>
      </c>
      <c r="M2205" s="4012">
        <v>0</v>
      </c>
      <c r="N2205" s="1731">
        <v>0</v>
      </c>
      <c r="O2205" s="4012">
        <v>4</v>
      </c>
      <c r="P2205" s="1731">
        <v>5178299.5</v>
      </c>
      <c r="Q2205" s="4012">
        <v>0</v>
      </c>
      <c r="R2205" s="1731">
        <v>0</v>
      </c>
      <c r="S2205" s="4012">
        <v>4</v>
      </c>
      <c r="T2205" s="1400">
        <v>5078000</v>
      </c>
      <c r="U2205" s="4042"/>
      <c r="V2205" s="1400"/>
      <c r="W2205" s="2632"/>
      <c r="X2205" s="2632"/>
      <c r="Y2205" s="4012">
        <f t="shared" si="842"/>
        <v>4</v>
      </c>
      <c r="Z2205" s="60">
        <f>R2205+T2205+V2205+X2205</f>
        <v>5078000</v>
      </c>
      <c r="AA2205" s="4012">
        <f t="shared" si="843"/>
        <v>4</v>
      </c>
      <c r="AB2205" s="60">
        <f t="shared" si="843"/>
        <v>5078000</v>
      </c>
      <c r="AC2205" s="2305">
        <f t="shared" si="844"/>
        <v>25</v>
      </c>
      <c r="AD2205" s="2305">
        <f>(AB2205/L2205)*100</f>
        <v>17.299269874060773</v>
      </c>
      <c r="AE2205" s="2632" t="s">
        <v>4571</v>
      </c>
      <c r="AF2205" s="54"/>
      <c r="AG2205" s="54"/>
      <c r="AH2205" s="54"/>
      <c r="AI2205" s="54"/>
      <c r="AJ2205" s="54"/>
      <c r="AK2205" s="54"/>
      <c r="AL2205" s="54"/>
      <c r="AM2205" s="54"/>
      <c r="AN2205" s="54"/>
      <c r="AO2205" s="54"/>
      <c r="AP2205" s="54"/>
      <c r="AQ2205" s="54"/>
      <c r="AR2205" s="54"/>
      <c r="AS2205" s="54"/>
      <c r="AT2205" s="54"/>
      <c r="AU2205" s="54"/>
      <c r="AV2205" s="54"/>
      <c r="AW2205" s="54"/>
      <c r="AX2205" s="54"/>
      <c r="AY2205" s="54"/>
      <c r="AZ2205" s="54"/>
      <c r="BA2205" s="54"/>
      <c r="BB2205" s="54"/>
      <c r="BC2205" s="54"/>
      <c r="BD2205" s="54"/>
      <c r="BE2205" s="54"/>
      <c r="BF2205" s="54"/>
      <c r="BG2205" s="54"/>
      <c r="BH2205" s="54"/>
      <c r="BI2205" s="54"/>
      <c r="BJ2205" s="54"/>
      <c r="BK2205" s="54"/>
      <c r="BL2205" s="54"/>
      <c r="BM2205" s="54"/>
      <c r="BN2205" s="54"/>
      <c r="BO2205" s="54"/>
      <c r="BP2205" s="54"/>
      <c r="BQ2205" s="54"/>
      <c r="BR2205" s="54"/>
      <c r="BS2205" s="54"/>
      <c r="BT2205" s="54"/>
      <c r="BU2205" s="54"/>
      <c r="BV2205" s="54"/>
      <c r="BW2205" s="54"/>
      <c r="BX2205" s="54"/>
    </row>
    <row r="2206" spans="1:76" s="3829" customFormat="1" ht="111.75" customHeight="1">
      <c r="A2206" s="3657">
        <v>6</v>
      </c>
      <c r="B2206" s="3835"/>
      <c r="C2206" s="3659">
        <v>5</v>
      </c>
      <c r="D2206" s="3659" t="s">
        <v>107</v>
      </c>
      <c r="E2206" s="3659" t="s">
        <v>66</v>
      </c>
      <c r="F2206" s="3659" t="s">
        <v>155</v>
      </c>
      <c r="G2206" s="3659" t="s">
        <v>67</v>
      </c>
      <c r="H2206" s="3657"/>
      <c r="I2206" s="3660" t="s">
        <v>4617</v>
      </c>
      <c r="J2206" s="3660" t="s">
        <v>4618</v>
      </c>
      <c r="K2206" s="3657">
        <v>80</v>
      </c>
      <c r="L2206" s="3662">
        <f>SUM(L2207:L2207)</f>
        <v>60000000</v>
      </c>
      <c r="M2206" s="3657">
        <v>50</v>
      </c>
      <c r="N2206" s="3662">
        <f>SUM(N2207:N2207)</f>
        <v>25000000</v>
      </c>
      <c r="O2206" s="3657">
        <v>10</v>
      </c>
      <c r="P2206" s="3662">
        <f>SUM(P2207:P2207)</f>
        <v>11380000</v>
      </c>
      <c r="Q2206" s="3657">
        <v>2</v>
      </c>
      <c r="R2206" s="3662">
        <f>SUM(R2207:R2207)</f>
        <v>0</v>
      </c>
      <c r="S2206" s="3657">
        <v>2</v>
      </c>
      <c r="T2206" s="3663">
        <f>SUM(T2207:T2207)</f>
        <v>0</v>
      </c>
      <c r="U2206" s="4041">
        <v>0</v>
      </c>
      <c r="V2206" s="3663">
        <f>SUM(V2207:V2207)</f>
        <v>2800000</v>
      </c>
      <c r="W2206" s="3661"/>
      <c r="X2206" s="3661"/>
      <c r="Y2206" s="3836">
        <f t="shared" si="842"/>
        <v>4</v>
      </c>
      <c r="Z2206" s="3662">
        <f>SUM(Z2207:Z2207)</f>
        <v>2800000</v>
      </c>
      <c r="AA2206" s="3836">
        <f t="shared" si="843"/>
        <v>54</v>
      </c>
      <c r="AB2206" s="3662">
        <f>SUM(AB2207:AB2207)</f>
        <v>27800000</v>
      </c>
      <c r="AC2206" s="3664">
        <f t="shared" si="844"/>
        <v>67.5</v>
      </c>
      <c r="AD2206" s="3664">
        <f t="shared" si="844"/>
        <v>46.333333333333329</v>
      </c>
      <c r="AE2206" s="3660" t="s">
        <v>4571</v>
      </c>
    </row>
    <row r="2207" spans="1:76" s="6" customFormat="1" ht="45">
      <c r="A2207" s="18"/>
      <c r="B2207" s="15"/>
      <c r="C2207" s="36">
        <v>5</v>
      </c>
      <c r="D2207" s="36" t="s">
        <v>107</v>
      </c>
      <c r="E2207" s="36" t="s">
        <v>66</v>
      </c>
      <c r="F2207" s="36" t="s">
        <v>155</v>
      </c>
      <c r="G2207" s="36" t="s">
        <v>67</v>
      </c>
      <c r="H2207" s="35" t="s">
        <v>66</v>
      </c>
      <c r="I2207" s="15" t="s">
        <v>4619</v>
      </c>
      <c r="J2207" s="15" t="s">
        <v>4620</v>
      </c>
      <c r="K2207" s="3826">
        <v>6</v>
      </c>
      <c r="L2207" s="16">
        <v>60000000</v>
      </c>
      <c r="M2207" s="3826">
        <v>2</v>
      </c>
      <c r="N2207" s="16">
        <v>25000000</v>
      </c>
      <c r="O2207" s="3826">
        <v>1</v>
      </c>
      <c r="P2207" s="16">
        <v>11380000</v>
      </c>
      <c r="Q2207" s="3826">
        <v>0</v>
      </c>
      <c r="R2207" s="16">
        <v>0</v>
      </c>
      <c r="S2207" s="3826">
        <v>0</v>
      </c>
      <c r="T2207" s="3827">
        <v>0</v>
      </c>
      <c r="U2207" s="3826">
        <v>0</v>
      </c>
      <c r="V2207" s="3827">
        <f>2800000-T2207-R2207</f>
        <v>2800000</v>
      </c>
      <c r="W2207" s="15"/>
      <c r="X2207" s="15"/>
      <c r="Y2207" s="3826">
        <f t="shared" si="842"/>
        <v>0</v>
      </c>
      <c r="Z2207" s="3691">
        <f>R2207+T2207+V2207+X2207</f>
        <v>2800000</v>
      </c>
      <c r="AA2207" s="3826">
        <f t="shared" si="843"/>
        <v>2</v>
      </c>
      <c r="AB2207" s="3691">
        <f t="shared" si="843"/>
        <v>27800000</v>
      </c>
      <c r="AC2207" s="19">
        <f t="shared" si="844"/>
        <v>33.333333333333329</v>
      </c>
      <c r="AD2207" s="19">
        <f>(AB2207/L2207)*100</f>
        <v>46.333333333333329</v>
      </c>
      <c r="AE2207" s="15" t="s">
        <v>4571</v>
      </c>
    </row>
    <row r="2208" spans="1:76" s="3837" customFormat="1" ht="82.5">
      <c r="A2208" s="3657">
        <v>7</v>
      </c>
      <c r="B2208" s="3835"/>
      <c r="C2208" s="3659">
        <v>5</v>
      </c>
      <c r="D2208" s="3659" t="s">
        <v>107</v>
      </c>
      <c r="E2208" s="3659" t="s">
        <v>66</v>
      </c>
      <c r="F2208" s="3659" t="s">
        <v>155</v>
      </c>
      <c r="G2208" s="3659" t="s">
        <v>448</v>
      </c>
      <c r="H2208" s="3657"/>
      <c r="I2208" s="3660" t="s">
        <v>4364</v>
      </c>
      <c r="J2208" s="3660" t="s">
        <v>4365</v>
      </c>
      <c r="K2208" s="3657">
        <v>100</v>
      </c>
      <c r="L2208" s="3662">
        <f>SUM(L2209:L2209)</f>
        <v>174225000</v>
      </c>
      <c r="M2208" s="3657">
        <v>32</v>
      </c>
      <c r="N2208" s="3662">
        <f>SUM(N2209:N2209)</f>
        <v>41225000</v>
      </c>
      <c r="O2208" s="3657">
        <v>18</v>
      </c>
      <c r="P2208" s="3662">
        <f>SUM(P2209:P2209)</f>
        <v>12750000</v>
      </c>
      <c r="Q2208" s="3657">
        <v>0</v>
      </c>
      <c r="R2208" s="3662">
        <f>SUM(R2209:R2209)</f>
        <v>0</v>
      </c>
      <c r="S2208" s="3657">
        <v>0</v>
      </c>
      <c r="T2208" s="3662">
        <f>SUM(T2209:T2209)</f>
        <v>12080000</v>
      </c>
      <c r="U2208" s="3664">
        <f>V2208/P2208*100</f>
        <v>0</v>
      </c>
      <c r="V2208" s="3662">
        <f>SUM(V2209:V2209)</f>
        <v>0</v>
      </c>
      <c r="W2208" s="3661"/>
      <c r="X2208" s="3661"/>
      <c r="Y2208" s="3836">
        <f t="shared" si="842"/>
        <v>0</v>
      </c>
      <c r="Z2208" s="3662">
        <f>SUM(Z2209:Z2209)</f>
        <v>12080000</v>
      </c>
      <c r="AA2208" s="3836">
        <f t="shared" si="843"/>
        <v>32</v>
      </c>
      <c r="AB2208" s="3662">
        <f>SUM(AB2209:AB2209)</f>
        <v>53305000</v>
      </c>
      <c r="AC2208" s="3664">
        <f t="shared" si="844"/>
        <v>32</v>
      </c>
      <c r="AD2208" s="3664">
        <f t="shared" si="844"/>
        <v>30.595494332041902</v>
      </c>
      <c r="AE2208" s="3660" t="s">
        <v>4404</v>
      </c>
    </row>
    <row r="2209" spans="1:76" s="4029" customFormat="1" ht="49.5">
      <c r="A2209" s="4043"/>
      <c r="B2209" s="4044"/>
      <c r="C2209" s="4020">
        <v>5</v>
      </c>
      <c r="D2209" s="4020" t="s">
        <v>107</v>
      </c>
      <c r="E2209" s="4020" t="s">
        <v>66</v>
      </c>
      <c r="F2209" s="4020" t="s">
        <v>155</v>
      </c>
      <c r="G2209" s="4020" t="s">
        <v>448</v>
      </c>
      <c r="H2209" s="4020" t="s">
        <v>197</v>
      </c>
      <c r="I2209" s="4044" t="s">
        <v>4366</v>
      </c>
      <c r="J2209" s="4044" t="s">
        <v>4367</v>
      </c>
      <c r="K2209" s="4045">
        <v>6</v>
      </c>
      <c r="L2209" s="4046">
        <v>174225000</v>
      </c>
      <c r="M2209" s="4045">
        <v>2</v>
      </c>
      <c r="N2209" s="4046">
        <v>41225000</v>
      </c>
      <c r="O2209" s="4045">
        <v>1</v>
      </c>
      <c r="P2209" s="4046">
        <v>12750000</v>
      </c>
      <c r="Q2209" s="4045">
        <v>0</v>
      </c>
      <c r="R2209" s="4046">
        <v>0</v>
      </c>
      <c r="S2209" s="4045">
        <v>1</v>
      </c>
      <c r="T2209" s="4046">
        <v>12080000</v>
      </c>
      <c r="U2209" s="4045">
        <v>0</v>
      </c>
      <c r="V2209" s="4047">
        <v>0</v>
      </c>
      <c r="W2209" s="4044"/>
      <c r="X2209" s="4044"/>
      <c r="Y2209" s="4045">
        <f t="shared" si="842"/>
        <v>1</v>
      </c>
      <c r="Z2209" s="4024">
        <f>R2209+T2209+V2209+X2209</f>
        <v>12080000</v>
      </c>
      <c r="AA2209" s="4045">
        <f t="shared" si="843"/>
        <v>3</v>
      </c>
      <c r="AB2209" s="4024">
        <f t="shared" si="843"/>
        <v>53305000</v>
      </c>
      <c r="AC2209" s="4048">
        <f t="shared" si="844"/>
        <v>50</v>
      </c>
      <c r="AD2209" s="4048">
        <f>(AB2209/L2209)*100</f>
        <v>30.595494332041902</v>
      </c>
      <c r="AE2209" s="4044" t="s">
        <v>4570</v>
      </c>
    </row>
    <row r="2210" spans="1:76" s="3837" customFormat="1" ht="99">
      <c r="A2210" s="3657">
        <v>8</v>
      </c>
      <c r="B2210" s="3835"/>
      <c r="C2210" s="3659">
        <v>5</v>
      </c>
      <c r="D2210" s="3659" t="s">
        <v>107</v>
      </c>
      <c r="E2210" s="3659" t="s">
        <v>66</v>
      </c>
      <c r="F2210" s="3659" t="s">
        <v>155</v>
      </c>
      <c r="G2210" s="3659" t="s">
        <v>155</v>
      </c>
      <c r="H2210" s="3659"/>
      <c r="I2210" s="3660" t="s">
        <v>4369</v>
      </c>
      <c r="J2210" s="3660" t="s">
        <v>4370</v>
      </c>
      <c r="K2210" s="3657">
        <v>100</v>
      </c>
      <c r="L2210" s="3662">
        <f>SUM(L2211:L2211)</f>
        <v>75310000</v>
      </c>
      <c r="M2210" s="3657">
        <v>32</v>
      </c>
      <c r="N2210" s="3662">
        <f>SUM(N2211:N2211)</f>
        <v>30605000</v>
      </c>
      <c r="O2210" s="3657">
        <v>18</v>
      </c>
      <c r="P2210" s="3662">
        <f>SUM(P2211:P2211)</f>
        <v>16762500</v>
      </c>
      <c r="Q2210" s="3657">
        <v>0</v>
      </c>
      <c r="R2210" s="3662">
        <f>SUM(R2211:R2211)</f>
        <v>0</v>
      </c>
      <c r="S2210" s="3657">
        <v>15</v>
      </c>
      <c r="T2210" s="3663">
        <f>SUM(T2211)</f>
        <v>15700000</v>
      </c>
      <c r="U2210" s="3661">
        <v>3</v>
      </c>
      <c r="V2210" s="3663">
        <f>SUM(V2211)</f>
        <v>0</v>
      </c>
      <c r="W2210" s="3661"/>
      <c r="X2210" s="3661"/>
      <c r="Y2210" s="3657">
        <f t="shared" si="842"/>
        <v>18</v>
      </c>
      <c r="Z2210" s="3662">
        <f>SUM(Z2211:Z2211)</f>
        <v>15700000</v>
      </c>
      <c r="AA2210" s="3657">
        <f t="shared" si="843"/>
        <v>50</v>
      </c>
      <c r="AB2210" s="3662">
        <f>SUM(AB2211:AB2211)</f>
        <v>46305000</v>
      </c>
      <c r="AC2210" s="3664">
        <f t="shared" si="844"/>
        <v>50</v>
      </c>
      <c r="AD2210" s="3664">
        <f t="shared" si="844"/>
        <v>61.485858451732831</v>
      </c>
      <c r="AE2210" s="3660" t="s">
        <v>4570</v>
      </c>
    </row>
    <row r="2211" spans="1:76" s="63" customFormat="1" ht="51">
      <c r="A2211" s="64"/>
      <c r="B2211" s="2632"/>
      <c r="C2211" s="4000">
        <v>5</v>
      </c>
      <c r="D2211" s="4000" t="s">
        <v>107</v>
      </c>
      <c r="E2211" s="4000" t="s">
        <v>66</v>
      </c>
      <c r="F2211" s="4000" t="s">
        <v>155</v>
      </c>
      <c r="G2211" s="4000" t="s">
        <v>155</v>
      </c>
      <c r="H2211" s="4000" t="s">
        <v>376</v>
      </c>
      <c r="I2211" s="2632" t="s">
        <v>4621</v>
      </c>
      <c r="J2211" s="2632" t="s">
        <v>4565</v>
      </c>
      <c r="K2211" s="4012">
        <v>6</v>
      </c>
      <c r="L2211" s="1731">
        <v>75310000</v>
      </c>
      <c r="M2211" s="4012">
        <v>2</v>
      </c>
      <c r="N2211" s="1731">
        <v>30605000</v>
      </c>
      <c r="O2211" s="4012">
        <v>1</v>
      </c>
      <c r="P2211" s="1731">
        <v>16762500</v>
      </c>
      <c r="Q2211" s="4012">
        <v>0</v>
      </c>
      <c r="R2211" s="1731">
        <v>0</v>
      </c>
      <c r="S2211" s="4012">
        <v>1</v>
      </c>
      <c r="T2211" s="1400">
        <v>15700000</v>
      </c>
      <c r="U2211" s="4012"/>
      <c r="V2211" s="1400">
        <v>0</v>
      </c>
      <c r="W2211" s="2632"/>
      <c r="X2211" s="2632"/>
      <c r="Y2211" s="4001">
        <f t="shared" si="842"/>
        <v>1</v>
      </c>
      <c r="Z2211" s="60">
        <f>R2211+T2211+V2211+X2211</f>
        <v>15700000</v>
      </c>
      <c r="AA2211" s="4001">
        <f t="shared" si="843"/>
        <v>3</v>
      </c>
      <c r="AB2211" s="60">
        <f t="shared" si="843"/>
        <v>46305000</v>
      </c>
      <c r="AC2211" s="389">
        <f t="shared" si="844"/>
        <v>50</v>
      </c>
      <c r="AD2211" s="389">
        <f t="shared" si="844"/>
        <v>61.485858451732831</v>
      </c>
      <c r="AE2211" s="2632" t="s">
        <v>4570</v>
      </c>
    </row>
    <row r="2212" spans="1:76" s="3837" customFormat="1" ht="66">
      <c r="A2212" s="3657">
        <v>9</v>
      </c>
      <c r="B2212" s="3835"/>
      <c r="C2212" s="3659">
        <v>5</v>
      </c>
      <c r="D2212" s="3659" t="s">
        <v>107</v>
      </c>
      <c r="E2212" s="3659" t="s">
        <v>66</v>
      </c>
      <c r="F2212" s="3659" t="s">
        <v>155</v>
      </c>
      <c r="G2212" s="3659" t="s">
        <v>448</v>
      </c>
      <c r="H2212" s="3659"/>
      <c r="I2212" s="3660" t="s">
        <v>4622</v>
      </c>
      <c r="J2212" s="3660" t="s">
        <v>4556</v>
      </c>
      <c r="K2212" s="3657">
        <v>80</v>
      </c>
      <c r="L2212" s="3662">
        <f>SUM(L2213:L2213)</f>
        <v>25000000</v>
      </c>
      <c r="M2212" s="3657">
        <v>60</v>
      </c>
      <c r="N2212" s="3662">
        <f>SUM(N2213:N2213)</f>
        <v>8000000</v>
      </c>
      <c r="O2212" s="3657">
        <v>15</v>
      </c>
      <c r="P2212" s="3662">
        <f>SUM(P2213:P2213)</f>
        <v>4630000</v>
      </c>
      <c r="Q2212" s="3657">
        <v>0</v>
      </c>
      <c r="R2212" s="3662">
        <f>SUM(R2213:R2213)</f>
        <v>150000</v>
      </c>
      <c r="S2212" s="3657">
        <v>10</v>
      </c>
      <c r="T2212" s="3662">
        <f>SUM(T2213)</f>
        <v>485000</v>
      </c>
      <c r="U2212" s="3661">
        <v>10</v>
      </c>
      <c r="V2212" s="3662">
        <f>SUM(V2213)</f>
        <v>0</v>
      </c>
      <c r="W2212" s="3661"/>
      <c r="X2212" s="3661"/>
      <c r="Y2212" s="3657">
        <f t="shared" si="842"/>
        <v>20</v>
      </c>
      <c r="Z2212" s="3662">
        <f>SUM(Z2213:Z2213)</f>
        <v>635000</v>
      </c>
      <c r="AA2212" s="3657">
        <f t="shared" si="843"/>
        <v>80</v>
      </c>
      <c r="AB2212" s="3662">
        <f>SUM(AB2213:AB2213)</f>
        <v>8635000</v>
      </c>
      <c r="AC2212" s="3664">
        <f t="shared" si="844"/>
        <v>100</v>
      </c>
      <c r="AD2212" s="3664">
        <f t="shared" si="844"/>
        <v>34.54</v>
      </c>
      <c r="AE2212" s="3660" t="s">
        <v>4570</v>
      </c>
    </row>
    <row r="2213" spans="1:76" s="63" customFormat="1" ht="25.5">
      <c r="A2213" s="4001"/>
      <c r="B2213" s="4010"/>
      <c r="C2213" s="4000">
        <v>5</v>
      </c>
      <c r="D2213" s="4000" t="s">
        <v>107</v>
      </c>
      <c r="E2213" s="4000" t="s">
        <v>66</v>
      </c>
      <c r="F2213" s="4000" t="s">
        <v>155</v>
      </c>
      <c r="G2213" s="4000" t="s">
        <v>448</v>
      </c>
      <c r="H2213" s="1727" t="s">
        <v>2910</v>
      </c>
      <c r="I2213" s="2632" t="s">
        <v>4623</v>
      </c>
      <c r="J2213" s="2632" t="s">
        <v>4624</v>
      </c>
      <c r="K2213" s="4012">
        <v>60</v>
      </c>
      <c r="L2213" s="4015">
        <v>25000000</v>
      </c>
      <c r="M2213" s="4001">
        <v>20</v>
      </c>
      <c r="N2213" s="4015">
        <v>8000000</v>
      </c>
      <c r="O2213" s="4001">
        <v>10</v>
      </c>
      <c r="P2213" s="4015">
        <v>4630000</v>
      </c>
      <c r="Q2213" s="4001">
        <v>0</v>
      </c>
      <c r="R2213" s="4003">
        <v>150000</v>
      </c>
      <c r="S2213" s="4001">
        <v>1</v>
      </c>
      <c r="T2213" s="4015">
        <v>485000</v>
      </c>
      <c r="U2213" s="4001">
        <v>0</v>
      </c>
      <c r="V2213" s="3864">
        <v>0</v>
      </c>
      <c r="W2213" s="4001"/>
      <c r="X2213" s="4001"/>
      <c r="Y2213" s="4001">
        <f t="shared" si="842"/>
        <v>1</v>
      </c>
      <c r="Z2213" s="60">
        <f>R2213+T2213+V2213+X2213</f>
        <v>635000</v>
      </c>
      <c r="AA2213" s="4001">
        <f t="shared" si="843"/>
        <v>21</v>
      </c>
      <c r="AB2213" s="60">
        <f t="shared" si="843"/>
        <v>8635000</v>
      </c>
      <c r="AC2213" s="389">
        <f t="shared" si="844"/>
        <v>35</v>
      </c>
      <c r="AD2213" s="4001"/>
      <c r="AE2213" s="4002" t="s">
        <v>4570</v>
      </c>
    </row>
    <row r="2214" spans="1:76" s="4049" customFormat="1" ht="111.75" customHeight="1">
      <c r="A2214" s="3657">
        <v>10</v>
      </c>
      <c r="B2214" s="3835"/>
      <c r="C2214" s="3659">
        <v>5</v>
      </c>
      <c r="D2214" s="3659" t="s">
        <v>107</v>
      </c>
      <c r="E2214" s="3659" t="s">
        <v>66</v>
      </c>
      <c r="F2214" s="3659" t="s">
        <v>155</v>
      </c>
      <c r="G2214" s="3659" t="s">
        <v>357</v>
      </c>
      <c r="H2214" s="3657"/>
      <c r="I2214" s="3660" t="s">
        <v>4378</v>
      </c>
      <c r="J2214" s="3660" t="s">
        <v>4379</v>
      </c>
      <c r="K2214" s="3657">
        <v>100</v>
      </c>
      <c r="L2214" s="3662">
        <f>SUM(L2215:L2215)</f>
        <v>58000000</v>
      </c>
      <c r="M2214" s="3657">
        <v>32</v>
      </c>
      <c r="N2214" s="3662">
        <f>SUM(N2215:N2215)</f>
        <v>18500000</v>
      </c>
      <c r="O2214" s="3657">
        <v>18</v>
      </c>
      <c r="P2214" s="3662">
        <f>SUM(P2215:P2215)</f>
        <v>9623000</v>
      </c>
      <c r="Q2214" s="3657">
        <v>0</v>
      </c>
      <c r="R2214" s="3662">
        <f>SUM(R2215:R2215)</f>
        <v>405000</v>
      </c>
      <c r="S2214" s="3657">
        <v>2</v>
      </c>
      <c r="T2214" s="3663">
        <f>SUM(T2215:T2215)</f>
        <v>4405000</v>
      </c>
      <c r="U2214" s="3664">
        <v>10</v>
      </c>
      <c r="V2214" s="3663">
        <f>SUM(V2215:V2215)</f>
        <v>3400000</v>
      </c>
      <c r="W2214" s="3661"/>
      <c r="X2214" s="3661"/>
      <c r="Y2214" s="3836">
        <f t="shared" si="842"/>
        <v>12</v>
      </c>
      <c r="Z2214" s="3662">
        <f>SUM(Z2215:Z2215)</f>
        <v>8210000</v>
      </c>
      <c r="AA2214" s="3836">
        <f t="shared" si="843"/>
        <v>44</v>
      </c>
      <c r="AB2214" s="3662">
        <f>SUM(AB2215:AB2215)</f>
        <v>26710000</v>
      </c>
      <c r="AC2214" s="3664">
        <f t="shared" si="844"/>
        <v>44</v>
      </c>
      <c r="AD2214" s="3664">
        <f t="shared" si="844"/>
        <v>46.051724137931032</v>
      </c>
      <c r="AE2214" s="3660" t="s">
        <v>4570</v>
      </c>
    </row>
    <row r="2215" spans="1:76" ht="51">
      <c r="A2215" s="64"/>
      <c r="B2215" s="2632"/>
      <c r="C2215" s="4000">
        <v>5</v>
      </c>
      <c r="D2215" s="4000" t="s">
        <v>107</v>
      </c>
      <c r="E2215" s="4000" t="s">
        <v>66</v>
      </c>
      <c r="F2215" s="4000" t="s">
        <v>155</v>
      </c>
      <c r="G2215" s="4000" t="s">
        <v>357</v>
      </c>
      <c r="H2215" s="1727" t="s">
        <v>417</v>
      </c>
      <c r="I2215" s="2632" t="s">
        <v>4625</v>
      </c>
      <c r="J2215" s="2632" t="s">
        <v>4626</v>
      </c>
      <c r="K2215" s="4012">
        <f>16*6</f>
        <v>96</v>
      </c>
      <c r="L2215" s="1731">
        <v>58000000</v>
      </c>
      <c r="M2215" s="4012">
        <v>32</v>
      </c>
      <c r="N2215" s="1731">
        <v>18500000</v>
      </c>
      <c r="O2215" s="4012">
        <v>16</v>
      </c>
      <c r="P2215" s="1731">
        <v>9623000</v>
      </c>
      <c r="Q2215" s="4012">
        <v>2</v>
      </c>
      <c r="R2215" s="1731">
        <v>405000</v>
      </c>
      <c r="S2215" s="4012">
        <v>8</v>
      </c>
      <c r="T2215" s="1400">
        <v>4405000</v>
      </c>
      <c r="U2215" s="4012">
        <v>4</v>
      </c>
      <c r="V2215" s="1400">
        <v>3400000</v>
      </c>
      <c r="W2215" s="2632"/>
      <c r="X2215" s="2632"/>
      <c r="Y2215" s="4012">
        <f t="shared" si="842"/>
        <v>14</v>
      </c>
      <c r="Z2215" s="60">
        <f>R2215+T2215+V2215+X2215</f>
        <v>8210000</v>
      </c>
      <c r="AA2215" s="4012">
        <f t="shared" si="843"/>
        <v>46</v>
      </c>
      <c r="AB2215" s="60">
        <f t="shared" si="843"/>
        <v>26710000</v>
      </c>
      <c r="AC2215" s="2305">
        <f t="shared" si="844"/>
        <v>47.916666666666671</v>
      </c>
      <c r="AD2215" s="2305">
        <f>(AB2215/L2215)*100</f>
        <v>46.051724137931032</v>
      </c>
      <c r="AE2215" s="2632" t="s">
        <v>4570</v>
      </c>
      <c r="AF2215" s="54"/>
      <c r="AG2215" s="54"/>
      <c r="AH2215" s="54"/>
      <c r="AI2215" s="54"/>
      <c r="AJ2215" s="54"/>
      <c r="AK2215" s="54"/>
      <c r="AL2215" s="54"/>
      <c r="AM2215" s="54"/>
      <c r="AN2215" s="54"/>
      <c r="AO2215" s="54"/>
      <c r="AP2215" s="54"/>
      <c r="AQ2215" s="54"/>
      <c r="AR2215" s="54"/>
      <c r="AS2215" s="54"/>
      <c r="AT2215" s="54"/>
      <c r="AU2215" s="54"/>
      <c r="AV2215" s="54"/>
      <c r="AW2215" s="54"/>
      <c r="AX2215" s="54"/>
      <c r="AY2215" s="54"/>
      <c r="AZ2215" s="54"/>
      <c r="BA2215" s="54"/>
      <c r="BB2215" s="54"/>
      <c r="BC2215" s="54"/>
      <c r="BD2215" s="54"/>
      <c r="BE2215" s="54"/>
      <c r="BF2215" s="54"/>
      <c r="BG2215" s="54"/>
      <c r="BH2215" s="54"/>
      <c r="BI2215" s="54"/>
      <c r="BJ2215" s="54"/>
      <c r="BK2215" s="54"/>
      <c r="BL2215" s="54"/>
      <c r="BM2215" s="54"/>
      <c r="BN2215" s="54"/>
      <c r="BO2215" s="54"/>
      <c r="BP2215" s="54"/>
      <c r="BQ2215" s="54"/>
      <c r="BR2215" s="54"/>
      <c r="BS2215" s="54"/>
      <c r="BT2215" s="54"/>
      <c r="BU2215" s="54"/>
      <c r="BV2215" s="54"/>
      <c r="BW2215" s="54"/>
      <c r="BX2215" s="54"/>
    </row>
    <row r="2216" spans="1:76" s="3655" customFormat="1" ht="99">
      <c r="A2216" s="3657">
        <v>11</v>
      </c>
      <c r="B2216" s="3835"/>
      <c r="C2216" s="3659">
        <v>5</v>
      </c>
      <c r="D2216" s="3659" t="s">
        <v>107</v>
      </c>
      <c r="E2216" s="3659" t="s">
        <v>66</v>
      </c>
      <c r="F2216" s="3659" t="s">
        <v>155</v>
      </c>
      <c r="G2216" s="3659" t="s">
        <v>1099</v>
      </c>
      <c r="H2216" s="3657"/>
      <c r="I2216" s="3660" t="s">
        <v>4387</v>
      </c>
      <c r="J2216" s="3660" t="s">
        <v>4388</v>
      </c>
      <c r="K2216" s="3657">
        <v>100</v>
      </c>
      <c r="L2216" s="3662">
        <f>SUM(L2217:L2222)</f>
        <v>570243500</v>
      </c>
      <c r="M2216" s="3657">
        <v>32</v>
      </c>
      <c r="N2216" s="3662">
        <f>SUM(N2217:N2222)</f>
        <v>214864500</v>
      </c>
      <c r="O2216" s="3657">
        <v>20</v>
      </c>
      <c r="P2216" s="3662">
        <f>SUM(P2217:P2222)</f>
        <v>106604471</v>
      </c>
      <c r="Q2216" s="3657">
        <v>0</v>
      </c>
      <c r="R2216" s="3662">
        <f>SUM(R2217:R2222)</f>
        <v>5590000</v>
      </c>
      <c r="S2216" s="3657">
        <v>5</v>
      </c>
      <c r="T2216" s="3662">
        <f>SUM(T2217:T2222)</f>
        <v>41072200</v>
      </c>
      <c r="U2216" s="3664">
        <f>V2216/P2216*100</f>
        <v>36.011622814581578</v>
      </c>
      <c r="V2216" s="3662">
        <f>SUM(V2217:V2222)</f>
        <v>38390000</v>
      </c>
      <c r="W2216" s="3661"/>
      <c r="X2216" s="3661"/>
      <c r="Y2216" s="3836">
        <f>Q2216+S2216+U2216+W2216</f>
        <v>41.011622814581578</v>
      </c>
      <c r="Z2216" s="3662">
        <f>SUM(Z2217:Z2222)</f>
        <v>85052200</v>
      </c>
      <c r="AA2216" s="3836">
        <f>M2216+Y2216</f>
        <v>73.011622814581585</v>
      </c>
      <c r="AB2216" s="3662">
        <f>SUM(AB2217:AB2222)</f>
        <v>299916700</v>
      </c>
      <c r="AC2216" s="3664">
        <f>(AA2216/K2216)*100</f>
        <v>73.011622814581585</v>
      </c>
      <c r="AD2216" s="3664">
        <f t="shared" ref="AD2216:AD2222" si="845">(AB2216/L2216)*100</f>
        <v>52.594496912283958</v>
      </c>
      <c r="AE2216" s="3660" t="s">
        <v>4570</v>
      </c>
    </row>
    <row r="2217" spans="1:76" ht="63" customHeight="1">
      <c r="A2217" s="59"/>
      <c r="B2217" s="634"/>
      <c r="C2217" s="4000">
        <v>5</v>
      </c>
      <c r="D2217" s="4000" t="s">
        <v>107</v>
      </c>
      <c r="E2217" s="4000" t="s">
        <v>66</v>
      </c>
      <c r="F2217" s="4000" t="s">
        <v>155</v>
      </c>
      <c r="G2217" s="4000" t="s">
        <v>1099</v>
      </c>
      <c r="H2217" s="4008" t="s">
        <v>66</v>
      </c>
      <c r="I2217" s="58" t="s">
        <v>4285</v>
      </c>
      <c r="J2217" s="58" t="s">
        <v>4627</v>
      </c>
      <c r="K2217" s="4009">
        <f>16*6</f>
        <v>96</v>
      </c>
      <c r="L2217" s="60">
        <f>3*N2217</f>
        <v>243000000</v>
      </c>
      <c r="M2217" s="4008">
        <v>32</v>
      </c>
      <c r="N2217" s="635">
        <v>81000000</v>
      </c>
      <c r="O2217" s="4009">
        <v>16</v>
      </c>
      <c r="P2217" s="61">
        <v>41582500</v>
      </c>
      <c r="Q2217" s="4008">
        <v>16</v>
      </c>
      <c r="R2217" s="60">
        <v>990000</v>
      </c>
      <c r="S2217" s="4009">
        <v>0</v>
      </c>
      <c r="T2217" s="61">
        <v>15394700</v>
      </c>
      <c r="U2217" s="4009">
        <v>0</v>
      </c>
      <c r="V2217" s="61">
        <v>15200000</v>
      </c>
      <c r="W2217" s="59"/>
      <c r="X2217" s="59"/>
      <c r="Y2217" s="4001">
        <f>Q2217+S2217+U2217+W2217</f>
        <v>16</v>
      </c>
      <c r="Z2217" s="60">
        <f t="shared" ref="Z2217:Z2222" si="846">R2217+T2217+V2217+X2217</f>
        <v>31584700</v>
      </c>
      <c r="AA2217" s="4001">
        <f t="shared" ref="AA2217:AB2222" si="847">M2217+Y2217</f>
        <v>48</v>
      </c>
      <c r="AB2217" s="60">
        <f t="shared" si="847"/>
        <v>112584700</v>
      </c>
      <c r="AC2217" s="389">
        <f t="shared" ref="AC2217:AC2222" si="848">(AA2217/K2217)*100</f>
        <v>50</v>
      </c>
      <c r="AD2217" s="389">
        <f t="shared" si="845"/>
        <v>46.331152263374484</v>
      </c>
      <c r="AE2217" s="58" t="s">
        <v>4570</v>
      </c>
      <c r="AF2217" s="54"/>
      <c r="AG2217" s="54"/>
      <c r="AH2217" s="54"/>
      <c r="AI2217" s="54"/>
      <c r="AJ2217" s="54"/>
      <c r="AK2217" s="54"/>
      <c r="AL2217" s="54"/>
      <c r="AM2217" s="54"/>
      <c r="AN2217" s="54"/>
      <c r="AO2217" s="54"/>
      <c r="AP2217" s="54"/>
      <c r="AQ2217" s="54"/>
      <c r="AR2217" s="54"/>
      <c r="AS2217" s="54"/>
      <c r="AT2217" s="54"/>
      <c r="AU2217" s="54"/>
      <c r="AV2217" s="54"/>
      <c r="AW2217" s="54"/>
      <c r="AX2217" s="54"/>
      <c r="AY2217" s="54"/>
      <c r="AZ2217" s="54"/>
      <c r="BA2217" s="54"/>
      <c r="BB2217" s="54"/>
      <c r="BC2217" s="54"/>
      <c r="BD2217" s="54"/>
      <c r="BE2217" s="54"/>
      <c r="BF2217" s="54"/>
      <c r="BG2217" s="54"/>
      <c r="BH2217" s="54"/>
      <c r="BI2217" s="54"/>
      <c r="BJ2217" s="54"/>
      <c r="BK2217" s="54"/>
      <c r="BL2217" s="54"/>
      <c r="BM2217" s="54"/>
      <c r="BN2217" s="54"/>
      <c r="BO2217" s="54"/>
      <c r="BP2217" s="54"/>
      <c r="BQ2217" s="54"/>
      <c r="BR2217" s="54"/>
      <c r="BS2217" s="54"/>
      <c r="BT2217" s="54"/>
      <c r="BU2217" s="54"/>
      <c r="BV2217" s="54"/>
      <c r="BW2217" s="54"/>
      <c r="BX2217" s="54"/>
    </row>
    <row r="2218" spans="1:76" ht="38.25">
      <c r="A2218" s="59"/>
      <c r="B2218" s="634"/>
      <c r="C2218" s="4000">
        <v>5</v>
      </c>
      <c r="D2218" s="4000" t="s">
        <v>107</v>
      </c>
      <c r="E2218" s="4000" t="s">
        <v>66</v>
      </c>
      <c r="F2218" s="4000" t="s">
        <v>155</v>
      </c>
      <c r="G2218" s="4000" t="s">
        <v>1099</v>
      </c>
      <c r="H2218" s="4008" t="s">
        <v>65</v>
      </c>
      <c r="I2218" s="58" t="s">
        <v>4390</v>
      </c>
      <c r="J2218" s="58" t="s">
        <v>4391</v>
      </c>
      <c r="K2218" s="4009">
        <v>6</v>
      </c>
      <c r="L2218" s="3875">
        <f>3*N2218</f>
        <v>108444000</v>
      </c>
      <c r="M2218" s="4008">
        <v>2</v>
      </c>
      <c r="N2218" s="635">
        <v>36148000</v>
      </c>
      <c r="O2218" s="4009">
        <v>1</v>
      </c>
      <c r="P2218" s="61">
        <v>17555000</v>
      </c>
      <c r="Q2218" s="4016">
        <v>0</v>
      </c>
      <c r="R2218" s="60">
        <v>0</v>
      </c>
      <c r="S2218" s="4014">
        <v>0</v>
      </c>
      <c r="T2218" s="60">
        <v>1500000</v>
      </c>
      <c r="U2218" s="4009">
        <v>1</v>
      </c>
      <c r="V2218" s="60">
        <v>12750000</v>
      </c>
      <c r="W2218" s="59"/>
      <c r="X2218" s="59"/>
      <c r="Y2218" s="4001">
        <f t="shared" ref="Y2218:Y2220" si="849">Q2218+S2218+U2218+W2218</f>
        <v>1</v>
      </c>
      <c r="Z2218" s="60">
        <f t="shared" si="846"/>
        <v>14250000</v>
      </c>
      <c r="AA2218" s="4001">
        <f t="shared" si="847"/>
        <v>3</v>
      </c>
      <c r="AB2218" s="60">
        <f t="shared" si="847"/>
        <v>50398000</v>
      </c>
      <c r="AC2218" s="389">
        <f t="shared" si="848"/>
        <v>50</v>
      </c>
      <c r="AD2218" s="389">
        <f t="shared" si="845"/>
        <v>46.473756039983769</v>
      </c>
      <c r="AE2218" s="58" t="s">
        <v>4570</v>
      </c>
      <c r="AF2218" s="54"/>
      <c r="AG2218" s="54"/>
      <c r="AH2218" s="54"/>
      <c r="AI2218" s="54"/>
      <c r="AJ2218" s="54"/>
      <c r="AK2218" s="54"/>
      <c r="AL2218" s="54"/>
      <c r="AM2218" s="54"/>
      <c r="AN2218" s="54"/>
      <c r="AO2218" s="54"/>
      <c r="AP2218" s="54"/>
      <c r="AQ2218" s="54"/>
      <c r="AR2218" s="54"/>
      <c r="AS2218" s="54"/>
      <c r="AT2218" s="54"/>
      <c r="AU2218" s="54"/>
      <c r="AV2218" s="54"/>
      <c r="AW2218" s="54"/>
      <c r="AX2218" s="54"/>
      <c r="AY2218" s="54"/>
      <c r="AZ2218" s="54"/>
      <c r="BA2218" s="54"/>
      <c r="BB2218" s="54"/>
      <c r="BC2218" s="54"/>
      <c r="BD2218" s="54"/>
      <c r="BE2218" s="54"/>
      <c r="BF2218" s="54"/>
      <c r="BG2218" s="54"/>
      <c r="BH2218" s="54"/>
      <c r="BI2218" s="54"/>
      <c r="BJ2218" s="54"/>
      <c r="BK2218" s="54"/>
      <c r="BL2218" s="54"/>
      <c r="BM2218" s="54"/>
      <c r="BN2218" s="54"/>
      <c r="BO2218" s="54"/>
      <c r="BP2218" s="54"/>
      <c r="BQ2218" s="54"/>
      <c r="BR2218" s="54"/>
      <c r="BS2218" s="54"/>
      <c r="BT2218" s="54"/>
      <c r="BU2218" s="54"/>
      <c r="BV2218" s="54"/>
      <c r="BW2218" s="54"/>
      <c r="BX2218" s="54"/>
    </row>
    <row r="2219" spans="1:76" ht="63.75">
      <c r="A2219" s="59"/>
      <c r="B2219" s="634"/>
      <c r="C2219" s="4000">
        <v>5</v>
      </c>
      <c r="D2219" s="4000" t="s">
        <v>107</v>
      </c>
      <c r="E2219" s="4000" t="s">
        <v>66</v>
      </c>
      <c r="F2219" s="4000" t="s">
        <v>155</v>
      </c>
      <c r="G2219" s="4000" t="s">
        <v>1099</v>
      </c>
      <c r="H2219" s="4008" t="s">
        <v>196</v>
      </c>
      <c r="I2219" s="58" t="s">
        <v>4392</v>
      </c>
      <c r="J2219" s="58" t="s">
        <v>4393</v>
      </c>
      <c r="K2219" s="4009">
        <v>6</v>
      </c>
      <c r="L2219" s="60">
        <f>3*N2219</f>
        <v>107149500</v>
      </c>
      <c r="M2219" s="4008">
        <v>2</v>
      </c>
      <c r="N2219" s="635">
        <v>35716500</v>
      </c>
      <c r="O2219" s="4009">
        <v>1</v>
      </c>
      <c r="P2219" s="61">
        <v>15634500</v>
      </c>
      <c r="Q2219" s="4008">
        <v>0</v>
      </c>
      <c r="R2219" s="60">
        <v>0</v>
      </c>
      <c r="S2219" s="4014">
        <v>1</v>
      </c>
      <c r="T2219" s="61">
        <v>15300000</v>
      </c>
      <c r="U2219" s="4009">
        <v>0</v>
      </c>
      <c r="V2219" s="61">
        <v>0</v>
      </c>
      <c r="W2219" s="59"/>
      <c r="X2219" s="59"/>
      <c r="Y2219" s="4001">
        <f t="shared" si="849"/>
        <v>1</v>
      </c>
      <c r="Z2219" s="60">
        <f t="shared" si="846"/>
        <v>15300000</v>
      </c>
      <c r="AA2219" s="4001">
        <f t="shared" si="847"/>
        <v>3</v>
      </c>
      <c r="AB2219" s="60">
        <f t="shared" si="847"/>
        <v>51016500</v>
      </c>
      <c r="AC2219" s="389">
        <f t="shared" si="848"/>
        <v>50</v>
      </c>
      <c r="AD2219" s="389">
        <f t="shared" si="845"/>
        <v>47.612448028222246</v>
      </c>
      <c r="AE2219" s="58" t="s">
        <v>4570</v>
      </c>
      <c r="AF2219" s="54"/>
      <c r="AG2219" s="54"/>
      <c r="AH2219" s="54"/>
      <c r="AI2219" s="54"/>
      <c r="AJ2219" s="54"/>
      <c r="AK2219" s="54"/>
      <c r="AL2219" s="54"/>
      <c r="AM2219" s="54"/>
      <c r="AN2219" s="54"/>
      <c r="AO2219" s="54"/>
      <c r="AP2219" s="54"/>
      <c r="AQ2219" s="54"/>
      <c r="AR2219" s="54"/>
      <c r="AS2219" s="54"/>
      <c r="AT2219" s="54"/>
      <c r="AU2219" s="54"/>
      <c r="AV2219" s="54"/>
      <c r="AW2219" s="54"/>
      <c r="AX2219" s="54"/>
      <c r="AY2219" s="54"/>
      <c r="AZ2219" s="54"/>
      <c r="BA2219" s="54"/>
      <c r="BB2219" s="54"/>
      <c r="BC2219" s="54"/>
      <c r="BD2219" s="54"/>
      <c r="BE2219" s="54"/>
      <c r="BF2219" s="54"/>
      <c r="BG2219" s="54"/>
      <c r="BH2219" s="54"/>
      <c r="BI2219" s="54"/>
      <c r="BJ2219" s="54"/>
      <c r="BK2219" s="54"/>
      <c r="BL2219" s="54"/>
      <c r="BM2219" s="54"/>
      <c r="BN2219" s="54"/>
      <c r="BO2219" s="54"/>
      <c r="BP2219" s="54"/>
      <c r="BQ2219" s="54"/>
      <c r="BR2219" s="54"/>
      <c r="BS2219" s="54"/>
      <c r="BT2219" s="54"/>
      <c r="BU2219" s="54"/>
      <c r="BV2219" s="54"/>
      <c r="BW2219" s="54"/>
      <c r="BX2219" s="54"/>
    </row>
    <row r="2220" spans="1:76" ht="51">
      <c r="A2220" s="59"/>
      <c r="B2220" s="634"/>
      <c r="C2220" s="4000">
        <v>5</v>
      </c>
      <c r="D2220" s="4000" t="s">
        <v>107</v>
      </c>
      <c r="E2220" s="4000" t="s">
        <v>66</v>
      </c>
      <c r="F2220" s="4000" t="s">
        <v>155</v>
      </c>
      <c r="G2220" s="4000" t="s">
        <v>1099</v>
      </c>
      <c r="H2220" s="4008" t="s">
        <v>161</v>
      </c>
      <c r="I2220" s="58" t="s">
        <v>4394</v>
      </c>
      <c r="J2220" s="58" t="s">
        <v>4395</v>
      </c>
      <c r="K2220" s="4009">
        <v>72</v>
      </c>
      <c r="L2220" s="60">
        <v>9650000</v>
      </c>
      <c r="M2220" s="4008">
        <v>24</v>
      </c>
      <c r="N2220" s="635">
        <v>32000000</v>
      </c>
      <c r="O2220" s="4009">
        <v>12</v>
      </c>
      <c r="P2220" s="61">
        <v>16911500</v>
      </c>
      <c r="Q2220" s="4008">
        <v>3</v>
      </c>
      <c r="R2220" s="60">
        <v>1800000</v>
      </c>
      <c r="S2220" s="4014">
        <v>3</v>
      </c>
      <c r="T2220" s="60">
        <v>4227500</v>
      </c>
      <c r="U2220" s="4009">
        <v>3</v>
      </c>
      <c r="V2220" s="61">
        <v>6540000</v>
      </c>
      <c r="W2220" s="59"/>
      <c r="X2220" s="59"/>
      <c r="Y2220" s="4001">
        <f t="shared" si="849"/>
        <v>9</v>
      </c>
      <c r="Z2220" s="60">
        <f t="shared" si="846"/>
        <v>12567500</v>
      </c>
      <c r="AA2220" s="4001">
        <f t="shared" si="847"/>
        <v>33</v>
      </c>
      <c r="AB2220" s="60">
        <f t="shared" si="847"/>
        <v>44567500</v>
      </c>
      <c r="AC2220" s="389">
        <f t="shared" si="848"/>
        <v>45.833333333333329</v>
      </c>
      <c r="AD2220" s="389">
        <f t="shared" si="845"/>
        <v>461.83937823834196</v>
      </c>
      <c r="AE2220" s="58" t="s">
        <v>4570</v>
      </c>
      <c r="AF2220" s="54"/>
      <c r="AG2220" s="54"/>
      <c r="AH2220" s="54"/>
      <c r="AI2220" s="54"/>
      <c r="AJ2220" s="54"/>
      <c r="AK2220" s="54"/>
      <c r="AL2220" s="54"/>
      <c r="AM2220" s="54"/>
      <c r="AN2220" s="54"/>
      <c r="AO2220" s="54"/>
      <c r="AP2220" s="54"/>
      <c r="AQ2220" s="54"/>
      <c r="AR2220" s="54"/>
      <c r="AS2220" s="54"/>
      <c r="AT2220" s="54"/>
      <c r="AU2220" s="54"/>
      <c r="AV2220" s="54"/>
      <c r="AW2220" s="54"/>
      <c r="AX2220" s="54"/>
      <c r="AY2220" s="54"/>
      <c r="AZ2220" s="54"/>
      <c r="BA2220" s="54"/>
      <c r="BB2220" s="54"/>
      <c r="BC2220" s="54"/>
      <c r="BD2220" s="54"/>
      <c r="BE2220" s="54"/>
      <c r="BF2220" s="54"/>
      <c r="BG2220" s="54"/>
      <c r="BH2220" s="54"/>
      <c r="BI2220" s="54"/>
      <c r="BJ2220" s="54"/>
      <c r="BK2220" s="54"/>
      <c r="BL2220" s="54"/>
      <c r="BM2220" s="54"/>
      <c r="BN2220" s="54"/>
      <c r="BO2220" s="54"/>
      <c r="BP2220" s="54"/>
      <c r="BQ2220" s="54"/>
      <c r="BR2220" s="54"/>
      <c r="BS2220" s="54"/>
      <c r="BT2220" s="54"/>
      <c r="BU2220" s="54"/>
      <c r="BV2220" s="54"/>
      <c r="BW2220" s="54"/>
      <c r="BX2220" s="54"/>
    </row>
    <row r="2221" spans="1:76" ht="25.5">
      <c r="A2221" s="59"/>
      <c r="B2221" s="634"/>
      <c r="C2221" s="4000">
        <v>5</v>
      </c>
      <c r="D2221" s="4000" t="s">
        <v>107</v>
      </c>
      <c r="E2221" s="4000" t="s">
        <v>66</v>
      </c>
      <c r="F2221" s="4000" t="s">
        <v>155</v>
      </c>
      <c r="G2221" s="4000" t="s">
        <v>1099</v>
      </c>
      <c r="H2221" s="4008" t="s">
        <v>197</v>
      </c>
      <c r="I2221" s="58" t="s">
        <v>4291</v>
      </c>
      <c r="J2221" s="58" t="s">
        <v>4628</v>
      </c>
      <c r="K2221" s="4009">
        <v>150</v>
      </c>
      <c r="L2221" s="60">
        <v>52000000</v>
      </c>
      <c r="M2221" s="4008">
        <v>50</v>
      </c>
      <c r="N2221" s="635">
        <v>15000000</v>
      </c>
      <c r="O2221" s="4009">
        <v>25</v>
      </c>
      <c r="P2221" s="61">
        <v>7718250</v>
      </c>
      <c r="Q2221" s="4008">
        <v>5</v>
      </c>
      <c r="R2221" s="60">
        <v>1000000</v>
      </c>
      <c r="S2221" s="4014">
        <v>12</v>
      </c>
      <c r="T2221" s="60">
        <v>2850000</v>
      </c>
      <c r="U2221" s="4009">
        <v>5</v>
      </c>
      <c r="V2221" s="61">
        <v>2100000</v>
      </c>
      <c r="W2221" s="59"/>
      <c r="X2221" s="59"/>
      <c r="Y2221" s="4001">
        <f>Q2221+S2221+U2221+W2221</f>
        <v>22</v>
      </c>
      <c r="Z2221" s="60">
        <f t="shared" si="846"/>
        <v>5950000</v>
      </c>
      <c r="AA2221" s="4001">
        <f t="shared" si="847"/>
        <v>72</v>
      </c>
      <c r="AB2221" s="60">
        <f t="shared" si="847"/>
        <v>20950000</v>
      </c>
      <c r="AC2221" s="389">
        <f t="shared" si="848"/>
        <v>48</v>
      </c>
      <c r="AD2221" s="389">
        <f t="shared" si="845"/>
        <v>40.28846153846154</v>
      </c>
      <c r="AE2221" s="58" t="s">
        <v>4570</v>
      </c>
      <c r="AF2221" s="54"/>
      <c r="AG2221" s="54"/>
      <c r="AH2221" s="54"/>
      <c r="AI2221" s="54"/>
      <c r="AJ2221" s="54"/>
      <c r="AK2221" s="54"/>
      <c r="AL2221" s="54"/>
      <c r="AM2221" s="54"/>
      <c r="AN2221" s="54"/>
      <c r="AO2221" s="54"/>
      <c r="AP2221" s="54"/>
      <c r="AQ2221" s="54"/>
      <c r="AR2221" s="54"/>
      <c r="AS2221" s="54"/>
      <c r="AT2221" s="54"/>
      <c r="AU2221" s="54"/>
      <c r="AV2221" s="54"/>
      <c r="AW2221" s="54"/>
      <c r="AX2221" s="54"/>
      <c r="AY2221" s="54"/>
      <c r="AZ2221" s="54"/>
      <c r="BA2221" s="54"/>
      <c r="BB2221" s="54"/>
      <c r="BC2221" s="54"/>
      <c r="BD2221" s="54"/>
      <c r="BE2221" s="54"/>
      <c r="BF2221" s="54"/>
      <c r="BG2221" s="54"/>
      <c r="BH2221" s="54"/>
      <c r="BI2221" s="54"/>
      <c r="BJ2221" s="54"/>
      <c r="BK2221" s="54"/>
      <c r="BL2221" s="54"/>
      <c r="BM2221" s="54"/>
      <c r="BN2221" s="54"/>
      <c r="BO2221" s="54"/>
      <c r="BP2221" s="54"/>
      <c r="BQ2221" s="54"/>
      <c r="BR2221" s="54"/>
      <c r="BS2221" s="54"/>
      <c r="BT2221" s="54"/>
      <c r="BU2221" s="54"/>
      <c r="BV2221" s="54"/>
      <c r="BW2221" s="54"/>
      <c r="BX2221" s="54"/>
    </row>
    <row r="2222" spans="1:76" ht="25.5">
      <c r="A2222" s="59"/>
      <c r="B2222" s="634"/>
      <c r="C2222" s="4000">
        <v>5</v>
      </c>
      <c r="D2222" s="4000" t="s">
        <v>107</v>
      </c>
      <c r="E2222" s="4000" t="s">
        <v>66</v>
      </c>
      <c r="F2222" s="4000" t="s">
        <v>155</v>
      </c>
      <c r="G2222" s="4000" t="s">
        <v>1099</v>
      </c>
      <c r="H2222" s="4008" t="s">
        <v>197</v>
      </c>
      <c r="I2222" s="58" t="s">
        <v>4589</v>
      </c>
      <c r="J2222" s="58" t="s">
        <v>4629</v>
      </c>
      <c r="K2222" s="4009">
        <v>72</v>
      </c>
      <c r="L2222" s="60">
        <v>50000000</v>
      </c>
      <c r="M2222" s="4008">
        <v>24</v>
      </c>
      <c r="N2222" s="635">
        <v>15000000</v>
      </c>
      <c r="O2222" s="4009">
        <v>12</v>
      </c>
      <c r="P2222" s="61">
        <v>7202721</v>
      </c>
      <c r="Q2222" s="4008">
        <v>3</v>
      </c>
      <c r="R2222" s="60">
        <v>1800000</v>
      </c>
      <c r="S2222" s="4014">
        <v>3</v>
      </c>
      <c r="T2222" s="60">
        <v>1800000</v>
      </c>
      <c r="U2222" s="4009">
        <v>3</v>
      </c>
      <c r="V2222" s="61">
        <v>1800000</v>
      </c>
      <c r="W2222" s="59"/>
      <c r="X2222" s="59"/>
      <c r="Y2222" s="4001">
        <f>Q2222+S2222+U2222+W2222</f>
        <v>9</v>
      </c>
      <c r="Z2222" s="60">
        <f t="shared" si="846"/>
        <v>5400000</v>
      </c>
      <c r="AA2222" s="4001">
        <f t="shared" si="847"/>
        <v>33</v>
      </c>
      <c r="AB2222" s="60">
        <f t="shared" si="847"/>
        <v>20400000</v>
      </c>
      <c r="AC2222" s="389">
        <f t="shared" si="848"/>
        <v>45.833333333333329</v>
      </c>
      <c r="AD2222" s="389">
        <f t="shared" si="845"/>
        <v>40.799999999999997</v>
      </c>
      <c r="AE2222" s="58" t="s">
        <v>4570</v>
      </c>
      <c r="AF2222" s="54"/>
      <c r="AG2222" s="54"/>
      <c r="AH2222" s="54"/>
      <c r="AI2222" s="54"/>
      <c r="AJ2222" s="54"/>
      <c r="AK2222" s="54"/>
      <c r="AL2222" s="54"/>
      <c r="AM2222" s="54"/>
      <c r="AN2222" s="54"/>
      <c r="AO2222" s="54"/>
      <c r="AP2222" s="54"/>
      <c r="AQ2222" s="54"/>
      <c r="AR2222" s="54"/>
      <c r="AS2222" s="54"/>
      <c r="AT2222" s="54"/>
      <c r="AU2222" s="54"/>
      <c r="AV2222" s="54"/>
      <c r="AW2222" s="54"/>
      <c r="AX2222" s="54"/>
      <c r="AY2222" s="54"/>
      <c r="AZ2222" s="54"/>
      <c r="BA2222" s="54"/>
      <c r="BB2222" s="54"/>
      <c r="BC2222" s="54"/>
      <c r="BD2222" s="54"/>
      <c r="BE2222" s="54"/>
      <c r="BF2222" s="54"/>
      <c r="BG2222" s="54"/>
      <c r="BH2222" s="54"/>
      <c r="BI2222" s="54"/>
      <c r="BJ2222" s="54"/>
      <c r="BK2222" s="54"/>
      <c r="BL2222" s="54"/>
      <c r="BM2222" s="54"/>
      <c r="BN2222" s="54"/>
      <c r="BO2222" s="54"/>
      <c r="BP2222" s="54"/>
      <c r="BQ2222" s="54"/>
      <c r="BR2222" s="54"/>
      <c r="BS2222" s="54"/>
      <c r="BT2222" s="54"/>
      <c r="BU2222" s="54"/>
      <c r="BV2222" s="54"/>
      <c r="BW2222" s="54"/>
      <c r="BX2222" s="54"/>
    </row>
    <row r="2223" spans="1:76" s="4051" customFormat="1" ht="17.25" customHeight="1">
      <c r="A2223" s="4278" t="s">
        <v>89</v>
      </c>
      <c r="B2223" s="4278"/>
      <c r="C2223" s="4279"/>
      <c r="D2223" s="4279"/>
      <c r="E2223" s="4279"/>
      <c r="F2223" s="4279"/>
      <c r="G2223" s="4279"/>
      <c r="H2223" s="4279"/>
      <c r="I2223" s="4279"/>
      <c r="J2223" s="4279"/>
      <c r="K2223" s="4279"/>
      <c r="L2223" s="4279"/>
      <c r="M2223" s="4279"/>
      <c r="N2223" s="4279"/>
      <c r="O2223" s="4279"/>
      <c r="P2223" s="4279"/>
      <c r="Q2223" s="4279"/>
      <c r="R2223" s="4279"/>
      <c r="S2223" s="4279"/>
      <c r="T2223" s="4279"/>
      <c r="U2223" s="4279"/>
      <c r="V2223" s="4279"/>
      <c r="W2223" s="4279"/>
      <c r="X2223" s="4279"/>
      <c r="Y2223" s="4279"/>
      <c r="Z2223" s="4279"/>
      <c r="AA2223" s="4279"/>
      <c r="AB2223" s="4279"/>
      <c r="AC2223" s="4050">
        <f>(AC2183+AC2194+AC2200+AC2202+AC2204+AC2206+AC2208+AC2210+AC2212+AC2214+AC2216)/11</f>
        <v>52.970753589204378</v>
      </c>
      <c r="AD2223" s="4050">
        <f>(AD2183+AD2194+AD2200+AD2202+AD2204+AD2206+AD2208+AD2210+AD2212+AD2214+AD2216)/11</f>
        <v>46.3703437543926</v>
      </c>
      <c r="AE2223" s="4030"/>
    </row>
    <row r="2224" spans="1:76" s="4051" customFormat="1" ht="20.25" customHeight="1">
      <c r="A2224" s="4278" t="s">
        <v>90</v>
      </c>
      <c r="B2224" s="4278"/>
      <c r="C2224" s="4279"/>
      <c r="D2224" s="4279"/>
      <c r="E2224" s="4279"/>
      <c r="F2224" s="4279"/>
      <c r="G2224" s="4279"/>
      <c r="H2224" s="4279"/>
      <c r="I2224" s="4279"/>
      <c r="J2224" s="4279"/>
      <c r="K2224" s="4279"/>
      <c r="L2224" s="4279"/>
      <c r="M2224" s="4279"/>
      <c r="N2224" s="4279"/>
      <c r="O2224" s="4279"/>
      <c r="P2224" s="4279"/>
      <c r="Q2224" s="4279"/>
      <c r="R2224" s="4279"/>
      <c r="S2224" s="4279"/>
      <c r="T2224" s="4279"/>
      <c r="U2224" s="4279"/>
      <c r="V2224" s="4279"/>
      <c r="W2224" s="4279"/>
      <c r="X2224" s="4279"/>
      <c r="Y2224" s="4279"/>
      <c r="Z2224" s="4279"/>
      <c r="AA2224" s="4279"/>
      <c r="AB2224" s="4279"/>
      <c r="AC2224" s="4052" t="str">
        <f>IF(AC2223&gt;=91,"ST",IF(AC2223&gt;=76,"T",IF(AC2223&gt;=66,"S",IF(AC2223&gt;=51,"R","SR"))))</f>
        <v>R</v>
      </c>
      <c r="AD2224" s="4052" t="str">
        <f>IF(AD2223&gt;=91,"ST",IF(AD2223&gt;=76,"T",IF(AD2223&gt;=66,"S",IF(AD2223&gt;=51,"R","SR"))))</f>
        <v>SR</v>
      </c>
      <c r="AE2224" s="4030"/>
    </row>
    <row r="2225" spans="1:76" s="55" customFormat="1" ht="25.5" customHeight="1">
      <c r="A2225" s="2546" t="s">
        <v>3355</v>
      </c>
      <c r="B2225" s="2918"/>
      <c r="C2225" s="2546"/>
      <c r="D2225" s="2546"/>
      <c r="E2225" s="2546"/>
      <c r="F2225" s="2546"/>
      <c r="G2225" s="2546"/>
      <c r="H2225" s="2546"/>
      <c r="I2225" s="2515" t="s">
        <v>1031</v>
      </c>
      <c r="J2225" s="2918"/>
      <c r="K2225" s="2918"/>
      <c r="L2225" s="3238">
        <f>L2226+L2239+L2246+L2248+L2250+L2252+L2254+L2256+L2261+L2265</f>
        <v>3543529990</v>
      </c>
      <c r="M2225" s="2918"/>
      <c r="N2225" s="2916">
        <f>N2226+N2239+N2246+N2248+N2250+N2252+N2254+N2256+N2261+N2265</f>
        <v>821269160</v>
      </c>
      <c r="O2225" s="2918"/>
      <c r="P2225" s="2916">
        <f>P2226+P2239+P2246+P2248+P2250+P2252+P2254+P2256+P2261+P2265</f>
        <v>451616166</v>
      </c>
      <c r="Q2225" s="2918"/>
      <c r="R2225" s="2916">
        <f>R2226+R2239+R2246+R2248+R2250+R2252+R2254+R2256+R2261+R2265</f>
        <v>59407350</v>
      </c>
      <c r="S2225" s="2918"/>
      <c r="T2225" s="2916">
        <f>T2226+T2239+T2246+T2248+T2250+T2252+T2254+T2256+T2261+T2265</f>
        <v>131655806</v>
      </c>
      <c r="U2225" s="2918"/>
      <c r="V2225" s="2916">
        <f>V2226+V2239+V2246+V2248+V2250+V2252+V2254+V2256+V2261+V2265</f>
        <v>115403115</v>
      </c>
      <c r="W2225" s="2918"/>
      <c r="X2225" s="2918"/>
      <c r="Y2225" s="2546">
        <f>Q2225+S2225+U2225+W2225</f>
        <v>0</v>
      </c>
      <c r="Z2225" s="2916">
        <f>Z2226+Z2239+Z2246+Z2248+Z2250+Z2252+Z2254+Z2256+Z2261+Z2265</f>
        <v>304962271</v>
      </c>
      <c r="AA2225" s="2918"/>
      <c r="AB2225" s="2916">
        <f>AB2226+AB2239+AB2246+AB2248+AB2250+AB2252+AB2254+AB2256+AB2261+AB2265</f>
        <v>1447304891</v>
      </c>
      <c r="AC2225" s="2918"/>
      <c r="AD2225" s="2918"/>
      <c r="AE2225" s="3211"/>
      <c r="AF2225" s="145"/>
      <c r="AG2225" s="145"/>
      <c r="AH2225" s="145"/>
      <c r="AI2225" s="145"/>
      <c r="AJ2225" s="145"/>
      <c r="AK2225" s="145"/>
      <c r="AL2225" s="145"/>
      <c r="AM2225" s="145"/>
      <c r="AN2225" s="145"/>
      <c r="AO2225" s="145"/>
      <c r="AP2225" s="145"/>
      <c r="AQ2225" s="145"/>
      <c r="AR2225" s="145"/>
      <c r="AS2225" s="145"/>
      <c r="AT2225" s="145"/>
      <c r="AU2225" s="145"/>
      <c r="AV2225" s="145"/>
      <c r="AW2225" s="145"/>
      <c r="AX2225" s="145"/>
      <c r="AY2225" s="145"/>
      <c r="AZ2225" s="145"/>
      <c r="BA2225" s="145"/>
      <c r="BB2225" s="145"/>
      <c r="BC2225" s="145"/>
      <c r="BD2225" s="145"/>
      <c r="BE2225" s="145"/>
      <c r="BF2225" s="145"/>
      <c r="BG2225" s="145"/>
      <c r="BH2225" s="145"/>
      <c r="BI2225" s="145"/>
      <c r="BJ2225" s="145"/>
      <c r="BK2225" s="145"/>
      <c r="BL2225" s="145"/>
      <c r="BM2225" s="145"/>
      <c r="BN2225" s="145"/>
      <c r="BO2225" s="145"/>
      <c r="BP2225" s="145"/>
      <c r="BQ2225" s="145"/>
      <c r="BR2225" s="145"/>
      <c r="BS2225" s="145"/>
      <c r="BT2225" s="145"/>
      <c r="BU2225" s="145"/>
      <c r="BV2225" s="145"/>
      <c r="BW2225" s="145"/>
      <c r="BX2225" s="145"/>
    </row>
    <row r="2226" spans="1:76" s="3655" customFormat="1" ht="92.25" customHeight="1">
      <c r="A2226" s="3657">
        <v>1</v>
      </c>
      <c r="B2226" s="3835"/>
      <c r="C2226" s="3659">
        <v>5</v>
      </c>
      <c r="D2226" s="3659" t="s">
        <v>107</v>
      </c>
      <c r="E2226" s="3659" t="s">
        <v>66</v>
      </c>
      <c r="F2226" s="3659" t="s">
        <v>155</v>
      </c>
      <c r="G2226" s="3659" t="s">
        <v>66</v>
      </c>
      <c r="H2226" s="3657"/>
      <c r="I2226" s="3660" t="s">
        <v>4326</v>
      </c>
      <c r="J2226" s="3660" t="s">
        <v>4529</v>
      </c>
      <c r="K2226" s="3657">
        <v>72</v>
      </c>
      <c r="L2226" s="3662">
        <f>SUM(L2227:L2238)</f>
        <v>1547454650</v>
      </c>
      <c r="M2226" s="3657">
        <v>24</v>
      </c>
      <c r="N2226" s="3662">
        <f>SUM(N2227:N2238)</f>
        <v>345077490</v>
      </c>
      <c r="O2226" s="3657">
        <v>12</v>
      </c>
      <c r="P2226" s="3662">
        <f>SUM(P2227:P2238)</f>
        <v>208303894</v>
      </c>
      <c r="Q2226" s="3657">
        <v>3</v>
      </c>
      <c r="R2226" s="3662">
        <f>SUM(R2227:R2238)</f>
        <v>39653900</v>
      </c>
      <c r="S2226" s="3657">
        <v>3</v>
      </c>
      <c r="T2226" s="3662">
        <f>SUM(T2227:T2238)</f>
        <v>52194400</v>
      </c>
      <c r="U2226" s="3657">
        <v>3</v>
      </c>
      <c r="V2226" s="3662">
        <f>SUM(V2227:V2238)</f>
        <v>60431915</v>
      </c>
      <c r="W2226" s="3661"/>
      <c r="X2226" s="3661"/>
      <c r="Y2226" s="3836">
        <f>Q2226+S2226+U2226+W2226</f>
        <v>9</v>
      </c>
      <c r="Z2226" s="3662">
        <f>SUM(Z2227:Z2238)</f>
        <v>150776215</v>
      </c>
      <c r="AA2226" s="3836">
        <f>M2226+Y2226</f>
        <v>33</v>
      </c>
      <c r="AB2226" s="3662">
        <f>SUM(AB2227:AB2238)</f>
        <v>481653665</v>
      </c>
      <c r="AC2226" s="3664">
        <f>(AA2226/K2226)*100</f>
        <v>45.833333333333329</v>
      </c>
      <c r="AD2226" s="3664">
        <f>AB2226/L2226*100</f>
        <v>31.125543162121101</v>
      </c>
      <c r="AE2226" s="3660" t="s">
        <v>4404</v>
      </c>
    </row>
    <row r="2227" spans="1:76" s="63" customFormat="1" ht="81.75" customHeight="1">
      <c r="A2227" s="59"/>
      <c r="B2227" s="634"/>
      <c r="C2227" s="4000">
        <v>5</v>
      </c>
      <c r="D2227" s="4000" t="s">
        <v>107</v>
      </c>
      <c r="E2227" s="4000" t="s">
        <v>66</v>
      </c>
      <c r="F2227" s="4000" t="s">
        <v>155</v>
      </c>
      <c r="G2227" s="4000" t="s">
        <v>66</v>
      </c>
      <c r="H2227" s="4008" t="s">
        <v>66</v>
      </c>
      <c r="I2227" s="58" t="s">
        <v>3428</v>
      </c>
      <c r="J2227" s="58" t="s">
        <v>4630</v>
      </c>
      <c r="K2227" s="4009">
        <v>48</v>
      </c>
      <c r="L2227" s="60">
        <v>21385096</v>
      </c>
      <c r="M2227" s="4008">
        <v>0</v>
      </c>
      <c r="N2227" s="635">
        <v>0</v>
      </c>
      <c r="O2227" s="4009">
        <v>12</v>
      </c>
      <c r="P2227" s="61">
        <v>4085096</v>
      </c>
      <c r="Q2227" s="4008">
        <v>3</v>
      </c>
      <c r="R2227" s="60">
        <v>681900</v>
      </c>
      <c r="S2227" s="4009">
        <v>3</v>
      </c>
      <c r="T2227" s="60">
        <f>1846900-R2227</f>
        <v>1165000</v>
      </c>
      <c r="U2227" s="4009">
        <v>3</v>
      </c>
      <c r="V2227" s="61">
        <f>2221900-T2227</f>
        <v>1056900</v>
      </c>
      <c r="W2227" s="59"/>
      <c r="X2227" s="59"/>
      <c r="Y2227" s="4001">
        <f t="shared" ref="Y2227:Z2237" si="850">Q2227+S2227+U2227+W2227</f>
        <v>9</v>
      </c>
      <c r="Z2227" s="60">
        <f>R2227+T2227+V2227+X2227</f>
        <v>2903800</v>
      </c>
      <c r="AA2227" s="4001">
        <f t="shared" ref="AA2227:AB2237" si="851">M2227+Y2227</f>
        <v>9</v>
      </c>
      <c r="AB2227" s="60">
        <f t="shared" si="851"/>
        <v>2903800</v>
      </c>
      <c r="AC2227" s="389">
        <f>(AA2227/K2227)*100</f>
        <v>18.75</v>
      </c>
      <c r="AD2227" s="389">
        <f t="shared" ref="AD2227:AD2237" si="852">AB2227/L2227*100</f>
        <v>13.578615686363998</v>
      </c>
      <c r="AE2227" s="58" t="s">
        <v>4404</v>
      </c>
    </row>
    <row r="2228" spans="1:76" s="63" customFormat="1" ht="81.75" customHeight="1">
      <c r="A2228" s="59"/>
      <c r="B2228" s="634"/>
      <c r="C2228" s="4000">
        <v>5</v>
      </c>
      <c r="D2228" s="4000" t="s">
        <v>107</v>
      </c>
      <c r="E2228" s="4000" t="s">
        <v>66</v>
      </c>
      <c r="F2228" s="4000" t="s">
        <v>155</v>
      </c>
      <c r="G2228" s="4000" t="s">
        <v>66</v>
      </c>
      <c r="H2228" s="4008" t="s">
        <v>65</v>
      </c>
      <c r="I2228" s="58" t="s">
        <v>4330</v>
      </c>
      <c r="J2228" s="58" t="s">
        <v>4331</v>
      </c>
      <c r="K2228" s="4009">
        <v>72</v>
      </c>
      <c r="L2228" s="60">
        <v>70500800</v>
      </c>
      <c r="M2228" s="4008">
        <v>24</v>
      </c>
      <c r="N2228" s="635">
        <v>16763500</v>
      </c>
      <c r="O2228" s="4009">
        <v>12</v>
      </c>
      <c r="P2228" s="61">
        <v>7560000</v>
      </c>
      <c r="Q2228" s="4008">
        <v>3</v>
      </c>
      <c r="R2228" s="60">
        <v>1432000</v>
      </c>
      <c r="S2228" s="4009">
        <v>3</v>
      </c>
      <c r="T2228" s="60">
        <f>2072000-R2228</f>
        <v>640000</v>
      </c>
      <c r="U2228" s="4009">
        <v>3</v>
      </c>
      <c r="V2228" s="61">
        <f>3871515-T2228-R2228</f>
        <v>1799515</v>
      </c>
      <c r="W2228" s="59"/>
      <c r="X2228" s="59"/>
      <c r="Y2228" s="4001">
        <f t="shared" si="850"/>
        <v>9</v>
      </c>
      <c r="Z2228" s="60">
        <f>R2228+T2228+V2228+X2228</f>
        <v>3871515</v>
      </c>
      <c r="AA2228" s="4001">
        <f t="shared" si="851"/>
        <v>33</v>
      </c>
      <c r="AB2228" s="60">
        <f t="shared" si="851"/>
        <v>20635015</v>
      </c>
      <c r="AC2228" s="389">
        <f>(AA2228/K2228)*100</f>
        <v>45.833333333333329</v>
      </c>
      <c r="AD2228" s="389">
        <f t="shared" si="852"/>
        <v>29.26919269001203</v>
      </c>
      <c r="AE2228" s="58" t="s">
        <v>4404</v>
      </c>
    </row>
    <row r="2229" spans="1:76" s="63" customFormat="1" ht="63.75">
      <c r="A2229" s="59"/>
      <c r="B2229" s="634"/>
      <c r="C2229" s="4000">
        <v>5</v>
      </c>
      <c r="D2229" s="4000" t="s">
        <v>107</v>
      </c>
      <c r="E2229" s="4000" t="s">
        <v>66</v>
      </c>
      <c r="F2229" s="4000" t="s">
        <v>155</v>
      </c>
      <c r="G2229" s="4000" t="s">
        <v>66</v>
      </c>
      <c r="H2229" s="4008" t="s">
        <v>198</v>
      </c>
      <c r="I2229" s="58" t="s">
        <v>4332</v>
      </c>
      <c r="J2229" s="58" t="s">
        <v>4333</v>
      </c>
      <c r="K2229" s="4009">
        <v>72</v>
      </c>
      <c r="L2229" s="60">
        <v>199260600</v>
      </c>
      <c r="M2229" s="4008">
        <v>24</v>
      </c>
      <c r="N2229" s="635">
        <f>29350000+39600000</f>
        <v>68950000</v>
      </c>
      <c r="O2229" s="4009">
        <v>12</v>
      </c>
      <c r="P2229" s="61">
        <v>42000000</v>
      </c>
      <c r="Q2229" s="4008">
        <v>3</v>
      </c>
      <c r="R2229" s="60">
        <v>6300000</v>
      </c>
      <c r="S2229" s="4009">
        <v>3</v>
      </c>
      <c r="T2229" s="60">
        <f>18900000-R2229</f>
        <v>12600000</v>
      </c>
      <c r="U2229" s="4009">
        <v>3</v>
      </c>
      <c r="V2229" s="61">
        <f>27750000-T2229-R2229</f>
        <v>8850000</v>
      </c>
      <c r="W2229" s="59"/>
      <c r="X2229" s="59"/>
      <c r="Y2229" s="4001">
        <f t="shared" si="850"/>
        <v>9</v>
      </c>
      <c r="Z2229" s="60">
        <f t="shared" si="850"/>
        <v>27750000</v>
      </c>
      <c r="AA2229" s="4001">
        <f t="shared" si="851"/>
        <v>33</v>
      </c>
      <c r="AB2229" s="60">
        <f t="shared" si="851"/>
        <v>96700000</v>
      </c>
      <c r="AC2229" s="389">
        <f t="shared" ref="AC2229" si="853">(AA2229/K2229)*100</f>
        <v>45.833333333333329</v>
      </c>
      <c r="AD2229" s="389">
        <f t="shared" si="852"/>
        <v>48.529413240751055</v>
      </c>
      <c r="AE2229" s="58" t="s">
        <v>4404</v>
      </c>
    </row>
    <row r="2230" spans="1:76" s="63" customFormat="1" ht="66.75" customHeight="1">
      <c r="A2230" s="385"/>
      <c r="B2230" s="634"/>
      <c r="C2230" s="4000">
        <v>5</v>
      </c>
      <c r="D2230" s="4000" t="s">
        <v>107</v>
      </c>
      <c r="E2230" s="4000" t="s">
        <v>66</v>
      </c>
      <c r="F2230" s="4000" t="s">
        <v>155</v>
      </c>
      <c r="G2230" s="4000" t="s">
        <v>66</v>
      </c>
      <c r="H2230" s="4000" t="s">
        <v>93</v>
      </c>
      <c r="I2230" s="384" t="s">
        <v>876</v>
      </c>
      <c r="J2230" s="384" t="s">
        <v>4334</v>
      </c>
      <c r="K2230" s="4000">
        <v>72</v>
      </c>
      <c r="L2230" s="386">
        <v>93500000</v>
      </c>
      <c r="M2230" s="4000">
        <v>24</v>
      </c>
      <c r="N2230" s="669">
        <v>26825000</v>
      </c>
      <c r="O2230" s="4001">
        <v>12</v>
      </c>
      <c r="P2230" s="387">
        <v>10815400</v>
      </c>
      <c r="Q2230" s="4000">
        <v>3</v>
      </c>
      <c r="R2230" s="386">
        <v>2000000</v>
      </c>
      <c r="S2230" s="4001">
        <v>3</v>
      </c>
      <c r="T2230" s="386">
        <v>3250000</v>
      </c>
      <c r="U2230" s="4001">
        <v>3</v>
      </c>
      <c r="V2230" s="387">
        <f>7815000-T2230-R2230</f>
        <v>2565000</v>
      </c>
      <c r="W2230" s="385"/>
      <c r="X2230" s="385"/>
      <c r="Y2230" s="4001">
        <f>Q2230+S2230+U2230+W2230</f>
        <v>9</v>
      </c>
      <c r="Z2230" s="386">
        <f t="shared" si="850"/>
        <v>7815000</v>
      </c>
      <c r="AA2230" s="4001">
        <f t="shared" si="851"/>
        <v>33</v>
      </c>
      <c r="AB2230" s="386">
        <f t="shared" si="851"/>
        <v>34640000</v>
      </c>
      <c r="AC2230" s="389">
        <f>(AA2230/K2230)*100</f>
        <v>45.833333333333329</v>
      </c>
      <c r="AD2230" s="389">
        <f t="shared" si="852"/>
        <v>37.048128342245988</v>
      </c>
      <c r="AE2230" s="384" t="s">
        <v>4404</v>
      </c>
    </row>
    <row r="2231" spans="1:76" s="63" customFormat="1" ht="25.5">
      <c r="A2231" s="59"/>
      <c r="B2231" s="673"/>
      <c r="C2231" s="4008">
        <v>5</v>
      </c>
      <c r="D2231" s="4008" t="s">
        <v>107</v>
      </c>
      <c r="E2231" s="4008" t="s">
        <v>66</v>
      </c>
      <c r="F2231" s="4008" t="s">
        <v>155</v>
      </c>
      <c r="G2231" s="4008" t="s">
        <v>66</v>
      </c>
      <c r="H2231" s="4008" t="s">
        <v>202</v>
      </c>
      <c r="I2231" s="58" t="s">
        <v>880</v>
      </c>
      <c r="J2231" s="58" t="s">
        <v>443</v>
      </c>
      <c r="K2231" s="4009">
        <v>72</v>
      </c>
      <c r="L2231" s="60">
        <v>132600000</v>
      </c>
      <c r="M2231" s="4008">
        <v>24</v>
      </c>
      <c r="N2231" s="635">
        <v>39955000</v>
      </c>
      <c r="O2231" s="4009">
        <v>12</v>
      </c>
      <c r="P2231" s="61">
        <v>17434364</v>
      </c>
      <c r="Q2231" s="4008">
        <v>3</v>
      </c>
      <c r="R2231" s="60">
        <v>6980000</v>
      </c>
      <c r="S2231" s="4009">
        <v>3</v>
      </c>
      <c r="T2231" s="60">
        <f>11870000-R2231</f>
        <v>4890000</v>
      </c>
      <c r="U2231" s="4009">
        <v>3</v>
      </c>
      <c r="V2231" s="61">
        <f>17170000-T2231-R2231</f>
        <v>5300000</v>
      </c>
      <c r="W2231" s="59"/>
      <c r="X2231" s="59"/>
      <c r="Y2231" s="4009">
        <f t="shared" ref="Y2231:Y2232" si="854">Q2231+S2231+U2231+W2231</f>
        <v>9</v>
      </c>
      <c r="Z2231" s="60">
        <f t="shared" si="850"/>
        <v>17170000</v>
      </c>
      <c r="AA2231" s="4009">
        <f>M2231+Y2231</f>
        <v>33</v>
      </c>
      <c r="AB2231" s="60">
        <f t="shared" si="851"/>
        <v>57125000</v>
      </c>
      <c r="AC2231" s="62">
        <f>(AA2231/K2231)*100</f>
        <v>45.833333333333329</v>
      </c>
      <c r="AD2231" s="62">
        <f t="shared" si="852"/>
        <v>43.080693815987935</v>
      </c>
      <c r="AE2231" s="58" t="s">
        <v>4404</v>
      </c>
    </row>
    <row r="2232" spans="1:76" s="63" customFormat="1" ht="38.25">
      <c r="A2232" s="385"/>
      <c r="B2232" s="634"/>
      <c r="C2232" s="4000">
        <v>5</v>
      </c>
      <c r="D2232" s="4000" t="s">
        <v>107</v>
      </c>
      <c r="E2232" s="4000" t="s">
        <v>66</v>
      </c>
      <c r="F2232" s="4000" t="s">
        <v>155</v>
      </c>
      <c r="G2232" s="4000" t="s">
        <v>66</v>
      </c>
      <c r="H2232" s="4000" t="s">
        <v>417</v>
      </c>
      <c r="I2232" s="384" t="s">
        <v>882</v>
      </c>
      <c r="J2232" s="421" t="s">
        <v>4547</v>
      </c>
      <c r="K2232" s="4001">
        <v>72</v>
      </c>
      <c r="L2232" s="386">
        <v>65400000</v>
      </c>
      <c r="M2232" s="4000">
        <v>24</v>
      </c>
      <c r="N2232" s="669">
        <v>21002000</v>
      </c>
      <c r="O2232" s="4001">
        <v>12</v>
      </c>
      <c r="P2232" s="387">
        <v>12581132</v>
      </c>
      <c r="Q2232" s="4000">
        <v>3</v>
      </c>
      <c r="R2232" s="386">
        <f>2500000+519000</f>
        <v>3019000</v>
      </c>
      <c r="S2232" s="4001">
        <v>3</v>
      </c>
      <c r="T2232" s="386">
        <f>6289000-R2232</f>
        <v>3270000</v>
      </c>
      <c r="U2232" s="4001">
        <v>3</v>
      </c>
      <c r="V2232" s="386">
        <f>9039000-T2232-R2232</f>
        <v>2750000</v>
      </c>
      <c r="W2232" s="385"/>
      <c r="X2232" s="385"/>
      <c r="Y2232" s="4001">
        <f t="shared" si="854"/>
        <v>9</v>
      </c>
      <c r="Z2232" s="386">
        <f t="shared" si="850"/>
        <v>9039000</v>
      </c>
      <c r="AA2232" s="4001">
        <f t="shared" ref="AA2232:AA2234" si="855">M2232+Y2232</f>
        <v>33</v>
      </c>
      <c r="AB2232" s="386">
        <f t="shared" si="851"/>
        <v>30041000</v>
      </c>
      <c r="AC2232" s="389">
        <f t="shared" ref="AC2232:AC2234" si="856">(AA2232/K2232)*100</f>
        <v>45.833333333333329</v>
      </c>
      <c r="AD2232" s="389">
        <f t="shared" si="852"/>
        <v>45.934250764525991</v>
      </c>
      <c r="AE2232" s="384" t="s">
        <v>4404</v>
      </c>
    </row>
    <row r="2233" spans="1:76" s="63" customFormat="1" ht="92.25" customHeight="1">
      <c r="A2233" s="385"/>
      <c r="B2233" s="634"/>
      <c r="C2233" s="4000">
        <v>5</v>
      </c>
      <c r="D2233" s="4000" t="s">
        <v>107</v>
      </c>
      <c r="E2233" s="4000" t="s">
        <v>66</v>
      </c>
      <c r="F2233" s="4000" t="s">
        <v>155</v>
      </c>
      <c r="G2233" s="4000" t="s">
        <v>66</v>
      </c>
      <c r="H2233" s="4000" t="s">
        <v>160</v>
      </c>
      <c r="I2233" s="384" t="s">
        <v>4339</v>
      </c>
      <c r="J2233" s="384" t="s">
        <v>4519</v>
      </c>
      <c r="K2233" s="4001">
        <v>72</v>
      </c>
      <c r="L2233" s="386">
        <v>13691000</v>
      </c>
      <c r="M2233" s="4000">
        <v>24</v>
      </c>
      <c r="N2233" s="669">
        <v>4150000</v>
      </c>
      <c r="O2233" s="4001">
        <v>12</v>
      </c>
      <c r="P2233" s="387">
        <v>1545900</v>
      </c>
      <c r="Q2233" s="4000">
        <v>3</v>
      </c>
      <c r="R2233" s="386">
        <v>0</v>
      </c>
      <c r="S2233" s="4001">
        <v>3</v>
      </c>
      <c r="T2233" s="386">
        <v>1000000</v>
      </c>
      <c r="U2233" s="4001">
        <v>3</v>
      </c>
      <c r="V2233" s="387">
        <v>545000</v>
      </c>
      <c r="W2233" s="385"/>
      <c r="X2233" s="385"/>
      <c r="Y2233" s="4001">
        <f>Q2233+S2233+U2233+W2233</f>
        <v>9</v>
      </c>
      <c r="Z2233" s="386">
        <f t="shared" si="850"/>
        <v>1545000</v>
      </c>
      <c r="AA2233" s="4001">
        <f t="shared" si="855"/>
        <v>33</v>
      </c>
      <c r="AB2233" s="386">
        <f t="shared" si="851"/>
        <v>5695000</v>
      </c>
      <c r="AC2233" s="389">
        <f t="shared" si="856"/>
        <v>45.833333333333329</v>
      </c>
      <c r="AD2233" s="389">
        <f t="shared" si="852"/>
        <v>41.596669344825067</v>
      </c>
      <c r="AE2233" s="384" t="s">
        <v>4404</v>
      </c>
    </row>
    <row r="2234" spans="1:76" s="63" customFormat="1" ht="63.75">
      <c r="A2234" s="59"/>
      <c r="B2234" s="634"/>
      <c r="C2234" s="4000">
        <v>5</v>
      </c>
      <c r="D2234" s="4000" t="s">
        <v>107</v>
      </c>
      <c r="E2234" s="4000" t="s">
        <v>66</v>
      </c>
      <c r="F2234" s="4000" t="s">
        <v>155</v>
      </c>
      <c r="G2234" s="4000" t="s">
        <v>66</v>
      </c>
      <c r="H2234" s="4008" t="s">
        <v>155</v>
      </c>
      <c r="I2234" s="58" t="s">
        <v>4341</v>
      </c>
      <c r="J2234" s="58" t="s">
        <v>4548</v>
      </c>
      <c r="K2234" s="4009">
        <v>72</v>
      </c>
      <c r="L2234" s="60">
        <v>15130000</v>
      </c>
      <c r="M2234" s="4008">
        <v>24</v>
      </c>
      <c r="N2234" s="635">
        <v>5760000</v>
      </c>
      <c r="O2234" s="4009">
        <v>12</v>
      </c>
      <c r="P2234" s="61">
        <v>3560000</v>
      </c>
      <c r="Q2234" s="4008">
        <v>3</v>
      </c>
      <c r="R2234" s="60">
        <v>260000</v>
      </c>
      <c r="S2234" s="4009">
        <v>3</v>
      </c>
      <c r="T2234" s="60">
        <f>2780000-R2234</f>
        <v>2520000</v>
      </c>
      <c r="U2234" s="4009">
        <v>3</v>
      </c>
      <c r="V2234" s="61">
        <f>3170000-T2234-R2234</f>
        <v>390000</v>
      </c>
      <c r="W2234" s="59"/>
      <c r="X2234" s="59"/>
      <c r="Y2234" s="4001">
        <f t="shared" ref="Y2234:Y2235" si="857">Q2234+S2234+U2234+W2234</f>
        <v>9</v>
      </c>
      <c r="Z2234" s="60">
        <f t="shared" si="850"/>
        <v>3170000</v>
      </c>
      <c r="AA2234" s="4001">
        <f t="shared" si="855"/>
        <v>33</v>
      </c>
      <c r="AB2234" s="60">
        <f t="shared" si="851"/>
        <v>8930000</v>
      </c>
      <c r="AC2234" s="389">
        <f t="shared" si="856"/>
        <v>45.833333333333329</v>
      </c>
      <c r="AD2234" s="389">
        <f t="shared" si="852"/>
        <v>59.021810971579647</v>
      </c>
      <c r="AE2234" s="58" t="s">
        <v>4404</v>
      </c>
    </row>
    <row r="2235" spans="1:76" s="63" customFormat="1" ht="52.5" customHeight="1">
      <c r="A2235" s="385"/>
      <c r="B2235" s="634"/>
      <c r="C2235" s="4000">
        <v>5</v>
      </c>
      <c r="D2235" s="4000" t="s">
        <v>107</v>
      </c>
      <c r="E2235" s="4000" t="s">
        <v>66</v>
      </c>
      <c r="F2235" s="4000" t="s">
        <v>155</v>
      </c>
      <c r="G2235" s="4000" t="s">
        <v>66</v>
      </c>
      <c r="H2235" s="4000" t="s">
        <v>448</v>
      </c>
      <c r="I2235" s="384" t="s">
        <v>223</v>
      </c>
      <c r="J2235" s="421" t="s">
        <v>4343</v>
      </c>
      <c r="K2235" s="4001">
        <v>72</v>
      </c>
      <c r="L2235" s="386">
        <v>136500000</v>
      </c>
      <c r="M2235" s="4000">
        <v>24</v>
      </c>
      <c r="N2235" s="669">
        <v>39575000</v>
      </c>
      <c r="O2235" s="4001">
        <v>12</v>
      </c>
      <c r="P2235" s="387">
        <f>16830000</f>
        <v>16830000</v>
      </c>
      <c r="Q2235" s="4000">
        <v>3</v>
      </c>
      <c r="R2235" s="386">
        <f>1375000-589000</f>
        <v>786000</v>
      </c>
      <c r="S2235" s="4001">
        <v>3</v>
      </c>
      <c r="T2235" s="386">
        <f>4675000+2496400-R2235</f>
        <v>6385400</v>
      </c>
      <c r="U2235" s="4001">
        <v>3</v>
      </c>
      <c r="V2235" s="386">
        <f>7397500+3080400-T2235-R2235</f>
        <v>3306500</v>
      </c>
      <c r="W2235" s="385"/>
      <c r="X2235" s="385"/>
      <c r="Y2235" s="4001">
        <f t="shared" si="857"/>
        <v>9</v>
      </c>
      <c r="Z2235" s="386">
        <f t="shared" si="850"/>
        <v>10477900</v>
      </c>
      <c r="AA2235" s="4001">
        <f>M2235+Y2235</f>
        <v>33</v>
      </c>
      <c r="AB2235" s="386">
        <f t="shared" si="851"/>
        <v>50052900</v>
      </c>
      <c r="AC2235" s="389">
        <f>(AA2235/K2235)*100</f>
        <v>45.833333333333329</v>
      </c>
      <c r="AD2235" s="389">
        <f t="shared" si="852"/>
        <v>36.668791208791205</v>
      </c>
      <c r="AE2235" s="384" t="s">
        <v>4404</v>
      </c>
    </row>
    <row r="2236" spans="1:76" s="63" customFormat="1" ht="64.5" customHeight="1">
      <c r="A2236" s="385"/>
      <c r="B2236" s="634"/>
      <c r="C2236" s="4000">
        <v>5</v>
      </c>
      <c r="D2236" s="4000" t="s">
        <v>107</v>
      </c>
      <c r="E2236" s="4000" t="s">
        <v>66</v>
      </c>
      <c r="F2236" s="4000" t="s">
        <v>155</v>
      </c>
      <c r="G2236" s="4000" t="s">
        <v>66</v>
      </c>
      <c r="H2236" s="4000" t="s">
        <v>167</v>
      </c>
      <c r="I2236" s="384" t="s">
        <v>973</v>
      </c>
      <c r="J2236" s="384" t="s">
        <v>4345</v>
      </c>
      <c r="K2236" s="4001">
        <v>72</v>
      </c>
      <c r="L2236" s="386">
        <v>360000000</v>
      </c>
      <c r="M2236" s="4000">
        <v>24</v>
      </c>
      <c r="N2236" s="669">
        <v>56971950</v>
      </c>
      <c r="O2236" s="4001">
        <v>12</v>
      </c>
      <c r="P2236" s="387">
        <v>29050000</v>
      </c>
      <c r="Q2236" s="4000">
        <v>3</v>
      </c>
      <c r="R2236" s="386">
        <v>1900000</v>
      </c>
      <c r="S2236" s="4001">
        <v>3</v>
      </c>
      <c r="T2236" s="386">
        <f>5700000-R2236</f>
        <v>3800000</v>
      </c>
      <c r="U2236" s="4001">
        <v>3</v>
      </c>
      <c r="V2236" s="387">
        <f>24659000-T2236-R2236</f>
        <v>18959000</v>
      </c>
      <c r="W2236" s="385"/>
      <c r="X2236" s="385"/>
      <c r="Y2236" s="4001">
        <f>Q2236+S2236+U2236+W2236</f>
        <v>9</v>
      </c>
      <c r="Z2236" s="386">
        <f t="shared" si="850"/>
        <v>24659000</v>
      </c>
      <c r="AA2236" s="4001">
        <f t="shared" ref="AA2236:AA2237" si="858">M2236+Y2236</f>
        <v>33</v>
      </c>
      <c r="AB2236" s="386">
        <f t="shared" si="851"/>
        <v>81630950</v>
      </c>
      <c r="AC2236" s="389">
        <f t="shared" ref="AC2236:AC2237" si="859">(AA2236/K2236)*100</f>
        <v>45.833333333333329</v>
      </c>
      <c r="AD2236" s="389">
        <f t="shared" si="852"/>
        <v>22.675263888888889</v>
      </c>
      <c r="AE2236" s="384" t="s">
        <v>4404</v>
      </c>
    </row>
    <row r="2237" spans="1:76" s="63" customFormat="1" ht="51">
      <c r="A2237" s="59"/>
      <c r="B2237" s="634"/>
      <c r="C2237" s="4000">
        <v>5</v>
      </c>
      <c r="D2237" s="4000" t="s">
        <v>107</v>
      </c>
      <c r="E2237" s="4000" t="s">
        <v>66</v>
      </c>
      <c r="F2237" s="4000" t="s">
        <v>155</v>
      </c>
      <c r="G2237" s="4000" t="s">
        <v>66</v>
      </c>
      <c r="H2237" s="4008" t="s">
        <v>376</v>
      </c>
      <c r="I2237" s="58" t="s">
        <v>4346</v>
      </c>
      <c r="J2237" s="58" t="s">
        <v>4347</v>
      </c>
      <c r="K2237" s="4009">
        <v>72</v>
      </c>
      <c r="L2237" s="60">
        <v>398875000</v>
      </c>
      <c r="M2237" s="4008">
        <v>24</v>
      </c>
      <c r="N2237" s="635">
        <v>50925000</v>
      </c>
      <c r="O2237" s="4009">
        <v>12</v>
      </c>
      <c r="P2237" s="61">
        <v>54450000</v>
      </c>
      <c r="Q2237" s="4008">
        <v>3</v>
      </c>
      <c r="R2237" s="60">
        <v>13585000</v>
      </c>
      <c r="S2237" s="4009">
        <v>3</v>
      </c>
      <c r="T2237" s="60">
        <f>21735000-R2237</f>
        <v>8150000</v>
      </c>
      <c r="U2237" s="4009">
        <v>3</v>
      </c>
      <c r="V2237" s="61">
        <f>31485000-T2237-R2237</f>
        <v>9750000</v>
      </c>
      <c r="W2237" s="59"/>
      <c r="X2237" s="59"/>
      <c r="Y2237" s="4001">
        <f t="shared" ref="Y2237" si="860">Q2237+S2237+U2237+W2237</f>
        <v>9</v>
      </c>
      <c r="Z2237" s="60">
        <f t="shared" si="850"/>
        <v>31485000</v>
      </c>
      <c r="AA2237" s="4001">
        <f t="shared" si="858"/>
        <v>33</v>
      </c>
      <c r="AB2237" s="60">
        <f t="shared" si="851"/>
        <v>82410000</v>
      </c>
      <c r="AC2237" s="389">
        <f t="shared" si="859"/>
        <v>45.833333333333329</v>
      </c>
      <c r="AD2237" s="389">
        <f t="shared" si="852"/>
        <v>20.660607959887184</v>
      </c>
      <c r="AE2237" s="58" t="s">
        <v>4404</v>
      </c>
    </row>
    <row r="2238" spans="1:76" s="75" customFormat="1" ht="61.5" customHeight="1">
      <c r="A2238" s="3157"/>
      <c r="B2238" s="3866"/>
      <c r="C2238" s="4002">
        <v>5</v>
      </c>
      <c r="D2238" s="1218" t="s">
        <v>66</v>
      </c>
      <c r="E2238" s="1218" t="s">
        <v>66</v>
      </c>
      <c r="F2238" s="4000" t="s">
        <v>155</v>
      </c>
      <c r="G2238" s="4000" t="s">
        <v>66</v>
      </c>
      <c r="H2238" s="1218">
        <v>30</v>
      </c>
      <c r="I2238" s="728" t="s">
        <v>4423</v>
      </c>
      <c r="J2238" s="3866" t="s">
        <v>4631</v>
      </c>
      <c r="K2238" s="3734">
        <v>48</v>
      </c>
      <c r="L2238" s="3735">
        <v>40612154</v>
      </c>
      <c r="M2238" s="3734">
        <v>16</v>
      </c>
      <c r="N2238" s="3735">
        <v>14200040</v>
      </c>
      <c r="O2238" s="3734">
        <v>8</v>
      </c>
      <c r="P2238" s="3735">
        <v>8392002</v>
      </c>
      <c r="Q2238" s="3730">
        <v>2</v>
      </c>
      <c r="R2238" s="3044">
        <v>2710000</v>
      </c>
      <c r="S2238" s="3870">
        <v>2</v>
      </c>
      <c r="T2238" s="3044">
        <v>4524000</v>
      </c>
      <c r="U2238" s="3730">
        <v>2</v>
      </c>
      <c r="V2238" s="3044">
        <v>5160000</v>
      </c>
      <c r="W2238" s="3730">
        <v>0</v>
      </c>
      <c r="X2238" s="3747">
        <v>0</v>
      </c>
      <c r="Y2238" s="3730">
        <f t="shared" ref="Y2238" si="861">(Q2238+S2238+U2238+W2238)</f>
        <v>6</v>
      </c>
      <c r="Z2238" s="3874">
        <v>10890000</v>
      </c>
      <c r="AA2238" s="3730">
        <v>33</v>
      </c>
      <c r="AB2238" s="3910">
        <v>10890000</v>
      </c>
      <c r="AC2238" s="3734">
        <f t="shared" ref="AC2238:AD2238" si="862">(AA2238/K2238*100%)</f>
        <v>0.6875</v>
      </c>
      <c r="AD2238" s="3869">
        <f t="shared" si="862"/>
        <v>0.26814632880590378</v>
      </c>
      <c r="AE2238" s="3157" t="s">
        <v>4560</v>
      </c>
    </row>
    <row r="2239" spans="1:76" s="3837" customFormat="1" ht="99">
      <c r="A2239" s="3657">
        <v>2</v>
      </c>
      <c r="B2239" s="3835"/>
      <c r="C2239" s="3659">
        <v>5</v>
      </c>
      <c r="D2239" s="3659" t="s">
        <v>107</v>
      </c>
      <c r="E2239" s="3659" t="s">
        <v>66</v>
      </c>
      <c r="F2239" s="3659" t="s">
        <v>155</v>
      </c>
      <c r="G2239" s="3659" t="s">
        <v>65</v>
      </c>
      <c r="H2239" s="3657"/>
      <c r="I2239" s="3660" t="s">
        <v>4350</v>
      </c>
      <c r="J2239" s="3660" t="s">
        <v>4313</v>
      </c>
      <c r="K2239" s="3657">
        <v>72</v>
      </c>
      <c r="L2239" s="3662">
        <f>SUM(L2240:L2245)</f>
        <v>751776800</v>
      </c>
      <c r="M2239" s="3657">
        <v>24</v>
      </c>
      <c r="N2239" s="3662">
        <f>SUM(N2240:N2245)</f>
        <v>155300620</v>
      </c>
      <c r="O2239" s="3657">
        <v>12</v>
      </c>
      <c r="P2239" s="3662">
        <f>SUM(P2240:P2245)</f>
        <v>87334000</v>
      </c>
      <c r="Q2239" s="3657">
        <v>3</v>
      </c>
      <c r="R2239" s="3662">
        <f>SUM(R2240:R2245)</f>
        <v>6067300</v>
      </c>
      <c r="S2239" s="3657">
        <v>3</v>
      </c>
      <c r="T2239" s="3662">
        <f>SUM(T2240:T2245)</f>
        <v>28465406</v>
      </c>
      <c r="U2239" s="3661">
        <v>3</v>
      </c>
      <c r="V2239" s="3662">
        <f>SUM(V2240:V2245)</f>
        <v>9849300</v>
      </c>
      <c r="W2239" s="3661"/>
      <c r="X2239" s="3661"/>
      <c r="Y2239" s="3657">
        <f>Q2239+S2239+U2239+W2239</f>
        <v>9</v>
      </c>
      <c r="Z2239" s="3662">
        <f>SUM(Z2240:Z2245)</f>
        <v>44382006</v>
      </c>
      <c r="AA2239" s="3657">
        <f>M2239+Y2239</f>
        <v>33</v>
      </c>
      <c r="AB2239" s="3662">
        <f>SUM(AB2240:AB2245)</f>
        <v>534956126</v>
      </c>
      <c r="AC2239" s="3664">
        <f>(AA2239/K2239)*100</f>
        <v>45.833333333333329</v>
      </c>
      <c r="AD2239" s="3664">
        <f>(AB2239/L2239)*100</f>
        <v>71.158903280867406</v>
      </c>
      <c r="AE2239" s="3660" t="s">
        <v>4404</v>
      </c>
    </row>
    <row r="2240" spans="1:76" s="75" customFormat="1" ht="48" customHeight="1">
      <c r="A2240" s="3157"/>
      <c r="B2240" s="728"/>
      <c r="C2240" s="1218" t="s">
        <v>4322</v>
      </c>
      <c r="D2240" s="1218" t="s">
        <v>107</v>
      </c>
      <c r="E2240" s="1218" t="s">
        <v>66</v>
      </c>
      <c r="F2240" s="1218" t="s">
        <v>65</v>
      </c>
      <c r="G2240" s="1218" t="s">
        <v>65</v>
      </c>
      <c r="H2240" s="1218" t="s">
        <v>201</v>
      </c>
      <c r="I2240" s="728" t="s">
        <v>4427</v>
      </c>
      <c r="J2240" s="728" t="s">
        <v>4428</v>
      </c>
      <c r="K2240" s="3734">
        <v>45</v>
      </c>
      <c r="L2240" s="3735">
        <v>35000000</v>
      </c>
      <c r="M2240" s="3736">
        <v>16</v>
      </c>
      <c r="N2240" s="3735">
        <v>43480000</v>
      </c>
      <c r="O2240" s="3734">
        <v>12</v>
      </c>
      <c r="P2240" s="3735">
        <v>850000</v>
      </c>
      <c r="Q2240" s="3730"/>
      <c r="R2240" s="3735">
        <v>0</v>
      </c>
      <c r="S2240" s="3730">
        <v>12</v>
      </c>
      <c r="T2240" s="3868">
        <v>850000</v>
      </c>
      <c r="U2240" s="3730"/>
      <c r="V2240" s="3868">
        <v>0</v>
      </c>
      <c r="W2240" s="3730">
        <v>0</v>
      </c>
      <c r="X2240" s="3747">
        <v>0</v>
      </c>
      <c r="Y2240" s="3730">
        <f t="shared" ref="Y2240:Y2244" si="863">(Q2240+S2240+U2240+W2240)</f>
        <v>12</v>
      </c>
      <c r="Z2240" s="3868">
        <f t="shared" ref="Z2240:Z2245" si="864">R2240+T2240+V2240+X2240</f>
        <v>850000</v>
      </c>
      <c r="AA2240" s="3730">
        <f t="shared" ref="AA2240:AB2245" si="865">(M2240+Y2240)</f>
        <v>28</v>
      </c>
      <c r="AB2240" s="3910">
        <f t="shared" si="865"/>
        <v>44330000</v>
      </c>
      <c r="AC2240" s="3905">
        <f t="shared" ref="AC2240:AD2245" si="866">(AA2240/K2240*100%)</f>
        <v>0.62222222222222223</v>
      </c>
      <c r="AD2240" s="3869">
        <f t="shared" si="866"/>
        <v>1.2665714285714287</v>
      </c>
      <c r="AE2240" s="3157" t="s">
        <v>4560</v>
      </c>
    </row>
    <row r="2241" spans="1:76" s="75" customFormat="1" ht="39.75" customHeight="1">
      <c r="A2241" s="2849"/>
      <c r="B2241" s="728"/>
      <c r="C2241" s="1218" t="s">
        <v>4322</v>
      </c>
      <c r="D2241" s="1218" t="s">
        <v>107</v>
      </c>
      <c r="E2241" s="1218" t="s">
        <v>66</v>
      </c>
      <c r="F2241" s="1218" t="s">
        <v>65</v>
      </c>
      <c r="G2241" s="1218" t="s">
        <v>65</v>
      </c>
      <c r="H2241" s="1218" t="s">
        <v>163</v>
      </c>
      <c r="I2241" s="728" t="s">
        <v>4486</v>
      </c>
      <c r="J2241" s="728" t="s">
        <v>4605</v>
      </c>
      <c r="K2241" s="3734">
        <v>72</v>
      </c>
      <c r="L2241" s="3735">
        <v>51645000</v>
      </c>
      <c r="M2241" s="3734">
        <v>24</v>
      </c>
      <c r="N2241" s="3735">
        <v>9725000</v>
      </c>
      <c r="O2241" s="3736">
        <v>12</v>
      </c>
      <c r="P2241" s="3877">
        <v>5929000</v>
      </c>
      <c r="Q2241" s="3730">
        <v>3</v>
      </c>
      <c r="R2241" s="3871">
        <v>0</v>
      </c>
      <c r="S2241" s="3870">
        <v>3</v>
      </c>
      <c r="T2241" s="3874">
        <v>592000</v>
      </c>
      <c r="U2241" s="3870">
        <v>3</v>
      </c>
      <c r="V2241" s="3868">
        <v>0</v>
      </c>
      <c r="W2241" s="3730">
        <v>0</v>
      </c>
      <c r="X2241" s="3747">
        <v>0</v>
      </c>
      <c r="Y2241" s="3730">
        <f t="shared" si="863"/>
        <v>9</v>
      </c>
      <c r="Z2241" s="3868">
        <f t="shared" si="864"/>
        <v>592000</v>
      </c>
      <c r="AA2241" s="3730">
        <f t="shared" si="865"/>
        <v>33</v>
      </c>
      <c r="AB2241" s="3910">
        <f t="shared" si="865"/>
        <v>10317000</v>
      </c>
      <c r="AC2241" s="3905">
        <f t="shared" si="866"/>
        <v>0.45833333333333331</v>
      </c>
      <c r="AD2241" s="3869">
        <f t="shared" si="866"/>
        <v>0.19976764449607901</v>
      </c>
      <c r="AE2241" s="3157" t="s">
        <v>4560</v>
      </c>
    </row>
    <row r="2242" spans="1:76" s="75" customFormat="1" ht="40.5" customHeight="1">
      <c r="A2242" s="3157"/>
      <c r="B2242" s="728"/>
      <c r="C2242" s="1218">
        <v>5</v>
      </c>
      <c r="D2242" s="1218" t="s">
        <v>107</v>
      </c>
      <c r="E2242" s="1218" t="s">
        <v>66</v>
      </c>
      <c r="F2242" s="1218" t="s">
        <v>65</v>
      </c>
      <c r="G2242" s="1218" t="s">
        <v>65</v>
      </c>
      <c r="H2242" s="1218">
        <v>22</v>
      </c>
      <c r="I2242" s="728" t="s">
        <v>4433</v>
      </c>
      <c r="J2242" s="728" t="s">
        <v>4434</v>
      </c>
      <c r="K2242" s="3734">
        <v>72</v>
      </c>
      <c r="L2242" s="3735">
        <v>55994000</v>
      </c>
      <c r="M2242" s="3736">
        <v>24</v>
      </c>
      <c r="N2242" s="3735">
        <v>9764000</v>
      </c>
      <c r="O2242" s="3734">
        <v>12</v>
      </c>
      <c r="P2242" s="3735">
        <v>14230000</v>
      </c>
      <c r="Q2242" s="3730">
        <v>3</v>
      </c>
      <c r="R2242" s="3735">
        <v>1500000</v>
      </c>
      <c r="S2242" s="3730">
        <v>3</v>
      </c>
      <c r="T2242" s="3868">
        <f>8980000-R2242</f>
        <v>7480000</v>
      </c>
      <c r="U2242" s="3730">
        <v>3</v>
      </c>
      <c r="V2242" s="3874">
        <f>11230000-T2242-R2242</f>
        <v>2250000</v>
      </c>
      <c r="W2242" s="3730">
        <v>0</v>
      </c>
      <c r="X2242" s="3878">
        <v>0</v>
      </c>
      <c r="Y2242" s="3730">
        <f t="shared" si="863"/>
        <v>9</v>
      </c>
      <c r="Z2242" s="3868">
        <f t="shared" si="864"/>
        <v>11230000</v>
      </c>
      <c r="AA2242" s="3730">
        <f t="shared" si="865"/>
        <v>33</v>
      </c>
      <c r="AB2242" s="3910">
        <f>(N2242+Z2242)</f>
        <v>20994000</v>
      </c>
      <c r="AC2242" s="3905">
        <f t="shared" si="866"/>
        <v>0.45833333333333331</v>
      </c>
      <c r="AD2242" s="3869">
        <f t="shared" si="866"/>
        <v>0.37493302853877203</v>
      </c>
      <c r="AE2242" s="3157" t="s">
        <v>4560</v>
      </c>
    </row>
    <row r="2243" spans="1:76" s="75" customFormat="1" ht="52.5" customHeight="1">
      <c r="A2243" s="3157"/>
      <c r="B2243" s="728"/>
      <c r="C2243" s="1218" t="s">
        <v>4322</v>
      </c>
      <c r="D2243" s="1218" t="s">
        <v>107</v>
      </c>
      <c r="E2243" s="1218" t="s">
        <v>66</v>
      </c>
      <c r="F2243" s="1218" t="s">
        <v>65</v>
      </c>
      <c r="G2243" s="1218" t="s">
        <v>65</v>
      </c>
      <c r="H2243" s="1218" t="s">
        <v>165</v>
      </c>
      <c r="I2243" s="728" t="s">
        <v>4632</v>
      </c>
      <c r="J2243" s="728" t="s">
        <v>4607</v>
      </c>
      <c r="K2243" s="3734">
        <v>72</v>
      </c>
      <c r="L2243" s="3735">
        <v>45100000</v>
      </c>
      <c r="M2243" s="3736">
        <v>24</v>
      </c>
      <c r="N2243" s="3735">
        <v>10087560</v>
      </c>
      <c r="O2243" s="3734">
        <v>12</v>
      </c>
      <c r="P2243" s="3735">
        <v>5900000</v>
      </c>
      <c r="Q2243" s="3730">
        <v>3</v>
      </c>
      <c r="R2243" s="3735">
        <v>400000</v>
      </c>
      <c r="S2243" s="3730">
        <v>3</v>
      </c>
      <c r="T2243" s="3868">
        <v>600000</v>
      </c>
      <c r="U2243" s="3730">
        <v>3</v>
      </c>
      <c r="V2243" s="3868">
        <f>2350000-T2243-R2243</f>
        <v>1350000</v>
      </c>
      <c r="W2243" s="3730">
        <v>0</v>
      </c>
      <c r="X2243" s="3747">
        <v>0</v>
      </c>
      <c r="Y2243" s="3730">
        <f t="shared" si="863"/>
        <v>9</v>
      </c>
      <c r="Z2243" s="3868">
        <f t="shared" si="864"/>
        <v>2350000</v>
      </c>
      <c r="AA2243" s="3730">
        <f t="shared" si="865"/>
        <v>33</v>
      </c>
      <c r="AB2243" s="3910">
        <f t="shared" si="865"/>
        <v>12437560</v>
      </c>
      <c r="AC2243" s="3905">
        <f t="shared" si="866"/>
        <v>0.45833333333333331</v>
      </c>
      <c r="AD2243" s="3869">
        <f t="shared" si="866"/>
        <v>0.27577738359201776</v>
      </c>
      <c r="AE2243" s="3157" t="s">
        <v>4560</v>
      </c>
    </row>
    <row r="2244" spans="1:76" s="75" customFormat="1" ht="52.5" customHeight="1">
      <c r="A2244" s="3157"/>
      <c r="B2244" s="728"/>
      <c r="C2244" s="1218" t="s">
        <v>4322</v>
      </c>
      <c r="D2244" s="1218" t="s">
        <v>107</v>
      </c>
      <c r="E2244" s="1218" t="s">
        <v>66</v>
      </c>
      <c r="F2244" s="1218" t="s">
        <v>65</v>
      </c>
      <c r="G2244" s="1218" t="s">
        <v>65</v>
      </c>
      <c r="H2244" s="1218" t="s">
        <v>165</v>
      </c>
      <c r="I2244" s="728" t="s">
        <v>4435</v>
      </c>
      <c r="J2244" s="728" t="s">
        <v>4436</v>
      </c>
      <c r="K2244" s="3734">
        <v>72</v>
      </c>
      <c r="L2244" s="3735">
        <v>219381300</v>
      </c>
      <c r="M2244" s="3736">
        <v>24</v>
      </c>
      <c r="N2244" s="3735">
        <v>50087560</v>
      </c>
      <c r="O2244" s="3734">
        <v>12</v>
      </c>
      <c r="P2244" s="3735">
        <v>32925000</v>
      </c>
      <c r="Q2244" s="3730">
        <v>3</v>
      </c>
      <c r="R2244" s="3735">
        <v>4167300</v>
      </c>
      <c r="S2244" s="3730">
        <v>3</v>
      </c>
      <c r="T2244" s="3868">
        <f>12860706-R2244</f>
        <v>8693406</v>
      </c>
      <c r="U2244" s="3730">
        <v>3</v>
      </c>
      <c r="V2244" s="3868">
        <f>19110006-T2244-R2244</f>
        <v>6249300</v>
      </c>
      <c r="W2244" s="3730">
        <v>0</v>
      </c>
      <c r="X2244" s="3747">
        <v>0</v>
      </c>
      <c r="Y2244" s="3730">
        <f t="shared" si="863"/>
        <v>9</v>
      </c>
      <c r="Z2244" s="3868">
        <f t="shared" si="864"/>
        <v>19110006</v>
      </c>
      <c r="AA2244" s="3730">
        <f t="shared" si="865"/>
        <v>33</v>
      </c>
      <c r="AB2244" s="3910">
        <f t="shared" si="865"/>
        <v>69197566</v>
      </c>
      <c r="AC2244" s="3905">
        <f t="shared" si="866"/>
        <v>0.45833333333333331</v>
      </c>
      <c r="AD2244" s="3869">
        <f t="shared" si="866"/>
        <v>0.31542144202810357</v>
      </c>
      <c r="AE2244" s="3157" t="s">
        <v>4560</v>
      </c>
    </row>
    <row r="2245" spans="1:76" s="75" customFormat="1" ht="52.5" customHeight="1">
      <c r="A2245" s="2849"/>
      <c r="B2245" s="728"/>
      <c r="C2245" s="1218" t="s">
        <v>4322</v>
      </c>
      <c r="D2245" s="1218" t="s">
        <v>107</v>
      </c>
      <c r="E2245" s="1218" t="s">
        <v>66</v>
      </c>
      <c r="F2245" s="1218" t="s">
        <v>65</v>
      </c>
      <c r="G2245" s="1218" t="s">
        <v>65</v>
      </c>
      <c r="H2245" s="1218" t="s">
        <v>165</v>
      </c>
      <c r="I2245" s="728" t="s">
        <v>2844</v>
      </c>
      <c r="J2245" s="728" t="s">
        <v>4490</v>
      </c>
      <c r="K2245" s="3734">
        <v>12</v>
      </c>
      <c r="L2245" s="3871">
        <v>344656500</v>
      </c>
      <c r="M2245" s="3736">
        <v>5</v>
      </c>
      <c r="N2245" s="3735">
        <v>32156500</v>
      </c>
      <c r="O2245" s="3871">
        <v>1</v>
      </c>
      <c r="P2245" s="3871">
        <v>27500000</v>
      </c>
      <c r="Q2245" s="3730"/>
      <c r="R2245" s="3877"/>
      <c r="S2245" s="3730"/>
      <c r="T2245" s="3868">
        <v>10250000</v>
      </c>
      <c r="U2245" s="3730"/>
      <c r="V2245" s="3868"/>
      <c r="W2245" s="3730">
        <v>0</v>
      </c>
      <c r="X2245" s="3747">
        <v>0</v>
      </c>
      <c r="Y2245" s="3730">
        <v>6</v>
      </c>
      <c r="Z2245" s="3868">
        <f t="shared" si="864"/>
        <v>10250000</v>
      </c>
      <c r="AA2245" s="3730">
        <f t="shared" si="865"/>
        <v>11</v>
      </c>
      <c r="AB2245" s="3910">
        <v>377680000</v>
      </c>
      <c r="AC2245" s="3905">
        <f t="shared" si="866"/>
        <v>0.91666666666666663</v>
      </c>
      <c r="AD2245" s="3869">
        <v>0.78</v>
      </c>
      <c r="AE2245" s="3157" t="s">
        <v>4560</v>
      </c>
    </row>
    <row r="2246" spans="1:76" s="3837" customFormat="1" ht="82.5">
      <c r="A2246" s="3657">
        <v>3</v>
      </c>
      <c r="B2246" s="3835"/>
      <c r="C2246" s="3659">
        <v>5</v>
      </c>
      <c r="D2246" s="3659" t="s">
        <v>107</v>
      </c>
      <c r="E2246" s="3659" t="s">
        <v>66</v>
      </c>
      <c r="F2246" s="3659" t="s">
        <v>155</v>
      </c>
      <c r="G2246" s="3659" t="s">
        <v>448</v>
      </c>
      <c r="H2246" s="3657"/>
      <c r="I2246" s="3660" t="s">
        <v>4364</v>
      </c>
      <c r="J2246" s="3660" t="s">
        <v>4365</v>
      </c>
      <c r="K2246" s="3657">
        <v>100</v>
      </c>
      <c r="L2246" s="3662">
        <f>SUM(L2247:L2247)</f>
        <v>174225000</v>
      </c>
      <c r="M2246" s="3657">
        <v>32</v>
      </c>
      <c r="N2246" s="3662">
        <f>SUM(N2247:N2247)</f>
        <v>41225000</v>
      </c>
      <c r="O2246" s="3657">
        <v>18</v>
      </c>
      <c r="P2246" s="3662">
        <f>SUM(P2247:P2247)</f>
        <v>30270000</v>
      </c>
      <c r="Q2246" s="3657">
        <v>0</v>
      </c>
      <c r="R2246" s="3662">
        <f>SUM(R2247:R2247)</f>
        <v>0</v>
      </c>
      <c r="S2246" s="3657">
        <v>0</v>
      </c>
      <c r="T2246" s="3662">
        <f>SUM(T2247:T2247)</f>
        <v>0</v>
      </c>
      <c r="U2246" s="3664">
        <v>17</v>
      </c>
      <c r="V2246" s="3662">
        <f>SUM(V2247:V2247)</f>
        <v>29970000</v>
      </c>
      <c r="W2246" s="3661"/>
      <c r="X2246" s="3661"/>
      <c r="Y2246" s="3836">
        <f t="shared" ref="Y2246:Y2255" si="867">Q2246+S2246+U2246+W2246</f>
        <v>17</v>
      </c>
      <c r="Z2246" s="3662">
        <f>SUM(Z2247:Z2247)</f>
        <v>29970000</v>
      </c>
      <c r="AA2246" s="3836">
        <f t="shared" ref="AA2246:AB2255" si="868">M2246+Y2246</f>
        <v>49</v>
      </c>
      <c r="AB2246" s="3662">
        <f>SUM(AB2247:AB2247)</f>
        <v>71195000</v>
      </c>
      <c r="AC2246" s="3664">
        <f t="shared" ref="AC2246:AD2255" si="869">(AA2246/K2246)*100</f>
        <v>49</v>
      </c>
      <c r="AD2246" s="3664">
        <f t="shared" si="869"/>
        <v>40.863825512986082</v>
      </c>
      <c r="AE2246" s="3660" t="s">
        <v>4404</v>
      </c>
    </row>
    <row r="2247" spans="1:76" s="63" customFormat="1" ht="25.5">
      <c r="A2247" s="64"/>
      <c r="B2247" s="2632"/>
      <c r="C2247" s="4000">
        <v>5</v>
      </c>
      <c r="D2247" s="4000" t="s">
        <v>107</v>
      </c>
      <c r="E2247" s="4000" t="s">
        <v>66</v>
      </c>
      <c r="F2247" s="4000" t="s">
        <v>155</v>
      </c>
      <c r="G2247" s="4000" t="s">
        <v>448</v>
      </c>
      <c r="H2247" s="4000" t="s">
        <v>197</v>
      </c>
      <c r="I2247" s="2632" t="s">
        <v>4366</v>
      </c>
      <c r="J2247" s="2632" t="s">
        <v>4367</v>
      </c>
      <c r="K2247" s="4012">
        <v>6</v>
      </c>
      <c r="L2247" s="1731">
        <v>174225000</v>
      </c>
      <c r="M2247" s="4012">
        <v>2</v>
      </c>
      <c r="N2247" s="1731">
        <v>41225000</v>
      </c>
      <c r="O2247" s="4012">
        <v>1</v>
      </c>
      <c r="P2247" s="1731">
        <v>30270000</v>
      </c>
      <c r="Q2247" s="4012">
        <v>0</v>
      </c>
      <c r="R2247" s="1731">
        <v>0</v>
      </c>
      <c r="S2247" s="4012">
        <v>0</v>
      </c>
      <c r="T2247" s="1731">
        <v>0</v>
      </c>
      <c r="U2247" s="4012">
        <v>1</v>
      </c>
      <c r="V2247" s="1400">
        <v>29970000</v>
      </c>
      <c r="W2247" s="2632"/>
      <c r="X2247" s="2632"/>
      <c r="Y2247" s="4012">
        <f t="shared" si="867"/>
        <v>1</v>
      </c>
      <c r="Z2247" s="60">
        <f>R2247+T2247+V2247+X2247</f>
        <v>29970000</v>
      </c>
      <c r="AA2247" s="4012">
        <f t="shared" si="868"/>
        <v>3</v>
      </c>
      <c r="AB2247" s="60">
        <f t="shared" si="868"/>
        <v>71195000</v>
      </c>
      <c r="AC2247" s="2305">
        <f t="shared" si="869"/>
        <v>50</v>
      </c>
      <c r="AD2247" s="2305">
        <f>(AB2247/L2247)*100</f>
        <v>40.863825512986082</v>
      </c>
      <c r="AE2247" s="2632" t="s">
        <v>4404</v>
      </c>
    </row>
    <row r="2248" spans="1:76" s="3837" customFormat="1" ht="99">
      <c r="A2248" s="3657">
        <v>4</v>
      </c>
      <c r="B2248" s="3835"/>
      <c r="C2248" s="3659">
        <v>5</v>
      </c>
      <c r="D2248" s="3659" t="s">
        <v>107</v>
      </c>
      <c r="E2248" s="3659" t="s">
        <v>66</v>
      </c>
      <c r="F2248" s="3659" t="s">
        <v>155</v>
      </c>
      <c r="G2248" s="3659" t="s">
        <v>155</v>
      </c>
      <c r="H2248" s="3659"/>
      <c r="I2248" s="3660" t="s">
        <v>4369</v>
      </c>
      <c r="J2248" s="3660" t="s">
        <v>4370</v>
      </c>
      <c r="K2248" s="3657">
        <v>100</v>
      </c>
      <c r="L2248" s="3662">
        <f>SUM(L2249:L2249)</f>
        <v>75310000</v>
      </c>
      <c r="M2248" s="3657">
        <v>32</v>
      </c>
      <c r="N2248" s="3662">
        <f>SUM(N2249:N2249)</f>
        <v>20605000</v>
      </c>
      <c r="O2248" s="3657">
        <v>18</v>
      </c>
      <c r="P2248" s="3662">
        <f>SUM(P2249:P2249)</f>
        <v>18900000</v>
      </c>
      <c r="Q2248" s="3657">
        <v>0</v>
      </c>
      <c r="R2248" s="3662">
        <f>SUM(R2249:R2249)</f>
        <v>0</v>
      </c>
      <c r="S2248" s="3657">
        <v>15</v>
      </c>
      <c r="T2248" s="3663">
        <f>SUM(T2249)</f>
        <v>18631000</v>
      </c>
      <c r="U2248" s="3661">
        <v>3</v>
      </c>
      <c r="V2248" s="3663">
        <f>SUM(V2249)</f>
        <v>0</v>
      </c>
      <c r="W2248" s="3661"/>
      <c r="X2248" s="3661"/>
      <c r="Y2248" s="3657">
        <f t="shared" si="867"/>
        <v>18</v>
      </c>
      <c r="Z2248" s="3662">
        <f>SUM(Z2249:Z2249)</f>
        <v>18631000</v>
      </c>
      <c r="AA2248" s="3657">
        <f t="shared" si="868"/>
        <v>50</v>
      </c>
      <c r="AB2248" s="3662">
        <f>SUM(AB2249:AB2249)</f>
        <v>39236000</v>
      </c>
      <c r="AC2248" s="3664">
        <f t="shared" si="869"/>
        <v>50</v>
      </c>
      <c r="AD2248" s="3664">
        <f t="shared" si="869"/>
        <v>52.099322799097067</v>
      </c>
      <c r="AE2248" s="3660" t="s">
        <v>4404</v>
      </c>
    </row>
    <row r="2249" spans="1:76" s="63" customFormat="1" ht="51">
      <c r="A2249" s="64"/>
      <c r="B2249" s="2632"/>
      <c r="C2249" s="4000">
        <v>5</v>
      </c>
      <c r="D2249" s="4000" t="s">
        <v>107</v>
      </c>
      <c r="E2249" s="4000" t="s">
        <v>66</v>
      </c>
      <c r="F2249" s="4000" t="s">
        <v>155</v>
      </c>
      <c r="G2249" s="4000" t="s">
        <v>155</v>
      </c>
      <c r="H2249" s="4000" t="s">
        <v>202</v>
      </c>
      <c r="I2249" s="2632" t="s">
        <v>4371</v>
      </c>
      <c r="J2249" s="2632" t="s">
        <v>4565</v>
      </c>
      <c r="K2249" s="4012">
        <v>6</v>
      </c>
      <c r="L2249" s="1731">
        <v>75310000</v>
      </c>
      <c r="M2249" s="4012">
        <v>2</v>
      </c>
      <c r="N2249" s="1731">
        <v>20605000</v>
      </c>
      <c r="O2249" s="4012">
        <v>1</v>
      </c>
      <c r="P2249" s="1731">
        <v>18900000</v>
      </c>
      <c r="Q2249" s="4012">
        <v>0</v>
      </c>
      <c r="R2249" s="1731">
        <v>0</v>
      </c>
      <c r="S2249" s="4012">
        <v>1</v>
      </c>
      <c r="T2249" s="1400">
        <v>18631000</v>
      </c>
      <c r="U2249" s="4012">
        <v>1</v>
      </c>
      <c r="V2249" s="1400">
        <v>0</v>
      </c>
      <c r="W2249" s="2632"/>
      <c r="X2249" s="2632"/>
      <c r="Y2249" s="4001">
        <f t="shared" si="867"/>
        <v>2</v>
      </c>
      <c r="Z2249" s="60">
        <f>R2249+T2249+V2249+X2249</f>
        <v>18631000</v>
      </c>
      <c r="AA2249" s="4001">
        <f t="shared" si="868"/>
        <v>4</v>
      </c>
      <c r="AB2249" s="60">
        <f t="shared" si="868"/>
        <v>39236000</v>
      </c>
      <c r="AC2249" s="389">
        <f t="shared" si="869"/>
        <v>66.666666666666657</v>
      </c>
      <c r="AD2249" s="389">
        <f t="shared" si="869"/>
        <v>52.099322799097067</v>
      </c>
      <c r="AE2249" s="2632" t="s">
        <v>4404</v>
      </c>
    </row>
    <row r="2250" spans="1:76" s="3825" customFormat="1" ht="99">
      <c r="A2250" s="3657">
        <v>5</v>
      </c>
      <c r="B2250" s="3835"/>
      <c r="C2250" s="3659">
        <v>5</v>
      </c>
      <c r="D2250" s="3659" t="s">
        <v>107</v>
      </c>
      <c r="E2250" s="3659" t="s">
        <v>66</v>
      </c>
      <c r="F2250" s="3659" t="s">
        <v>155</v>
      </c>
      <c r="G2250" s="3659" t="s">
        <v>166</v>
      </c>
      <c r="H2250" s="3657"/>
      <c r="I2250" s="3660" t="s">
        <v>4611</v>
      </c>
      <c r="J2250" s="3660" t="s">
        <v>4612</v>
      </c>
      <c r="K2250" s="3657">
        <v>100</v>
      </c>
      <c r="L2250" s="3662">
        <f>SUM(L2251:L2251)</f>
        <v>34225000</v>
      </c>
      <c r="M2250" s="3657">
        <v>70</v>
      </c>
      <c r="N2250" s="3662">
        <f>SUM(N2251:N2251)</f>
        <v>11225000</v>
      </c>
      <c r="O2250" s="3657">
        <v>15</v>
      </c>
      <c r="P2250" s="3662">
        <f>SUM(P2251:P2251)</f>
        <v>2760000</v>
      </c>
      <c r="Q2250" s="3657">
        <v>4</v>
      </c>
      <c r="R2250" s="3662">
        <f>SUM(R2251:R2251)</f>
        <v>1380000</v>
      </c>
      <c r="S2250" s="3657">
        <v>4</v>
      </c>
      <c r="T2250" s="3662">
        <f>SUM(T2251:T2251)</f>
        <v>0</v>
      </c>
      <c r="U2250" s="3664">
        <v>4</v>
      </c>
      <c r="V2250" s="3662">
        <f>SUM(V2251:V2251)</f>
        <v>1360000</v>
      </c>
      <c r="W2250" s="3661"/>
      <c r="X2250" s="3661"/>
      <c r="Y2250" s="3836">
        <f t="shared" si="867"/>
        <v>12</v>
      </c>
      <c r="Z2250" s="3662">
        <f>SUM(Z2251:Z2251)</f>
        <v>2740000</v>
      </c>
      <c r="AA2250" s="3836">
        <f t="shared" si="868"/>
        <v>82</v>
      </c>
      <c r="AB2250" s="3662">
        <f>SUM(AB2251:AB2251)</f>
        <v>13965000</v>
      </c>
      <c r="AC2250" s="3664">
        <f t="shared" si="869"/>
        <v>82</v>
      </c>
      <c r="AD2250" s="3664">
        <f t="shared" si="869"/>
        <v>40.803506208911614</v>
      </c>
      <c r="AE2250" s="3660" t="s">
        <v>4571</v>
      </c>
    </row>
    <row r="2251" spans="1:76" s="2117" customFormat="1" ht="30">
      <c r="A2251" s="18"/>
      <c r="B2251" s="15"/>
      <c r="C2251" s="36">
        <v>5</v>
      </c>
      <c r="D2251" s="36" t="s">
        <v>107</v>
      </c>
      <c r="E2251" s="36" t="s">
        <v>66</v>
      </c>
      <c r="F2251" s="36" t="s">
        <v>155</v>
      </c>
      <c r="G2251" s="36" t="s">
        <v>166</v>
      </c>
      <c r="H2251" s="36" t="s">
        <v>401</v>
      </c>
      <c r="I2251" s="15" t="s">
        <v>4323</v>
      </c>
      <c r="J2251" s="15" t="s">
        <v>4613</v>
      </c>
      <c r="K2251" s="3826">
        <v>60</v>
      </c>
      <c r="L2251" s="16">
        <v>34225000</v>
      </c>
      <c r="M2251" s="3826">
        <v>20</v>
      </c>
      <c r="N2251" s="16">
        <v>11225000</v>
      </c>
      <c r="O2251" s="3826">
        <v>10</v>
      </c>
      <c r="P2251" s="16">
        <v>2760000</v>
      </c>
      <c r="Q2251" s="3826">
        <v>4</v>
      </c>
      <c r="R2251" s="16">
        <v>1380000</v>
      </c>
      <c r="S2251" s="4040">
        <v>0</v>
      </c>
      <c r="T2251" s="16">
        <v>0</v>
      </c>
      <c r="U2251" s="3826">
        <v>6</v>
      </c>
      <c r="V2251" s="3827">
        <v>1360000</v>
      </c>
      <c r="W2251" s="15"/>
      <c r="X2251" s="15"/>
      <c r="Y2251" s="3826">
        <f t="shared" si="867"/>
        <v>10</v>
      </c>
      <c r="Z2251" s="3691">
        <f>R2251+T2251+V2251+X2251</f>
        <v>2740000</v>
      </c>
      <c r="AA2251" s="3826">
        <f t="shared" si="868"/>
        <v>30</v>
      </c>
      <c r="AB2251" s="3691">
        <f t="shared" si="868"/>
        <v>13965000</v>
      </c>
      <c r="AC2251" s="19">
        <f t="shared" si="869"/>
        <v>50</v>
      </c>
      <c r="AD2251" s="19">
        <f>(AB2251/L2251)*100</f>
        <v>40.803506208911614</v>
      </c>
      <c r="AE2251" s="15" t="s">
        <v>4571</v>
      </c>
    </row>
    <row r="2252" spans="1:76" s="4049" customFormat="1" ht="111.75" customHeight="1">
      <c r="A2252" s="3657">
        <v>6</v>
      </c>
      <c r="B2252" s="3835"/>
      <c r="C2252" s="3659">
        <v>5</v>
      </c>
      <c r="D2252" s="3659" t="s">
        <v>107</v>
      </c>
      <c r="E2252" s="3659" t="s">
        <v>66</v>
      </c>
      <c r="F2252" s="3659" t="s">
        <v>155</v>
      </c>
      <c r="G2252" s="3659" t="s">
        <v>448</v>
      </c>
      <c r="H2252" s="3657"/>
      <c r="I2252" s="3660" t="s">
        <v>4633</v>
      </c>
      <c r="J2252" s="3660" t="s">
        <v>4634</v>
      </c>
      <c r="K2252" s="3657">
        <v>100</v>
      </c>
      <c r="L2252" s="3662">
        <f>SUM(L2253:L2253)</f>
        <v>38730000</v>
      </c>
      <c r="M2252" s="3657">
        <v>32</v>
      </c>
      <c r="N2252" s="3662">
        <f>SUM(N2253:N2253)</f>
        <v>12910000</v>
      </c>
      <c r="O2252" s="3657">
        <v>18</v>
      </c>
      <c r="P2252" s="3662">
        <f>SUM(P2253:P2253)</f>
        <v>5910000</v>
      </c>
      <c r="Q2252" s="3657">
        <v>0</v>
      </c>
      <c r="R2252" s="3662">
        <f>SUM(R2253:R2253)</f>
        <v>1000000</v>
      </c>
      <c r="S2252" s="3657">
        <v>2</v>
      </c>
      <c r="T2252" s="3663">
        <f>SUM(T2253:T2253)</f>
        <v>1500000</v>
      </c>
      <c r="U2252" s="3664">
        <v>14</v>
      </c>
      <c r="V2252" s="3663">
        <f>SUM(V2253:V2253)</f>
        <v>1350000</v>
      </c>
      <c r="W2252" s="3661"/>
      <c r="X2252" s="3661"/>
      <c r="Y2252" s="3836">
        <f t="shared" si="867"/>
        <v>16</v>
      </c>
      <c r="Z2252" s="3662">
        <f>SUM(Z2253:Z2253)</f>
        <v>3850000</v>
      </c>
      <c r="AA2252" s="3836">
        <f t="shared" si="868"/>
        <v>48</v>
      </c>
      <c r="AB2252" s="3662">
        <f>SUM(AB2253:AB2253)</f>
        <v>16760000</v>
      </c>
      <c r="AC2252" s="3664">
        <f t="shared" si="869"/>
        <v>48</v>
      </c>
      <c r="AD2252" s="3664">
        <f t="shared" si="869"/>
        <v>43.273947844048543</v>
      </c>
      <c r="AE2252" s="3660" t="s">
        <v>4404</v>
      </c>
    </row>
    <row r="2253" spans="1:76" ht="25.5">
      <c r="A2253" s="64"/>
      <c r="B2253" s="2632"/>
      <c r="C2253" s="4000">
        <v>5</v>
      </c>
      <c r="D2253" s="4000" t="s">
        <v>107</v>
      </c>
      <c r="E2253" s="4000" t="s">
        <v>66</v>
      </c>
      <c r="F2253" s="4000" t="s">
        <v>155</v>
      </c>
      <c r="G2253" s="4000" t="s">
        <v>448</v>
      </c>
      <c r="H2253" s="1727" t="s">
        <v>2910</v>
      </c>
      <c r="I2253" s="2632" t="s">
        <v>4623</v>
      </c>
      <c r="J2253" s="2632" t="s">
        <v>4624</v>
      </c>
      <c r="K2253" s="4012">
        <v>60</v>
      </c>
      <c r="L2253" s="1731">
        <f>3*N2253</f>
        <v>38730000</v>
      </c>
      <c r="M2253" s="4012">
        <v>20</v>
      </c>
      <c r="N2253" s="1731">
        <v>12910000</v>
      </c>
      <c r="O2253" s="4012">
        <v>10</v>
      </c>
      <c r="P2253" s="1731">
        <v>5910000</v>
      </c>
      <c r="Q2253" s="4012">
        <v>2</v>
      </c>
      <c r="R2253" s="1731">
        <v>1000000</v>
      </c>
      <c r="S2253" s="4012">
        <v>3</v>
      </c>
      <c r="T2253" s="1400">
        <v>1500000</v>
      </c>
      <c r="U2253" s="4012">
        <v>3</v>
      </c>
      <c r="V2253" s="1400">
        <v>1350000</v>
      </c>
      <c r="W2253" s="2632"/>
      <c r="X2253" s="2632"/>
      <c r="Y2253" s="4012">
        <f t="shared" si="867"/>
        <v>8</v>
      </c>
      <c r="Z2253" s="60">
        <f>R2253+T2253+V2253+X2253</f>
        <v>3850000</v>
      </c>
      <c r="AA2253" s="4012">
        <f t="shared" si="868"/>
        <v>28</v>
      </c>
      <c r="AB2253" s="60">
        <f t="shared" si="868"/>
        <v>16760000</v>
      </c>
      <c r="AC2253" s="2305">
        <f t="shared" si="869"/>
        <v>46.666666666666664</v>
      </c>
      <c r="AD2253" s="2305">
        <f>(AB2253/L2253)*100</f>
        <v>43.273947844048543</v>
      </c>
      <c r="AE2253" s="2632" t="s">
        <v>4404</v>
      </c>
      <c r="AF2253" s="54"/>
      <c r="AG2253" s="54"/>
      <c r="AH2253" s="54"/>
      <c r="AI2253" s="54"/>
      <c r="AJ2253" s="54"/>
      <c r="AK2253" s="54"/>
      <c r="AL2253" s="54"/>
      <c r="AM2253" s="54"/>
      <c r="AN2253" s="54"/>
      <c r="AO2253" s="54"/>
      <c r="AP2253" s="54"/>
      <c r="AQ2253" s="54"/>
      <c r="AR2253" s="54"/>
      <c r="AS2253" s="54"/>
      <c r="AT2253" s="54"/>
      <c r="AU2253" s="54"/>
      <c r="AV2253" s="54"/>
      <c r="AW2253" s="54"/>
      <c r="AX2253" s="54"/>
      <c r="AY2253" s="54"/>
      <c r="AZ2253" s="54"/>
      <c r="BA2253" s="54"/>
      <c r="BB2253" s="54"/>
      <c r="BC2253" s="54"/>
      <c r="BD2253" s="54"/>
      <c r="BE2253" s="54"/>
      <c r="BF2253" s="54"/>
      <c r="BG2253" s="54"/>
      <c r="BH2253" s="54"/>
      <c r="BI2253" s="54"/>
      <c r="BJ2253" s="54"/>
      <c r="BK2253" s="54"/>
      <c r="BL2253" s="54"/>
      <c r="BM2253" s="54"/>
      <c r="BN2253" s="54"/>
      <c r="BO2253" s="54"/>
      <c r="BP2253" s="54"/>
      <c r="BQ2253" s="54"/>
      <c r="BR2253" s="54"/>
      <c r="BS2253" s="54"/>
      <c r="BT2253" s="54"/>
      <c r="BU2253" s="54"/>
      <c r="BV2253" s="54"/>
      <c r="BW2253" s="54"/>
      <c r="BX2253" s="54"/>
    </row>
    <row r="2254" spans="1:76" s="4049" customFormat="1" ht="111.75" customHeight="1">
      <c r="A2254" s="3657">
        <v>7</v>
      </c>
      <c r="B2254" s="3835"/>
      <c r="C2254" s="3659">
        <v>5</v>
      </c>
      <c r="D2254" s="3659" t="s">
        <v>107</v>
      </c>
      <c r="E2254" s="3659" t="s">
        <v>66</v>
      </c>
      <c r="F2254" s="3659" t="s">
        <v>155</v>
      </c>
      <c r="G2254" s="3659" t="s">
        <v>4142</v>
      </c>
      <c r="H2254" s="3657"/>
      <c r="I2254" s="3660" t="s">
        <v>4635</v>
      </c>
      <c r="J2254" s="3660" t="s">
        <v>4379</v>
      </c>
      <c r="K2254" s="3657">
        <v>100</v>
      </c>
      <c r="L2254" s="3662">
        <f>SUM(L2255:L2255)</f>
        <v>129353840</v>
      </c>
      <c r="M2254" s="3657">
        <v>32</v>
      </c>
      <c r="N2254" s="3662">
        <f>SUM(N2255:N2255)</f>
        <v>49300000</v>
      </c>
      <c r="O2254" s="3657">
        <v>18</v>
      </c>
      <c r="P2254" s="3662">
        <f>SUM(P2255:P2255)</f>
        <v>15760000</v>
      </c>
      <c r="Q2254" s="3657">
        <v>0</v>
      </c>
      <c r="R2254" s="3662">
        <f>SUM(R2255:R2255)</f>
        <v>1790000</v>
      </c>
      <c r="S2254" s="3657">
        <v>2</v>
      </c>
      <c r="T2254" s="3663">
        <f>SUM(T2255:T2255)</f>
        <v>2991000</v>
      </c>
      <c r="U2254" s="3664">
        <v>12</v>
      </c>
      <c r="V2254" s="3663">
        <f>SUM(V2255:V2255)</f>
        <v>5170500</v>
      </c>
      <c r="W2254" s="3661"/>
      <c r="X2254" s="3661"/>
      <c r="Y2254" s="3836">
        <f t="shared" si="867"/>
        <v>14</v>
      </c>
      <c r="Z2254" s="3662">
        <f>SUM(Z2255:Z2255)</f>
        <v>9951500</v>
      </c>
      <c r="AA2254" s="3836">
        <f t="shared" si="868"/>
        <v>46</v>
      </c>
      <c r="AB2254" s="3662">
        <f>SUM(AB2255:AB2255)</f>
        <v>59251500</v>
      </c>
      <c r="AC2254" s="3664">
        <f t="shared" si="869"/>
        <v>46</v>
      </c>
      <c r="AD2254" s="3664">
        <f t="shared" si="869"/>
        <v>45.805752654888323</v>
      </c>
      <c r="AE2254" s="3660" t="s">
        <v>4404</v>
      </c>
    </row>
    <row r="2255" spans="1:76" ht="38.25">
      <c r="A2255" s="64"/>
      <c r="B2255" s="2632"/>
      <c r="C2255" s="4000">
        <v>5</v>
      </c>
      <c r="D2255" s="4000" t="s">
        <v>107</v>
      </c>
      <c r="E2255" s="4000" t="s">
        <v>66</v>
      </c>
      <c r="F2255" s="4000" t="s">
        <v>155</v>
      </c>
      <c r="G2255" s="4000" t="s">
        <v>4142</v>
      </c>
      <c r="H2255" s="1727" t="s">
        <v>196</v>
      </c>
      <c r="I2255" s="2632" t="s">
        <v>4636</v>
      </c>
      <c r="J2255" s="2632" t="s">
        <v>4637</v>
      </c>
      <c r="K2255" s="4012">
        <v>60</v>
      </c>
      <c r="L2255" s="1731">
        <v>129353840</v>
      </c>
      <c r="M2255" s="4012">
        <v>20</v>
      </c>
      <c r="N2255" s="1731">
        <v>49300000</v>
      </c>
      <c r="O2255" s="4012">
        <v>10</v>
      </c>
      <c r="P2255" s="1731">
        <v>15760000</v>
      </c>
      <c r="Q2255" s="4012">
        <v>1</v>
      </c>
      <c r="R2255" s="1731">
        <v>1790000</v>
      </c>
      <c r="S2255" s="4012">
        <v>1</v>
      </c>
      <c r="T2255" s="1400">
        <v>2991000</v>
      </c>
      <c r="U2255" s="4012">
        <v>1</v>
      </c>
      <c r="V2255" s="1400">
        <v>5170500</v>
      </c>
      <c r="W2255" s="2632"/>
      <c r="X2255" s="2632"/>
      <c r="Y2255" s="4012">
        <f t="shared" si="867"/>
        <v>3</v>
      </c>
      <c r="Z2255" s="60">
        <f>R2255+T2255+V2255+X2255</f>
        <v>9951500</v>
      </c>
      <c r="AA2255" s="4012">
        <f t="shared" si="868"/>
        <v>23</v>
      </c>
      <c r="AB2255" s="60">
        <f t="shared" si="868"/>
        <v>59251500</v>
      </c>
      <c r="AC2255" s="2305">
        <f t="shared" si="869"/>
        <v>38.333333333333336</v>
      </c>
      <c r="AD2255" s="2305">
        <f>(AB2255/L2255)*100</f>
        <v>45.805752654888323</v>
      </c>
      <c r="AE2255" s="2632" t="s">
        <v>4404</v>
      </c>
      <c r="AF2255" s="54"/>
      <c r="AG2255" s="54"/>
      <c r="AH2255" s="54"/>
      <c r="AI2255" s="54"/>
      <c r="AJ2255" s="54"/>
      <c r="AK2255" s="54"/>
      <c r="AL2255" s="54"/>
      <c r="AM2255" s="54"/>
      <c r="AN2255" s="54"/>
      <c r="AO2255" s="54"/>
      <c r="AP2255" s="54"/>
      <c r="AQ2255" s="54"/>
      <c r="AR2255" s="54"/>
      <c r="AS2255" s="54"/>
      <c r="AT2255" s="54"/>
      <c r="AU2255" s="54"/>
      <c r="AV2255" s="54"/>
      <c r="AW2255" s="54"/>
      <c r="AX2255" s="54"/>
      <c r="AY2255" s="54"/>
      <c r="AZ2255" s="54"/>
      <c r="BA2255" s="54"/>
      <c r="BB2255" s="54"/>
      <c r="BC2255" s="54"/>
      <c r="BD2255" s="54"/>
      <c r="BE2255" s="54"/>
      <c r="BF2255" s="54"/>
      <c r="BG2255" s="54"/>
      <c r="BH2255" s="54"/>
      <c r="BI2255" s="54"/>
      <c r="BJ2255" s="54"/>
      <c r="BK2255" s="54"/>
      <c r="BL2255" s="54"/>
      <c r="BM2255" s="54"/>
      <c r="BN2255" s="54"/>
      <c r="BO2255" s="54"/>
      <c r="BP2255" s="54"/>
      <c r="BQ2255" s="54"/>
      <c r="BR2255" s="54"/>
      <c r="BS2255" s="54"/>
      <c r="BT2255" s="54"/>
      <c r="BU2255" s="54"/>
      <c r="BV2255" s="54"/>
      <c r="BW2255" s="54"/>
      <c r="BX2255" s="54"/>
    </row>
    <row r="2256" spans="1:76" s="3655" customFormat="1" ht="99">
      <c r="A2256" s="3657">
        <v>8</v>
      </c>
      <c r="B2256" s="3835"/>
      <c r="C2256" s="3659">
        <v>5</v>
      </c>
      <c r="D2256" s="3659" t="s">
        <v>107</v>
      </c>
      <c r="E2256" s="3659" t="s">
        <v>66</v>
      </c>
      <c r="F2256" s="3659" t="s">
        <v>155</v>
      </c>
      <c r="G2256" s="3659" t="s">
        <v>1099</v>
      </c>
      <c r="H2256" s="3657"/>
      <c r="I2256" s="3660" t="s">
        <v>4387</v>
      </c>
      <c r="J2256" s="3660" t="s">
        <v>4388</v>
      </c>
      <c r="K2256" s="3657">
        <v>100</v>
      </c>
      <c r="L2256" s="3662">
        <f>SUM(L2257:L2260)</f>
        <v>528609000</v>
      </c>
      <c r="M2256" s="3657">
        <v>32</v>
      </c>
      <c r="N2256" s="3662">
        <f>SUM(N2257:N2260)</f>
        <v>160100150</v>
      </c>
      <c r="O2256" s="3657">
        <v>20</v>
      </c>
      <c r="P2256" s="3662">
        <f>SUM(P2257:P2260)</f>
        <v>59024272</v>
      </c>
      <c r="Q2256" s="3657">
        <v>0</v>
      </c>
      <c r="R2256" s="3662">
        <f>SUM(R2257:R2260)</f>
        <v>8100150</v>
      </c>
      <c r="S2256" s="3657">
        <v>5</v>
      </c>
      <c r="T2256" s="3662">
        <f>SUM(T2257:T2260)</f>
        <v>19092000</v>
      </c>
      <c r="U2256" s="3664">
        <f>V2256/P2256*100</f>
        <v>12.319338728989322</v>
      </c>
      <c r="V2256" s="3662">
        <f>SUM(V2257:V2260)</f>
        <v>7271400</v>
      </c>
      <c r="W2256" s="3661"/>
      <c r="X2256" s="3661"/>
      <c r="Y2256" s="3836">
        <f>Q2256+S2256+U2256+W2256</f>
        <v>17.319338728989322</v>
      </c>
      <c r="Z2256" s="3662">
        <f>SUM(Z2257:Z2260)</f>
        <v>34463550</v>
      </c>
      <c r="AA2256" s="3836">
        <f>M2256+Y2256</f>
        <v>49.319338728989322</v>
      </c>
      <c r="AB2256" s="3662">
        <f>SUM(AB2257:AB2260)</f>
        <v>194563700</v>
      </c>
      <c r="AC2256" s="3664">
        <f>(AA2256/K2256)*100</f>
        <v>49.319338728989322</v>
      </c>
      <c r="AD2256" s="3664">
        <f t="shared" ref="AD2256:AD2266" si="870">(AB2256/L2256)*100</f>
        <v>36.806732386319567</v>
      </c>
      <c r="AE2256" s="3660" t="s">
        <v>4404</v>
      </c>
    </row>
    <row r="2257" spans="1:76" ht="63" customHeight="1">
      <c r="A2257" s="59"/>
      <c r="B2257" s="634"/>
      <c r="C2257" s="4000">
        <v>5</v>
      </c>
      <c r="D2257" s="4000" t="s">
        <v>107</v>
      </c>
      <c r="E2257" s="4000" t="s">
        <v>66</v>
      </c>
      <c r="F2257" s="4000" t="s">
        <v>155</v>
      </c>
      <c r="G2257" s="4000" t="s">
        <v>1099</v>
      </c>
      <c r="H2257" s="4008" t="s">
        <v>66</v>
      </c>
      <c r="I2257" s="58" t="s">
        <v>4285</v>
      </c>
      <c r="J2257" s="58" t="s">
        <v>4389</v>
      </c>
      <c r="K2257" s="4009">
        <v>60</v>
      </c>
      <c r="L2257" s="60">
        <v>188580500</v>
      </c>
      <c r="M2257" s="4008">
        <v>20</v>
      </c>
      <c r="N2257" s="635">
        <v>58377900</v>
      </c>
      <c r="O2257" s="4009">
        <v>10</v>
      </c>
      <c r="P2257" s="61">
        <v>40570000</v>
      </c>
      <c r="Q2257" s="4008">
        <v>1</v>
      </c>
      <c r="R2257" s="60">
        <v>1200000</v>
      </c>
      <c r="S2257" s="4009">
        <v>2</v>
      </c>
      <c r="T2257" s="61">
        <f>20217000-R2257</f>
        <v>19017000</v>
      </c>
      <c r="U2257" s="4009">
        <v>2</v>
      </c>
      <c r="V2257" s="61">
        <f>24336000-T2257</f>
        <v>5319000</v>
      </c>
      <c r="W2257" s="59"/>
      <c r="X2257" s="59"/>
      <c r="Y2257" s="4001">
        <f>Q2257+S2257+U2257+W2257</f>
        <v>5</v>
      </c>
      <c r="Z2257" s="60">
        <f t="shared" ref="Z2257:Z2260" si="871">R2257+T2257+V2257+X2257</f>
        <v>25536000</v>
      </c>
      <c r="AA2257" s="4001">
        <f t="shared" ref="AA2257:AB2260" si="872">M2257+Y2257</f>
        <v>25</v>
      </c>
      <c r="AB2257" s="60">
        <f t="shared" si="872"/>
        <v>83913900</v>
      </c>
      <c r="AC2257" s="389">
        <f t="shared" ref="AC2257:AC2260" si="873">(AA2257/K2257)*100</f>
        <v>41.666666666666671</v>
      </c>
      <c r="AD2257" s="389">
        <f t="shared" si="870"/>
        <v>44.497654847664528</v>
      </c>
      <c r="AE2257" s="58" t="s">
        <v>4404</v>
      </c>
      <c r="AF2257" s="54"/>
      <c r="AG2257" s="54"/>
      <c r="AH2257" s="54"/>
      <c r="AI2257" s="54"/>
      <c r="AJ2257" s="54"/>
      <c r="AK2257" s="54"/>
      <c r="AL2257" s="54"/>
      <c r="AM2257" s="54"/>
      <c r="AN2257" s="54"/>
      <c r="AO2257" s="54"/>
      <c r="AP2257" s="54"/>
      <c r="AQ2257" s="54"/>
      <c r="AR2257" s="54"/>
      <c r="AS2257" s="54"/>
      <c r="AT2257" s="54"/>
      <c r="AU2257" s="54"/>
      <c r="AV2257" s="54"/>
      <c r="AW2257" s="54"/>
      <c r="AX2257" s="54"/>
      <c r="AY2257" s="54"/>
      <c r="AZ2257" s="54"/>
      <c r="BA2257" s="54"/>
      <c r="BB2257" s="54"/>
      <c r="BC2257" s="54"/>
      <c r="BD2257" s="54"/>
      <c r="BE2257" s="54"/>
      <c r="BF2257" s="54"/>
      <c r="BG2257" s="54"/>
      <c r="BH2257" s="54"/>
      <c r="BI2257" s="54"/>
      <c r="BJ2257" s="54"/>
      <c r="BK2257" s="54"/>
      <c r="BL2257" s="54"/>
      <c r="BM2257" s="54"/>
      <c r="BN2257" s="54"/>
      <c r="BO2257" s="54"/>
      <c r="BP2257" s="54"/>
      <c r="BQ2257" s="54"/>
      <c r="BR2257" s="54"/>
      <c r="BS2257" s="54"/>
      <c r="BT2257" s="54"/>
      <c r="BU2257" s="54"/>
      <c r="BV2257" s="54"/>
      <c r="BW2257" s="54"/>
      <c r="BX2257" s="54"/>
    </row>
    <row r="2258" spans="1:76" ht="38.25">
      <c r="A2258" s="59"/>
      <c r="B2258" s="634"/>
      <c r="C2258" s="4000">
        <v>5</v>
      </c>
      <c r="D2258" s="4000" t="s">
        <v>107</v>
      </c>
      <c r="E2258" s="4000" t="s">
        <v>66</v>
      </c>
      <c r="F2258" s="4000" t="s">
        <v>155</v>
      </c>
      <c r="G2258" s="4000" t="s">
        <v>1099</v>
      </c>
      <c r="H2258" s="4008" t="s">
        <v>65</v>
      </c>
      <c r="I2258" s="58" t="s">
        <v>4390</v>
      </c>
      <c r="J2258" s="58" t="s">
        <v>4391</v>
      </c>
      <c r="K2258" s="4009">
        <v>6</v>
      </c>
      <c r="L2258" s="3875">
        <v>137849500</v>
      </c>
      <c r="M2258" s="4008">
        <v>2</v>
      </c>
      <c r="N2258" s="635">
        <v>36148000</v>
      </c>
      <c r="O2258" s="4009">
        <v>1</v>
      </c>
      <c r="P2258" s="61">
        <v>4487400</v>
      </c>
      <c r="Q2258" s="4016">
        <v>0</v>
      </c>
      <c r="R2258" s="60">
        <v>0</v>
      </c>
      <c r="S2258" s="4014">
        <v>0</v>
      </c>
      <c r="T2258" s="60">
        <v>0</v>
      </c>
      <c r="U2258" s="4009">
        <v>1</v>
      </c>
      <c r="V2258" s="60">
        <v>1652400</v>
      </c>
      <c r="W2258" s="59"/>
      <c r="X2258" s="59"/>
      <c r="Y2258" s="4001">
        <f t="shared" ref="Y2258:Y2259" si="874">Q2258+S2258+U2258+W2258</f>
        <v>1</v>
      </c>
      <c r="Z2258" s="60">
        <f t="shared" si="871"/>
        <v>1652400</v>
      </c>
      <c r="AA2258" s="4001">
        <f t="shared" si="872"/>
        <v>3</v>
      </c>
      <c r="AB2258" s="60">
        <f t="shared" si="872"/>
        <v>37800400</v>
      </c>
      <c r="AC2258" s="389">
        <f t="shared" si="873"/>
        <v>50</v>
      </c>
      <c r="AD2258" s="389">
        <f t="shared" si="870"/>
        <v>27.421499533911987</v>
      </c>
      <c r="AE2258" s="58" t="s">
        <v>4404</v>
      </c>
      <c r="AF2258" s="54"/>
      <c r="AG2258" s="54"/>
      <c r="AH2258" s="54"/>
      <c r="AI2258" s="54"/>
      <c r="AJ2258" s="54"/>
      <c r="AK2258" s="54"/>
      <c r="AL2258" s="54"/>
      <c r="AM2258" s="54"/>
      <c r="AN2258" s="54"/>
      <c r="AO2258" s="54"/>
      <c r="AP2258" s="54"/>
      <c r="AQ2258" s="54"/>
      <c r="AR2258" s="54"/>
      <c r="AS2258" s="54"/>
      <c r="AT2258" s="54"/>
      <c r="AU2258" s="54"/>
      <c r="AV2258" s="54"/>
      <c r="AW2258" s="54"/>
      <c r="AX2258" s="54"/>
      <c r="AY2258" s="54"/>
      <c r="AZ2258" s="54"/>
      <c r="BA2258" s="54"/>
      <c r="BB2258" s="54"/>
      <c r="BC2258" s="54"/>
      <c r="BD2258" s="54"/>
      <c r="BE2258" s="54"/>
      <c r="BF2258" s="54"/>
      <c r="BG2258" s="54"/>
      <c r="BH2258" s="54"/>
      <c r="BI2258" s="54"/>
      <c r="BJ2258" s="54"/>
      <c r="BK2258" s="54"/>
      <c r="BL2258" s="54"/>
      <c r="BM2258" s="54"/>
      <c r="BN2258" s="54"/>
      <c r="BO2258" s="54"/>
      <c r="BP2258" s="54"/>
      <c r="BQ2258" s="54"/>
      <c r="BR2258" s="54"/>
      <c r="BS2258" s="54"/>
      <c r="BT2258" s="54"/>
      <c r="BU2258" s="54"/>
      <c r="BV2258" s="54"/>
      <c r="BW2258" s="54"/>
      <c r="BX2258" s="54"/>
    </row>
    <row r="2259" spans="1:76" ht="63.75">
      <c r="A2259" s="59"/>
      <c r="B2259" s="634"/>
      <c r="C2259" s="4000">
        <v>5</v>
      </c>
      <c r="D2259" s="4000" t="s">
        <v>107</v>
      </c>
      <c r="E2259" s="4000" t="s">
        <v>66</v>
      </c>
      <c r="F2259" s="4000" t="s">
        <v>155</v>
      </c>
      <c r="G2259" s="4000" t="s">
        <v>1099</v>
      </c>
      <c r="H2259" s="4008" t="s">
        <v>196</v>
      </c>
      <c r="I2259" s="58" t="s">
        <v>4392</v>
      </c>
      <c r="J2259" s="58" t="s">
        <v>4393</v>
      </c>
      <c r="K2259" s="4009">
        <v>6</v>
      </c>
      <c r="L2259" s="60">
        <v>171393000</v>
      </c>
      <c r="M2259" s="4008">
        <v>2</v>
      </c>
      <c r="N2259" s="635">
        <v>48716500</v>
      </c>
      <c r="O2259" s="4009">
        <v>1</v>
      </c>
      <c r="P2259" s="61">
        <v>10240268</v>
      </c>
      <c r="Q2259" s="4008">
        <v>1</v>
      </c>
      <c r="R2259" s="60">
        <v>5139150</v>
      </c>
      <c r="S2259" s="4014">
        <v>0</v>
      </c>
      <c r="T2259" s="61">
        <v>0</v>
      </c>
      <c r="U2259" s="4009">
        <v>0</v>
      </c>
      <c r="V2259" s="60">
        <v>0</v>
      </c>
      <c r="W2259" s="59"/>
      <c r="X2259" s="59"/>
      <c r="Y2259" s="4001">
        <f t="shared" si="874"/>
        <v>1</v>
      </c>
      <c r="Z2259" s="60">
        <f t="shared" si="871"/>
        <v>5139150</v>
      </c>
      <c r="AA2259" s="4001">
        <f t="shared" si="872"/>
        <v>3</v>
      </c>
      <c r="AB2259" s="60">
        <f t="shared" si="872"/>
        <v>53855650</v>
      </c>
      <c r="AC2259" s="389">
        <f t="shared" si="873"/>
        <v>50</v>
      </c>
      <c r="AD2259" s="389">
        <f t="shared" si="870"/>
        <v>31.422315963895841</v>
      </c>
      <c r="AE2259" s="58" t="s">
        <v>4404</v>
      </c>
      <c r="AF2259" s="54"/>
      <c r="AG2259" s="54"/>
      <c r="AH2259" s="54"/>
      <c r="AI2259" s="54"/>
      <c r="AJ2259" s="54"/>
      <c r="AK2259" s="54"/>
      <c r="AL2259" s="54"/>
      <c r="AM2259" s="54"/>
      <c r="AN2259" s="54"/>
      <c r="AO2259" s="54"/>
      <c r="AP2259" s="54"/>
      <c r="AQ2259" s="54"/>
      <c r="AR2259" s="54"/>
      <c r="AS2259" s="54"/>
      <c r="AT2259" s="54"/>
      <c r="AU2259" s="54"/>
      <c r="AV2259" s="54"/>
      <c r="AW2259" s="54"/>
      <c r="AX2259" s="54"/>
      <c r="AY2259" s="54"/>
      <c r="AZ2259" s="54"/>
      <c r="BA2259" s="54"/>
      <c r="BB2259" s="54"/>
      <c r="BC2259" s="54"/>
      <c r="BD2259" s="54"/>
      <c r="BE2259" s="54"/>
      <c r="BF2259" s="54"/>
      <c r="BG2259" s="54"/>
      <c r="BH2259" s="54"/>
      <c r="BI2259" s="54"/>
      <c r="BJ2259" s="54"/>
      <c r="BK2259" s="54"/>
      <c r="BL2259" s="54"/>
      <c r="BM2259" s="54"/>
      <c r="BN2259" s="54"/>
      <c r="BO2259" s="54"/>
      <c r="BP2259" s="54"/>
      <c r="BQ2259" s="54"/>
      <c r="BR2259" s="54"/>
      <c r="BS2259" s="54"/>
      <c r="BT2259" s="54"/>
      <c r="BU2259" s="54"/>
      <c r="BV2259" s="54"/>
      <c r="BW2259" s="54"/>
      <c r="BX2259" s="54"/>
    </row>
    <row r="2260" spans="1:76" ht="38.25">
      <c r="A2260" s="59"/>
      <c r="B2260" s="634"/>
      <c r="C2260" s="4000">
        <v>5</v>
      </c>
      <c r="D2260" s="4000" t="s">
        <v>107</v>
      </c>
      <c r="E2260" s="4000" t="s">
        <v>66</v>
      </c>
      <c r="F2260" s="4000" t="s">
        <v>155</v>
      </c>
      <c r="G2260" s="4000" t="s">
        <v>1099</v>
      </c>
      <c r="H2260" s="4008" t="s">
        <v>197</v>
      </c>
      <c r="I2260" s="58" t="s">
        <v>4293</v>
      </c>
      <c r="J2260" s="58" t="s">
        <v>4396</v>
      </c>
      <c r="K2260" s="4009">
        <v>150</v>
      </c>
      <c r="L2260" s="60">
        <v>30786000</v>
      </c>
      <c r="M2260" s="4008">
        <v>50</v>
      </c>
      <c r="N2260" s="635">
        <v>16857750</v>
      </c>
      <c r="O2260" s="4009">
        <v>45</v>
      </c>
      <c r="P2260" s="61">
        <v>3726604</v>
      </c>
      <c r="Q2260" s="4008">
        <v>8</v>
      </c>
      <c r="R2260" s="60">
        <v>1761000</v>
      </c>
      <c r="S2260" s="4014">
        <v>10</v>
      </c>
      <c r="T2260" s="60">
        <f>1836000-R2260</f>
        <v>75000</v>
      </c>
      <c r="U2260" s="4009">
        <v>20</v>
      </c>
      <c r="V2260" s="61">
        <f>2136000-T2260-R2260</f>
        <v>300000</v>
      </c>
      <c r="W2260" s="59"/>
      <c r="X2260" s="59"/>
      <c r="Y2260" s="4001">
        <f>Q2260+S2260+U2260+W2260</f>
        <v>38</v>
      </c>
      <c r="Z2260" s="60">
        <f t="shared" si="871"/>
        <v>2136000</v>
      </c>
      <c r="AA2260" s="4001">
        <f t="shared" si="872"/>
        <v>88</v>
      </c>
      <c r="AB2260" s="60">
        <f t="shared" si="872"/>
        <v>18993750</v>
      </c>
      <c r="AC2260" s="389">
        <f t="shared" si="873"/>
        <v>58.666666666666664</v>
      </c>
      <c r="AD2260" s="389">
        <f t="shared" si="870"/>
        <v>61.696063145585654</v>
      </c>
      <c r="AE2260" s="58" t="s">
        <v>4404</v>
      </c>
      <c r="AF2260" s="54"/>
      <c r="AG2260" s="54"/>
      <c r="AH2260" s="54"/>
      <c r="AI2260" s="54"/>
      <c r="AJ2260" s="54"/>
      <c r="AK2260" s="54"/>
      <c r="AL2260" s="54"/>
      <c r="AM2260" s="54"/>
      <c r="AN2260" s="54"/>
      <c r="AO2260" s="54"/>
      <c r="AP2260" s="54"/>
      <c r="AQ2260" s="54"/>
      <c r="AR2260" s="54"/>
      <c r="AS2260" s="54"/>
      <c r="AT2260" s="54"/>
      <c r="AU2260" s="54"/>
      <c r="AV2260" s="54"/>
      <c r="AW2260" s="54"/>
      <c r="AX2260" s="54"/>
      <c r="AY2260" s="54"/>
      <c r="AZ2260" s="54"/>
      <c r="BA2260" s="54"/>
      <c r="BB2260" s="54"/>
      <c r="BC2260" s="54"/>
      <c r="BD2260" s="54"/>
      <c r="BE2260" s="54"/>
      <c r="BF2260" s="54"/>
      <c r="BG2260" s="54"/>
      <c r="BH2260" s="54"/>
      <c r="BI2260" s="54"/>
      <c r="BJ2260" s="54"/>
      <c r="BK2260" s="54"/>
      <c r="BL2260" s="54"/>
      <c r="BM2260" s="54"/>
      <c r="BN2260" s="54"/>
      <c r="BO2260" s="54"/>
      <c r="BP2260" s="54"/>
      <c r="BQ2260" s="54"/>
      <c r="BR2260" s="54"/>
      <c r="BS2260" s="54"/>
      <c r="BT2260" s="54"/>
      <c r="BU2260" s="54"/>
      <c r="BV2260" s="54"/>
      <c r="BW2260" s="54"/>
      <c r="BX2260" s="54"/>
    </row>
    <row r="2261" spans="1:76" s="3655" customFormat="1" ht="49.5">
      <c r="A2261" s="3657">
        <v>9</v>
      </c>
      <c r="B2261" s="3835"/>
      <c r="C2261" s="3659">
        <v>5</v>
      </c>
      <c r="D2261" s="3659" t="s">
        <v>107</v>
      </c>
      <c r="E2261" s="3659" t="s">
        <v>66</v>
      </c>
      <c r="F2261" s="3659" t="s">
        <v>155</v>
      </c>
      <c r="G2261" s="3659" t="s">
        <v>351</v>
      </c>
      <c r="H2261" s="3657"/>
      <c r="I2261" s="3660" t="s">
        <v>4638</v>
      </c>
      <c r="J2261" s="3660" t="s">
        <v>4639</v>
      </c>
      <c r="K2261" s="3657">
        <v>95</v>
      </c>
      <c r="L2261" s="3662">
        <f>SUM(L2262:L2264)</f>
        <v>247970700</v>
      </c>
      <c r="M2261" s="3657">
        <v>60</v>
      </c>
      <c r="N2261" s="3662">
        <f>SUM(N2262:N2264)</f>
        <v>25525900</v>
      </c>
      <c r="O2261" s="3657">
        <v>20</v>
      </c>
      <c r="P2261" s="3662">
        <f>SUM(P2262:P2264)</f>
        <v>20179000</v>
      </c>
      <c r="Q2261" s="3657">
        <v>0</v>
      </c>
      <c r="R2261" s="3662">
        <f>SUM(R2262:R2264)</f>
        <v>1416000</v>
      </c>
      <c r="S2261" s="3657">
        <v>5</v>
      </c>
      <c r="T2261" s="3662">
        <f>SUM(T2262:T2264)</f>
        <v>8782000</v>
      </c>
      <c r="U2261" s="3664">
        <f>V2261/P2261*100</f>
        <v>0</v>
      </c>
      <c r="V2261" s="3662">
        <f>SUM(V2262:V2267)</f>
        <v>0</v>
      </c>
      <c r="W2261" s="3661"/>
      <c r="X2261" s="3661"/>
      <c r="Y2261" s="3836">
        <f>Q2261+S2261+U2261+W2261</f>
        <v>5</v>
      </c>
      <c r="Z2261" s="3662">
        <f>SUM(Z2262:Z2264)</f>
        <v>10198000</v>
      </c>
      <c r="AA2261" s="3836">
        <f>M2261+Y2261</f>
        <v>65</v>
      </c>
      <c r="AB2261" s="3662">
        <f>SUM(AB2262:AB2264)</f>
        <v>35723900</v>
      </c>
      <c r="AC2261" s="3664">
        <f>(AA2261/K2261)*100</f>
        <v>68.421052631578945</v>
      </c>
      <c r="AD2261" s="3664">
        <f t="shared" si="870"/>
        <v>14.406500445415526</v>
      </c>
      <c r="AE2261" s="3660" t="s">
        <v>4404</v>
      </c>
    </row>
    <row r="2262" spans="1:76" ht="63" customHeight="1">
      <c r="A2262" s="59"/>
      <c r="B2262" s="634"/>
      <c r="C2262" s="4000">
        <v>5</v>
      </c>
      <c r="D2262" s="4000" t="s">
        <v>107</v>
      </c>
      <c r="E2262" s="4000" t="s">
        <v>66</v>
      </c>
      <c r="F2262" s="4000" t="s">
        <v>155</v>
      </c>
      <c r="G2262" s="4000" t="s">
        <v>351</v>
      </c>
      <c r="H2262" s="4008" t="s">
        <v>161</v>
      </c>
      <c r="I2262" s="58" t="s">
        <v>4640</v>
      </c>
      <c r="J2262" s="58" t="s">
        <v>4641</v>
      </c>
      <c r="K2262" s="4009">
        <v>60</v>
      </c>
      <c r="L2262" s="60">
        <f>3*N2262</f>
        <v>28133700</v>
      </c>
      <c r="M2262" s="4008">
        <v>20</v>
      </c>
      <c r="N2262" s="635">
        <v>9377900</v>
      </c>
      <c r="O2262" s="4009">
        <v>10</v>
      </c>
      <c r="P2262" s="61">
        <v>4710000</v>
      </c>
      <c r="Q2262" s="4008">
        <v>3</v>
      </c>
      <c r="R2262" s="60">
        <v>900000</v>
      </c>
      <c r="S2262" s="4009">
        <v>5</v>
      </c>
      <c r="T2262" s="61">
        <v>2800000</v>
      </c>
      <c r="U2262" s="4009">
        <v>1</v>
      </c>
      <c r="V2262" s="61">
        <v>0</v>
      </c>
      <c r="W2262" s="59"/>
      <c r="X2262" s="59"/>
      <c r="Y2262" s="4001">
        <f>Q2262+S2262+U2262+W2262</f>
        <v>9</v>
      </c>
      <c r="Z2262" s="60">
        <f t="shared" ref="Z2262:Z2264" si="875">R2262+T2262+V2262+X2262</f>
        <v>3700000</v>
      </c>
      <c r="AA2262" s="4001">
        <f t="shared" ref="AA2262:AB2264" si="876">M2262+Y2262</f>
        <v>29</v>
      </c>
      <c r="AB2262" s="60">
        <f t="shared" si="876"/>
        <v>13077900</v>
      </c>
      <c r="AC2262" s="389">
        <f t="shared" ref="AC2262:AC2264" si="877">(AA2262/K2262)*100</f>
        <v>48.333333333333336</v>
      </c>
      <c r="AD2262" s="389">
        <f t="shared" si="870"/>
        <v>46.484820695464869</v>
      </c>
      <c r="AE2262" s="58" t="s">
        <v>4404</v>
      </c>
      <c r="AF2262" s="54"/>
      <c r="AG2262" s="54"/>
      <c r="AH2262" s="54"/>
      <c r="AI2262" s="54"/>
      <c r="AJ2262" s="54"/>
      <c r="AK2262" s="54"/>
      <c r="AL2262" s="54"/>
      <c r="AM2262" s="54"/>
      <c r="AN2262" s="54"/>
      <c r="AO2262" s="54"/>
      <c r="AP2262" s="54"/>
      <c r="AQ2262" s="54"/>
      <c r="AR2262" s="54"/>
      <c r="AS2262" s="54"/>
      <c r="AT2262" s="54"/>
      <c r="AU2262" s="54"/>
      <c r="AV2262" s="54"/>
      <c r="AW2262" s="54"/>
      <c r="AX2262" s="54"/>
      <c r="AY2262" s="54"/>
      <c r="AZ2262" s="54"/>
      <c r="BA2262" s="54"/>
      <c r="BB2262" s="54"/>
      <c r="BC2262" s="54"/>
      <c r="BD2262" s="54"/>
      <c r="BE2262" s="54"/>
      <c r="BF2262" s="54"/>
      <c r="BG2262" s="54"/>
      <c r="BH2262" s="54"/>
      <c r="BI2262" s="54"/>
      <c r="BJ2262" s="54"/>
      <c r="BK2262" s="54"/>
      <c r="BL2262" s="54"/>
      <c r="BM2262" s="54"/>
      <c r="BN2262" s="54"/>
      <c r="BO2262" s="54"/>
      <c r="BP2262" s="54"/>
      <c r="BQ2262" s="54"/>
      <c r="BR2262" s="54"/>
      <c r="BS2262" s="54"/>
      <c r="BT2262" s="54"/>
      <c r="BU2262" s="54"/>
      <c r="BV2262" s="54"/>
      <c r="BW2262" s="54"/>
      <c r="BX2262" s="54"/>
    </row>
    <row r="2263" spans="1:76" ht="25.5">
      <c r="A2263" s="59"/>
      <c r="B2263" s="634"/>
      <c r="C2263" s="4000">
        <v>5</v>
      </c>
      <c r="D2263" s="4000" t="s">
        <v>107</v>
      </c>
      <c r="E2263" s="4000" t="s">
        <v>66</v>
      </c>
      <c r="F2263" s="4000" t="s">
        <v>155</v>
      </c>
      <c r="G2263" s="4000" t="s">
        <v>351</v>
      </c>
      <c r="H2263" s="4008" t="s">
        <v>93</v>
      </c>
      <c r="I2263" s="58" t="s">
        <v>4642</v>
      </c>
      <c r="J2263" s="58" t="s">
        <v>4643</v>
      </c>
      <c r="K2263" s="4009">
        <v>72</v>
      </c>
      <c r="L2263" s="3875">
        <f>3*N2263</f>
        <v>48444000</v>
      </c>
      <c r="M2263" s="4008">
        <v>24</v>
      </c>
      <c r="N2263" s="635">
        <v>16148000</v>
      </c>
      <c r="O2263" s="4009">
        <v>12</v>
      </c>
      <c r="P2263" s="61">
        <v>8969000</v>
      </c>
      <c r="Q2263" s="4053">
        <v>3</v>
      </c>
      <c r="R2263" s="60">
        <v>516000</v>
      </c>
      <c r="S2263" s="4014">
        <v>3</v>
      </c>
      <c r="T2263" s="60">
        <f>3118000-R2263</f>
        <v>2602000</v>
      </c>
      <c r="U2263" s="4009">
        <v>3</v>
      </c>
      <c r="V2263" s="60"/>
      <c r="W2263" s="59"/>
      <c r="X2263" s="59"/>
      <c r="Y2263" s="4001">
        <f t="shared" ref="Y2263:Y2264" si="878">Q2263+S2263+U2263+W2263</f>
        <v>9</v>
      </c>
      <c r="Z2263" s="60">
        <f t="shared" si="875"/>
        <v>3118000</v>
      </c>
      <c r="AA2263" s="4001">
        <f t="shared" si="876"/>
        <v>33</v>
      </c>
      <c r="AB2263" s="60">
        <f t="shared" si="876"/>
        <v>19266000</v>
      </c>
      <c r="AC2263" s="389">
        <f t="shared" si="877"/>
        <v>45.833333333333329</v>
      </c>
      <c r="AD2263" s="389">
        <f t="shared" si="870"/>
        <v>39.769630914045081</v>
      </c>
      <c r="AE2263" s="58" t="s">
        <v>4404</v>
      </c>
      <c r="AF2263" s="54"/>
      <c r="AG2263" s="54"/>
      <c r="AH2263" s="54"/>
      <c r="AI2263" s="54"/>
      <c r="AJ2263" s="54"/>
      <c r="AK2263" s="54"/>
      <c r="AL2263" s="54"/>
      <c r="AM2263" s="54"/>
      <c r="AN2263" s="54"/>
      <c r="AO2263" s="54"/>
      <c r="AP2263" s="54"/>
      <c r="AQ2263" s="54"/>
      <c r="AR2263" s="54"/>
      <c r="AS2263" s="54"/>
      <c r="AT2263" s="54"/>
      <c r="AU2263" s="54"/>
      <c r="AV2263" s="54"/>
      <c r="AW2263" s="54"/>
      <c r="AX2263" s="54"/>
      <c r="AY2263" s="54"/>
      <c r="AZ2263" s="54"/>
      <c r="BA2263" s="54"/>
      <c r="BB2263" s="54"/>
      <c r="BC2263" s="54"/>
      <c r="BD2263" s="54"/>
      <c r="BE2263" s="54"/>
      <c r="BF2263" s="54"/>
      <c r="BG2263" s="54"/>
      <c r="BH2263" s="54"/>
      <c r="BI2263" s="54"/>
      <c r="BJ2263" s="54"/>
      <c r="BK2263" s="54"/>
      <c r="BL2263" s="54"/>
      <c r="BM2263" s="54"/>
      <c r="BN2263" s="54"/>
      <c r="BO2263" s="54"/>
      <c r="BP2263" s="54"/>
      <c r="BQ2263" s="54"/>
      <c r="BR2263" s="54"/>
      <c r="BS2263" s="54"/>
      <c r="BT2263" s="54"/>
      <c r="BU2263" s="54"/>
      <c r="BV2263" s="54"/>
      <c r="BW2263" s="54"/>
      <c r="BX2263" s="54"/>
    </row>
    <row r="2264" spans="1:76" ht="25.5">
      <c r="A2264" s="59"/>
      <c r="B2264" s="634"/>
      <c r="C2264" s="4000">
        <v>5</v>
      </c>
      <c r="D2264" s="4000" t="s">
        <v>107</v>
      </c>
      <c r="E2264" s="4000" t="s">
        <v>66</v>
      </c>
      <c r="F2264" s="4000" t="s">
        <v>155</v>
      </c>
      <c r="G2264" s="4000" t="s">
        <v>1099</v>
      </c>
      <c r="H2264" s="4008" t="s">
        <v>201</v>
      </c>
      <c r="I2264" s="58" t="s">
        <v>4644</v>
      </c>
      <c r="J2264" s="58" t="s">
        <v>4613</v>
      </c>
      <c r="K2264" s="4009">
        <v>10</v>
      </c>
      <c r="L2264" s="60">
        <v>171393000</v>
      </c>
      <c r="M2264" s="4008">
        <v>0</v>
      </c>
      <c r="N2264" s="635">
        <v>0</v>
      </c>
      <c r="O2264" s="4009">
        <v>3</v>
      </c>
      <c r="P2264" s="61">
        <v>6500000</v>
      </c>
      <c r="Q2264" s="4008">
        <v>0</v>
      </c>
      <c r="R2264" s="60">
        <v>0</v>
      </c>
      <c r="S2264" s="4014">
        <v>3</v>
      </c>
      <c r="T2264" s="61">
        <v>3380000</v>
      </c>
      <c r="U2264" s="4009">
        <v>0</v>
      </c>
      <c r="V2264" s="60">
        <v>0</v>
      </c>
      <c r="W2264" s="59"/>
      <c r="X2264" s="59"/>
      <c r="Y2264" s="4001">
        <f t="shared" si="878"/>
        <v>3</v>
      </c>
      <c r="Z2264" s="60">
        <f t="shared" si="875"/>
        <v>3380000</v>
      </c>
      <c r="AA2264" s="4001">
        <f t="shared" si="876"/>
        <v>3</v>
      </c>
      <c r="AB2264" s="60">
        <f t="shared" si="876"/>
        <v>3380000</v>
      </c>
      <c r="AC2264" s="389">
        <f t="shared" si="877"/>
        <v>30</v>
      </c>
      <c r="AD2264" s="389">
        <f t="shared" si="870"/>
        <v>1.9720758724101919</v>
      </c>
      <c r="AE2264" s="58" t="s">
        <v>4404</v>
      </c>
      <c r="AF2264" s="54"/>
      <c r="AG2264" s="54"/>
      <c r="AH2264" s="54"/>
      <c r="AI2264" s="54"/>
      <c r="AJ2264" s="54"/>
      <c r="AK2264" s="54"/>
      <c r="AL2264" s="54"/>
      <c r="AM2264" s="54"/>
      <c r="AN2264" s="54"/>
      <c r="AO2264" s="54"/>
      <c r="AP2264" s="54"/>
      <c r="AQ2264" s="54"/>
      <c r="AR2264" s="54"/>
      <c r="AS2264" s="54"/>
      <c r="AT2264" s="54"/>
      <c r="AU2264" s="54"/>
      <c r="AV2264" s="54"/>
      <c r="AW2264" s="54"/>
      <c r="AX2264" s="54"/>
      <c r="AY2264" s="54"/>
      <c r="AZ2264" s="54"/>
      <c r="BA2264" s="54"/>
      <c r="BB2264" s="54"/>
      <c r="BC2264" s="54"/>
      <c r="BD2264" s="54"/>
      <c r="BE2264" s="54"/>
      <c r="BF2264" s="54"/>
      <c r="BG2264" s="54"/>
      <c r="BH2264" s="54"/>
      <c r="BI2264" s="54"/>
      <c r="BJ2264" s="54"/>
      <c r="BK2264" s="54"/>
      <c r="BL2264" s="54"/>
      <c r="BM2264" s="54"/>
      <c r="BN2264" s="54"/>
      <c r="BO2264" s="54"/>
      <c r="BP2264" s="54"/>
      <c r="BQ2264" s="54"/>
      <c r="BR2264" s="54"/>
      <c r="BS2264" s="54"/>
      <c r="BT2264" s="54"/>
      <c r="BU2264" s="54"/>
      <c r="BV2264" s="54"/>
      <c r="BW2264" s="54"/>
      <c r="BX2264" s="54"/>
    </row>
    <row r="2265" spans="1:76" s="6" customFormat="1" ht="72" customHeight="1">
      <c r="A2265" s="3838">
        <v>10</v>
      </c>
      <c r="B2265" s="3838"/>
      <c r="C2265" s="3839">
        <v>5</v>
      </c>
      <c r="D2265" s="3839" t="s">
        <v>107</v>
      </c>
      <c r="E2265" s="3839" t="s">
        <v>66</v>
      </c>
      <c r="F2265" s="3839" t="s">
        <v>155</v>
      </c>
      <c r="G2265" s="3839" t="s">
        <v>293</v>
      </c>
      <c r="H2265" s="3838"/>
      <c r="I2265" s="3660" t="s">
        <v>4525</v>
      </c>
      <c r="J2265" s="3660" t="s">
        <v>4526</v>
      </c>
      <c r="K2265" s="3657">
        <v>10</v>
      </c>
      <c r="L2265" s="3662">
        <f>SUM(L2266)</f>
        <v>15875000</v>
      </c>
      <c r="M2265" s="3657">
        <v>0</v>
      </c>
      <c r="N2265" s="3662">
        <f>SUM(N2266)</f>
        <v>0</v>
      </c>
      <c r="O2265" s="3657">
        <v>2</v>
      </c>
      <c r="P2265" s="3662">
        <f>SUM(P2266)</f>
        <v>3175000</v>
      </c>
      <c r="Q2265" s="3657">
        <v>0</v>
      </c>
      <c r="R2265" s="3662">
        <f>SUM(R2266)</f>
        <v>0</v>
      </c>
      <c r="S2265" s="3657">
        <v>0</v>
      </c>
      <c r="T2265" s="3663">
        <f>SUM(T2266)</f>
        <v>0</v>
      </c>
      <c r="U2265" s="3664">
        <f>V2265/P2265*100</f>
        <v>0</v>
      </c>
      <c r="V2265" s="3663">
        <f>SUM(V2266)</f>
        <v>0</v>
      </c>
      <c r="W2265" s="3661"/>
      <c r="X2265" s="3661"/>
      <c r="Y2265" s="3836">
        <f>Q2265+S2265+U2265+W2265</f>
        <v>0</v>
      </c>
      <c r="Z2265" s="3662">
        <f>SUM(Z2266)</f>
        <v>0</v>
      </c>
      <c r="AA2265" s="3836">
        <f>M2265+Y2265</f>
        <v>0</v>
      </c>
      <c r="AB2265" s="3662">
        <f>SUM(AB2266)</f>
        <v>0</v>
      </c>
      <c r="AC2265" s="3664">
        <f>(AA2265/K2265)*100</f>
        <v>0</v>
      </c>
      <c r="AD2265" s="3664">
        <f t="shared" si="870"/>
        <v>0</v>
      </c>
      <c r="AE2265" s="3661" t="s">
        <v>4517</v>
      </c>
    </row>
    <row r="2266" spans="1:76" s="6" customFormat="1" ht="45">
      <c r="A2266" s="8"/>
      <c r="B2266" s="3833"/>
      <c r="C2266" s="36">
        <v>5</v>
      </c>
      <c r="D2266" s="36" t="s">
        <v>107</v>
      </c>
      <c r="E2266" s="36" t="s">
        <v>66</v>
      </c>
      <c r="F2266" s="36" t="s">
        <v>155</v>
      </c>
      <c r="G2266" s="36" t="s">
        <v>293</v>
      </c>
      <c r="H2266" s="35" t="s">
        <v>196</v>
      </c>
      <c r="I2266" s="10" t="s">
        <v>4645</v>
      </c>
      <c r="J2266" s="10" t="s">
        <v>4646</v>
      </c>
      <c r="K2266" s="3834">
        <v>10</v>
      </c>
      <c r="L2266" s="11">
        <f>5*P2266</f>
        <v>15875000</v>
      </c>
      <c r="M2266" s="35">
        <v>0</v>
      </c>
      <c r="N2266" s="9">
        <v>0</v>
      </c>
      <c r="O2266" s="3834">
        <v>1</v>
      </c>
      <c r="P2266" s="12">
        <v>3175000</v>
      </c>
      <c r="Q2266" s="35">
        <v>0</v>
      </c>
      <c r="R2266" s="11">
        <v>0</v>
      </c>
      <c r="S2266" s="3834">
        <v>0</v>
      </c>
      <c r="T2266" s="11">
        <v>0</v>
      </c>
      <c r="U2266" s="8">
        <v>0</v>
      </c>
      <c r="V2266" s="12">
        <v>0</v>
      </c>
      <c r="W2266" s="8"/>
      <c r="X2266" s="8"/>
      <c r="Y2266" s="3834">
        <f>Q2266+S2266+U2266+W2266</f>
        <v>0</v>
      </c>
      <c r="Z2266" s="3691">
        <f t="shared" ref="Z2266" si="879">R2266+T2266+V2266+X2266</f>
        <v>0</v>
      </c>
      <c r="AA2266" s="3834">
        <f>M2266+Y2266</f>
        <v>0</v>
      </c>
      <c r="AB2266" s="3691">
        <f t="shared" ref="AB2266" si="880">N2266+Z2266</f>
        <v>0</v>
      </c>
      <c r="AC2266" s="13">
        <f>(AA2266/K2266)*100</f>
        <v>0</v>
      </c>
      <c r="AD2266" s="14">
        <f t="shared" si="870"/>
        <v>0</v>
      </c>
      <c r="AE2266" s="8" t="s">
        <v>4517</v>
      </c>
    </row>
    <row r="2267" spans="1:76" customFormat="1" ht="17.25" customHeight="1">
      <c r="A2267" s="4280" t="s">
        <v>89</v>
      </c>
      <c r="B2267" s="4280"/>
      <c r="C2267" s="4265"/>
      <c r="D2267" s="4265"/>
      <c r="E2267" s="4265"/>
      <c r="F2267" s="4265"/>
      <c r="G2267" s="4265"/>
      <c r="H2267" s="4265"/>
      <c r="I2267" s="4265"/>
      <c r="J2267" s="4265"/>
      <c r="K2267" s="4265"/>
      <c r="L2267" s="4265"/>
      <c r="M2267" s="4265"/>
      <c r="N2267" s="4265"/>
      <c r="O2267" s="4265"/>
      <c r="P2267" s="4265"/>
      <c r="Q2267" s="4265"/>
      <c r="R2267" s="4265"/>
      <c r="S2267" s="4265"/>
      <c r="T2267" s="4265"/>
      <c r="U2267" s="4265"/>
      <c r="V2267" s="4265"/>
      <c r="W2267" s="4265"/>
      <c r="X2267" s="4265"/>
      <c r="Y2267" s="4265"/>
      <c r="Z2267" s="4265"/>
      <c r="AA2267" s="4265"/>
      <c r="AB2267" s="4265"/>
      <c r="AC2267" s="3702">
        <f>(AC2226+AC2239+AC2246+AC2248+AC2250+AC2252+AC2254+AC2256+AC2261+AC2265)/10</f>
        <v>48.440705802723492</v>
      </c>
      <c r="AD2267" s="3702">
        <f>(AD2226+AD2239+AD2246+AD2248+AD2250+AD2252+AD2254+AD2256+AD2261+AD2265)/10</f>
        <v>37.634403429465522</v>
      </c>
      <c r="AE2267" s="2116"/>
    </row>
    <row r="2268" spans="1:76" customFormat="1" ht="20.25" customHeight="1">
      <c r="A2268" s="4280" t="s">
        <v>90</v>
      </c>
      <c r="B2268" s="4280"/>
      <c r="C2268" s="4265"/>
      <c r="D2268" s="4265"/>
      <c r="E2268" s="4265"/>
      <c r="F2268" s="4265"/>
      <c r="G2268" s="4265"/>
      <c r="H2268" s="4265"/>
      <c r="I2268" s="4265"/>
      <c r="J2268" s="4265"/>
      <c r="K2268" s="4265"/>
      <c r="L2268" s="4265"/>
      <c r="M2268" s="4265"/>
      <c r="N2268" s="4265"/>
      <c r="O2268" s="4265"/>
      <c r="P2268" s="4265"/>
      <c r="Q2268" s="4265"/>
      <c r="R2268" s="4265"/>
      <c r="S2268" s="4265"/>
      <c r="T2268" s="4265"/>
      <c r="U2268" s="4265"/>
      <c r="V2268" s="4265"/>
      <c r="W2268" s="4265"/>
      <c r="X2268" s="4265"/>
      <c r="Y2268" s="4265"/>
      <c r="Z2268" s="4265"/>
      <c r="AA2268" s="4265"/>
      <c r="AB2268" s="4265"/>
      <c r="AC2268" s="22" t="str">
        <f>IF(AC2267&gt;=91,"ST",IF(AC2267&gt;=76,"T",IF(AC2267&gt;=66,"S",IF(AC2267&gt;=51,"R","SR"))))</f>
        <v>SR</v>
      </c>
      <c r="AD2268" s="22" t="str">
        <f>IF(AD2267&gt;=91,"ST",IF(AD2267&gt;=76,"T",IF(AD2267&gt;=66,"S",IF(AD2267&gt;=51,"R","SR"))))</f>
        <v>SR</v>
      </c>
      <c r="AE2268" s="2116"/>
    </row>
    <row r="2269" spans="1:76" s="55" customFormat="1" ht="25.5" customHeight="1">
      <c r="A2269" s="2546" t="s">
        <v>3362</v>
      </c>
      <c r="B2269" s="2918"/>
      <c r="C2269" s="2546"/>
      <c r="D2269" s="2546"/>
      <c r="E2269" s="2546"/>
      <c r="F2269" s="2546"/>
      <c r="G2269" s="2546"/>
      <c r="H2269" s="2546"/>
      <c r="I2269" s="2515" t="s">
        <v>1030</v>
      </c>
      <c r="J2269" s="2918"/>
      <c r="K2269" s="2918"/>
      <c r="L2269" s="3238">
        <f>L2270+L2281+L2286+L2288+L2290+L2292+L2295</f>
        <v>2845778440</v>
      </c>
      <c r="M2269" s="2918"/>
      <c r="N2269" s="2916">
        <f>N2270+N2281+N2286+N2288+N2290+N2292+N2295</f>
        <v>775620900</v>
      </c>
      <c r="O2269" s="2918"/>
      <c r="P2269" s="2916">
        <f>P2270+P2281+P2286+P2288+P2290+P2292+P2295</f>
        <v>417910420</v>
      </c>
      <c r="Q2269" s="2918"/>
      <c r="R2269" s="2916">
        <f>R2270+R2281+R2286+R2288+R2290+R2292+R2295</f>
        <v>31968500</v>
      </c>
      <c r="S2269" s="2918"/>
      <c r="T2269" s="2916">
        <f>T2270+T2281+T2286+T2288+T2290+T2292+T2295</f>
        <v>110299600</v>
      </c>
      <c r="U2269" s="2918"/>
      <c r="V2269" s="2916">
        <f>V2270+V2281+V2286+V2288+V2290+V2292+V2295</f>
        <v>103258850</v>
      </c>
      <c r="W2269" s="2918"/>
      <c r="X2269" s="2918"/>
      <c r="Y2269" s="2546">
        <f>Q2269+S2269+U2269+W2269</f>
        <v>0</v>
      </c>
      <c r="Z2269" s="2916">
        <f>Z2270+Z2281+Z2286+Z2288+Z2290+Z2292+Z2295</f>
        <v>245526950</v>
      </c>
      <c r="AA2269" s="2918"/>
      <c r="AB2269" s="2916" t="e">
        <f>AB2270+AB2281+AB2286+AB2288+AB2290+AB2292+#REF!+AB2295+#REF!</f>
        <v>#REF!</v>
      </c>
      <c r="AC2269" s="2918"/>
      <c r="AD2269" s="2918"/>
      <c r="AE2269" s="3211"/>
      <c r="AF2269" s="145"/>
      <c r="AG2269" s="145"/>
      <c r="AH2269" s="145"/>
      <c r="AI2269" s="145"/>
      <c r="AJ2269" s="145"/>
      <c r="AK2269" s="145"/>
      <c r="AL2269" s="145"/>
      <c r="AM2269" s="145"/>
      <c r="AN2269" s="145"/>
      <c r="AO2269" s="145"/>
      <c r="AP2269" s="145"/>
      <c r="AQ2269" s="145"/>
      <c r="AR2269" s="145"/>
      <c r="AS2269" s="145"/>
      <c r="AT2269" s="145"/>
      <c r="AU2269" s="145"/>
      <c r="AV2269" s="145"/>
      <c r="AW2269" s="145"/>
      <c r="AX2269" s="145"/>
      <c r="AY2269" s="145"/>
      <c r="AZ2269" s="145"/>
      <c r="BA2269" s="145"/>
      <c r="BB2269" s="145"/>
      <c r="BC2269" s="145"/>
      <c r="BD2269" s="145"/>
      <c r="BE2269" s="145"/>
      <c r="BF2269" s="145"/>
      <c r="BG2269" s="145"/>
      <c r="BH2269" s="145"/>
      <c r="BI2269" s="145"/>
      <c r="BJ2269" s="145"/>
      <c r="BK2269" s="145"/>
      <c r="BL2269" s="145"/>
      <c r="BM2269" s="145"/>
      <c r="BN2269" s="145"/>
      <c r="BO2269" s="145"/>
      <c r="BP2269" s="145"/>
      <c r="BQ2269" s="145"/>
      <c r="BR2269" s="145"/>
      <c r="BS2269" s="145"/>
      <c r="BT2269" s="145"/>
      <c r="BU2269" s="145"/>
      <c r="BV2269" s="145"/>
      <c r="BW2269" s="145"/>
      <c r="BX2269" s="145"/>
    </row>
    <row r="2270" spans="1:76" s="3802" customFormat="1" ht="92.25" customHeight="1">
      <c r="A2270" s="3657">
        <v>1</v>
      </c>
      <c r="B2270" s="3835"/>
      <c r="C2270" s="3659">
        <v>5</v>
      </c>
      <c r="D2270" s="3659" t="s">
        <v>107</v>
      </c>
      <c r="E2270" s="3659" t="s">
        <v>66</v>
      </c>
      <c r="F2270" s="3659" t="s">
        <v>155</v>
      </c>
      <c r="G2270" s="3659" t="s">
        <v>66</v>
      </c>
      <c r="H2270" s="3657"/>
      <c r="I2270" s="3660" t="s">
        <v>4326</v>
      </c>
      <c r="J2270" s="3660" t="s">
        <v>4529</v>
      </c>
      <c r="K2270" s="3657">
        <v>72</v>
      </c>
      <c r="L2270" s="3662">
        <f>SUM(L2271:L2280)</f>
        <v>1286260600</v>
      </c>
      <c r="M2270" s="3657">
        <v>24</v>
      </c>
      <c r="N2270" s="3662">
        <f>SUM(N2271:N2280)</f>
        <v>384099500</v>
      </c>
      <c r="O2270" s="3657">
        <v>12</v>
      </c>
      <c r="P2270" s="3662">
        <f>SUM(P2271:P2280)</f>
        <v>194318920</v>
      </c>
      <c r="Q2270" s="3657">
        <v>3</v>
      </c>
      <c r="R2270" s="3662">
        <f>SUM(R2271:R2280)</f>
        <v>8678500</v>
      </c>
      <c r="S2270" s="3657">
        <v>3</v>
      </c>
      <c r="T2270" s="3662">
        <f>SUM(T2271:T2280)</f>
        <v>39459600</v>
      </c>
      <c r="U2270" s="3657">
        <v>3</v>
      </c>
      <c r="V2270" s="3662">
        <f>SUM(V2271:V2280)</f>
        <v>68173350</v>
      </c>
      <c r="W2270" s="3661"/>
      <c r="X2270" s="3661"/>
      <c r="Y2270" s="3836">
        <f>Q2270+S2270+U2270+W2270</f>
        <v>9</v>
      </c>
      <c r="Z2270" s="3662">
        <f>SUM(Z2271:Z2280)</f>
        <v>116311450</v>
      </c>
      <c r="AA2270" s="3836">
        <f>M2270+Y2270</f>
        <v>33</v>
      </c>
      <c r="AB2270" s="3662">
        <f>SUM(AB2271:AB2280)</f>
        <v>500410950</v>
      </c>
      <c r="AC2270" s="3664">
        <f>(AA2270/K2270)*100</f>
        <v>45.833333333333329</v>
      </c>
      <c r="AD2270" s="3664">
        <f>AB2270/L2270*100</f>
        <v>38.904320788493408</v>
      </c>
      <c r="AE2270" s="3660" t="s">
        <v>4571</v>
      </c>
    </row>
    <row r="2271" spans="1:76" s="2117" customFormat="1" ht="81.75" customHeight="1">
      <c r="A2271" s="3803"/>
      <c r="B2271" s="3678"/>
      <c r="C2271" s="36">
        <v>5</v>
      </c>
      <c r="D2271" s="36" t="s">
        <v>107</v>
      </c>
      <c r="E2271" s="36" t="s">
        <v>66</v>
      </c>
      <c r="F2271" s="36" t="s">
        <v>155</v>
      </c>
      <c r="G2271" s="36" t="s">
        <v>66</v>
      </c>
      <c r="H2271" s="3804" t="s">
        <v>65</v>
      </c>
      <c r="I2271" s="3690" t="s">
        <v>4330</v>
      </c>
      <c r="J2271" s="3690" t="s">
        <v>4331</v>
      </c>
      <c r="K2271" s="3805">
        <v>72</v>
      </c>
      <c r="L2271" s="3691">
        <v>74170000</v>
      </c>
      <c r="M2271" s="3804">
        <v>24</v>
      </c>
      <c r="N2271" s="3806">
        <v>16763500</v>
      </c>
      <c r="O2271" s="3805">
        <v>12</v>
      </c>
      <c r="P2271" s="3807">
        <v>7440000</v>
      </c>
      <c r="Q2271" s="3804">
        <v>3</v>
      </c>
      <c r="R2271" s="3691">
        <v>154500</v>
      </c>
      <c r="S2271" s="3805">
        <v>3</v>
      </c>
      <c r="T2271" s="3691">
        <f>1965600-R2271</f>
        <v>1811100</v>
      </c>
      <c r="U2271" s="3805">
        <v>3</v>
      </c>
      <c r="V2271" s="3807">
        <f>3069450-T2271-R2271</f>
        <v>1103850</v>
      </c>
      <c r="W2271" s="3803"/>
      <c r="X2271" s="3803"/>
      <c r="Y2271" s="3679">
        <f t="shared" ref="Y2271:Y2272" si="881">Q2271+S2271+U2271+W2271</f>
        <v>9</v>
      </c>
      <c r="Z2271" s="3691">
        <f>R2271+T2271+V2271+X2271</f>
        <v>3069450</v>
      </c>
      <c r="AA2271" s="3679">
        <f t="shared" ref="AA2271:AA2273" si="882">M2271+Y2271</f>
        <v>33</v>
      </c>
      <c r="AB2271" s="3691">
        <f t="shared" ref="AB2271:AB2280" si="883">N2271+Z2271</f>
        <v>19832950</v>
      </c>
      <c r="AC2271" s="3684">
        <f>(AA2271/K2271)*100</f>
        <v>45.833333333333329</v>
      </c>
      <c r="AD2271" s="3684">
        <f t="shared" ref="AD2271:AD2280" si="884">AB2271/L2271*100</f>
        <v>26.739854388566808</v>
      </c>
      <c r="AE2271" s="3690" t="s">
        <v>4571</v>
      </c>
      <c r="AG2271" s="3945"/>
      <c r="AH2271" s="3945"/>
    </row>
    <row r="2272" spans="1:76" s="2117" customFormat="1" ht="105">
      <c r="A2272" s="3803"/>
      <c r="B2272" s="3678"/>
      <c r="C2272" s="36">
        <v>5</v>
      </c>
      <c r="D2272" s="36" t="s">
        <v>107</v>
      </c>
      <c r="E2272" s="36" t="s">
        <v>66</v>
      </c>
      <c r="F2272" s="36" t="s">
        <v>155</v>
      </c>
      <c r="G2272" s="36" t="s">
        <v>66</v>
      </c>
      <c r="H2272" s="3804" t="s">
        <v>198</v>
      </c>
      <c r="I2272" s="3690" t="s">
        <v>4332</v>
      </c>
      <c r="J2272" s="3690" t="s">
        <v>4333</v>
      </c>
      <c r="K2272" s="3805">
        <v>72</v>
      </c>
      <c r="L2272" s="3691">
        <v>199260600</v>
      </c>
      <c r="M2272" s="3804">
        <v>24</v>
      </c>
      <c r="N2272" s="3806">
        <f>29350000+39600000</f>
        <v>68950000</v>
      </c>
      <c r="O2272" s="3805">
        <v>12</v>
      </c>
      <c r="P2272" s="3807">
        <v>44400000</v>
      </c>
      <c r="Q2272" s="3804">
        <v>3</v>
      </c>
      <c r="R2272" s="3691"/>
      <c r="S2272" s="3805">
        <v>3</v>
      </c>
      <c r="T2272" s="3691">
        <v>6800000</v>
      </c>
      <c r="U2272" s="3805">
        <v>3</v>
      </c>
      <c r="V2272" s="3807">
        <v>24350000</v>
      </c>
      <c r="W2272" s="3803"/>
      <c r="X2272" s="3803"/>
      <c r="Y2272" s="3679">
        <f t="shared" si="881"/>
        <v>9</v>
      </c>
      <c r="Z2272" s="3691">
        <f t="shared" ref="Z2272:Z2280" si="885">R2272+T2272+V2272+X2272</f>
        <v>31150000</v>
      </c>
      <c r="AA2272" s="3679">
        <f t="shared" si="882"/>
        <v>33</v>
      </c>
      <c r="AB2272" s="3691">
        <f t="shared" si="883"/>
        <v>100100000</v>
      </c>
      <c r="AC2272" s="3684">
        <f t="shared" ref="AC2272" si="886">(AA2272/K2272)*100</f>
        <v>45.833333333333329</v>
      </c>
      <c r="AD2272" s="3684">
        <f t="shared" si="884"/>
        <v>50.23572146224592</v>
      </c>
      <c r="AE2272" s="3690" t="s">
        <v>4571</v>
      </c>
    </row>
    <row r="2273" spans="1:31" s="2117" customFormat="1" ht="66.75" customHeight="1">
      <c r="A2273" s="2116"/>
      <c r="B2273" s="3678"/>
      <c r="C2273" s="36">
        <v>5</v>
      </c>
      <c r="D2273" s="36" t="s">
        <v>107</v>
      </c>
      <c r="E2273" s="36" t="s">
        <v>66</v>
      </c>
      <c r="F2273" s="36" t="s">
        <v>155</v>
      </c>
      <c r="G2273" s="36" t="s">
        <v>66</v>
      </c>
      <c r="H2273" s="36" t="s">
        <v>93</v>
      </c>
      <c r="I2273" s="3680" t="s">
        <v>876</v>
      </c>
      <c r="J2273" s="3680" t="s">
        <v>4334</v>
      </c>
      <c r="K2273" s="36">
        <v>72</v>
      </c>
      <c r="L2273" s="3682">
        <v>93500000</v>
      </c>
      <c r="M2273" s="36">
        <v>24</v>
      </c>
      <c r="N2273" s="3808">
        <v>26825000</v>
      </c>
      <c r="O2273" s="3679">
        <v>12</v>
      </c>
      <c r="P2273" s="3683">
        <v>13398000</v>
      </c>
      <c r="Q2273" s="36">
        <v>3</v>
      </c>
      <c r="R2273" s="3682">
        <v>2600500</v>
      </c>
      <c r="S2273" s="3679">
        <v>3</v>
      </c>
      <c r="T2273" s="3682">
        <v>3226000</v>
      </c>
      <c r="U2273" s="3679">
        <v>3</v>
      </c>
      <c r="V2273" s="3683">
        <f>8076500-T2273-R2273</f>
        <v>2250000</v>
      </c>
      <c r="W2273" s="2116"/>
      <c r="X2273" s="2116"/>
      <c r="Y2273" s="3679">
        <f>Q2273+S2273+U2273+W2273</f>
        <v>9</v>
      </c>
      <c r="Z2273" s="3682">
        <f t="shared" si="885"/>
        <v>8076500</v>
      </c>
      <c r="AA2273" s="3679">
        <f t="shared" si="882"/>
        <v>33</v>
      </c>
      <c r="AB2273" s="3682">
        <f t="shared" si="883"/>
        <v>34901500</v>
      </c>
      <c r="AC2273" s="3684">
        <f>(AA2273/K2273)*100</f>
        <v>45.833333333333329</v>
      </c>
      <c r="AD2273" s="3684">
        <f t="shared" si="884"/>
        <v>37.327807486631016</v>
      </c>
      <c r="AE2273" s="3680" t="s">
        <v>4571</v>
      </c>
    </row>
    <row r="2274" spans="1:31" s="2117" customFormat="1" ht="45">
      <c r="A2274" s="3803"/>
      <c r="B2274" s="3809"/>
      <c r="C2274" s="3804">
        <v>5</v>
      </c>
      <c r="D2274" s="3804" t="s">
        <v>107</v>
      </c>
      <c r="E2274" s="3804" t="s">
        <v>66</v>
      </c>
      <c r="F2274" s="3804" t="s">
        <v>155</v>
      </c>
      <c r="G2274" s="3804" t="s">
        <v>66</v>
      </c>
      <c r="H2274" s="3804" t="s">
        <v>202</v>
      </c>
      <c r="I2274" s="3690" t="s">
        <v>880</v>
      </c>
      <c r="J2274" s="3690" t="s">
        <v>443</v>
      </c>
      <c r="K2274" s="3805">
        <v>72</v>
      </c>
      <c r="L2274" s="3691">
        <v>132600000</v>
      </c>
      <c r="M2274" s="3804">
        <v>24</v>
      </c>
      <c r="N2274" s="3806">
        <v>39955000</v>
      </c>
      <c r="O2274" s="3805">
        <v>12</v>
      </c>
      <c r="P2274" s="3807">
        <v>17677420</v>
      </c>
      <c r="Q2274" s="3804">
        <v>3</v>
      </c>
      <c r="R2274" s="3691">
        <v>1848500</v>
      </c>
      <c r="S2274" s="3805">
        <v>3</v>
      </c>
      <c r="T2274" s="3691">
        <v>6154000</v>
      </c>
      <c r="U2274" s="3805">
        <v>3</v>
      </c>
      <c r="V2274" s="3807">
        <v>74000</v>
      </c>
      <c r="W2274" s="3803"/>
      <c r="X2274" s="3803"/>
      <c r="Y2274" s="3805">
        <f t="shared" ref="Y2274:Y2275" si="887">Q2274+S2274+U2274+W2274</f>
        <v>9</v>
      </c>
      <c r="Z2274" s="3691">
        <f t="shared" si="885"/>
        <v>8076500</v>
      </c>
      <c r="AA2274" s="3805">
        <f>M2274+Y2274</f>
        <v>33</v>
      </c>
      <c r="AB2274" s="3691">
        <f t="shared" si="883"/>
        <v>48031500</v>
      </c>
      <c r="AC2274" s="3810">
        <f>(AA2274/K2274)*100</f>
        <v>45.833333333333329</v>
      </c>
      <c r="AD2274" s="3810">
        <f t="shared" si="884"/>
        <v>36.222850678733032</v>
      </c>
      <c r="AE2274" s="3690" t="s">
        <v>4571</v>
      </c>
    </row>
    <row r="2275" spans="1:31" s="2117" customFormat="1" ht="75">
      <c r="A2275" s="2116"/>
      <c r="B2275" s="3678"/>
      <c r="C2275" s="36">
        <v>5</v>
      </c>
      <c r="D2275" s="36" t="s">
        <v>107</v>
      </c>
      <c r="E2275" s="36" t="s">
        <v>66</v>
      </c>
      <c r="F2275" s="36" t="s">
        <v>155</v>
      </c>
      <c r="G2275" s="36" t="s">
        <v>66</v>
      </c>
      <c r="H2275" s="36" t="s">
        <v>417</v>
      </c>
      <c r="I2275" s="3680" t="s">
        <v>882</v>
      </c>
      <c r="J2275" s="3681" t="s">
        <v>4547</v>
      </c>
      <c r="K2275" s="3679">
        <v>72</v>
      </c>
      <c r="L2275" s="3682">
        <v>65400000</v>
      </c>
      <c r="M2275" s="36">
        <v>24</v>
      </c>
      <c r="N2275" s="3808">
        <v>21002000</v>
      </c>
      <c r="O2275" s="3679">
        <v>12</v>
      </c>
      <c r="P2275" s="3683">
        <v>12141500</v>
      </c>
      <c r="Q2275" s="36">
        <v>3</v>
      </c>
      <c r="R2275" s="3682">
        <v>380000</v>
      </c>
      <c r="S2275" s="3679">
        <v>3</v>
      </c>
      <c r="T2275" s="3682">
        <v>2598000</v>
      </c>
      <c r="U2275" s="3679">
        <v>3</v>
      </c>
      <c r="V2275" s="3682">
        <v>2240000</v>
      </c>
      <c r="W2275" s="2116"/>
      <c r="X2275" s="2116"/>
      <c r="Y2275" s="3679">
        <f t="shared" si="887"/>
        <v>9</v>
      </c>
      <c r="Z2275" s="3682">
        <f t="shared" si="885"/>
        <v>5218000</v>
      </c>
      <c r="AA2275" s="3679">
        <f t="shared" ref="AA2275:AA2277" si="888">M2275+Y2275</f>
        <v>33</v>
      </c>
      <c r="AB2275" s="3682">
        <f t="shared" si="883"/>
        <v>26220000</v>
      </c>
      <c r="AC2275" s="3684">
        <f t="shared" ref="AC2275:AC2277" si="889">(AA2275/K2275)*100</f>
        <v>45.833333333333329</v>
      </c>
      <c r="AD2275" s="3684">
        <f t="shared" si="884"/>
        <v>40.091743119266056</v>
      </c>
      <c r="AE2275" s="3680" t="s">
        <v>4571</v>
      </c>
    </row>
    <row r="2276" spans="1:31" s="2117" customFormat="1" ht="92.25" customHeight="1">
      <c r="A2276" s="2116"/>
      <c r="B2276" s="3678"/>
      <c r="C2276" s="36">
        <v>5</v>
      </c>
      <c r="D2276" s="36" t="s">
        <v>107</v>
      </c>
      <c r="E2276" s="36" t="s">
        <v>66</v>
      </c>
      <c r="F2276" s="36" t="s">
        <v>155</v>
      </c>
      <c r="G2276" s="36" t="s">
        <v>66</v>
      </c>
      <c r="H2276" s="36" t="s">
        <v>160</v>
      </c>
      <c r="I2276" s="3680" t="s">
        <v>4339</v>
      </c>
      <c r="J2276" s="3680" t="s">
        <v>4519</v>
      </c>
      <c r="K2276" s="3679">
        <v>72</v>
      </c>
      <c r="L2276" s="3682">
        <v>15000000</v>
      </c>
      <c r="M2276" s="36">
        <v>24</v>
      </c>
      <c r="N2276" s="3808">
        <v>3931000</v>
      </c>
      <c r="O2276" s="3679">
        <v>12</v>
      </c>
      <c r="P2276" s="3683">
        <v>2016000</v>
      </c>
      <c r="Q2276" s="36">
        <v>3</v>
      </c>
      <c r="R2276" s="3682">
        <v>230000</v>
      </c>
      <c r="S2276" s="3679">
        <v>3</v>
      </c>
      <c r="T2276" s="3682">
        <v>248000</v>
      </c>
      <c r="U2276" s="3679">
        <v>3</v>
      </c>
      <c r="V2276" s="3683">
        <v>859000</v>
      </c>
      <c r="W2276" s="2116"/>
      <c r="X2276" s="2116"/>
      <c r="Y2276" s="3679">
        <f>Q2276+S2276+U2276+W2276</f>
        <v>9</v>
      </c>
      <c r="Z2276" s="3682">
        <f t="shared" si="885"/>
        <v>1337000</v>
      </c>
      <c r="AA2276" s="3679">
        <f t="shared" si="888"/>
        <v>33</v>
      </c>
      <c r="AB2276" s="3682">
        <f t="shared" si="883"/>
        <v>5268000</v>
      </c>
      <c r="AC2276" s="3684">
        <f t="shared" si="889"/>
        <v>45.833333333333329</v>
      </c>
      <c r="AD2276" s="3684">
        <f t="shared" si="884"/>
        <v>35.120000000000005</v>
      </c>
      <c r="AE2276" s="3680" t="s">
        <v>4571</v>
      </c>
    </row>
    <row r="2277" spans="1:31" s="2117" customFormat="1" ht="75">
      <c r="A2277" s="3803"/>
      <c r="B2277" s="3678"/>
      <c r="C2277" s="36">
        <v>5</v>
      </c>
      <c r="D2277" s="36" t="s">
        <v>107</v>
      </c>
      <c r="E2277" s="36" t="s">
        <v>66</v>
      </c>
      <c r="F2277" s="36" t="s">
        <v>155</v>
      </c>
      <c r="G2277" s="36" t="s">
        <v>66</v>
      </c>
      <c r="H2277" s="3804" t="s">
        <v>155</v>
      </c>
      <c r="I2277" s="3690" t="s">
        <v>4341</v>
      </c>
      <c r="J2277" s="3690" t="s">
        <v>4548</v>
      </c>
      <c r="K2277" s="3805">
        <v>72</v>
      </c>
      <c r="L2277" s="3691">
        <v>20130000</v>
      </c>
      <c r="M2277" s="3804">
        <v>24</v>
      </c>
      <c r="N2277" s="3806">
        <v>5640000</v>
      </c>
      <c r="O2277" s="3805">
        <v>12</v>
      </c>
      <c r="P2277" s="3807">
        <v>2880000</v>
      </c>
      <c r="Q2277" s="3804">
        <v>3</v>
      </c>
      <c r="R2277" s="3691">
        <v>480000</v>
      </c>
      <c r="S2277" s="3805">
        <v>3</v>
      </c>
      <c r="T2277" s="3691">
        <v>510000</v>
      </c>
      <c r="U2277" s="3805">
        <v>3</v>
      </c>
      <c r="V2277" s="3807">
        <v>450000</v>
      </c>
      <c r="W2277" s="3803"/>
      <c r="X2277" s="3803"/>
      <c r="Y2277" s="3679">
        <f t="shared" ref="Y2277:Y2278" si="890">Q2277+S2277+U2277+W2277</f>
        <v>9</v>
      </c>
      <c r="Z2277" s="3691">
        <f t="shared" si="885"/>
        <v>1440000</v>
      </c>
      <c r="AA2277" s="3679">
        <f t="shared" si="888"/>
        <v>33</v>
      </c>
      <c r="AB2277" s="3691">
        <f t="shared" si="883"/>
        <v>7080000</v>
      </c>
      <c r="AC2277" s="3684">
        <f t="shared" si="889"/>
        <v>45.833333333333329</v>
      </c>
      <c r="AD2277" s="3684">
        <f t="shared" si="884"/>
        <v>35.171385991058123</v>
      </c>
      <c r="AE2277" s="3690" t="s">
        <v>4571</v>
      </c>
    </row>
    <row r="2278" spans="1:31" s="2117" customFormat="1" ht="52.5" customHeight="1">
      <c r="A2278" s="2116"/>
      <c r="B2278" s="3678"/>
      <c r="C2278" s="36">
        <v>5</v>
      </c>
      <c r="D2278" s="36" t="s">
        <v>107</v>
      </c>
      <c r="E2278" s="36" t="s">
        <v>66</v>
      </c>
      <c r="F2278" s="36" t="s">
        <v>155</v>
      </c>
      <c r="G2278" s="36" t="s">
        <v>66</v>
      </c>
      <c r="H2278" s="36" t="s">
        <v>448</v>
      </c>
      <c r="I2278" s="3680" t="s">
        <v>223</v>
      </c>
      <c r="J2278" s="3681" t="s">
        <v>4343</v>
      </c>
      <c r="K2278" s="3679">
        <v>72</v>
      </c>
      <c r="L2278" s="3682">
        <v>196500000</v>
      </c>
      <c r="M2278" s="36">
        <v>24</v>
      </c>
      <c r="N2278" s="3808">
        <v>59575000</v>
      </c>
      <c r="O2278" s="3679">
        <v>12</v>
      </c>
      <c r="P2278" s="3683">
        <v>16776000</v>
      </c>
      <c r="Q2278" s="36">
        <v>3</v>
      </c>
      <c r="R2278" s="3682">
        <v>2860000</v>
      </c>
      <c r="S2278" s="3679">
        <v>3</v>
      </c>
      <c r="T2278" s="3682">
        <v>4922500</v>
      </c>
      <c r="U2278" s="3679">
        <v>3</v>
      </c>
      <c r="V2278" s="3683">
        <v>8442500</v>
      </c>
      <c r="W2278" s="2116"/>
      <c r="X2278" s="2116"/>
      <c r="Y2278" s="3679">
        <f t="shared" si="890"/>
        <v>9</v>
      </c>
      <c r="Z2278" s="3682">
        <f t="shared" si="885"/>
        <v>16225000</v>
      </c>
      <c r="AA2278" s="3679">
        <f>M2278+Y2278</f>
        <v>33</v>
      </c>
      <c r="AB2278" s="3682">
        <f t="shared" si="883"/>
        <v>75800000</v>
      </c>
      <c r="AC2278" s="3684">
        <f>(AA2278/K2278)*100</f>
        <v>45.833333333333329</v>
      </c>
      <c r="AD2278" s="3684">
        <f t="shared" si="884"/>
        <v>38.575063613231549</v>
      </c>
      <c r="AE2278" s="3680" t="s">
        <v>4571</v>
      </c>
    </row>
    <row r="2279" spans="1:31" s="2117" customFormat="1" ht="64.5" customHeight="1">
      <c r="A2279" s="2116"/>
      <c r="B2279" s="3678"/>
      <c r="C2279" s="36">
        <v>5</v>
      </c>
      <c r="D2279" s="36" t="s">
        <v>107</v>
      </c>
      <c r="E2279" s="36" t="s">
        <v>66</v>
      </c>
      <c r="F2279" s="36" t="s">
        <v>155</v>
      </c>
      <c r="G2279" s="36" t="s">
        <v>66</v>
      </c>
      <c r="H2279" s="36" t="s">
        <v>167</v>
      </c>
      <c r="I2279" s="3680" t="s">
        <v>973</v>
      </c>
      <c r="J2279" s="3680" t="s">
        <v>4345</v>
      </c>
      <c r="K2279" s="3679">
        <v>72</v>
      </c>
      <c r="L2279" s="3682">
        <v>195000000</v>
      </c>
      <c r="M2279" s="36">
        <v>24</v>
      </c>
      <c r="N2279" s="3808">
        <v>55578000</v>
      </c>
      <c r="O2279" s="3679">
        <v>12</v>
      </c>
      <c r="P2279" s="3683">
        <v>22200000</v>
      </c>
      <c r="Q2279" s="36">
        <v>3</v>
      </c>
      <c r="R2279" s="3682"/>
      <c r="S2279" s="3679">
        <v>3</v>
      </c>
      <c r="T2279" s="3682">
        <v>1000000</v>
      </c>
      <c r="U2279" s="3679">
        <v>3</v>
      </c>
      <c r="V2279" s="3683">
        <v>15654000</v>
      </c>
      <c r="W2279" s="2116"/>
      <c r="X2279" s="2116"/>
      <c r="Y2279" s="3679">
        <f>Q2279+S2279+U2279+W2279</f>
        <v>9</v>
      </c>
      <c r="Z2279" s="3682">
        <f t="shared" si="885"/>
        <v>16654000</v>
      </c>
      <c r="AA2279" s="3679">
        <f t="shared" ref="AA2279:AA2280" si="891">M2279+Y2279</f>
        <v>33</v>
      </c>
      <c r="AB2279" s="3682">
        <f t="shared" si="883"/>
        <v>72232000</v>
      </c>
      <c r="AC2279" s="3684">
        <f t="shared" ref="AC2279:AC2280" si="892">(AA2279/K2279)*100</f>
        <v>45.833333333333329</v>
      </c>
      <c r="AD2279" s="3684">
        <f t="shared" si="884"/>
        <v>37.042051282051283</v>
      </c>
      <c r="AE2279" s="3680" t="s">
        <v>4571</v>
      </c>
    </row>
    <row r="2280" spans="1:31" s="2117" customFormat="1" ht="75">
      <c r="A2280" s="3803"/>
      <c r="B2280" s="3678"/>
      <c r="C2280" s="36">
        <v>5</v>
      </c>
      <c r="D2280" s="36" t="s">
        <v>107</v>
      </c>
      <c r="E2280" s="36" t="s">
        <v>66</v>
      </c>
      <c r="F2280" s="36" t="s">
        <v>155</v>
      </c>
      <c r="G2280" s="36" t="s">
        <v>66</v>
      </c>
      <c r="H2280" s="3804" t="s">
        <v>376</v>
      </c>
      <c r="I2280" s="3690" t="s">
        <v>4346</v>
      </c>
      <c r="J2280" s="3690" t="s">
        <v>4347</v>
      </c>
      <c r="K2280" s="3805">
        <v>72</v>
      </c>
      <c r="L2280" s="3691">
        <v>294700000</v>
      </c>
      <c r="M2280" s="3804">
        <v>24</v>
      </c>
      <c r="N2280" s="3806">
        <v>85880000</v>
      </c>
      <c r="O2280" s="3805">
        <v>12</v>
      </c>
      <c r="P2280" s="3807">
        <v>55390000</v>
      </c>
      <c r="Q2280" s="3804">
        <v>3</v>
      </c>
      <c r="R2280" s="3691">
        <v>125000</v>
      </c>
      <c r="S2280" s="3805">
        <v>3</v>
      </c>
      <c r="T2280" s="3691">
        <v>12190000</v>
      </c>
      <c r="U2280" s="3805">
        <v>3</v>
      </c>
      <c r="V2280" s="3807">
        <v>12750000</v>
      </c>
      <c r="W2280" s="3803"/>
      <c r="X2280" s="3803"/>
      <c r="Y2280" s="3679">
        <f t="shared" ref="Y2280" si="893">Q2280+S2280+U2280+W2280</f>
        <v>9</v>
      </c>
      <c r="Z2280" s="3691">
        <f t="shared" si="885"/>
        <v>25065000</v>
      </c>
      <c r="AA2280" s="3679">
        <f t="shared" si="891"/>
        <v>33</v>
      </c>
      <c r="AB2280" s="3691">
        <f t="shared" si="883"/>
        <v>110945000</v>
      </c>
      <c r="AC2280" s="3684">
        <f t="shared" si="892"/>
        <v>45.833333333333329</v>
      </c>
      <c r="AD2280" s="3684">
        <f t="shared" si="884"/>
        <v>37.646759416355621</v>
      </c>
      <c r="AE2280" s="3690" t="s">
        <v>4571</v>
      </c>
    </row>
    <row r="2281" spans="1:31" s="3837" customFormat="1" ht="99">
      <c r="A2281" s="3657">
        <v>2</v>
      </c>
      <c r="B2281" s="3835"/>
      <c r="C2281" s="3659">
        <v>5</v>
      </c>
      <c r="D2281" s="3659" t="s">
        <v>107</v>
      </c>
      <c r="E2281" s="3659" t="s">
        <v>66</v>
      </c>
      <c r="F2281" s="3659" t="s">
        <v>155</v>
      </c>
      <c r="G2281" s="3659" t="s">
        <v>65</v>
      </c>
      <c r="H2281" s="3657"/>
      <c r="I2281" s="3660" t="s">
        <v>4350</v>
      </c>
      <c r="J2281" s="3660" t="s">
        <v>4313</v>
      </c>
      <c r="K2281" s="3657">
        <v>72</v>
      </c>
      <c r="L2281" s="3662">
        <f>SUM(L2282:L2285)</f>
        <v>328106000</v>
      </c>
      <c r="M2281" s="3657">
        <v>24</v>
      </c>
      <c r="N2281" s="3662">
        <f>SUM(N2282:N2285)</f>
        <v>103949000</v>
      </c>
      <c r="O2281" s="3657">
        <v>12</v>
      </c>
      <c r="P2281" s="3662">
        <f>SUM(P2282:P2285)</f>
        <v>43750000</v>
      </c>
      <c r="Q2281" s="3657">
        <v>3</v>
      </c>
      <c r="R2281" s="3662">
        <f>SUM(R2282:R2285)</f>
        <v>9400000</v>
      </c>
      <c r="S2281" s="3657">
        <v>3</v>
      </c>
      <c r="T2281" s="3662">
        <f>SUM(T2282:T2285)</f>
        <v>5700000</v>
      </c>
      <c r="U2281" s="3661">
        <v>3</v>
      </c>
      <c r="V2281" s="3662">
        <f>SUM(V2282:V2285)</f>
        <v>12553000</v>
      </c>
      <c r="W2281" s="3661"/>
      <c r="X2281" s="3661"/>
      <c r="Y2281" s="3657">
        <f>Q2281+S2281+U2281+W2281</f>
        <v>9</v>
      </c>
      <c r="Z2281" s="3662">
        <f>SUM(Z2282:Z2285)</f>
        <v>27653000</v>
      </c>
      <c r="AA2281" s="3657">
        <f>M2281+Y2281</f>
        <v>33</v>
      </c>
      <c r="AB2281" s="3662">
        <f>SUM(AB2282:AB2285)</f>
        <v>131602000</v>
      </c>
      <c r="AC2281" s="3664">
        <f>(AA2281/K2281)*100</f>
        <v>45.833333333333329</v>
      </c>
      <c r="AD2281" s="3664">
        <f>(AB2281/L2281)*100</f>
        <v>40.109598727240588</v>
      </c>
      <c r="AE2281" s="3660" t="s">
        <v>4571</v>
      </c>
    </row>
    <row r="2282" spans="1:31" s="2117" customFormat="1" ht="64.5" customHeight="1">
      <c r="A2282" s="3803"/>
      <c r="B2282" s="3678"/>
      <c r="C2282" s="36">
        <v>5</v>
      </c>
      <c r="D2282" s="36" t="s">
        <v>107</v>
      </c>
      <c r="E2282" s="36" t="s">
        <v>66</v>
      </c>
      <c r="F2282" s="36" t="s">
        <v>155</v>
      </c>
      <c r="G2282" s="36" t="s">
        <v>65</v>
      </c>
      <c r="H2282" s="36" t="s">
        <v>163</v>
      </c>
      <c r="I2282" s="3690" t="s">
        <v>4549</v>
      </c>
      <c r="J2282" s="3690" t="s">
        <v>4550</v>
      </c>
      <c r="K2282" s="3805">
        <v>6</v>
      </c>
      <c r="L2282" s="3691">
        <v>27000000</v>
      </c>
      <c r="M2282" s="3804">
        <v>2</v>
      </c>
      <c r="N2282" s="3806">
        <v>13125000</v>
      </c>
      <c r="O2282" s="3805">
        <v>1</v>
      </c>
      <c r="P2282" s="3807">
        <v>3500000</v>
      </c>
      <c r="Q2282" s="3804">
        <v>1</v>
      </c>
      <c r="R2282" s="3691">
        <v>0</v>
      </c>
      <c r="S2282" s="3805">
        <v>0</v>
      </c>
      <c r="T2282" s="3691">
        <v>0</v>
      </c>
      <c r="U2282" s="3805">
        <v>0</v>
      </c>
      <c r="V2282" s="3807">
        <v>0</v>
      </c>
      <c r="W2282" s="3803"/>
      <c r="X2282" s="3803"/>
      <c r="Y2282" s="3679">
        <f t="shared" ref="Y2282:Y2283" si="894">Q2282+S2282+U2282+W2282</f>
        <v>1</v>
      </c>
      <c r="Z2282" s="3691">
        <f t="shared" ref="Z2282:Z2284" si="895">R2282+T2282+V2282+X2282</f>
        <v>0</v>
      </c>
      <c r="AA2282" s="3679">
        <f t="shared" ref="AA2282:AA2294" si="896">M2282+Y2282</f>
        <v>3</v>
      </c>
      <c r="AB2282" s="3691">
        <f t="shared" ref="AB2282:AB2285" si="897">N2282+Z2282</f>
        <v>13125000</v>
      </c>
      <c r="AC2282" s="3684">
        <f t="shared" ref="AC2282:AC2294" si="898">(AA2282/K2282)*100</f>
        <v>50</v>
      </c>
      <c r="AD2282" s="3684">
        <f t="shared" ref="AD2282:AD2284" si="899">(AB2282/L2282)*100</f>
        <v>48.611111111111107</v>
      </c>
      <c r="AE2282" s="3690" t="s">
        <v>4571</v>
      </c>
    </row>
    <row r="2283" spans="1:31" s="2117" customFormat="1" ht="64.5" customHeight="1">
      <c r="A2283" s="3803"/>
      <c r="B2283" s="3678"/>
      <c r="C2283" s="36">
        <v>5</v>
      </c>
      <c r="D2283" s="36" t="s">
        <v>107</v>
      </c>
      <c r="E2283" s="36" t="s">
        <v>66</v>
      </c>
      <c r="F2283" s="36" t="s">
        <v>155</v>
      </c>
      <c r="G2283" s="36" t="s">
        <v>65</v>
      </c>
      <c r="H2283" s="36" t="s">
        <v>163</v>
      </c>
      <c r="I2283" s="3690" t="s">
        <v>1301</v>
      </c>
      <c r="J2283" s="3690" t="s">
        <v>4358</v>
      </c>
      <c r="K2283" s="3805">
        <v>6</v>
      </c>
      <c r="L2283" s="3691">
        <v>27000000</v>
      </c>
      <c r="M2283" s="3804">
        <v>2</v>
      </c>
      <c r="N2283" s="3806">
        <v>13125000</v>
      </c>
      <c r="O2283" s="3805">
        <v>1</v>
      </c>
      <c r="P2283" s="3807">
        <v>3000000</v>
      </c>
      <c r="Q2283" s="3804">
        <v>1</v>
      </c>
      <c r="R2283" s="3691">
        <v>500000</v>
      </c>
      <c r="S2283" s="3805">
        <v>0</v>
      </c>
      <c r="T2283" s="3691">
        <v>0</v>
      </c>
      <c r="U2283" s="3805">
        <v>0</v>
      </c>
      <c r="V2283" s="3807">
        <f>1250000</f>
        <v>1250000</v>
      </c>
      <c r="W2283" s="3803"/>
      <c r="X2283" s="3803"/>
      <c r="Y2283" s="3679">
        <f t="shared" si="894"/>
        <v>1</v>
      </c>
      <c r="Z2283" s="3691">
        <f t="shared" si="895"/>
        <v>1750000</v>
      </c>
      <c r="AA2283" s="3679">
        <f t="shared" si="896"/>
        <v>3</v>
      </c>
      <c r="AB2283" s="3691">
        <f t="shared" si="897"/>
        <v>14875000</v>
      </c>
      <c r="AC2283" s="3684">
        <f t="shared" si="898"/>
        <v>50</v>
      </c>
      <c r="AD2283" s="3684">
        <f t="shared" si="899"/>
        <v>55.092592592592595</v>
      </c>
      <c r="AE2283" s="3690" t="s">
        <v>4571</v>
      </c>
    </row>
    <row r="2284" spans="1:31" s="2117" customFormat="1" ht="90">
      <c r="A2284" s="3803"/>
      <c r="B2284" s="3678"/>
      <c r="C2284" s="36">
        <v>5</v>
      </c>
      <c r="D2284" s="36" t="s">
        <v>107</v>
      </c>
      <c r="E2284" s="36" t="s">
        <v>66</v>
      </c>
      <c r="F2284" s="36" t="s">
        <v>155</v>
      </c>
      <c r="G2284" s="36" t="s">
        <v>65</v>
      </c>
      <c r="H2284" s="36" t="s">
        <v>165</v>
      </c>
      <c r="I2284" s="3690" t="s">
        <v>4359</v>
      </c>
      <c r="J2284" s="3690" t="s">
        <v>4360</v>
      </c>
      <c r="K2284" s="3805">
        <v>24</v>
      </c>
      <c r="L2284" s="3691">
        <v>247106000</v>
      </c>
      <c r="M2284" s="3804">
        <v>8</v>
      </c>
      <c r="N2284" s="3806">
        <v>73919000</v>
      </c>
      <c r="O2284" s="3805">
        <v>4</v>
      </c>
      <c r="P2284" s="3807">
        <v>34450000</v>
      </c>
      <c r="Q2284" s="3804">
        <v>1</v>
      </c>
      <c r="R2284" s="3691">
        <v>8500000</v>
      </c>
      <c r="S2284" s="3805">
        <v>1</v>
      </c>
      <c r="T2284" s="3807">
        <f>13800000-R2284</f>
        <v>5300000</v>
      </c>
      <c r="U2284" s="3805">
        <v>1</v>
      </c>
      <c r="V2284" s="3807">
        <f>24503000-T2284-R2284</f>
        <v>10703000</v>
      </c>
      <c r="W2284" s="3803"/>
      <c r="X2284" s="3803"/>
      <c r="Y2284" s="3679">
        <v>1</v>
      </c>
      <c r="Z2284" s="3691">
        <f t="shared" si="895"/>
        <v>24503000</v>
      </c>
      <c r="AA2284" s="3679">
        <f t="shared" si="896"/>
        <v>9</v>
      </c>
      <c r="AB2284" s="3691">
        <f t="shared" si="897"/>
        <v>98422000</v>
      </c>
      <c r="AC2284" s="3684">
        <f t="shared" si="898"/>
        <v>37.5</v>
      </c>
      <c r="AD2284" s="3684">
        <f t="shared" si="899"/>
        <v>39.829870581855559</v>
      </c>
      <c r="AE2284" s="3690" t="s">
        <v>4571</v>
      </c>
    </row>
    <row r="2285" spans="1:31" s="2117" customFormat="1" ht="75">
      <c r="A2285" s="3803"/>
      <c r="B2285" s="3678"/>
      <c r="C2285" s="36">
        <v>5</v>
      </c>
      <c r="D2285" s="36" t="s">
        <v>107</v>
      </c>
      <c r="E2285" s="36" t="s">
        <v>66</v>
      </c>
      <c r="F2285" s="36" t="s">
        <v>155</v>
      </c>
      <c r="G2285" s="36" t="s">
        <v>65</v>
      </c>
      <c r="H2285" s="36" t="s">
        <v>178</v>
      </c>
      <c r="I2285" s="3690" t="s">
        <v>4361</v>
      </c>
      <c r="J2285" s="3690" t="s">
        <v>4362</v>
      </c>
      <c r="K2285" s="3805">
        <v>96</v>
      </c>
      <c r="L2285" s="3691">
        <v>27000000</v>
      </c>
      <c r="M2285" s="3804">
        <v>12</v>
      </c>
      <c r="N2285" s="3806">
        <v>3780000</v>
      </c>
      <c r="O2285" s="3805">
        <v>13</v>
      </c>
      <c r="P2285" s="3807">
        <v>2800000</v>
      </c>
      <c r="Q2285" s="3804">
        <v>3</v>
      </c>
      <c r="R2285" s="3691">
        <v>400000</v>
      </c>
      <c r="S2285" s="3805">
        <v>3</v>
      </c>
      <c r="T2285" s="3807">
        <v>400000</v>
      </c>
      <c r="U2285" s="3805">
        <v>3</v>
      </c>
      <c r="V2285" s="3807">
        <v>600000</v>
      </c>
      <c r="W2285" s="3803"/>
      <c r="X2285" s="3803"/>
      <c r="Y2285" s="3679">
        <f t="shared" ref="Y2285:Y2294" si="900">Q2285+S2285+U2285+W2285</f>
        <v>9</v>
      </c>
      <c r="Z2285" s="3691">
        <f>R2285+T2285+V2285+X2285</f>
        <v>1400000</v>
      </c>
      <c r="AA2285" s="3679">
        <f t="shared" si="896"/>
        <v>21</v>
      </c>
      <c r="AB2285" s="3691">
        <f t="shared" si="897"/>
        <v>5180000</v>
      </c>
      <c r="AC2285" s="3684">
        <f t="shared" si="898"/>
        <v>21.875</v>
      </c>
      <c r="AD2285" s="3684">
        <f>(AB2285/L2285)*100</f>
        <v>19.185185185185187</v>
      </c>
      <c r="AE2285" s="3690" t="s">
        <v>4571</v>
      </c>
    </row>
    <row r="2286" spans="1:31" s="3825" customFormat="1" ht="82.5">
      <c r="A2286" s="3657">
        <v>3</v>
      </c>
      <c r="B2286" s="3835"/>
      <c r="C2286" s="3659">
        <v>5</v>
      </c>
      <c r="D2286" s="3659" t="s">
        <v>107</v>
      </c>
      <c r="E2286" s="3659" t="s">
        <v>66</v>
      </c>
      <c r="F2286" s="3659" t="s">
        <v>155</v>
      </c>
      <c r="G2286" s="3659" t="s">
        <v>448</v>
      </c>
      <c r="H2286" s="3657"/>
      <c r="I2286" s="3660" t="s">
        <v>4364</v>
      </c>
      <c r="J2286" s="3660" t="s">
        <v>4365</v>
      </c>
      <c r="K2286" s="3657">
        <v>100</v>
      </c>
      <c r="L2286" s="3662">
        <f>SUM(L2287:L2287)</f>
        <v>174225000</v>
      </c>
      <c r="M2286" s="3657">
        <v>32</v>
      </c>
      <c r="N2286" s="3662">
        <f>SUM(N2287:N2287)</f>
        <v>41225000</v>
      </c>
      <c r="O2286" s="3657">
        <v>18</v>
      </c>
      <c r="P2286" s="3662">
        <f>SUM(P2287:P2287)</f>
        <v>28075000</v>
      </c>
      <c r="Q2286" s="3657">
        <v>0</v>
      </c>
      <c r="R2286" s="3662">
        <f>SUM(R2287:R2287)</f>
        <v>0</v>
      </c>
      <c r="S2286" s="3657">
        <v>0</v>
      </c>
      <c r="T2286" s="3662">
        <f>SUM(T2287:T2287)</f>
        <v>0</v>
      </c>
      <c r="U2286" s="3664">
        <f>V2286/P2286*100</f>
        <v>44.523597506678541</v>
      </c>
      <c r="V2286" s="3662">
        <f>SUM(V2287:V2287)</f>
        <v>12500000</v>
      </c>
      <c r="W2286" s="3661"/>
      <c r="X2286" s="3661"/>
      <c r="Y2286" s="3836">
        <f t="shared" si="900"/>
        <v>44.523597506678541</v>
      </c>
      <c r="Z2286" s="3662">
        <f>SUM(Z2287:Z2287)</f>
        <v>12500000</v>
      </c>
      <c r="AA2286" s="3836">
        <f t="shared" si="896"/>
        <v>76.523597506678541</v>
      </c>
      <c r="AB2286" s="3662">
        <f>SUM(AB2287:AB2287)</f>
        <v>53725000</v>
      </c>
      <c r="AC2286" s="3664">
        <f t="shared" si="898"/>
        <v>76.523597506678541</v>
      </c>
      <c r="AD2286" s="3664">
        <f t="shared" ref="AD2286" si="901">(AB2286/L2286)*100</f>
        <v>30.836561917061271</v>
      </c>
      <c r="AE2286" s="3660" t="s">
        <v>4571</v>
      </c>
    </row>
    <row r="2287" spans="1:31" s="2117" customFormat="1" ht="45">
      <c r="A2287" s="18"/>
      <c r="B2287" s="15"/>
      <c r="C2287" s="36">
        <v>5</v>
      </c>
      <c r="D2287" s="36" t="s">
        <v>107</v>
      </c>
      <c r="E2287" s="36" t="s">
        <v>66</v>
      </c>
      <c r="F2287" s="36" t="s">
        <v>155</v>
      </c>
      <c r="G2287" s="36" t="s">
        <v>448</v>
      </c>
      <c r="H2287" s="36" t="s">
        <v>197</v>
      </c>
      <c r="I2287" s="15" t="s">
        <v>4366</v>
      </c>
      <c r="J2287" s="15" t="s">
        <v>4367</v>
      </c>
      <c r="K2287" s="3826">
        <v>6</v>
      </c>
      <c r="L2287" s="16">
        <v>174225000</v>
      </c>
      <c r="M2287" s="3826">
        <v>2</v>
      </c>
      <c r="N2287" s="16">
        <v>41225000</v>
      </c>
      <c r="O2287" s="3826">
        <v>1</v>
      </c>
      <c r="P2287" s="16">
        <v>28075000</v>
      </c>
      <c r="Q2287" s="3826">
        <v>0</v>
      </c>
      <c r="R2287" s="16">
        <v>0</v>
      </c>
      <c r="S2287" s="3826">
        <v>0</v>
      </c>
      <c r="T2287" s="16">
        <v>0</v>
      </c>
      <c r="U2287" s="3826">
        <v>1</v>
      </c>
      <c r="V2287" s="3827">
        <v>12500000</v>
      </c>
      <c r="W2287" s="15"/>
      <c r="X2287" s="15"/>
      <c r="Y2287" s="3826">
        <f t="shared" si="900"/>
        <v>1</v>
      </c>
      <c r="Z2287" s="3691">
        <f>R2287+T2287+V2287+X2287</f>
        <v>12500000</v>
      </c>
      <c r="AA2287" s="3826">
        <f t="shared" si="896"/>
        <v>3</v>
      </c>
      <c r="AB2287" s="3691">
        <f t="shared" ref="AB2287" si="902">N2287+Z2287</f>
        <v>53725000</v>
      </c>
      <c r="AC2287" s="19">
        <f t="shared" si="898"/>
        <v>50</v>
      </c>
      <c r="AD2287" s="19">
        <f>(AB2287/L2287)*100</f>
        <v>30.836561917061271</v>
      </c>
      <c r="AE2287" s="15" t="s">
        <v>4571</v>
      </c>
    </row>
    <row r="2288" spans="1:31" s="3825" customFormat="1" ht="99">
      <c r="A2288" s="3657">
        <v>4</v>
      </c>
      <c r="B2288" s="3835"/>
      <c r="C2288" s="3659">
        <v>5</v>
      </c>
      <c r="D2288" s="3659" t="s">
        <v>107</v>
      </c>
      <c r="E2288" s="3659" t="s">
        <v>66</v>
      </c>
      <c r="F2288" s="3659" t="s">
        <v>155</v>
      </c>
      <c r="G2288" s="3659" t="s">
        <v>155</v>
      </c>
      <c r="H2288" s="3659"/>
      <c r="I2288" s="3660" t="s">
        <v>4369</v>
      </c>
      <c r="J2288" s="3660" t="s">
        <v>4370</v>
      </c>
      <c r="K2288" s="3657">
        <v>100</v>
      </c>
      <c r="L2288" s="3662">
        <f>SUM(L2289:L2289)</f>
        <v>75310000</v>
      </c>
      <c r="M2288" s="3657">
        <v>32</v>
      </c>
      <c r="N2288" s="3662">
        <f>SUM(N2289:N2289)</f>
        <v>20605000</v>
      </c>
      <c r="O2288" s="3657">
        <v>18</v>
      </c>
      <c r="P2288" s="3662">
        <f>SUM(P2289:P2289)</f>
        <v>13455000</v>
      </c>
      <c r="Q2288" s="3657">
        <v>0</v>
      </c>
      <c r="R2288" s="3662">
        <f>SUM(R2289:R2289)</f>
        <v>0</v>
      </c>
      <c r="S2288" s="3657">
        <v>15</v>
      </c>
      <c r="T2288" s="3663">
        <f>SUM(T2289)</f>
        <v>13455000</v>
      </c>
      <c r="U2288" s="3661">
        <v>3</v>
      </c>
      <c r="V2288" s="3663">
        <f>SUM(V2289)</f>
        <v>0</v>
      </c>
      <c r="W2288" s="3661"/>
      <c r="X2288" s="3661"/>
      <c r="Y2288" s="3657">
        <f t="shared" si="900"/>
        <v>18</v>
      </c>
      <c r="Z2288" s="3662">
        <f>SUM(Z2289:Z2289)</f>
        <v>13455000</v>
      </c>
      <c r="AA2288" s="3657">
        <f t="shared" si="896"/>
        <v>50</v>
      </c>
      <c r="AB2288" s="3662">
        <f>SUM(AB2289:AB2289)</f>
        <v>34060000</v>
      </c>
      <c r="AC2288" s="3664">
        <f t="shared" si="898"/>
        <v>50</v>
      </c>
      <c r="AD2288" s="3664">
        <f t="shared" ref="AD2288:AD2290" si="903">(AB2288/L2288)*100</f>
        <v>45.22639755676537</v>
      </c>
      <c r="AE2288" s="3660" t="s">
        <v>4571</v>
      </c>
    </row>
    <row r="2289" spans="1:76" s="2117" customFormat="1" ht="75">
      <c r="A2289" s="18"/>
      <c r="B2289" s="15"/>
      <c r="C2289" s="36">
        <v>5</v>
      </c>
      <c r="D2289" s="36" t="s">
        <v>107</v>
      </c>
      <c r="E2289" s="36" t="s">
        <v>66</v>
      </c>
      <c r="F2289" s="36" t="s">
        <v>155</v>
      </c>
      <c r="G2289" s="36" t="s">
        <v>155</v>
      </c>
      <c r="H2289" s="36" t="s">
        <v>202</v>
      </c>
      <c r="I2289" s="15" t="s">
        <v>4371</v>
      </c>
      <c r="J2289" s="15" t="s">
        <v>4565</v>
      </c>
      <c r="K2289" s="3826">
        <v>6</v>
      </c>
      <c r="L2289" s="16">
        <v>75310000</v>
      </c>
      <c r="M2289" s="3826">
        <v>2</v>
      </c>
      <c r="N2289" s="16">
        <v>20605000</v>
      </c>
      <c r="O2289" s="3826">
        <v>1</v>
      </c>
      <c r="P2289" s="16">
        <v>13455000</v>
      </c>
      <c r="Q2289" s="3826">
        <v>0</v>
      </c>
      <c r="R2289" s="16">
        <v>0</v>
      </c>
      <c r="S2289" s="3826">
        <v>1</v>
      </c>
      <c r="T2289" s="3827">
        <v>13455000</v>
      </c>
      <c r="U2289" s="3826">
        <v>1</v>
      </c>
      <c r="V2289" s="3827">
        <v>0</v>
      </c>
      <c r="W2289" s="15"/>
      <c r="X2289" s="15"/>
      <c r="Y2289" s="3679">
        <f t="shared" si="900"/>
        <v>2</v>
      </c>
      <c r="Z2289" s="3691">
        <f>R2289+T2289+V2289+X2289</f>
        <v>13455000</v>
      </c>
      <c r="AA2289" s="3679">
        <f t="shared" si="896"/>
        <v>4</v>
      </c>
      <c r="AB2289" s="3691">
        <f t="shared" ref="AB2289" si="904">N2289+Z2289</f>
        <v>34060000</v>
      </c>
      <c r="AC2289" s="3684">
        <f t="shared" si="898"/>
        <v>66.666666666666657</v>
      </c>
      <c r="AD2289" s="3684">
        <f t="shared" si="903"/>
        <v>45.22639755676537</v>
      </c>
      <c r="AE2289" s="15" t="s">
        <v>4571</v>
      </c>
    </row>
    <row r="2290" spans="1:76" s="3825" customFormat="1" ht="66">
      <c r="A2290" s="3657">
        <v>5</v>
      </c>
      <c r="B2290" s="3835"/>
      <c r="C2290" s="3659">
        <v>5</v>
      </c>
      <c r="D2290" s="3659" t="s">
        <v>107</v>
      </c>
      <c r="E2290" s="3659" t="s">
        <v>66</v>
      </c>
      <c r="F2290" s="3659" t="s">
        <v>155</v>
      </c>
      <c r="G2290" s="3659" t="s">
        <v>448</v>
      </c>
      <c r="H2290" s="3659"/>
      <c r="I2290" s="3660" t="s">
        <v>4555</v>
      </c>
      <c r="J2290" s="3660" t="s">
        <v>4556</v>
      </c>
      <c r="K2290" s="3657">
        <v>80</v>
      </c>
      <c r="L2290" s="3662">
        <f>SUM(L2291:L2291)</f>
        <v>100000000</v>
      </c>
      <c r="M2290" s="3657">
        <v>60</v>
      </c>
      <c r="N2290" s="3662">
        <f>SUM(N2291:N2291)</f>
        <v>0</v>
      </c>
      <c r="O2290" s="3657">
        <v>15</v>
      </c>
      <c r="P2290" s="3662">
        <f>SUM(P2291:P2291)</f>
        <v>7286500</v>
      </c>
      <c r="Q2290" s="3657">
        <v>0</v>
      </c>
      <c r="R2290" s="3662">
        <f>SUM(R2291:R2291)</f>
        <v>150000</v>
      </c>
      <c r="S2290" s="3657">
        <v>10</v>
      </c>
      <c r="T2290" s="3662">
        <f>SUM(T2291)</f>
        <v>485000</v>
      </c>
      <c r="U2290" s="3661">
        <v>10</v>
      </c>
      <c r="V2290" s="3662">
        <f>SUM(V2291)</f>
        <v>0</v>
      </c>
      <c r="W2290" s="3661"/>
      <c r="X2290" s="3661"/>
      <c r="Y2290" s="3657">
        <f t="shared" si="900"/>
        <v>20</v>
      </c>
      <c r="Z2290" s="3662">
        <f>SUM(Z2291:Z2291)</f>
        <v>635000</v>
      </c>
      <c r="AA2290" s="3657">
        <f t="shared" si="896"/>
        <v>80</v>
      </c>
      <c r="AB2290" s="3662">
        <f>SUM(AB2291:AB2291)</f>
        <v>635000</v>
      </c>
      <c r="AC2290" s="3664">
        <f t="shared" si="898"/>
        <v>100</v>
      </c>
      <c r="AD2290" s="3664">
        <f t="shared" si="903"/>
        <v>0.63500000000000001</v>
      </c>
      <c r="AE2290" s="3660" t="s">
        <v>4571</v>
      </c>
    </row>
    <row r="2291" spans="1:76" s="63" customFormat="1" ht="25.5">
      <c r="A2291" s="3852"/>
      <c r="B2291" s="3854"/>
      <c r="C2291" s="3853"/>
      <c r="D2291" s="3853"/>
      <c r="E2291" s="3853"/>
      <c r="F2291" s="3853"/>
      <c r="G2291" s="3853"/>
      <c r="H2291" s="3853"/>
      <c r="I2291" s="3854" t="s">
        <v>4557</v>
      </c>
      <c r="J2291" s="3854" t="s">
        <v>4558</v>
      </c>
      <c r="K2291" s="3852">
        <v>5</v>
      </c>
      <c r="L2291" s="3863">
        <v>100000000</v>
      </c>
      <c r="M2291" s="3852">
        <v>0</v>
      </c>
      <c r="N2291" s="3863">
        <v>0</v>
      </c>
      <c r="O2291" s="3852">
        <v>1</v>
      </c>
      <c r="P2291" s="3863">
        <v>7286500</v>
      </c>
      <c r="Q2291" s="3852">
        <v>0</v>
      </c>
      <c r="R2291" s="3855">
        <v>150000</v>
      </c>
      <c r="S2291" s="3852">
        <v>1</v>
      </c>
      <c r="T2291" s="3863">
        <v>485000</v>
      </c>
      <c r="U2291" s="3852">
        <v>0</v>
      </c>
      <c r="V2291" s="3864">
        <v>0</v>
      </c>
      <c r="W2291" s="3852"/>
      <c r="X2291" s="3852"/>
      <c r="Y2291" s="3852">
        <f t="shared" si="900"/>
        <v>1</v>
      </c>
      <c r="Z2291" s="60">
        <f>R2291+T2291+V2291+X2291</f>
        <v>635000</v>
      </c>
      <c r="AA2291" s="3852">
        <f t="shared" si="896"/>
        <v>1</v>
      </c>
      <c r="AB2291" s="60">
        <f t="shared" ref="AB2291" si="905">N2291+Z2291</f>
        <v>635000</v>
      </c>
      <c r="AC2291" s="389">
        <f t="shared" si="898"/>
        <v>20</v>
      </c>
      <c r="AD2291" s="3852"/>
      <c r="AE2291" s="3851" t="s">
        <v>4571</v>
      </c>
    </row>
    <row r="2292" spans="1:76" s="3829" customFormat="1" ht="111.75" customHeight="1">
      <c r="A2292" s="3657">
        <v>6</v>
      </c>
      <c r="B2292" s="3835"/>
      <c r="C2292" s="3659">
        <v>5</v>
      </c>
      <c r="D2292" s="3659" t="s">
        <v>107</v>
      </c>
      <c r="E2292" s="3659" t="s">
        <v>66</v>
      </c>
      <c r="F2292" s="3659" t="s">
        <v>155</v>
      </c>
      <c r="G2292" s="3659" t="s">
        <v>357</v>
      </c>
      <c r="H2292" s="3657"/>
      <c r="I2292" s="3660" t="s">
        <v>4378</v>
      </c>
      <c r="J2292" s="3660" t="s">
        <v>4379</v>
      </c>
      <c r="K2292" s="3657">
        <v>100</v>
      </c>
      <c r="L2292" s="3662">
        <f>SUM(L2293:L2294)</f>
        <v>174353840</v>
      </c>
      <c r="M2292" s="3657">
        <v>32</v>
      </c>
      <c r="N2292" s="3662">
        <f>SUM(N2293:N2294)</f>
        <v>49300000</v>
      </c>
      <c r="O2292" s="3657">
        <v>18</v>
      </c>
      <c r="P2292" s="3662">
        <f>SUM(P2293:P2294)</f>
        <v>17280000</v>
      </c>
      <c r="Q2292" s="3657">
        <v>0</v>
      </c>
      <c r="R2292" s="3662">
        <f>SUM(R2293:R2294)</f>
        <v>550000</v>
      </c>
      <c r="S2292" s="3657">
        <v>2</v>
      </c>
      <c r="T2292" s="3663">
        <f>SUM(T2293:T2294)</f>
        <v>6730000</v>
      </c>
      <c r="U2292" s="3664">
        <f>V2292/P2292*100</f>
        <v>26.302083333333332</v>
      </c>
      <c r="V2292" s="3663">
        <f>SUM(V2293:V2294)</f>
        <v>4545000</v>
      </c>
      <c r="W2292" s="3661"/>
      <c r="X2292" s="3661"/>
      <c r="Y2292" s="3836">
        <f t="shared" si="900"/>
        <v>28.302083333333332</v>
      </c>
      <c r="Z2292" s="3662">
        <f>SUM(Z2293:Z2294)</f>
        <v>11825000</v>
      </c>
      <c r="AA2292" s="3836">
        <f t="shared" si="896"/>
        <v>60.302083333333329</v>
      </c>
      <c r="AB2292" s="3662">
        <f>SUM(AB2293:AB2293)</f>
        <v>54395000</v>
      </c>
      <c r="AC2292" s="3664">
        <f t="shared" si="898"/>
        <v>60.302083333333336</v>
      </c>
      <c r="AD2292" s="3664">
        <f t="shared" ref="AD2292" si="906">(AB2292/L2292)*100</f>
        <v>31.198051043785441</v>
      </c>
      <c r="AE2292" s="3660" t="s">
        <v>4571</v>
      </c>
    </row>
    <row r="2293" spans="1:76" s="6" customFormat="1" ht="105">
      <c r="A2293" s="18"/>
      <c r="B2293" s="15"/>
      <c r="C2293" s="36">
        <v>5</v>
      </c>
      <c r="D2293" s="36" t="s">
        <v>107</v>
      </c>
      <c r="E2293" s="36" t="s">
        <v>66</v>
      </c>
      <c r="F2293" s="36" t="s">
        <v>155</v>
      </c>
      <c r="G2293" s="36" t="s">
        <v>357</v>
      </c>
      <c r="H2293" s="35" t="s">
        <v>65</v>
      </c>
      <c r="I2293" s="15" t="s">
        <v>4380</v>
      </c>
      <c r="J2293" s="15" t="s">
        <v>4381</v>
      </c>
      <c r="K2293" s="3826">
        <v>60</v>
      </c>
      <c r="L2293" s="16">
        <v>129353840</v>
      </c>
      <c r="M2293" s="3826">
        <v>20</v>
      </c>
      <c r="N2293" s="16">
        <v>49300000</v>
      </c>
      <c r="O2293" s="3826">
        <v>10</v>
      </c>
      <c r="P2293" s="16">
        <v>10530000</v>
      </c>
      <c r="Q2293" s="3826">
        <v>2</v>
      </c>
      <c r="R2293" s="16">
        <v>550000</v>
      </c>
      <c r="S2293" s="3826">
        <f>4-Q2293</f>
        <v>2</v>
      </c>
      <c r="T2293" s="3827">
        <v>0</v>
      </c>
      <c r="U2293" s="3826">
        <v>2</v>
      </c>
      <c r="V2293" s="3827">
        <v>4545000</v>
      </c>
      <c r="W2293" s="15"/>
      <c r="X2293" s="15"/>
      <c r="Y2293" s="3826">
        <f t="shared" si="900"/>
        <v>6</v>
      </c>
      <c r="Z2293" s="3691">
        <f>R2293+T2293+V2293+X2293</f>
        <v>5095000</v>
      </c>
      <c r="AA2293" s="3826">
        <f t="shared" si="896"/>
        <v>26</v>
      </c>
      <c r="AB2293" s="3691">
        <f t="shared" ref="AB2293:AB2294" si="907">N2293+Z2293</f>
        <v>54395000</v>
      </c>
      <c r="AC2293" s="19">
        <f t="shared" si="898"/>
        <v>43.333333333333336</v>
      </c>
      <c r="AD2293" s="19">
        <f>(AB2293/L2293)*100</f>
        <v>42.051322171804102</v>
      </c>
      <c r="AE2293" s="15" t="s">
        <v>4571</v>
      </c>
    </row>
    <row r="2294" spans="1:76" s="6" customFormat="1" ht="30">
      <c r="A2294" s="18"/>
      <c r="B2294" s="15"/>
      <c r="C2294" s="36">
        <v>5</v>
      </c>
      <c r="D2294" s="36" t="s">
        <v>107</v>
      </c>
      <c r="E2294" s="36" t="s">
        <v>66</v>
      </c>
      <c r="F2294" s="36" t="s">
        <v>155</v>
      </c>
      <c r="G2294" s="36" t="s">
        <v>357</v>
      </c>
      <c r="H2294" s="35" t="s">
        <v>196</v>
      </c>
      <c r="I2294" s="15" t="s">
        <v>4551</v>
      </c>
      <c r="J2294" s="15" t="s">
        <v>4552</v>
      </c>
      <c r="K2294" s="3826">
        <v>60</v>
      </c>
      <c r="L2294" s="16">
        <v>45000000</v>
      </c>
      <c r="M2294" s="3826"/>
      <c r="N2294" s="16"/>
      <c r="O2294" s="3826">
        <v>10</v>
      </c>
      <c r="P2294" s="16">
        <v>6750000</v>
      </c>
      <c r="Q2294" s="3826">
        <v>2</v>
      </c>
      <c r="R2294" s="16">
        <v>0</v>
      </c>
      <c r="S2294" s="3826">
        <f>4-Q2294</f>
        <v>2</v>
      </c>
      <c r="T2294" s="3827">
        <v>6730000</v>
      </c>
      <c r="U2294" s="3826">
        <v>2</v>
      </c>
      <c r="V2294" s="3827">
        <v>0</v>
      </c>
      <c r="W2294" s="15"/>
      <c r="X2294" s="15"/>
      <c r="Y2294" s="3826">
        <f t="shared" si="900"/>
        <v>6</v>
      </c>
      <c r="Z2294" s="3691">
        <f>R2294+T2294+V2294+X2294</f>
        <v>6730000</v>
      </c>
      <c r="AA2294" s="3826">
        <f t="shared" si="896"/>
        <v>6</v>
      </c>
      <c r="AB2294" s="3691">
        <f t="shared" si="907"/>
        <v>6730000</v>
      </c>
      <c r="AC2294" s="19">
        <f t="shared" si="898"/>
        <v>10</v>
      </c>
      <c r="AD2294" s="19">
        <f>(AB2294/L2294)*100</f>
        <v>14.955555555555556</v>
      </c>
      <c r="AE2294" s="15" t="s">
        <v>4571</v>
      </c>
    </row>
    <row r="2295" spans="1:76" s="3802" customFormat="1" ht="99">
      <c r="A2295" s="3657">
        <v>8</v>
      </c>
      <c r="B2295" s="3835"/>
      <c r="C2295" s="3659">
        <v>5</v>
      </c>
      <c r="D2295" s="3659" t="s">
        <v>107</v>
      </c>
      <c r="E2295" s="3659" t="s">
        <v>66</v>
      </c>
      <c r="F2295" s="3659" t="s">
        <v>155</v>
      </c>
      <c r="G2295" s="3659" t="s">
        <v>1099</v>
      </c>
      <c r="H2295" s="3657"/>
      <c r="I2295" s="3660" t="s">
        <v>4387</v>
      </c>
      <c r="J2295" s="3660" t="s">
        <v>4388</v>
      </c>
      <c r="K2295" s="3657">
        <v>100</v>
      </c>
      <c r="L2295" s="3662">
        <f>SUM(L2296:L2301)</f>
        <v>707523000</v>
      </c>
      <c r="M2295" s="3657">
        <v>32</v>
      </c>
      <c r="N2295" s="3662">
        <f>SUM(N2296:N2301)</f>
        <v>176442400</v>
      </c>
      <c r="O2295" s="3657">
        <v>20</v>
      </c>
      <c r="P2295" s="3662">
        <f>SUM(P2296:P2301)</f>
        <v>113745000</v>
      </c>
      <c r="Q2295" s="3657">
        <v>0</v>
      </c>
      <c r="R2295" s="3662">
        <f>SUM(R2296:R2301)</f>
        <v>13190000</v>
      </c>
      <c r="S2295" s="3657">
        <v>5</v>
      </c>
      <c r="T2295" s="3662">
        <f>SUM(T2296:T2301)</f>
        <v>44470000</v>
      </c>
      <c r="U2295" s="3664">
        <f>V2295/P2295*100</f>
        <v>4.8243878851817659</v>
      </c>
      <c r="V2295" s="3662">
        <f>SUM(V2296:V2301)</f>
        <v>5487500</v>
      </c>
      <c r="W2295" s="3661"/>
      <c r="X2295" s="3661"/>
      <c r="Y2295" s="3836">
        <f>Q2295+S2295+U2295+W2295</f>
        <v>9.8243878851817659</v>
      </c>
      <c r="Z2295" s="3662">
        <f>SUM(Z2296:Z2301)</f>
        <v>63147500</v>
      </c>
      <c r="AA2295" s="3836">
        <f>M2295+Y2295</f>
        <v>41.824387885181764</v>
      </c>
      <c r="AB2295" s="3662">
        <f>SUM(AB2296:AB2301)</f>
        <v>239589900</v>
      </c>
      <c r="AC2295" s="3664">
        <f>(AA2295/K2295)*100</f>
        <v>41.824387885181764</v>
      </c>
      <c r="AD2295" s="3664">
        <f t="shared" ref="AD2295:AD2301" si="908">(AB2295/L2295)*100</f>
        <v>33.863195966774221</v>
      </c>
      <c r="AE2295" s="3660" t="s">
        <v>4571</v>
      </c>
    </row>
    <row r="2296" spans="1:76" s="6" customFormat="1" ht="63" customHeight="1">
      <c r="A2296" s="3803"/>
      <c r="B2296" s="3678"/>
      <c r="C2296" s="36">
        <v>5</v>
      </c>
      <c r="D2296" s="36" t="s">
        <v>107</v>
      </c>
      <c r="E2296" s="36" t="s">
        <v>66</v>
      </c>
      <c r="F2296" s="36" t="s">
        <v>155</v>
      </c>
      <c r="G2296" s="36" t="s">
        <v>1099</v>
      </c>
      <c r="H2296" s="3804" t="s">
        <v>66</v>
      </c>
      <c r="I2296" s="3690" t="s">
        <v>4285</v>
      </c>
      <c r="J2296" s="3690" t="s">
        <v>4389</v>
      </c>
      <c r="K2296" s="3805">
        <v>60</v>
      </c>
      <c r="L2296" s="3691">
        <v>188580500</v>
      </c>
      <c r="M2296" s="3804">
        <v>20</v>
      </c>
      <c r="N2296" s="3806">
        <v>58377900</v>
      </c>
      <c r="O2296" s="3805">
        <v>10</v>
      </c>
      <c r="P2296" s="3807">
        <v>37620000</v>
      </c>
      <c r="Q2296" s="3804">
        <v>1</v>
      </c>
      <c r="R2296" s="3691">
        <v>990000</v>
      </c>
      <c r="S2296" s="3805">
        <v>2</v>
      </c>
      <c r="T2296" s="3807">
        <f>14585000-R2296</f>
        <v>13595000</v>
      </c>
      <c r="U2296" s="3805">
        <v>2</v>
      </c>
      <c r="V2296" s="3807">
        <f>20072500-T2296-R2296</f>
        <v>5487500</v>
      </c>
      <c r="W2296" s="3803"/>
      <c r="X2296" s="3803"/>
      <c r="Y2296" s="3679">
        <f>Q2296+S2296+U2296+W2296</f>
        <v>5</v>
      </c>
      <c r="Z2296" s="3691">
        <f t="shared" ref="Z2296:Z2301" si="909">R2296+T2296+V2296+X2296</f>
        <v>20072500</v>
      </c>
      <c r="AA2296" s="3679">
        <f t="shared" ref="AA2296:AA2300" si="910">M2296+Y2296</f>
        <v>25</v>
      </c>
      <c r="AB2296" s="3691">
        <f t="shared" ref="AB2296:AB2301" si="911">N2296+Z2296</f>
        <v>78450400</v>
      </c>
      <c r="AC2296" s="3684">
        <f t="shared" ref="AC2296:AC2301" si="912">(AA2296/K2296)*100</f>
        <v>41.666666666666671</v>
      </c>
      <c r="AD2296" s="3684">
        <f t="shared" si="908"/>
        <v>41.600483613098916</v>
      </c>
      <c r="AE2296" s="3690" t="s">
        <v>4571</v>
      </c>
    </row>
    <row r="2297" spans="1:76" s="6" customFormat="1" ht="75">
      <c r="A2297" s="3803"/>
      <c r="B2297" s="3678"/>
      <c r="C2297" s="36">
        <v>5</v>
      </c>
      <c r="D2297" s="36" t="s">
        <v>107</v>
      </c>
      <c r="E2297" s="36" t="s">
        <v>66</v>
      </c>
      <c r="F2297" s="36" t="s">
        <v>155</v>
      </c>
      <c r="G2297" s="36" t="s">
        <v>1099</v>
      </c>
      <c r="H2297" s="3804" t="s">
        <v>65</v>
      </c>
      <c r="I2297" s="3690" t="s">
        <v>4390</v>
      </c>
      <c r="J2297" s="3690" t="s">
        <v>4391</v>
      </c>
      <c r="K2297" s="3805">
        <v>6</v>
      </c>
      <c r="L2297" s="3831">
        <v>137849500</v>
      </c>
      <c r="M2297" s="3804">
        <v>2</v>
      </c>
      <c r="N2297" s="3806">
        <v>36148000</v>
      </c>
      <c r="O2297" s="3805">
        <v>1</v>
      </c>
      <c r="P2297" s="3807">
        <v>16875000</v>
      </c>
      <c r="Q2297" s="3823">
        <v>0</v>
      </c>
      <c r="R2297" s="3691">
        <v>0</v>
      </c>
      <c r="S2297" s="3824">
        <v>0</v>
      </c>
      <c r="T2297" s="3691">
        <v>0</v>
      </c>
      <c r="U2297" s="3805">
        <v>0</v>
      </c>
      <c r="V2297" s="3803">
        <v>0</v>
      </c>
      <c r="W2297" s="3803"/>
      <c r="X2297" s="3803"/>
      <c r="Y2297" s="3679">
        <f t="shared" ref="Y2297:Y2299" si="913">Q2297+S2297+U2297+W2297</f>
        <v>0</v>
      </c>
      <c r="Z2297" s="3691">
        <f t="shared" si="909"/>
        <v>0</v>
      </c>
      <c r="AA2297" s="3679">
        <f t="shared" si="910"/>
        <v>2</v>
      </c>
      <c r="AB2297" s="3691">
        <f t="shared" si="911"/>
        <v>36148000</v>
      </c>
      <c r="AC2297" s="3684">
        <f t="shared" si="912"/>
        <v>33.333333333333329</v>
      </c>
      <c r="AD2297" s="3684">
        <f t="shared" si="908"/>
        <v>26.222800953213472</v>
      </c>
      <c r="AE2297" s="3690" t="s">
        <v>4571</v>
      </c>
    </row>
    <row r="2298" spans="1:76" s="6" customFormat="1" ht="105">
      <c r="A2298" s="3803"/>
      <c r="B2298" s="3678"/>
      <c r="C2298" s="36">
        <v>5</v>
      </c>
      <c r="D2298" s="36" t="s">
        <v>107</v>
      </c>
      <c r="E2298" s="36" t="s">
        <v>66</v>
      </c>
      <c r="F2298" s="36" t="s">
        <v>155</v>
      </c>
      <c r="G2298" s="36" t="s">
        <v>1099</v>
      </c>
      <c r="H2298" s="3804" t="s">
        <v>196</v>
      </c>
      <c r="I2298" s="3690" t="s">
        <v>4392</v>
      </c>
      <c r="J2298" s="3690" t="s">
        <v>4393</v>
      </c>
      <c r="K2298" s="3805">
        <v>6</v>
      </c>
      <c r="L2298" s="3691">
        <v>171393000</v>
      </c>
      <c r="M2298" s="3804">
        <v>2</v>
      </c>
      <c r="N2298" s="3806">
        <v>48716500</v>
      </c>
      <c r="O2298" s="3805">
        <v>1</v>
      </c>
      <c r="P2298" s="3807">
        <v>24100000</v>
      </c>
      <c r="Q2298" s="3804">
        <v>1</v>
      </c>
      <c r="R2298" s="3691">
        <v>12200000</v>
      </c>
      <c r="S2298" s="3824">
        <v>0</v>
      </c>
      <c r="T2298" s="3807">
        <f>24100000-R2298</f>
        <v>11900000</v>
      </c>
      <c r="U2298" s="3805">
        <v>0</v>
      </c>
      <c r="V2298" s="3807">
        <v>0</v>
      </c>
      <c r="W2298" s="3803"/>
      <c r="X2298" s="3803"/>
      <c r="Y2298" s="3679">
        <f t="shared" si="913"/>
        <v>1</v>
      </c>
      <c r="Z2298" s="3691">
        <f t="shared" si="909"/>
        <v>24100000</v>
      </c>
      <c r="AA2298" s="3679">
        <f t="shared" si="910"/>
        <v>3</v>
      </c>
      <c r="AB2298" s="3691">
        <f t="shared" si="911"/>
        <v>72816500</v>
      </c>
      <c r="AC2298" s="3684">
        <f t="shared" si="912"/>
        <v>50</v>
      </c>
      <c r="AD2298" s="3684">
        <f t="shared" si="908"/>
        <v>42.485107326436903</v>
      </c>
      <c r="AE2298" s="3690" t="s">
        <v>4571</v>
      </c>
    </row>
    <row r="2299" spans="1:76" s="6" customFormat="1" ht="90">
      <c r="A2299" s="3803"/>
      <c r="B2299" s="3678"/>
      <c r="C2299" s="36">
        <v>5</v>
      </c>
      <c r="D2299" s="36" t="s">
        <v>107</v>
      </c>
      <c r="E2299" s="36" t="s">
        <v>66</v>
      </c>
      <c r="F2299" s="36" t="s">
        <v>155</v>
      </c>
      <c r="G2299" s="36" t="s">
        <v>1099</v>
      </c>
      <c r="H2299" s="3804" t="s">
        <v>161</v>
      </c>
      <c r="I2299" s="3690" t="s">
        <v>4394</v>
      </c>
      <c r="J2299" s="3690" t="s">
        <v>4395</v>
      </c>
      <c r="K2299" s="3805">
        <v>72</v>
      </c>
      <c r="L2299" s="3691">
        <v>36000000</v>
      </c>
      <c r="M2299" s="3804">
        <v>24</v>
      </c>
      <c r="N2299" s="3806">
        <v>12000000</v>
      </c>
      <c r="O2299" s="3805">
        <v>12</v>
      </c>
      <c r="P2299" s="3807">
        <v>7090000</v>
      </c>
      <c r="Q2299" s="3804">
        <v>3</v>
      </c>
      <c r="R2299" s="3691">
        <v>0</v>
      </c>
      <c r="S2299" s="3824">
        <v>0</v>
      </c>
      <c r="T2299" s="3691">
        <v>0</v>
      </c>
      <c r="U2299" s="3805">
        <v>4</v>
      </c>
      <c r="V2299" s="3807">
        <v>0</v>
      </c>
      <c r="W2299" s="3803"/>
      <c r="X2299" s="3803"/>
      <c r="Y2299" s="3679">
        <f t="shared" si="913"/>
        <v>7</v>
      </c>
      <c r="Z2299" s="3691">
        <f t="shared" si="909"/>
        <v>0</v>
      </c>
      <c r="AA2299" s="3679">
        <f t="shared" si="910"/>
        <v>31</v>
      </c>
      <c r="AB2299" s="3691">
        <f t="shared" si="911"/>
        <v>12000000</v>
      </c>
      <c r="AC2299" s="3684">
        <f t="shared" si="912"/>
        <v>43.055555555555557</v>
      </c>
      <c r="AD2299" s="3684">
        <f t="shared" si="908"/>
        <v>33.333333333333329</v>
      </c>
      <c r="AE2299" s="3690" t="s">
        <v>4571</v>
      </c>
    </row>
    <row r="2300" spans="1:76" s="6" customFormat="1" ht="75">
      <c r="A2300" s="3803"/>
      <c r="B2300" s="3678"/>
      <c r="C2300" s="36">
        <v>5</v>
      </c>
      <c r="D2300" s="36" t="s">
        <v>107</v>
      </c>
      <c r="E2300" s="36" t="s">
        <v>66</v>
      </c>
      <c r="F2300" s="36" t="s">
        <v>155</v>
      </c>
      <c r="G2300" s="36" t="s">
        <v>1099</v>
      </c>
      <c r="H2300" s="3804" t="s">
        <v>197</v>
      </c>
      <c r="I2300" s="3690" t="s">
        <v>4293</v>
      </c>
      <c r="J2300" s="3690" t="s">
        <v>4396</v>
      </c>
      <c r="K2300" s="3805">
        <v>150</v>
      </c>
      <c r="L2300" s="3691">
        <v>76200000</v>
      </c>
      <c r="M2300" s="3804">
        <v>50</v>
      </c>
      <c r="N2300" s="3806">
        <v>21200000</v>
      </c>
      <c r="O2300" s="3805">
        <v>6</v>
      </c>
      <c r="P2300" s="3807">
        <v>8210000</v>
      </c>
      <c r="Q2300" s="3804">
        <v>0</v>
      </c>
      <c r="R2300" s="3691">
        <v>0</v>
      </c>
      <c r="S2300" s="3824">
        <v>0</v>
      </c>
      <c r="T2300" s="3691">
        <v>0</v>
      </c>
      <c r="U2300" s="3805">
        <v>2</v>
      </c>
      <c r="V2300" s="3807">
        <v>0</v>
      </c>
      <c r="W2300" s="3803"/>
      <c r="X2300" s="3803"/>
      <c r="Y2300" s="3679">
        <f>Q2300+S2300+U2300+W2300</f>
        <v>2</v>
      </c>
      <c r="Z2300" s="3691">
        <f t="shared" si="909"/>
        <v>0</v>
      </c>
      <c r="AA2300" s="3679">
        <f t="shared" si="910"/>
        <v>52</v>
      </c>
      <c r="AB2300" s="3691">
        <f t="shared" si="911"/>
        <v>21200000</v>
      </c>
      <c r="AC2300" s="3684">
        <f t="shared" si="912"/>
        <v>34.666666666666671</v>
      </c>
      <c r="AD2300" s="3684">
        <f t="shared" si="908"/>
        <v>27.821522309711288</v>
      </c>
      <c r="AE2300" s="3690" t="s">
        <v>4571</v>
      </c>
    </row>
    <row r="2301" spans="1:76" s="6" customFormat="1" ht="75">
      <c r="A2301" s="3803"/>
      <c r="B2301" s="3678"/>
      <c r="C2301" s="36">
        <v>5</v>
      </c>
      <c r="D2301" s="36" t="s">
        <v>107</v>
      </c>
      <c r="E2301" s="36" t="s">
        <v>66</v>
      </c>
      <c r="F2301" s="36" t="s">
        <v>155</v>
      </c>
      <c r="G2301" s="36" t="s">
        <v>1099</v>
      </c>
      <c r="H2301" s="3804"/>
      <c r="I2301" s="15" t="s">
        <v>4553</v>
      </c>
      <c r="J2301" s="3690" t="s">
        <v>4554</v>
      </c>
      <c r="K2301" s="3805">
        <v>4</v>
      </c>
      <c r="L2301" s="3691">
        <v>97500000</v>
      </c>
      <c r="M2301" s="3804">
        <v>0</v>
      </c>
      <c r="N2301" s="3832">
        <v>0</v>
      </c>
      <c r="O2301" s="3805">
        <v>1</v>
      </c>
      <c r="P2301" s="3807">
        <v>19850000</v>
      </c>
      <c r="Q2301" s="3804">
        <v>0</v>
      </c>
      <c r="R2301" s="3691">
        <v>0</v>
      </c>
      <c r="S2301" s="3805">
        <v>1</v>
      </c>
      <c r="T2301" s="3691">
        <v>18975000</v>
      </c>
      <c r="U2301" s="3805">
        <v>0</v>
      </c>
      <c r="V2301" s="3807">
        <v>0</v>
      </c>
      <c r="W2301" s="3803"/>
      <c r="X2301" s="3803"/>
      <c r="Y2301" s="3679">
        <f t="shared" ref="Y2301" si="914">Q2301+S2301+U2301+W2301</f>
        <v>1</v>
      </c>
      <c r="Z2301" s="3691">
        <f t="shared" si="909"/>
        <v>18975000</v>
      </c>
      <c r="AA2301" s="3679">
        <f>M2301+Y2301</f>
        <v>1</v>
      </c>
      <c r="AB2301" s="3691">
        <f t="shared" si="911"/>
        <v>18975000</v>
      </c>
      <c r="AC2301" s="3684">
        <f t="shared" si="912"/>
        <v>25</v>
      </c>
      <c r="AD2301" s="3684">
        <f t="shared" si="908"/>
        <v>19.46153846153846</v>
      </c>
      <c r="AE2301" s="3690" t="s">
        <v>4571</v>
      </c>
    </row>
    <row r="2302" spans="1:76" customFormat="1" ht="17.25" customHeight="1">
      <c r="A2302" s="4264" t="s">
        <v>89</v>
      </c>
      <c r="B2302" s="4264"/>
      <c r="C2302" s="4265"/>
      <c r="D2302" s="4265"/>
      <c r="E2302" s="4265"/>
      <c r="F2302" s="4265"/>
      <c r="G2302" s="4265"/>
      <c r="H2302" s="4265"/>
      <c r="I2302" s="4265"/>
      <c r="J2302" s="4265"/>
      <c r="K2302" s="4265"/>
      <c r="L2302" s="4265"/>
      <c r="M2302" s="4265"/>
      <c r="N2302" s="4265"/>
      <c r="O2302" s="4265"/>
      <c r="P2302" s="4265"/>
      <c r="Q2302" s="4265"/>
      <c r="R2302" s="4265"/>
      <c r="S2302" s="4265"/>
      <c r="T2302" s="4265"/>
      <c r="U2302" s="4265"/>
      <c r="V2302" s="4265"/>
      <c r="W2302" s="4265"/>
      <c r="X2302" s="4265"/>
      <c r="Y2302" s="4265"/>
      <c r="Z2302" s="4265"/>
      <c r="AA2302" s="4265"/>
      <c r="AB2302" s="4265"/>
      <c r="AC2302" s="3784">
        <f>(AC2270+AC2281+AC2286+AC2288+AC2290+AC2292+AC2295)/7</f>
        <v>60.0452479131229</v>
      </c>
      <c r="AD2302" s="3784">
        <f>(AD2270+AD2281+AD2286+AD2288+AD2290+AD2292+AD2295)/7</f>
        <v>31.539018000017187</v>
      </c>
      <c r="AE2302" s="2116"/>
    </row>
    <row r="2303" spans="1:76" customFormat="1" ht="20.25" customHeight="1">
      <c r="A2303" s="4264" t="s">
        <v>90</v>
      </c>
      <c r="B2303" s="4264"/>
      <c r="C2303" s="4265"/>
      <c r="D2303" s="4265"/>
      <c r="E2303" s="4265"/>
      <c r="F2303" s="4265"/>
      <c r="G2303" s="4265"/>
      <c r="H2303" s="4265"/>
      <c r="I2303" s="4265"/>
      <c r="J2303" s="4265"/>
      <c r="K2303" s="4265"/>
      <c r="L2303" s="4265"/>
      <c r="M2303" s="4265"/>
      <c r="N2303" s="4265"/>
      <c r="O2303" s="4265"/>
      <c r="P2303" s="4265"/>
      <c r="Q2303" s="4265"/>
      <c r="R2303" s="4265"/>
      <c r="S2303" s="4265"/>
      <c r="T2303" s="4265"/>
      <c r="U2303" s="4265"/>
      <c r="V2303" s="4265"/>
      <c r="W2303" s="4265"/>
      <c r="X2303" s="4265"/>
      <c r="Y2303" s="4265"/>
      <c r="Z2303" s="4265"/>
      <c r="AA2303" s="4265"/>
      <c r="AB2303" s="4265"/>
      <c r="AC2303" s="3689" t="str">
        <f>IF(AC2302&gt;=91,"ST",IF(AC2302&gt;=76,"T",IF(AC2302&gt;=66,"S",IF(AC2302&gt;=51,"R","SR"))))</f>
        <v>R</v>
      </c>
      <c r="AD2303" s="3689" t="str">
        <f>IF(AD2302&gt;=91,"ST",IF(AD2302&gt;=76,"T",IF(AD2302&gt;=66,"S",IF(AD2302&gt;=51,"R","SR"))))</f>
        <v>SR</v>
      </c>
      <c r="AE2303" s="2116"/>
    </row>
    <row r="2304" spans="1:76" s="55" customFormat="1" ht="30" customHeight="1">
      <c r="A2304" s="2546" t="s">
        <v>3363</v>
      </c>
      <c r="B2304" s="2918"/>
      <c r="C2304" s="2546"/>
      <c r="D2304" s="2546"/>
      <c r="E2304" s="2546"/>
      <c r="F2304" s="2546"/>
      <c r="G2304" s="2546"/>
      <c r="H2304" s="2546"/>
      <c r="I2304" s="2515" t="s">
        <v>1032</v>
      </c>
      <c r="J2304" s="2918"/>
      <c r="K2304" s="2918"/>
      <c r="L2304" s="3238">
        <f>L2305+L2321+L2329+L2331+L2333+L2335+L2342</f>
        <v>3553935170</v>
      </c>
      <c r="M2304" s="2918"/>
      <c r="N2304" s="2916">
        <f>N2305+N2321+N2329+N2331+N2333+N2335+N2342</f>
        <v>504759140</v>
      </c>
      <c r="O2304" s="2918"/>
      <c r="P2304" s="2916">
        <f>P2305+P2321+P2329+P2331+P2333+P2335+P2342</f>
        <v>431119600</v>
      </c>
      <c r="Q2304" s="2918"/>
      <c r="R2304" s="2916">
        <f>R2305+R2321+R2329+R2331+R2333+R2335+R2342</f>
        <v>74720228</v>
      </c>
      <c r="S2304" s="2918"/>
      <c r="T2304" s="2916">
        <f>T2305+T2321+T2329+T2331+T2333+T2335+T2342</f>
        <v>122700392</v>
      </c>
      <c r="U2304" s="2918"/>
      <c r="V2304" s="2916">
        <f>V2305+V2321+V2329+V2331+V2333+V2335+V2342</f>
        <v>91062568</v>
      </c>
      <c r="W2304" s="2918"/>
      <c r="X2304" s="2918"/>
      <c r="Y2304" s="2546">
        <f>Q2304+S2304+U2304+W2304</f>
        <v>0</v>
      </c>
      <c r="Z2304" s="2916">
        <f>Z2305+Z2321+Z2329+Z2331+Z2333+Z2335+Z2342</f>
        <v>280613188</v>
      </c>
      <c r="AA2304" s="2918"/>
      <c r="AB2304" s="2916">
        <f>AB2305+AB2321+AB2329+AB2331+AB2333+AB2335+AB2342</f>
        <v>795862328</v>
      </c>
      <c r="AC2304" s="2918"/>
      <c r="AD2304" s="2918"/>
      <c r="AE2304" s="3211"/>
      <c r="AF2304" s="145"/>
      <c r="AG2304" s="145"/>
      <c r="AH2304" s="145"/>
      <c r="AI2304" s="145"/>
      <c r="AJ2304" s="145"/>
      <c r="AK2304" s="145"/>
      <c r="AL2304" s="145"/>
      <c r="AM2304" s="145"/>
      <c r="AN2304" s="145"/>
      <c r="AO2304" s="145"/>
      <c r="AP2304" s="145"/>
      <c r="AQ2304" s="145"/>
      <c r="AR2304" s="145"/>
      <c r="AS2304" s="145"/>
      <c r="AT2304" s="145"/>
      <c r="AU2304" s="145"/>
      <c r="AV2304" s="145"/>
      <c r="AW2304" s="145"/>
      <c r="AX2304" s="145"/>
      <c r="AY2304" s="145"/>
      <c r="AZ2304" s="145"/>
      <c r="BA2304" s="145"/>
      <c r="BB2304" s="145"/>
      <c r="BC2304" s="145"/>
      <c r="BD2304" s="145"/>
      <c r="BE2304" s="145"/>
      <c r="BF2304" s="145"/>
      <c r="BG2304" s="145"/>
      <c r="BH2304" s="145"/>
      <c r="BI2304" s="145"/>
      <c r="BJ2304" s="145"/>
      <c r="BK2304" s="145"/>
      <c r="BL2304" s="145"/>
      <c r="BM2304" s="145"/>
      <c r="BN2304" s="145"/>
      <c r="BO2304" s="145"/>
      <c r="BP2304" s="145"/>
      <c r="BQ2304" s="145"/>
      <c r="BR2304" s="145"/>
      <c r="BS2304" s="145"/>
      <c r="BT2304" s="145"/>
      <c r="BU2304" s="145"/>
      <c r="BV2304" s="145"/>
      <c r="BW2304" s="145"/>
      <c r="BX2304" s="145"/>
    </row>
    <row r="2305" spans="1:34" s="3825" customFormat="1" ht="92.25" customHeight="1">
      <c r="A2305" s="3657">
        <v>1</v>
      </c>
      <c r="B2305" s="3835" t="s">
        <v>4325</v>
      </c>
      <c r="C2305" s="3657">
        <v>5</v>
      </c>
      <c r="D2305" s="3659" t="s">
        <v>107</v>
      </c>
      <c r="E2305" s="3659" t="s">
        <v>66</v>
      </c>
      <c r="F2305" s="3659" t="s">
        <v>155</v>
      </c>
      <c r="G2305" s="3659" t="s">
        <v>66</v>
      </c>
      <c r="H2305" s="3657"/>
      <c r="I2305" s="3660" t="s">
        <v>4326</v>
      </c>
      <c r="J2305" s="3660" t="s">
        <v>4327</v>
      </c>
      <c r="K2305" s="3947">
        <v>100</v>
      </c>
      <c r="L2305" s="3948">
        <f>SUM(L2306:L2320)</f>
        <v>1448966400</v>
      </c>
      <c r="M2305" s="3949">
        <v>32</v>
      </c>
      <c r="N2305" s="3948">
        <f>SUM(N2307:N2320)</f>
        <v>226764564</v>
      </c>
      <c r="O2305" s="3949">
        <v>18</v>
      </c>
      <c r="P2305" s="3948">
        <f>SUM(P2306:P2320)</f>
        <v>242935334</v>
      </c>
      <c r="Q2305" s="3950">
        <f>SUM(Q2306:Q2320)/14</f>
        <v>3.2142857142857144</v>
      </c>
      <c r="R2305" s="3948">
        <f>SUM(R2307:R2320)</f>
        <v>45293928</v>
      </c>
      <c r="S2305" s="3949">
        <v>11.5</v>
      </c>
      <c r="T2305" s="3948">
        <f>SUM(T2306:T2320)</f>
        <v>68078992</v>
      </c>
      <c r="U2305" s="3949">
        <f>SUM(U2306:U2320)/14</f>
        <v>3.2142857142857144</v>
      </c>
      <c r="V2305" s="3948">
        <f>SUM(V2306:V2320)</f>
        <v>65845718</v>
      </c>
      <c r="W2305" s="3947"/>
      <c r="X2305" s="3947"/>
      <c r="Y2305" s="3950">
        <f>Q2305+S2305+U2305+W2305</f>
        <v>17.928571428571431</v>
      </c>
      <c r="Z2305" s="3948">
        <f>SUM(Z2307:Z2320)</f>
        <v>171348638</v>
      </c>
      <c r="AA2305" s="3950">
        <f>M2305+Y2305</f>
        <v>49.928571428571431</v>
      </c>
      <c r="AB2305" s="3948">
        <f>SUM(AB2306:AB2320)</f>
        <v>408603202</v>
      </c>
      <c r="AC2305" s="3949">
        <f>(AA2305/K2305)*100</f>
        <v>49.928571428571431</v>
      </c>
      <c r="AD2305" s="3949">
        <f>AB2305/L2305*100</f>
        <v>28.199632648486535</v>
      </c>
      <c r="AE2305" s="3660" t="s">
        <v>4328</v>
      </c>
    </row>
    <row r="2306" spans="1:34" s="3677" customFormat="1" ht="51" customHeight="1">
      <c r="A2306" s="3958"/>
      <c r="B2306" s="3861"/>
      <c r="C2306" s="1373" t="s">
        <v>4322</v>
      </c>
      <c r="D2306" s="1373" t="s">
        <v>107</v>
      </c>
      <c r="E2306" s="1373" t="s">
        <v>4322</v>
      </c>
      <c r="F2306" s="1373" t="s">
        <v>107</v>
      </c>
      <c r="G2306" s="1373" t="s">
        <v>66</v>
      </c>
      <c r="H2306" s="1373" t="s">
        <v>66</v>
      </c>
      <c r="I2306" s="1703" t="s">
        <v>2420</v>
      </c>
      <c r="J2306" s="2634" t="s">
        <v>4329</v>
      </c>
      <c r="K2306" s="3855">
        <v>72</v>
      </c>
      <c r="L2306" s="3959">
        <v>75000000</v>
      </c>
      <c r="M2306" s="3862">
        <v>24</v>
      </c>
      <c r="N2306" s="3110">
        <v>0</v>
      </c>
      <c r="O2306" s="2398">
        <v>12</v>
      </c>
      <c r="P2306" s="3959">
        <v>12789168</v>
      </c>
      <c r="Q2306" s="2668">
        <v>3</v>
      </c>
      <c r="R2306" s="3959">
        <v>2620000</v>
      </c>
      <c r="S2306" s="2668">
        <v>3</v>
      </c>
      <c r="T2306" s="2295">
        <v>3230000</v>
      </c>
      <c r="U2306" s="2668">
        <v>3</v>
      </c>
      <c r="V2306" s="2295">
        <v>4640000</v>
      </c>
      <c r="W2306" s="3862"/>
      <c r="X2306" s="3862"/>
      <c r="Y2306" s="3960">
        <f>Q2306+S2306+U2306+W2306</f>
        <v>9</v>
      </c>
      <c r="Z2306" s="3959">
        <f>R2306+T2306+V2306+X2306</f>
        <v>10490000</v>
      </c>
      <c r="AA2306" s="3961">
        <f>M2306+Y2306</f>
        <v>33</v>
      </c>
      <c r="AB2306" s="3959">
        <f>N2306+Z2306</f>
        <v>10490000</v>
      </c>
      <c r="AC2306" s="3962">
        <f>(AA2306/K2306)*100</f>
        <v>45.833333333333329</v>
      </c>
      <c r="AD2306" s="3860">
        <f>AB2306/L2306*100</f>
        <v>13.986666666666666</v>
      </c>
      <c r="AE2306" s="1375"/>
      <c r="AG2306" s="3946"/>
      <c r="AH2306" s="3946"/>
    </row>
    <row r="2307" spans="1:34" s="2117" customFormat="1" ht="81.75" customHeight="1">
      <c r="A2307" s="385"/>
      <c r="B2307" s="384"/>
      <c r="C2307" s="3852">
        <v>5</v>
      </c>
      <c r="D2307" s="3853" t="s">
        <v>107</v>
      </c>
      <c r="E2307" s="3853" t="s">
        <v>66</v>
      </c>
      <c r="F2307" s="3853" t="s">
        <v>155</v>
      </c>
      <c r="G2307" s="3853" t="s">
        <v>66</v>
      </c>
      <c r="H2307" s="3853" t="s">
        <v>65</v>
      </c>
      <c r="I2307" s="384" t="s">
        <v>4330</v>
      </c>
      <c r="J2307" s="384" t="s">
        <v>4331</v>
      </c>
      <c r="K2307" s="3855">
        <v>72</v>
      </c>
      <c r="L2307" s="3951">
        <v>72332900</v>
      </c>
      <c r="M2307" s="3855">
        <v>24</v>
      </c>
      <c r="N2307" s="3856">
        <v>8560000</v>
      </c>
      <c r="O2307" s="3855">
        <v>12</v>
      </c>
      <c r="P2307" s="2278">
        <v>7200000</v>
      </c>
      <c r="Q2307" s="2668">
        <v>3</v>
      </c>
      <c r="R2307" s="3856">
        <v>492928</v>
      </c>
      <c r="S2307" s="2668">
        <v>3</v>
      </c>
      <c r="T2307" s="3856">
        <v>2547992</v>
      </c>
      <c r="U2307" s="2668">
        <v>3</v>
      </c>
      <c r="V2307" s="3856">
        <v>1516118</v>
      </c>
      <c r="W2307" s="3855"/>
      <c r="X2307" s="3855"/>
      <c r="Y2307" s="3860">
        <f t="shared" ref="Y2307:Z2320" si="915">Q2307+S2307+U2307+W2307</f>
        <v>9</v>
      </c>
      <c r="Z2307" s="3959">
        <f t="shared" si="915"/>
        <v>4557038</v>
      </c>
      <c r="AA2307" s="3855">
        <f>M2307+Y2307</f>
        <v>33</v>
      </c>
      <c r="AB2307" s="3856">
        <f t="shared" ref="AB2307:AB2313" si="916">N2307+Z2307</f>
        <v>13117038</v>
      </c>
      <c r="AC2307" s="3860">
        <f>(AA2307/K2307)*100</f>
        <v>45.833333333333329</v>
      </c>
      <c r="AD2307" s="3860">
        <f>AB2307/L2307*100</f>
        <v>18.134262555489965</v>
      </c>
      <c r="AE2307" s="1374" t="s">
        <v>4328</v>
      </c>
      <c r="AG2307" s="3946"/>
      <c r="AH2307" s="3946"/>
    </row>
    <row r="2308" spans="1:34" s="2117" customFormat="1" ht="63.75">
      <c r="A2308" s="385"/>
      <c r="B2308" s="384"/>
      <c r="C2308" s="3852">
        <v>5</v>
      </c>
      <c r="D2308" s="3853" t="s">
        <v>107</v>
      </c>
      <c r="E2308" s="3853" t="s">
        <v>66</v>
      </c>
      <c r="F2308" s="3853" t="s">
        <v>155</v>
      </c>
      <c r="G2308" s="3853" t="s">
        <v>66</v>
      </c>
      <c r="H2308" s="3853" t="s">
        <v>198</v>
      </c>
      <c r="I2308" s="384" t="s">
        <v>4332</v>
      </c>
      <c r="J2308" s="384" t="s">
        <v>4333</v>
      </c>
      <c r="K2308" s="3855">
        <v>72</v>
      </c>
      <c r="L2308" s="3856">
        <v>484800000</v>
      </c>
      <c r="M2308" s="3855">
        <v>24</v>
      </c>
      <c r="N2308" s="3856">
        <v>63800000</v>
      </c>
      <c r="O2308" s="3855">
        <v>12</v>
      </c>
      <c r="P2308" s="2278">
        <v>65600000</v>
      </c>
      <c r="Q2308" s="2668">
        <v>3</v>
      </c>
      <c r="R2308" s="3856">
        <v>12750000</v>
      </c>
      <c r="S2308" s="2668">
        <v>3</v>
      </c>
      <c r="T2308" s="3856">
        <v>17850000</v>
      </c>
      <c r="U2308" s="2668">
        <v>3</v>
      </c>
      <c r="V2308" s="3856">
        <v>17700000</v>
      </c>
      <c r="W2308" s="3855"/>
      <c r="X2308" s="3855"/>
      <c r="Y2308" s="3855">
        <f t="shared" si="915"/>
        <v>9</v>
      </c>
      <c r="Z2308" s="3959">
        <f t="shared" si="915"/>
        <v>48300000</v>
      </c>
      <c r="AA2308" s="3855">
        <f t="shared" ref="AA2308:AB2320" si="917">M2308+Y2308</f>
        <v>33</v>
      </c>
      <c r="AB2308" s="3856">
        <f t="shared" si="916"/>
        <v>112100000</v>
      </c>
      <c r="AC2308" s="3860">
        <f t="shared" ref="AC2308:AC2320" si="918">(AA2308/K2308)*100</f>
        <v>45.833333333333329</v>
      </c>
      <c r="AD2308" s="3860">
        <f t="shared" ref="AD2308:AD2320" si="919">AB2308/L2308*100</f>
        <v>23.122937293729372</v>
      </c>
      <c r="AE2308" s="2203" t="s">
        <v>4328</v>
      </c>
      <c r="AG2308" s="3946"/>
      <c r="AH2308" s="3946"/>
    </row>
    <row r="2309" spans="1:34" s="2117" customFormat="1" ht="66.75" customHeight="1">
      <c r="A2309" s="385"/>
      <c r="B2309" s="384"/>
      <c r="C2309" s="3852">
        <v>5</v>
      </c>
      <c r="D2309" s="3853" t="s">
        <v>107</v>
      </c>
      <c r="E2309" s="3853" t="s">
        <v>66</v>
      </c>
      <c r="F2309" s="3853" t="s">
        <v>155</v>
      </c>
      <c r="G2309" s="3853" t="s">
        <v>66</v>
      </c>
      <c r="H2309" s="3853" t="s">
        <v>93</v>
      </c>
      <c r="I2309" s="384" t="s">
        <v>876</v>
      </c>
      <c r="J2309" s="384" t="s">
        <v>4334</v>
      </c>
      <c r="K2309" s="3855">
        <v>72</v>
      </c>
      <c r="L2309" s="3856">
        <v>67518000</v>
      </c>
      <c r="M2309" s="3855">
        <v>24</v>
      </c>
      <c r="N2309" s="3856">
        <v>7416040</v>
      </c>
      <c r="O2309" s="3855">
        <v>48</v>
      </c>
      <c r="P2309" s="2278">
        <v>8174950</v>
      </c>
      <c r="Q2309" s="2668">
        <v>3</v>
      </c>
      <c r="R2309" s="3856">
        <v>1440000</v>
      </c>
      <c r="S2309" s="2668">
        <v>3</v>
      </c>
      <c r="T2309" s="3856">
        <v>1933000</v>
      </c>
      <c r="U2309" s="2668">
        <v>3</v>
      </c>
      <c r="V2309" s="3856">
        <v>1288000</v>
      </c>
      <c r="W2309" s="3855"/>
      <c r="X2309" s="3855"/>
      <c r="Y2309" s="3855">
        <f t="shared" si="915"/>
        <v>9</v>
      </c>
      <c r="Z2309" s="3959">
        <f t="shared" si="915"/>
        <v>4661000</v>
      </c>
      <c r="AA2309" s="3855">
        <f t="shared" si="917"/>
        <v>33</v>
      </c>
      <c r="AB2309" s="3856">
        <f t="shared" si="916"/>
        <v>12077040</v>
      </c>
      <c r="AC2309" s="3860">
        <f t="shared" si="918"/>
        <v>45.833333333333329</v>
      </c>
      <c r="AD2309" s="3860">
        <f t="shared" si="919"/>
        <v>17.887141206789302</v>
      </c>
      <c r="AE2309" s="1374" t="s">
        <v>4328</v>
      </c>
      <c r="AG2309" s="3946"/>
      <c r="AH2309" s="3946"/>
    </row>
    <row r="2310" spans="1:34" s="2117" customFormat="1" ht="25.5">
      <c r="A2310" s="385"/>
      <c r="B2310" s="384"/>
      <c r="C2310" s="3852">
        <v>5</v>
      </c>
      <c r="D2310" s="3853" t="s">
        <v>107</v>
      </c>
      <c r="E2310" s="3853" t="s">
        <v>66</v>
      </c>
      <c r="F2310" s="3853" t="s">
        <v>155</v>
      </c>
      <c r="G2310" s="3853" t="s">
        <v>66</v>
      </c>
      <c r="H2310" s="3853" t="s">
        <v>202</v>
      </c>
      <c r="I2310" s="384" t="s">
        <v>880</v>
      </c>
      <c r="J2310" s="384" t="s">
        <v>4335</v>
      </c>
      <c r="K2310" s="3855">
        <v>72</v>
      </c>
      <c r="L2310" s="3856">
        <v>43766000</v>
      </c>
      <c r="M2310" s="3855">
        <v>70</v>
      </c>
      <c r="N2310" s="3856">
        <v>11194324</v>
      </c>
      <c r="O2310" s="3855">
        <v>35</v>
      </c>
      <c r="P2310" s="2278">
        <v>17443276</v>
      </c>
      <c r="Q2310" s="2668">
        <v>3</v>
      </c>
      <c r="R2310" s="3856">
        <v>5723500</v>
      </c>
      <c r="S2310" s="2668">
        <v>3</v>
      </c>
      <c r="T2310" s="3856">
        <v>3860000</v>
      </c>
      <c r="U2310" s="2668">
        <v>3</v>
      </c>
      <c r="V2310" s="3856">
        <v>3362000</v>
      </c>
      <c r="W2310" s="3855"/>
      <c r="X2310" s="3855"/>
      <c r="Y2310" s="3855">
        <f t="shared" si="915"/>
        <v>9</v>
      </c>
      <c r="Z2310" s="3959">
        <f t="shared" si="915"/>
        <v>12945500</v>
      </c>
      <c r="AA2310" s="3855">
        <f>M2310+Y2310</f>
        <v>79</v>
      </c>
      <c r="AB2310" s="3856">
        <f t="shared" si="916"/>
        <v>24139824</v>
      </c>
      <c r="AC2310" s="3860">
        <f t="shared" si="918"/>
        <v>109.72222222222223</v>
      </c>
      <c r="AD2310" s="3860">
        <f t="shared" si="919"/>
        <v>55.156569026184712</v>
      </c>
      <c r="AE2310" s="1374" t="s">
        <v>4328</v>
      </c>
      <c r="AG2310" s="3946"/>
      <c r="AH2310" s="3946"/>
    </row>
    <row r="2311" spans="1:34" s="2117" customFormat="1" ht="25.5">
      <c r="A2311" s="385"/>
      <c r="B2311" s="384"/>
      <c r="C2311" s="3852">
        <v>5</v>
      </c>
      <c r="D2311" s="3853" t="s">
        <v>107</v>
      </c>
      <c r="E2311" s="3853" t="s">
        <v>66</v>
      </c>
      <c r="F2311" s="3853" t="s">
        <v>155</v>
      </c>
      <c r="G2311" s="3853" t="s">
        <v>66</v>
      </c>
      <c r="H2311" s="3853" t="s">
        <v>417</v>
      </c>
      <c r="I2311" s="384" t="s">
        <v>882</v>
      </c>
      <c r="J2311" s="421" t="s">
        <v>4336</v>
      </c>
      <c r="K2311" s="3855">
        <v>72</v>
      </c>
      <c r="L2311" s="3856">
        <v>34472000</v>
      </c>
      <c r="M2311" s="3855">
        <v>12</v>
      </c>
      <c r="N2311" s="3856">
        <v>5236000</v>
      </c>
      <c r="O2311" s="3855">
        <v>15</v>
      </c>
      <c r="P2311" s="2278">
        <v>7455000</v>
      </c>
      <c r="Q2311" s="2668">
        <v>3</v>
      </c>
      <c r="R2311" s="3856">
        <v>680000</v>
      </c>
      <c r="S2311" s="2668">
        <v>3</v>
      </c>
      <c r="T2311" s="3856">
        <v>1430000</v>
      </c>
      <c r="U2311" s="2668">
        <v>3</v>
      </c>
      <c r="V2311" s="3856">
        <v>480000</v>
      </c>
      <c r="W2311" s="3855"/>
      <c r="X2311" s="3855"/>
      <c r="Y2311" s="3855">
        <f t="shared" si="915"/>
        <v>9</v>
      </c>
      <c r="Z2311" s="3959">
        <f t="shared" si="915"/>
        <v>2590000</v>
      </c>
      <c r="AA2311" s="3855">
        <f t="shared" ref="AA2311" si="920">M2311+Y2311</f>
        <v>21</v>
      </c>
      <c r="AB2311" s="3856">
        <f t="shared" si="916"/>
        <v>7826000</v>
      </c>
      <c r="AC2311" s="3860">
        <f t="shared" si="918"/>
        <v>29.166666666666668</v>
      </c>
      <c r="AD2311" s="3860">
        <f t="shared" si="919"/>
        <v>22.702483174750522</v>
      </c>
      <c r="AE2311" s="1374" t="s">
        <v>4328</v>
      </c>
      <c r="AG2311" s="3946"/>
      <c r="AH2311" s="3946"/>
    </row>
    <row r="2312" spans="1:34" s="2117" customFormat="1" ht="87.75" customHeight="1">
      <c r="A2312" s="385"/>
      <c r="B2312" s="384"/>
      <c r="C2312" s="3852"/>
      <c r="D2312" s="3852"/>
      <c r="E2312" s="3852"/>
      <c r="F2312" s="3852"/>
      <c r="G2312" s="3852"/>
      <c r="H2312" s="3852"/>
      <c r="I2312" s="384"/>
      <c r="J2312" s="421" t="s">
        <v>4337</v>
      </c>
      <c r="K2312" s="3855">
        <v>72</v>
      </c>
      <c r="L2312" s="3856">
        <v>14418000</v>
      </c>
      <c r="M2312" s="3855"/>
      <c r="N2312" s="3856"/>
      <c r="O2312" s="3855"/>
      <c r="P2312" s="2278">
        <v>2400000</v>
      </c>
      <c r="Q2312" s="2668">
        <v>3</v>
      </c>
      <c r="R2312" s="3856">
        <v>480000</v>
      </c>
      <c r="S2312" s="2668">
        <v>3</v>
      </c>
      <c r="T2312" s="3856">
        <v>480000</v>
      </c>
      <c r="U2312" s="2668">
        <v>3</v>
      </c>
      <c r="V2312" s="3856">
        <v>375000</v>
      </c>
      <c r="W2312" s="3855"/>
      <c r="X2312" s="3855"/>
      <c r="Y2312" s="3855">
        <f t="shared" si="915"/>
        <v>9</v>
      </c>
      <c r="Z2312" s="3959">
        <f t="shared" si="915"/>
        <v>1335000</v>
      </c>
      <c r="AA2312" s="3855">
        <f>M2312+Y2312</f>
        <v>9</v>
      </c>
      <c r="AB2312" s="3856">
        <f>N2312+Z2312</f>
        <v>1335000</v>
      </c>
      <c r="AC2312" s="3860">
        <f>(AA2312/K2312)*100</f>
        <v>12.5</v>
      </c>
      <c r="AD2312" s="3860">
        <f>AB2312/L2312*100</f>
        <v>9.2592592592592595</v>
      </c>
      <c r="AE2312" s="1374" t="s">
        <v>4328</v>
      </c>
      <c r="AG2312" s="3946"/>
      <c r="AH2312" s="3946"/>
    </row>
    <row r="2313" spans="1:34" s="2117" customFormat="1" ht="38.25">
      <c r="A2313" s="385"/>
      <c r="B2313" s="384"/>
      <c r="C2313" s="3852"/>
      <c r="D2313" s="3852"/>
      <c r="E2313" s="3852"/>
      <c r="F2313" s="3852"/>
      <c r="G2313" s="3852"/>
      <c r="H2313" s="3852"/>
      <c r="I2313" s="384"/>
      <c r="J2313" s="421" t="s">
        <v>4338</v>
      </c>
      <c r="K2313" s="3855">
        <v>72</v>
      </c>
      <c r="L2313" s="3856">
        <v>20000000</v>
      </c>
      <c r="M2313" s="3856">
        <v>24591</v>
      </c>
      <c r="N2313" s="3856">
        <v>1200000</v>
      </c>
      <c r="O2313" s="2676">
        <v>16476</v>
      </c>
      <c r="P2313" s="2278">
        <v>3295200</v>
      </c>
      <c r="Q2313" s="2668">
        <v>3</v>
      </c>
      <c r="R2313" s="3856">
        <v>1160000</v>
      </c>
      <c r="S2313" s="2668">
        <v>3</v>
      </c>
      <c r="T2313" s="3856">
        <v>840000</v>
      </c>
      <c r="U2313" s="2668">
        <v>3</v>
      </c>
      <c r="V2313" s="3856">
        <v>477600</v>
      </c>
      <c r="W2313" s="3855"/>
      <c r="X2313" s="3855"/>
      <c r="Y2313" s="3855"/>
      <c r="Z2313" s="3959">
        <f t="shared" si="915"/>
        <v>2477600</v>
      </c>
      <c r="AA2313" s="3855"/>
      <c r="AB2313" s="3856">
        <f t="shared" si="916"/>
        <v>3677600</v>
      </c>
      <c r="AC2313" s="3860"/>
      <c r="AD2313" s="3860">
        <f t="shared" si="919"/>
        <v>18.387999999999998</v>
      </c>
      <c r="AE2313" s="1389"/>
      <c r="AG2313" s="3946"/>
      <c r="AH2313" s="3946"/>
    </row>
    <row r="2314" spans="1:34" s="2117" customFormat="1" ht="80.25" customHeight="1">
      <c r="A2314" s="385"/>
      <c r="B2314" s="384"/>
      <c r="C2314" s="3852">
        <v>5</v>
      </c>
      <c r="D2314" s="3853" t="s">
        <v>107</v>
      </c>
      <c r="E2314" s="3853" t="s">
        <v>66</v>
      </c>
      <c r="F2314" s="3853" t="s">
        <v>155</v>
      </c>
      <c r="G2314" s="3853" t="s">
        <v>66</v>
      </c>
      <c r="H2314" s="3853" t="s">
        <v>160</v>
      </c>
      <c r="I2314" s="384" t="s">
        <v>4339</v>
      </c>
      <c r="J2314" s="384" t="s">
        <v>4340</v>
      </c>
      <c r="K2314" s="3855">
        <v>72</v>
      </c>
      <c r="L2314" s="3856">
        <v>18079500</v>
      </c>
      <c r="M2314" s="3855">
        <v>20</v>
      </c>
      <c r="N2314" s="3856">
        <v>2258200</v>
      </c>
      <c r="O2314" s="3855">
        <v>1</v>
      </c>
      <c r="P2314" s="2278">
        <v>1677740</v>
      </c>
      <c r="Q2314" s="2668">
        <v>3</v>
      </c>
      <c r="R2314" s="3856">
        <v>245000</v>
      </c>
      <c r="S2314" s="2668">
        <v>3</v>
      </c>
      <c r="T2314" s="3856">
        <v>558000</v>
      </c>
      <c r="U2314" s="2668">
        <v>3</v>
      </c>
      <c r="V2314" s="3856">
        <v>485000</v>
      </c>
      <c r="W2314" s="3855"/>
      <c r="X2314" s="3855"/>
      <c r="Y2314" s="3855">
        <f>Q2314+S2314+U2314+W2314</f>
        <v>9</v>
      </c>
      <c r="Z2314" s="3959">
        <f t="shared" si="915"/>
        <v>1288000</v>
      </c>
      <c r="AA2314" s="3855">
        <f t="shared" si="917"/>
        <v>29</v>
      </c>
      <c r="AB2314" s="3856">
        <f t="shared" si="917"/>
        <v>3546200</v>
      </c>
      <c r="AC2314" s="3860">
        <f t="shared" si="918"/>
        <v>40.277777777777779</v>
      </c>
      <c r="AD2314" s="3860">
        <f t="shared" si="919"/>
        <v>19.614480488951575</v>
      </c>
      <c r="AE2314" s="1374" t="s">
        <v>4328</v>
      </c>
      <c r="AG2314" s="3946"/>
      <c r="AH2314" s="3946"/>
    </row>
    <row r="2315" spans="1:34" s="2117" customFormat="1" ht="63.75">
      <c r="A2315" s="385"/>
      <c r="B2315" s="384"/>
      <c r="C2315" s="3852">
        <v>5</v>
      </c>
      <c r="D2315" s="3853" t="s">
        <v>107</v>
      </c>
      <c r="E2315" s="3853" t="s">
        <v>66</v>
      </c>
      <c r="F2315" s="3853" t="s">
        <v>155</v>
      </c>
      <c r="G2315" s="3853" t="s">
        <v>66</v>
      </c>
      <c r="H2315" s="3853" t="s">
        <v>155</v>
      </c>
      <c r="I2315" s="384" t="s">
        <v>4341</v>
      </c>
      <c r="J2315" s="384" t="s">
        <v>4342</v>
      </c>
      <c r="K2315" s="3855">
        <v>72</v>
      </c>
      <c r="L2315" s="3856">
        <v>27000000</v>
      </c>
      <c r="M2315" s="3855">
        <v>2</v>
      </c>
      <c r="N2315" s="3856">
        <v>4260000</v>
      </c>
      <c r="O2315" s="3855">
        <v>1</v>
      </c>
      <c r="P2315" s="2278">
        <v>4080000</v>
      </c>
      <c r="Q2315" s="2668">
        <v>3</v>
      </c>
      <c r="R2315" s="3856">
        <v>700000</v>
      </c>
      <c r="S2315" s="2668">
        <v>3</v>
      </c>
      <c r="T2315" s="3856">
        <v>760000</v>
      </c>
      <c r="U2315" s="2668">
        <v>3</v>
      </c>
      <c r="V2315" s="3856">
        <v>780000</v>
      </c>
      <c r="W2315" s="3855"/>
      <c r="X2315" s="3855"/>
      <c r="Y2315" s="3855">
        <f t="shared" si="915"/>
        <v>9</v>
      </c>
      <c r="Z2315" s="3959">
        <f t="shared" si="915"/>
        <v>2240000</v>
      </c>
      <c r="AA2315" s="3855">
        <f t="shared" si="917"/>
        <v>11</v>
      </c>
      <c r="AB2315" s="3856">
        <f t="shared" si="917"/>
        <v>6500000</v>
      </c>
      <c r="AC2315" s="3860">
        <f t="shared" si="918"/>
        <v>15.277777777777779</v>
      </c>
      <c r="AD2315" s="3860">
        <f t="shared" si="919"/>
        <v>24.074074074074073</v>
      </c>
      <c r="AE2315" s="1374" t="s">
        <v>4328</v>
      </c>
      <c r="AG2315" s="3946"/>
      <c r="AH2315" s="3946"/>
    </row>
    <row r="2316" spans="1:34" s="2117" customFormat="1" ht="52.5" customHeight="1">
      <c r="A2316" s="385"/>
      <c r="B2316" s="384"/>
      <c r="C2316" s="3852">
        <v>5</v>
      </c>
      <c r="D2316" s="3853" t="s">
        <v>107</v>
      </c>
      <c r="E2316" s="3853" t="s">
        <v>66</v>
      </c>
      <c r="F2316" s="3853" t="s">
        <v>155</v>
      </c>
      <c r="G2316" s="3853" t="s">
        <v>66</v>
      </c>
      <c r="H2316" s="3853" t="s">
        <v>448</v>
      </c>
      <c r="I2316" s="384" t="s">
        <v>223</v>
      </c>
      <c r="J2316" s="421" t="s">
        <v>4343</v>
      </c>
      <c r="K2316" s="3855">
        <v>72</v>
      </c>
      <c r="L2316" s="3856">
        <v>46800000</v>
      </c>
      <c r="M2316" s="3855">
        <v>24</v>
      </c>
      <c r="N2316" s="3856">
        <v>11000000</v>
      </c>
      <c r="O2316" s="3855">
        <v>12</v>
      </c>
      <c r="P2316" s="2278">
        <v>11440000</v>
      </c>
      <c r="Q2316" s="2668">
        <v>3</v>
      </c>
      <c r="R2316" s="3856">
        <v>3162500</v>
      </c>
      <c r="S2316" s="2668">
        <v>3</v>
      </c>
      <c r="T2316" s="3856">
        <v>825000</v>
      </c>
      <c r="U2316" s="2668">
        <v>3</v>
      </c>
      <c r="V2316" s="3856">
        <v>2899500</v>
      </c>
      <c r="W2316" s="3855"/>
      <c r="X2316" s="3855"/>
      <c r="Y2316" s="3855">
        <f t="shared" si="915"/>
        <v>9</v>
      </c>
      <c r="Z2316" s="3959">
        <f t="shared" si="915"/>
        <v>6887000</v>
      </c>
      <c r="AA2316" s="3855">
        <f>M2316+Y2316</f>
        <v>33</v>
      </c>
      <c r="AB2316" s="3856">
        <f t="shared" si="917"/>
        <v>17887000</v>
      </c>
      <c r="AC2316" s="3860">
        <f t="shared" si="918"/>
        <v>45.833333333333329</v>
      </c>
      <c r="AD2316" s="3860">
        <f t="shared" si="919"/>
        <v>38.220085470085472</v>
      </c>
      <c r="AE2316" s="1374" t="s">
        <v>4328</v>
      </c>
      <c r="AG2316" s="3946"/>
      <c r="AH2316" s="3946"/>
    </row>
    <row r="2317" spans="1:34" s="2117" customFormat="1" ht="25.5">
      <c r="A2317" s="385"/>
      <c r="B2317" s="384"/>
      <c r="C2317" s="3852"/>
      <c r="D2317" s="3852"/>
      <c r="E2317" s="3852"/>
      <c r="F2317" s="3852"/>
      <c r="G2317" s="3852"/>
      <c r="H2317" s="3852"/>
      <c r="I2317" s="384"/>
      <c r="J2317" s="421" t="s">
        <v>4344</v>
      </c>
      <c r="K2317" s="3855">
        <v>72</v>
      </c>
      <c r="L2317" s="3856">
        <v>30000000</v>
      </c>
      <c r="M2317" s="3855">
        <v>24</v>
      </c>
      <c r="N2317" s="3856">
        <v>3500000</v>
      </c>
      <c r="O2317" s="3855">
        <v>12</v>
      </c>
      <c r="P2317" s="2278">
        <v>5250000</v>
      </c>
      <c r="Q2317" s="2668">
        <v>3</v>
      </c>
      <c r="R2317" s="3856">
        <v>550000</v>
      </c>
      <c r="S2317" s="2668">
        <v>3</v>
      </c>
      <c r="T2317" s="3856">
        <v>1750000</v>
      </c>
      <c r="U2317" s="2668">
        <v>3</v>
      </c>
      <c r="V2317" s="3856">
        <v>2242500</v>
      </c>
      <c r="W2317" s="3855"/>
      <c r="X2317" s="3855"/>
      <c r="Y2317" s="3855">
        <f t="shared" si="915"/>
        <v>9</v>
      </c>
      <c r="Z2317" s="3959">
        <f t="shared" si="915"/>
        <v>4542500</v>
      </c>
      <c r="AA2317" s="3855">
        <f>M2317+Y2317</f>
        <v>33</v>
      </c>
      <c r="AB2317" s="3856">
        <f t="shared" si="917"/>
        <v>8042500</v>
      </c>
      <c r="AC2317" s="3860">
        <f t="shared" si="918"/>
        <v>45.833333333333329</v>
      </c>
      <c r="AD2317" s="3860">
        <f t="shared" si="919"/>
        <v>26.808333333333334</v>
      </c>
      <c r="AE2317" s="1374" t="s">
        <v>4328</v>
      </c>
      <c r="AG2317" s="3946"/>
      <c r="AH2317" s="3946"/>
    </row>
    <row r="2318" spans="1:34" s="2117" customFormat="1" ht="64.5" customHeight="1">
      <c r="A2318" s="385"/>
      <c r="B2318" s="384"/>
      <c r="C2318" s="3852">
        <v>5</v>
      </c>
      <c r="D2318" s="3853" t="s">
        <v>107</v>
      </c>
      <c r="E2318" s="3853" t="s">
        <v>66</v>
      </c>
      <c r="F2318" s="3853" t="s">
        <v>155</v>
      </c>
      <c r="G2318" s="3853" t="s">
        <v>66</v>
      </c>
      <c r="H2318" s="3853" t="s">
        <v>167</v>
      </c>
      <c r="I2318" s="384" t="s">
        <v>973</v>
      </c>
      <c r="J2318" s="384" t="s">
        <v>4345</v>
      </c>
      <c r="K2318" s="3855">
        <v>72</v>
      </c>
      <c r="L2318" s="3856">
        <v>184400000</v>
      </c>
      <c r="M2318" s="3855">
        <v>24</v>
      </c>
      <c r="N2318" s="3856">
        <v>32900000</v>
      </c>
      <c r="O2318" s="3855">
        <v>12</v>
      </c>
      <c r="P2318" s="2278">
        <v>31800000</v>
      </c>
      <c r="Q2318" s="2668">
        <v>3</v>
      </c>
      <c r="R2318" s="3856">
        <v>800000</v>
      </c>
      <c r="S2318" s="2668">
        <v>3</v>
      </c>
      <c r="T2318" s="3856">
        <v>4005000</v>
      </c>
      <c r="U2318" s="2668">
        <v>3</v>
      </c>
      <c r="V2318" s="3856">
        <v>12315000</v>
      </c>
      <c r="W2318" s="3855"/>
      <c r="X2318" s="3855"/>
      <c r="Y2318" s="3855">
        <f t="shared" si="915"/>
        <v>9</v>
      </c>
      <c r="Z2318" s="3959">
        <f t="shared" si="915"/>
        <v>17120000</v>
      </c>
      <c r="AA2318" s="3855">
        <f t="shared" si="917"/>
        <v>33</v>
      </c>
      <c r="AB2318" s="3856">
        <f t="shared" si="917"/>
        <v>50020000</v>
      </c>
      <c r="AC2318" s="3860">
        <f t="shared" si="918"/>
        <v>45.833333333333329</v>
      </c>
      <c r="AD2318" s="3860">
        <f t="shared" si="919"/>
        <v>27.125813449023862</v>
      </c>
      <c r="AE2318" s="1374" t="s">
        <v>4328</v>
      </c>
      <c r="AG2318" s="3946"/>
      <c r="AH2318" s="3946"/>
    </row>
    <row r="2319" spans="1:34" s="2117" customFormat="1" ht="51">
      <c r="A2319" s="385"/>
      <c r="B2319" s="384"/>
      <c r="C2319" s="3852">
        <v>5</v>
      </c>
      <c r="D2319" s="3853" t="s">
        <v>107</v>
      </c>
      <c r="E2319" s="3853" t="s">
        <v>66</v>
      </c>
      <c r="F2319" s="3853" t="s">
        <v>155</v>
      </c>
      <c r="G2319" s="3853" t="s">
        <v>66</v>
      </c>
      <c r="H2319" s="3853" t="s">
        <v>376</v>
      </c>
      <c r="I2319" s="384" t="s">
        <v>4346</v>
      </c>
      <c r="J2319" s="384" t="s">
        <v>4347</v>
      </c>
      <c r="K2319" s="3855">
        <v>72</v>
      </c>
      <c r="L2319" s="3856">
        <v>297880000</v>
      </c>
      <c r="M2319" s="3855">
        <v>24</v>
      </c>
      <c r="N2319" s="3856">
        <v>75440000</v>
      </c>
      <c r="O2319" s="3855">
        <v>12</v>
      </c>
      <c r="P2319" s="2278">
        <v>57280000</v>
      </c>
      <c r="Q2319" s="2668">
        <v>3</v>
      </c>
      <c r="R2319" s="3856">
        <v>16360000</v>
      </c>
      <c r="S2319" s="2685">
        <f t="shared" ref="S2319:S2320" si="921">T2319/P2319*100</f>
        <v>43.662709497206706</v>
      </c>
      <c r="T2319" s="3856">
        <v>25010000</v>
      </c>
      <c r="U2319" s="2668">
        <v>3</v>
      </c>
      <c r="V2319" s="3856">
        <v>15855000</v>
      </c>
      <c r="W2319" s="3855"/>
      <c r="X2319" s="3855"/>
      <c r="Y2319" s="3855">
        <f t="shared" si="915"/>
        <v>49.662709497206706</v>
      </c>
      <c r="Z2319" s="3959">
        <f t="shared" si="915"/>
        <v>57225000</v>
      </c>
      <c r="AA2319" s="3855">
        <f t="shared" si="917"/>
        <v>73.662709497206706</v>
      </c>
      <c r="AB2319" s="3856">
        <f t="shared" si="917"/>
        <v>132665000</v>
      </c>
      <c r="AC2319" s="3860">
        <f t="shared" si="918"/>
        <v>102.30931874612041</v>
      </c>
      <c r="AD2319" s="3860">
        <f t="shared" si="919"/>
        <v>44.536390492815897</v>
      </c>
      <c r="AE2319" s="1374" t="s">
        <v>4328</v>
      </c>
      <c r="AG2319" s="3946"/>
      <c r="AH2319" s="3946"/>
    </row>
    <row r="2320" spans="1:34" s="2117" customFormat="1" ht="79.5" customHeight="1">
      <c r="A2320" s="385"/>
      <c r="B2320" s="384"/>
      <c r="C2320" s="3852">
        <v>5</v>
      </c>
      <c r="D2320" s="3853" t="s">
        <v>107</v>
      </c>
      <c r="E2320" s="3853" t="s">
        <v>66</v>
      </c>
      <c r="F2320" s="3853" t="s">
        <v>155</v>
      </c>
      <c r="G2320" s="3853" t="s">
        <v>66</v>
      </c>
      <c r="H2320" s="3853" t="s">
        <v>163</v>
      </c>
      <c r="I2320" s="384" t="s">
        <v>4245</v>
      </c>
      <c r="J2320" s="384" t="s">
        <v>4348</v>
      </c>
      <c r="K2320" s="3855">
        <v>72</v>
      </c>
      <c r="L2320" s="3856">
        <v>32500000</v>
      </c>
      <c r="M2320" s="3855">
        <v>24</v>
      </c>
      <c r="N2320" s="3856">
        <v>0</v>
      </c>
      <c r="O2320" s="3855">
        <v>12</v>
      </c>
      <c r="P2320" s="2278">
        <v>7050000</v>
      </c>
      <c r="Q2320" s="2668">
        <v>3</v>
      </c>
      <c r="R2320" s="3856">
        <v>750000</v>
      </c>
      <c r="S2320" s="2685">
        <f t="shared" si="921"/>
        <v>42.553191489361701</v>
      </c>
      <c r="T2320" s="3856">
        <v>3000000</v>
      </c>
      <c r="U2320" s="2668">
        <v>3</v>
      </c>
      <c r="V2320" s="3856">
        <v>1430000</v>
      </c>
      <c r="W2320" s="3855"/>
      <c r="X2320" s="3855"/>
      <c r="Y2320" s="3855">
        <f t="shared" si="915"/>
        <v>48.553191489361701</v>
      </c>
      <c r="Z2320" s="3959">
        <f t="shared" si="915"/>
        <v>5180000</v>
      </c>
      <c r="AA2320" s="3855">
        <f>M2320+Y2320</f>
        <v>72.553191489361694</v>
      </c>
      <c r="AB2320" s="3856">
        <f t="shared" si="917"/>
        <v>5180000</v>
      </c>
      <c r="AC2320" s="3860">
        <f t="shared" si="918"/>
        <v>100.76832151300235</v>
      </c>
      <c r="AD2320" s="3860">
        <f t="shared" si="919"/>
        <v>15.938461538461537</v>
      </c>
      <c r="AE2320" s="1374" t="s">
        <v>4328</v>
      </c>
      <c r="AG2320" s="3946"/>
      <c r="AH2320" s="3946"/>
    </row>
    <row r="2321" spans="1:34" s="3964" customFormat="1" ht="132">
      <c r="A2321" s="3657">
        <v>2</v>
      </c>
      <c r="B2321" s="3835" t="s">
        <v>4349</v>
      </c>
      <c r="C2321" s="3657">
        <v>5</v>
      </c>
      <c r="D2321" s="3659" t="s">
        <v>107</v>
      </c>
      <c r="E2321" s="3659" t="s">
        <v>66</v>
      </c>
      <c r="F2321" s="3659" t="s">
        <v>155</v>
      </c>
      <c r="G2321" s="3659" t="s">
        <v>65</v>
      </c>
      <c r="H2321" s="3657"/>
      <c r="I2321" s="3660" t="s">
        <v>4350</v>
      </c>
      <c r="J2321" s="3660" t="s">
        <v>4351</v>
      </c>
      <c r="K2321" s="3661">
        <v>100</v>
      </c>
      <c r="L2321" s="3662">
        <f>SUM(L2322:L2328)</f>
        <v>970720000</v>
      </c>
      <c r="M2321" s="3661">
        <v>32</v>
      </c>
      <c r="N2321" s="3662">
        <f>SUM(N2322:N2328)</f>
        <v>131313916</v>
      </c>
      <c r="O2321" s="3661">
        <v>18</v>
      </c>
      <c r="P2321" s="3662">
        <f>SUM(P2322:P2328)</f>
        <v>57925000</v>
      </c>
      <c r="Q2321" s="3664">
        <v>9</v>
      </c>
      <c r="R2321" s="3662">
        <f>SUM(R2322:R2328)</f>
        <v>18726300</v>
      </c>
      <c r="S2321" s="3664">
        <v>9</v>
      </c>
      <c r="T2321" s="3662">
        <f>SUM(T2322:T2328)</f>
        <v>19635100</v>
      </c>
      <c r="U2321" s="3664">
        <v>0</v>
      </c>
      <c r="V2321" s="3662">
        <f>SUM(V2322:V2328)</f>
        <v>1836850</v>
      </c>
      <c r="W2321" s="3661"/>
      <c r="X2321" s="3661"/>
      <c r="Y2321" s="3664">
        <f>Q2321+S2321+U2321+W2321</f>
        <v>18</v>
      </c>
      <c r="Z2321" s="3662">
        <f>SUM(Z2322:Z2328)</f>
        <v>40198250</v>
      </c>
      <c r="AA2321" s="3661">
        <f>M2321+Y2321</f>
        <v>50</v>
      </c>
      <c r="AB2321" s="3662">
        <f>SUM(AB2322:AB2328)</f>
        <v>171512166</v>
      </c>
      <c r="AC2321" s="3664">
        <f>(AA2321/K2321)*100</f>
        <v>50</v>
      </c>
      <c r="AD2321" s="3664">
        <f>(AB2321/L2321)*100</f>
        <v>17.668551796604582</v>
      </c>
      <c r="AE2321" s="3660" t="s">
        <v>4328</v>
      </c>
      <c r="AG2321" s="3965"/>
      <c r="AH2321" s="3965"/>
    </row>
    <row r="2322" spans="1:34" s="3944" customFormat="1" ht="51">
      <c r="A2322" s="385"/>
      <c r="B2322" s="384"/>
      <c r="C2322" s="3852">
        <v>5</v>
      </c>
      <c r="D2322" s="3853" t="s">
        <v>107</v>
      </c>
      <c r="E2322" s="3853" t="s">
        <v>66</v>
      </c>
      <c r="F2322" s="3853" t="s">
        <v>155</v>
      </c>
      <c r="G2322" s="3853" t="s">
        <v>65</v>
      </c>
      <c r="H2322" s="3853" t="s">
        <v>198</v>
      </c>
      <c r="I2322" s="384" t="s">
        <v>4248</v>
      </c>
      <c r="J2322" s="384" t="s">
        <v>4352</v>
      </c>
      <c r="K2322" s="385">
        <v>45</v>
      </c>
      <c r="L2322" s="386">
        <v>225000000</v>
      </c>
      <c r="M2322" s="385">
        <v>16</v>
      </c>
      <c r="N2322" s="386">
        <v>17550000</v>
      </c>
      <c r="O2322" s="385">
        <v>0</v>
      </c>
      <c r="P2322" s="387">
        <v>0</v>
      </c>
      <c r="Q2322" s="3645">
        <v>0</v>
      </c>
      <c r="R2322" s="386">
        <v>0</v>
      </c>
      <c r="S2322" s="1389">
        <v>0</v>
      </c>
      <c r="T2322" s="386">
        <v>0</v>
      </c>
      <c r="U2322" s="3645">
        <v>0</v>
      </c>
      <c r="V2322" s="385">
        <v>0</v>
      </c>
      <c r="W2322" s="385"/>
      <c r="X2322" s="385"/>
      <c r="Y2322" s="3645">
        <f t="shared" ref="Y2322:Z2328" si="922">Q2322+S2322+U2322+W2322</f>
        <v>0</v>
      </c>
      <c r="Z2322" s="386">
        <f>R2322+T2322+V2322+X2322</f>
        <v>0</v>
      </c>
      <c r="AA2322" s="385">
        <f t="shared" ref="AA2322:AB2328" si="923">M2322+Y2322</f>
        <v>16</v>
      </c>
      <c r="AB2322" s="386">
        <f>N2322+Z2322</f>
        <v>17550000</v>
      </c>
      <c r="AC2322" s="389">
        <f>(AA2322/K2322)*100</f>
        <v>35.555555555555557</v>
      </c>
      <c r="AD2322" s="389">
        <f>(AB2322/L2322)*100</f>
        <v>7.8</v>
      </c>
      <c r="AE2322" s="2516" t="s">
        <v>4328</v>
      </c>
      <c r="AG2322" s="3946"/>
      <c r="AH2322" s="3946"/>
    </row>
    <row r="2323" spans="1:34" s="3944" customFormat="1" ht="38.25">
      <c r="A2323" s="385"/>
      <c r="B2323" s="384"/>
      <c r="C2323" s="3852">
        <v>5</v>
      </c>
      <c r="D2323" s="3853" t="s">
        <v>107</v>
      </c>
      <c r="E2323" s="3853" t="s">
        <v>66</v>
      </c>
      <c r="F2323" s="3853" t="s">
        <v>155</v>
      </c>
      <c r="G2323" s="3853" t="s">
        <v>65</v>
      </c>
      <c r="H2323" s="3853" t="s">
        <v>201</v>
      </c>
      <c r="I2323" s="384" t="s">
        <v>454</v>
      </c>
      <c r="J2323" s="384" t="s">
        <v>4353</v>
      </c>
      <c r="K2323" s="385">
        <v>20</v>
      </c>
      <c r="L2323" s="386">
        <v>135000000</v>
      </c>
      <c r="M2323" s="385">
        <v>5</v>
      </c>
      <c r="N2323" s="386">
        <v>39865000</v>
      </c>
      <c r="O2323" s="385">
        <v>1</v>
      </c>
      <c r="P2323" s="387">
        <v>27500000</v>
      </c>
      <c r="Q2323" s="3645">
        <v>0</v>
      </c>
      <c r="R2323" s="386">
        <v>7000000</v>
      </c>
      <c r="S2323" s="3645">
        <v>0</v>
      </c>
      <c r="T2323" s="386">
        <v>9950000</v>
      </c>
      <c r="U2323" s="3645">
        <v>1</v>
      </c>
      <c r="V2323" s="386">
        <v>0</v>
      </c>
      <c r="W2323" s="385"/>
      <c r="X2323" s="385"/>
      <c r="Y2323" s="3645">
        <f t="shared" si="922"/>
        <v>1</v>
      </c>
      <c r="Z2323" s="386">
        <f t="shared" si="922"/>
        <v>16950000</v>
      </c>
      <c r="AA2323" s="389">
        <f t="shared" si="923"/>
        <v>6</v>
      </c>
      <c r="AB2323" s="386">
        <f t="shared" si="923"/>
        <v>56815000</v>
      </c>
      <c r="AC2323" s="389">
        <f t="shared" ref="AC2323:AD2328" si="924">(AA2323/K2323)*100</f>
        <v>30</v>
      </c>
      <c r="AD2323" s="389">
        <f>(AB2323/L2323)*100</f>
        <v>42.085185185185189</v>
      </c>
      <c r="AE2323" s="2516" t="s">
        <v>4328</v>
      </c>
      <c r="AG2323" s="3946"/>
      <c r="AH2323" s="3946"/>
    </row>
    <row r="2324" spans="1:34" s="3944" customFormat="1" ht="38.25">
      <c r="A2324" s="385"/>
      <c r="B2324" s="384"/>
      <c r="C2324" s="3852">
        <v>5</v>
      </c>
      <c r="D2324" s="3853" t="s">
        <v>107</v>
      </c>
      <c r="E2324" s="3853" t="s">
        <v>66</v>
      </c>
      <c r="F2324" s="3853" t="s">
        <v>155</v>
      </c>
      <c r="G2324" s="3853" t="s">
        <v>65</v>
      </c>
      <c r="H2324" s="3853" t="s">
        <v>197</v>
      </c>
      <c r="I2324" s="384" t="s">
        <v>4354</v>
      </c>
      <c r="J2324" s="384" t="s">
        <v>4355</v>
      </c>
      <c r="K2324" s="385">
        <v>20</v>
      </c>
      <c r="L2324" s="386">
        <v>126000000</v>
      </c>
      <c r="M2324" s="385">
        <v>5</v>
      </c>
      <c r="N2324" s="386">
        <v>25000000</v>
      </c>
      <c r="O2324" s="385">
        <v>1</v>
      </c>
      <c r="P2324" s="387">
        <v>2000000</v>
      </c>
      <c r="Q2324" s="3645">
        <f t="shared" ref="Q2324:Q2325" si="925">R2324/P2324*100</f>
        <v>0</v>
      </c>
      <c r="R2324" s="386">
        <v>0</v>
      </c>
      <c r="S2324" s="1389">
        <f t="shared" ref="S2324" si="926">T2324/P2324*100</f>
        <v>0</v>
      </c>
      <c r="T2324" s="386">
        <v>0</v>
      </c>
      <c r="U2324" s="3645">
        <f t="shared" ref="U2324" si="927">V2324/P2324*100</f>
        <v>0</v>
      </c>
      <c r="V2324" s="386">
        <v>0</v>
      </c>
      <c r="W2324" s="385"/>
      <c r="X2324" s="385"/>
      <c r="Y2324" s="3645">
        <f t="shared" si="922"/>
        <v>0</v>
      </c>
      <c r="Z2324" s="386">
        <f t="shared" si="922"/>
        <v>0</v>
      </c>
      <c r="AA2324" s="389">
        <f t="shared" si="923"/>
        <v>5</v>
      </c>
      <c r="AB2324" s="386">
        <f t="shared" si="923"/>
        <v>25000000</v>
      </c>
      <c r="AC2324" s="389">
        <f t="shared" si="924"/>
        <v>25</v>
      </c>
      <c r="AD2324" s="389">
        <f t="shared" si="924"/>
        <v>19.841269841269842</v>
      </c>
      <c r="AE2324" s="2516" t="s">
        <v>4328</v>
      </c>
      <c r="AG2324" s="3946"/>
      <c r="AH2324" s="3946"/>
    </row>
    <row r="2325" spans="1:34" s="3944" customFormat="1" ht="64.5" customHeight="1">
      <c r="A2325" s="385"/>
      <c r="B2325" s="384"/>
      <c r="C2325" s="3852">
        <v>5</v>
      </c>
      <c r="D2325" s="3853" t="s">
        <v>107</v>
      </c>
      <c r="E2325" s="3853" t="s">
        <v>66</v>
      </c>
      <c r="F2325" s="3853" t="s">
        <v>155</v>
      </c>
      <c r="G2325" s="3853" t="s">
        <v>65</v>
      </c>
      <c r="H2325" s="3853" t="s">
        <v>67</v>
      </c>
      <c r="I2325" s="384" t="s">
        <v>4356</v>
      </c>
      <c r="J2325" s="384" t="s">
        <v>4357</v>
      </c>
      <c r="K2325" s="385">
        <v>6</v>
      </c>
      <c r="L2325" s="386">
        <v>105720000</v>
      </c>
      <c r="M2325" s="385">
        <v>1</v>
      </c>
      <c r="N2325" s="386">
        <v>23013656</v>
      </c>
      <c r="O2325" s="385">
        <v>1</v>
      </c>
      <c r="P2325" s="387">
        <v>2000000</v>
      </c>
      <c r="Q2325" s="3645">
        <f t="shared" si="925"/>
        <v>0</v>
      </c>
      <c r="R2325" s="386">
        <v>0</v>
      </c>
      <c r="S2325" s="1389">
        <v>0.5</v>
      </c>
      <c r="T2325" s="386">
        <v>240000</v>
      </c>
      <c r="U2325" s="3645">
        <v>0.5</v>
      </c>
      <c r="V2325" s="386">
        <v>485000</v>
      </c>
      <c r="W2325" s="385"/>
      <c r="X2325" s="385"/>
      <c r="Y2325" s="3645">
        <f t="shared" si="922"/>
        <v>1</v>
      </c>
      <c r="Z2325" s="386">
        <f t="shared" si="922"/>
        <v>725000</v>
      </c>
      <c r="AA2325" s="389">
        <f t="shared" si="923"/>
        <v>2</v>
      </c>
      <c r="AB2325" s="386">
        <f t="shared" si="923"/>
        <v>23738656</v>
      </c>
      <c r="AC2325" s="389">
        <f t="shared" si="924"/>
        <v>33.333333333333329</v>
      </c>
      <c r="AD2325" s="389">
        <f t="shared" si="924"/>
        <v>22.454271660991299</v>
      </c>
      <c r="AE2325" s="2516" t="s">
        <v>4328</v>
      </c>
      <c r="AG2325" s="3946"/>
      <c r="AH2325" s="3946"/>
    </row>
    <row r="2326" spans="1:34" s="3944" customFormat="1" ht="64.5" customHeight="1">
      <c r="A2326" s="385"/>
      <c r="B2326" s="384"/>
      <c r="C2326" s="3852">
        <v>5</v>
      </c>
      <c r="D2326" s="3853" t="s">
        <v>107</v>
      </c>
      <c r="E2326" s="3853" t="s">
        <v>66</v>
      </c>
      <c r="F2326" s="3853" t="s">
        <v>155</v>
      </c>
      <c r="G2326" s="3853" t="s">
        <v>65</v>
      </c>
      <c r="H2326" s="3853" t="s">
        <v>163</v>
      </c>
      <c r="I2326" s="384" t="s">
        <v>1301</v>
      </c>
      <c r="J2326" s="384" t="s">
        <v>4358</v>
      </c>
      <c r="K2326" s="385">
        <v>6</v>
      </c>
      <c r="L2326" s="386">
        <v>55000000</v>
      </c>
      <c r="M2326" s="385">
        <v>1</v>
      </c>
      <c r="N2326" s="386">
        <v>0</v>
      </c>
      <c r="O2326" s="385">
        <v>1</v>
      </c>
      <c r="P2326" s="387">
        <v>3000000</v>
      </c>
      <c r="Q2326" s="3645">
        <v>1</v>
      </c>
      <c r="R2326" s="386">
        <v>2456900</v>
      </c>
      <c r="S2326" s="1389">
        <v>0</v>
      </c>
      <c r="T2326" s="386">
        <v>541000</v>
      </c>
      <c r="U2326" s="3645">
        <v>0</v>
      </c>
      <c r="V2326" s="386">
        <v>0</v>
      </c>
      <c r="W2326" s="385"/>
      <c r="X2326" s="385"/>
      <c r="Y2326" s="3645">
        <f t="shared" si="922"/>
        <v>1</v>
      </c>
      <c r="Z2326" s="386">
        <f t="shared" si="922"/>
        <v>2997900</v>
      </c>
      <c r="AA2326" s="389">
        <f t="shared" si="923"/>
        <v>2</v>
      </c>
      <c r="AB2326" s="386">
        <f t="shared" si="923"/>
        <v>2997900</v>
      </c>
      <c r="AC2326" s="389">
        <f t="shared" si="924"/>
        <v>33.333333333333329</v>
      </c>
      <c r="AD2326" s="389">
        <f t="shared" si="924"/>
        <v>5.4507272727272733</v>
      </c>
      <c r="AE2326" s="2516" t="s">
        <v>4328</v>
      </c>
      <c r="AG2326" s="3946"/>
      <c r="AH2326" s="3946"/>
    </row>
    <row r="2327" spans="1:34" s="3944" customFormat="1" ht="51">
      <c r="A2327" s="385"/>
      <c r="B2327" s="384"/>
      <c r="C2327" s="3852">
        <v>5</v>
      </c>
      <c r="D2327" s="3853" t="s">
        <v>107</v>
      </c>
      <c r="E2327" s="3853" t="s">
        <v>66</v>
      </c>
      <c r="F2327" s="3853" t="s">
        <v>155</v>
      </c>
      <c r="G2327" s="3853" t="s">
        <v>65</v>
      </c>
      <c r="H2327" s="3853" t="s">
        <v>165</v>
      </c>
      <c r="I2327" s="384" t="s">
        <v>4359</v>
      </c>
      <c r="J2327" s="384" t="s">
        <v>4360</v>
      </c>
      <c r="K2327" s="385">
        <v>24</v>
      </c>
      <c r="L2327" s="386">
        <v>275000000</v>
      </c>
      <c r="M2327" s="385">
        <v>4</v>
      </c>
      <c r="N2327" s="386">
        <v>24597000</v>
      </c>
      <c r="O2327" s="385">
        <v>4</v>
      </c>
      <c r="P2327" s="387">
        <v>19425000</v>
      </c>
      <c r="Q2327" s="3645">
        <v>2</v>
      </c>
      <c r="R2327" s="386">
        <v>8424400</v>
      </c>
      <c r="S2327" s="1389">
        <v>2</v>
      </c>
      <c r="T2327" s="386">
        <v>7939100</v>
      </c>
      <c r="U2327" s="3645">
        <v>0</v>
      </c>
      <c r="V2327" s="386">
        <v>911850</v>
      </c>
      <c r="W2327" s="385"/>
      <c r="X2327" s="385"/>
      <c r="Y2327" s="3645">
        <f t="shared" si="922"/>
        <v>4</v>
      </c>
      <c r="Z2327" s="386">
        <f t="shared" si="922"/>
        <v>17275350</v>
      </c>
      <c r="AA2327" s="389">
        <f t="shared" si="923"/>
        <v>8</v>
      </c>
      <c r="AB2327" s="386">
        <f t="shared" si="923"/>
        <v>41872350</v>
      </c>
      <c r="AC2327" s="389">
        <f t="shared" si="924"/>
        <v>33.333333333333329</v>
      </c>
      <c r="AD2327" s="389">
        <f t="shared" si="924"/>
        <v>15.226309090909091</v>
      </c>
      <c r="AE2327" s="2516" t="s">
        <v>4328</v>
      </c>
      <c r="AG2327" s="3946"/>
      <c r="AH2327" s="3946"/>
    </row>
    <row r="2328" spans="1:34" s="3944" customFormat="1" ht="51">
      <c r="A2328" s="385"/>
      <c r="B2328" s="384"/>
      <c r="C2328" s="3852">
        <v>5</v>
      </c>
      <c r="D2328" s="3853" t="s">
        <v>107</v>
      </c>
      <c r="E2328" s="3853" t="s">
        <v>66</v>
      </c>
      <c r="F2328" s="3853" t="s">
        <v>155</v>
      </c>
      <c r="G2328" s="3853" t="s">
        <v>65</v>
      </c>
      <c r="H2328" s="3853" t="s">
        <v>178</v>
      </c>
      <c r="I2328" s="384" t="s">
        <v>4361</v>
      </c>
      <c r="J2328" s="384" t="s">
        <v>4362</v>
      </c>
      <c r="K2328" s="385">
        <v>96</v>
      </c>
      <c r="L2328" s="386">
        <v>49000000</v>
      </c>
      <c r="M2328" s="385">
        <v>12</v>
      </c>
      <c r="N2328" s="386">
        <v>1288260</v>
      </c>
      <c r="O2328" s="385">
        <v>13</v>
      </c>
      <c r="P2328" s="387">
        <v>4000000</v>
      </c>
      <c r="Q2328" s="3645">
        <v>3</v>
      </c>
      <c r="R2328" s="386">
        <v>845000</v>
      </c>
      <c r="S2328" s="1389">
        <v>3</v>
      </c>
      <c r="T2328" s="386">
        <v>965000</v>
      </c>
      <c r="U2328" s="3645">
        <v>2</v>
      </c>
      <c r="V2328" s="386">
        <v>440000</v>
      </c>
      <c r="W2328" s="385"/>
      <c r="X2328" s="385"/>
      <c r="Y2328" s="3645">
        <f t="shared" si="922"/>
        <v>8</v>
      </c>
      <c r="Z2328" s="386">
        <f>R2328+T2328+V2328+X2328</f>
        <v>2250000</v>
      </c>
      <c r="AA2328" s="385">
        <f t="shared" si="923"/>
        <v>20</v>
      </c>
      <c r="AB2328" s="386">
        <f t="shared" si="923"/>
        <v>3538260</v>
      </c>
      <c r="AC2328" s="389">
        <f t="shared" si="924"/>
        <v>20.833333333333336</v>
      </c>
      <c r="AD2328" s="389">
        <f>(AB2328/L2328)*100</f>
        <v>7.2209387755102039</v>
      </c>
      <c r="AE2328" s="2516" t="s">
        <v>4328</v>
      </c>
      <c r="AG2328" s="3946"/>
      <c r="AH2328" s="3946"/>
    </row>
    <row r="2329" spans="1:34" s="3964" customFormat="1" ht="60.75" customHeight="1">
      <c r="A2329" s="3657">
        <v>3</v>
      </c>
      <c r="B2329" s="3835" t="s">
        <v>4363</v>
      </c>
      <c r="C2329" s="3657">
        <v>5</v>
      </c>
      <c r="D2329" s="3659" t="s">
        <v>107</v>
      </c>
      <c r="E2329" s="3659" t="s">
        <v>66</v>
      </c>
      <c r="F2329" s="3659" t="s">
        <v>155</v>
      </c>
      <c r="G2329" s="3659" t="s">
        <v>448</v>
      </c>
      <c r="H2329" s="3657"/>
      <c r="I2329" s="3660" t="s">
        <v>4364</v>
      </c>
      <c r="J2329" s="3660" t="s">
        <v>4365</v>
      </c>
      <c r="K2329" s="3661">
        <v>100</v>
      </c>
      <c r="L2329" s="3662">
        <f>SUM(L2330:L2330)</f>
        <v>155604840</v>
      </c>
      <c r="M2329" s="3661">
        <v>32</v>
      </c>
      <c r="N2329" s="3662">
        <f>SUM(N2330:N2330)</f>
        <v>24197920</v>
      </c>
      <c r="O2329" s="3661">
        <v>18</v>
      </c>
      <c r="P2329" s="3662">
        <f>SUM(P2330:P2330)</f>
        <v>26830000</v>
      </c>
      <c r="Q2329" s="3661">
        <v>0</v>
      </c>
      <c r="R2329" s="3662">
        <f>SUM(R2330:R2330)</f>
        <v>0</v>
      </c>
      <c r="S2329" s="3661"/>
      <c r="T2329" s="3661"/>
      <c r="U2329" s="3661">
        <v>18</v>
      </c>
      <c r="V2329" s="3662">
        <f>V2330</f>
        <v>9650000</v>
      </c>
      <c r="W2329" s="3661"/>
      <c r="X2329" s="3661"/>
      <c r="Y2329" s="3661">
        <f t="shared" ref="Y2329:Y2334" si="928">Q2329+S2329+U2329+W2329</f>
        <v>18</v>
      </c>
      <c r="Z2329" s="3662">
        <f>SUM(Z2330:Z2330)</f>
        <v>9650000</v>
      </c>
      <c r="AA2329" s="3661">
        <f t="shared" ref="AA2329:AA2334" si="929">M2329+Y2329</f>
        <v>50</v>
      </c>
      <c r="AB2329" s="3662">
        <f>SUM(AB2330:AB2330)</f>
        <v>33847920</v>
      </c>
      <c r="AC2329" s="3664">
        <f t="shared" ref="AC2329:AC2334" si="930">(AA2329/K2329)*100</f>
        <v>50</v>
      </c>
      <c r="AD2329" s="3664">
        <f t="shared" ref="AD2329:AD2332" si="931">(AB2329/L2329)*100</f>
        <v>21.752485334003747</v>
      </c>
      <c r="AE2329" s="3660" t="s">
        <v>4328</v>
      </c>
      <c r="AG2329" s="3965"/>
      <c r="AH2329" s="3965"/>
    </row>
    <row r="2330" spans="1:34" s="2117" customFormat="1" ht="25.5">
      <c r="A2330" s="64"/>
      <c r="B2330" s="2632"/>
      <c r="C2330" s="3852">
        <v>5</v>
      </c>
      <c r="D2330" s="3853" t="s">
        <v>107</v>
      </c>
      <c r="E2330" s="3853" t="s">
        <v>66</v>
      </c>
      <c r="F2330" s="3853" t="s">
        <v>155</v>
      </c>
      <c r="G2330" s="3853" t="s">
        <v>448</v>
      </c>
      <c r="H2330" s="3853" t="s">
        <v>197</v>
      </c>
      <c r="I2330" s="2632" t="s">
        <v>4366</v>
      </c>
      <c r="J2330" s="2632" t="s">
        <v>4367</v>
      </c>
      <c r="K2330" s="2632">
        <v>6</v>
      </c>
      <c r="L2330" s="1731">
        <v>155604840</v>
      </c>
      <c r="M2330" s="2632">
        <v>1</v>
      </c>
      <c r="N2330" s="1731">
        <v>24197920</v>
      </c>
      <c r="O2330" s="2632">
        <v>1</v>
      </c>
      <c r="P2330" s="1731">
        <v>26830000</v>
      </c>
      <c r="Q2330" s="2632">
        <v>0</v>
      </c>
      <c r="R2330" s="1731">
        <v>0</v>
      </c>
      <c r="S2330" s="2632"/>
      <c r="T2330" s="2632"/>
      <c r="U2330" s="616">
        <v>1</v>
      </c>
      <c r="V2330" s="1731">
        <v>9650000</v>
      </c>
      <c r="W2330" s="2632"/>
      <c r="X2330" s="2632"/>
      <c r="Y2330" s="2632">
        <f t="shared" si="928"/>
        <v>1</v>
      </c>
      <c r="Z2330" s="386">
        <f>R2330+T2330+V2330+X2330</f>
        <v>9650000</v>
      </c>
      <c r="AA2330" s="2632">
        <f t="shared" si="929"/>
        <v>2</v>
      </c>
      <c r="AB2330" s="386">
        <f t="shared" ref="AB2330" si="932">N2330+Z2330</f>
        <v>33847920</v>
      </c>
      <c r="AC2330" s="2305">
        <f t="shared" si="930"/>
        <v>33.333333333333329</v>
      </c>
      <c r="AD2330" s="2305">
        <f t="shared" si="931"/>
        <v>21.752485334003747</v>
      </c>
      <c r="AE2330" s="1374" t="s">
        <v>4328</v>
      </c>
      <c r="AG2330" s="3946"/>
      <c r="AH2330" s="3946"/>
    </row>
    <row r="2331" spans="1:34" s="3964" customFormat="1" ht="94.5" customHeight="1">
      <c r="A2331" s="3657">
        <v>4</v>
      </c>
      <c r="B2331" s="3835" t="s">
        <v>4368</v>
      </c>
      <c r="C2331" s="3657">
        <v>5</v>
      </c>
      <c r="D2331" s="3659" t="s">
        <v>107</v>
      </c>
      <c r="E2331" s="3659" t="s">
        <v>66</v>
      </c>
      <c r="F2331" s="3659" t="s">
        <v>155</v>
      </c>
      <c r="G2331" s="3659" t="s">
        <v>155</v>
      </c>
      <c r="H2331" s="3657"/>
      <c r="I2331" s="3660" t="s">
        <v>4369</v>
      </c>
      <c r="J2331" s="3660" t="s">
        <v>4370</v>
      </c>
      <c r="K2331" s="3661">
        <v>100</v>
      </c>
      <c r="L2331" s="3662">
        <f>SUM(L2332:L2332)</f>
        <v>87568750</v>
      </c>
      <c r="M2331" s="3661">
        <v>32</v>
      </c>
      <c r="N2331" s="3662">
        <f>SUM(N2332:N2332)</f>
        <v>10122500</v>
      </c>
      <c r="O2331" s="3661">
        <v>18</v>
      </c>
      <c r="P2331" s="3662">
        <f>SUM(P2332:P2332)</f>
        <v>12447500</v>
      </c>
      <c r="Q2331" s="3661">
        <v>0</v>
      </c>
      <c r="R2331" s="3662">
        <f>SUM(R2332:R2332)</f>
        <v>0</v>
      </c>
      <c r="S2331" s="3661">
        <v>18</v>
      </c>
      <c r="T2331" s="3662">
        <f>T2332</f>
        <v>12183200</v>
      </c>
      <c r="U2331" s="3952">
        <f>V2331/P2331*100</f>
        <v>0</v>
      </c>
      <c r="V2331" s="3662">
        <f>V2332</f>
        <v>0</v>
      </c>
      <c r="W2331" s="3661"/>
      <c r="X2331" s="3661"/>
      <c r="Y2331" s="3661">
        <f t="shared" si="928"/>
        <v>18</v>
      </c>
      <c r="Z2331" s="3662">
        <f>SUM(Z2332:Z2332)</f>
        <v>12183200</v>
      </c>
      <c r="AA2331" s="3661">
        <f t="shared" si="929"/>
        <v>50</v>
      </c>
      <c r="AB2331" s="3662">
        <f>SUM(AB2332:AB2332)</f>
        <v>22305700</v>
      </c>
      <c r="AC2331" s="3664">
        <f t="shared" si="930"/>
        <v>50</v>
      </c>
      <c r="AD2331" s="3664">
        <f t="shared" si="931"/>
        <v>25.472214688459065</v>
      </c>
      <c r="AE2331" s="3660" t="s">
        <v>4328</v>
      </c>
      <c r="AG2331" s="3965"/>
      <c r="AH2331" s="3965"/>
    </row>
    <row r="2332" spans="1:34" s="2117" customFormat="1" ht="63.75">
      <c r="A2332" s="64"/>
      <c r="B2332" s="2632"/>
      <c r="C2332" s="3852">
        <v>5</v>
      </c>
      <c r="D2332" s="3853" t="s">
        <v>107</v>
      </c>
      <c r="E2332" s="3853" t="s">
        <v>66</v>
      </c>
      <c r="F2332" s="3853" t="s">
        <v>155</v>
      </c>
      <c r="G2332" s="3853" t="s">
        <v>155</v>
      </c>
      <c r="H2332" s="3853" t="s">
        <v>202</v>
      </c>
      <c r="I2332" s="2632" t="s">
        <v>4371</v>
      </c>
      <c r="J2332" s="2632" t="s">
        <v>4372</v>
      </c>
      <c r="K2332" s="2632">
        <v>6</v>
      </c>
      <c r="L2332" s="1731">
        <v>87568750</v>
      </c>
      <c r="M2332" s="2632">
        <v>1</v>
      </c>
      <c r="N2332" s="1731">
        <v>10122500</v>
      </c>
      <c r="O2332" s="2632">
        <v>1</v>
      </c>
      <c r="P2332" s="1731">
        <v>12447500</v>
      </c>
      <c r="Q2332" s="2632">
        <v>0</v>
      </c>
      <c r="R2332" s="1731">
        <v>0</v>
      </c>
      <c r="S2332" s="2632">
        <v>1</v>
      </c>
      <c r="T2332" s="1731">
        <v>12183200</v>
      </c>
      <c r="U2332" s="713">
        <f>V2332/P2332*100</f>
        <v>0</v>
      </c>
      <c r="V2332" s="1731">
        <v>0</v>
      </c>
      <c r="W2332" s="2632"/>
      <c r="X2332" s="2632"/>
      <c r="Y2332" s="385">
        <f t="shared" si="928"/>
        <v>1</v>
      </c>
      <c r="Z2332" s="386">
        <f>R2332+T2332+V2332+X2332</f>
        <v>12183200</v>
      </c>
      <c r="AA2332" s="385">
        <f t="shared" si="929"/>
        <v>2</v>
      </c>
      <c r="AB2332" s="386">
        <f t="shared" ref="AB2332" si="933">N2332+Z2332</f>
        <v>22305700</v>
      </c>
      <c r="AC2332" s="389">
        <f t="shared" si="930"/>
        <v>33.333333333333329</v>
      </c>
      <c r="AD2332" s="389">
        <f t="shared" si="931"/>
        <v>25.472214688459065</v>
      </c>
      <c r="AE2332" s="1374" t="s">
        <v>4328</v>
      </c>
      <c r="AG2332" s="3946"/>
      <c r="AH2332" s="3946"/>
    </row>
    <row r="2333" spans="1:34" s="3966" customFormat="1" ht="111.75" customHeight="1">
      <c r="A2333" s="3657">
        <v>6</v>
      </c>
      <c r="B2333" s="3835" t="s">
        <v>4377</v>
      </c>
      <c r="C2333" s="3657">
        <v>5</v>
      </c>
      <c r="D2333" s="3659" t="s">
        <v>107</v>
      </c>
      <c r="E2333" s="3659" t="s">
        <v>66</v>
      </c>
      <c r="F2333" s="3659" t="s">
        <v>155</v>
      </c>
      <c r="G2333" s="3659" t="s">
        <v>357</v>
      </c>
      <c r="H2333" s="3657"/>
      <c r="I2333" s="3660" t="s">
        <v>4378</v>
      </c>
      <c r="J2333" s="3660" t="s">
        <v>4379</v>
      </c>
      <c r="K2333" s="3661">
        <v>100</v>
      </c>
      <c r="L2333" s="3662">
        <f>SUM(L2334:L2334)</f>
        <v>116000000</v>
      </c>
      <c r="M2333" s="3661">
        <v>32</v>
      </c>
      <c r="N2333" s="3662">
        <f>SUM(N2334:N2334)</f>
        <v>21372500</v>
      </c>
      <c r="O2333" s="3661">
        <v>18</v>
      </c>
      <c r="P2333" s="3662">
        <f>SUM(P2334:P2334)</f>
        <v>21107500</v>
      </c>
      <c r="Q2333" s="3664">
        <v>4</v>
      </c>
      <c r="R2333" s="3662">
        <f>SUM(R2334:R2334)</f>
        <v>3100000</v>
      </c>
      <c r="S2333" s="3664">
        <v>4</v>
      </c>
      <c r="T2333" s="3662">
        <f>T2334</f>
        <v>5554200</v>
      </c>
      <c r="U2333" s="3664">
        <f>V2333/P2333*100</f>
        <v>0</v>
      </c>
      <c r="V2333" s="3662">
        <f>V2334</f>
        <v>0</v>
      </c>
      <c r="W2333" s="3661"/>
      <c r="X2333" s="3661"/>
      <c r="Y2333" s="3661">
        <f t="shared" si="928"/>
        <v>8</v>
      </c>
      <c r="Z2333" s="3662">
        <f>SUM(Z2334:Z2334)</f>
        <v>8654200</v>
      </c>
      <c r="AA2333" s="3661">
        <f t="shared" si="929"/>
        <v>40</v>
      </c>
      <c r="AB2333" s="3662">
        <f>SUM(AB2334:AB2334)</f>
        <v>30026700</v>
      </c>
      <c r="AC2333" s="3664">
        <f t="shared" si="930"/>
        <v>40</v>
      </c>
      <c r="AD2333" s="3664">
        <f t="shared" ref="AD2333:AD2343" si="934">(AB2333/L2333)*100</f>
        <v>25.885086206896553</v>
      </c>
      <c r="AE2333" s="3660" t="s">
        <v>4328</v>
      </c>
      <c r="AG2333" s="3965"/>
      <c r="AH2333" s="3965"/>
    </row>
    <row r="2334" spans="1:34" s="6" customFormat="1" ht="38.25">
      <c r="A2334" s="64"/>
      <c r="B2334" s="2632"/>
      <c r="C2334" s="3852">
        <v>5</v>
      </c>
      <c r="D2334" s="3853" t="s">
        <v>107</v>
      </c>
      <c r="E2334" s="3853" t="s">
        <v>66</v>
      </c>
      <c r="F2334" s="3853" t="s">
        <v>155</v>
      </c>
      <c r="G2334" s="3853" t="s">
        <v>357</v>
      </c>
      <c r="H2334" s="1715" t="s">
        <v>65</v>
      </c>
      <c r="I2334" s="2632" t="s">
        <v>4380</v>
      </c>
      <c r="J2334" s="2632" t="s">
        <v>4564</v>
      </c>
      <c r="K2334" s="2632">
        <v>60</v>
      </c>
      <c r="L2334" s="1731">
        <v>116000000</v>
      </c>
      <c r="M2334" s="2632">
        <v>7</v>
      </c>
      <c r="N2334" s="1731">
        <v>21372500</v>
      </c>
      <c r="O2334" s="2632">
        <v>10</v>
      </c>
      <c r="P2334" s="1731">
        <v>21107500</v>
      </c>
      <c r="Q2334" s="3963">
        <v>3</v>
      </c>
      <c r="R2334" s="1731">
        <v>3100000</v>
      </c>
      <c r="S2334" s="3963">
        <v>3</v>
      </c>
      <c r="T2334" s="1731">
        <v>5554200</v>
      </c>
      <c r="U2334" s="3963">
        <f>V2334/P2334*100</f>
        <v>0</v>
      </c>
      <c r="V2334" s="1731">
        <v>0</v>
      </c>
      <c r="W2334" s="2632"/>
      <c r="X2334" s="2632"/>
      <c r="Y2334" s="2632">
        <f t="shared" si="928"/>
        <v>6</v>
      </c>
      <c r="Z2334" s="386">
        <f>R2334+T2334+V2334+X2334</f>
        <v>8654200</v>
      </c>
      <c r="AA2334" s="2632">
        <f t="shared" si="929"/>
        <v>13</v>
      </c>
      <c r="AB2334" s="386">
        <f t="shared" ref="AB2334" si="935">N2334+Z2334</f>
        <v>30026700</v>
      </c>
      <c r="AC2334" s="2305">
        <f t="shared" si="930"/>
        <v>21.666666666666668</v>
      </c>
      <c r="AD2334" s="2305">
        <f t="shared" si="934"/>
        <v>25.885086206896553</v>
      </c>
      <c r="AE2334" s="1374" t="s">
        <v>4328</v>
      </c>
      <c r="AG2334" s="3946"/>
      <c r="AH2334" s="3946"/>
    </row>
    <row r="2335" spans="1:34" s="3964" customFormat="1" ht="95.25" customHeight="1">
      <c r="A2335" s="3657">
        <v>8</v>
      </c>
      <c r="B2335" s="3835" t="s">
        <v>4386</v>
      </c>
      <c r="C2335" s="3657">
        <v>5</v>
      </c>
      <c r="D2335" s="3659" t="s">
        <v>107</v>
      </c>
      <c r="E2335" s="3659" t="s">
        <v>66</v>
      </c>
      <c r="F2335" s="3659" t="s">
        <v>155</v>
      </c>
      <c r="G2335" s="3659" t="s">
        <v>1099</v>
      </c>
      <c r="H2335" s="3657"/>
      <c r="I2335" s="3660" t="s">
        <v>4387</v>
      </c>
      <c r="J2335" s="3660" t="s">
        <v>4388</v>
      </c>
      <c r="K2335" s="3661">
        <v>100</v>
      </c>
      <c r="L2335" s="3662">
        <f>SUM(L2336:L2341)</f>
        <v>743875180</v>
      </c>
      <c r="M2335" s="3661">
        <v>32</v>
      </c>
      <c r="N2335" s="3662">
        <f>SUM(N2336:N2341)</f>
        <v>90987740</v>
      </c>
      <c r="O2335" s="3661">
        <v>20</v>
      </c>
      <c r="P2335" s="3662">
        <f>SUM(P2336:P2341)</f>
        <v>67024266</v>
      </c>
      <c r="Q2335" s="3661">
        <v>2</v>
      </c>
      <c r="R2335" s="3662">
        <f>SUM(R2336:R2341)</f>
        <v>7600000</v>
      </c>
      <c r="S2335" s="3664">
        <v>5</v>
      </c>
      <c r="T2335" s="3662">
        <f>SUM(T2336:T2341)</f>
        <v>17098900</v>
      </c>
      <c r="U2335" s="3664">
        <v>2</v>
      </c>
      <c r="V2335" s="3662">
        <f>SUM(V2336:V2341)</f>
        <v>13730000</v>
      </c>
      <c r="W2335" s="3661"/>
      <c r="X2335" s="3661"/>
      <c r="Y2335" s="3661">
        <f>Q2335+S2335+U2335+W2335</f>
        <v>9</v>
      </c>
      <c r="Z2335" s="3662">
        <f>SUM(Z2336:Z2341)</f>
        <v>38428900</v>
      </c>
      <c r="AA2335" s="3661">
        <f>M2335+Y2335</f>
        <v>41</v>
      </c>
      <c r="AB2335" s="3662">
        <f>SUM(AB2336:AB2341)</f>
        <v>129416640</v>
      </c>
      <c r="AC2335" s="3664">
        <f>(AA2335/K2335)*100</f>
        <v>41</v>
      </c>
      <c r="AD2335" s="3664">
        <f t="shared" si="934"/>
        <v>17.397628456967741</v>
      </c>
      <c r="AE2335" s="3660" t="s">
        <v>4328</v>
      </c>
      <c r="AG2335" s="3965"/>
      <c r="AH2335" s="3965"/>
    </row>
    <row r="2336" spans="1:34" s="6" customFormat="1" ht="63" customHeight="1">
      <c r="A2336" s="385"/>
      <c r="B2336" s="384"/>
      <c r="C2336" s="3852">
        <v>5</v>
      </c>
      <c r="D2336" s="3853" t="s">
        <v>107</v>
      </c>
      <c r="E2336" s="3853" t="s">
        <v>66</v>
      </c>
      <c r="F2336" s="3853" t="s">
        <v>155</v>
      </c>
      <c r="G2336" s="3853" t="s">
        <v>1099</v>
      </c>
      <c r="H2336" s="3853" t="s">
        <v>66</v>
      </c>
      <c r="I2336" s="384" t="s">
        <v>4285</v>
      </c>
      <c r="J2336" s="384" t="s">
        <v>4389</v>
      </c>
      <c r="K2336" s="385">
        <v>60</v>
      </c>
      <c r="L2336" s="386">
        <v>285000000</v>
      </c>
      <c r="M2336" s="385">
        <v>10</v>
      </c>
      <c r="N2336" s="386">
        <v>42226260</v>
      </c>
      <c r="O2336" s="385">
        <v>10</v>
      </c>
      <c r="P2336" s="387">
        <v>29344400</v>
      </c>
      <c r="Q2336" s="1375">
        <v>0</v>
      </c>
      <c r="R2336" s="3644">
        <v>250000</v>
      </c>
      <c r="S2336" s="3963">
        <v>10</v>
      </c>
      <c r="T2336" s="3644">
        <v>12878900</v>
      </c>
      <c r="U2336" s="3963">
        <v>0</v>
      </c>
      <c r="V2336" s="386">
        <v>8550000</v>
      </c>
      <c r="W2336" s="385"/>
      <c r="X2336" s="385"/>
      <c r="Y2336" s="385">
        <f>Q2336+S2336+U2336+W2336</f>
        <v>10</v>
      </c>
      <c r="Z2336" s="386">
        <f t="shared" ref="Z2336:Z2341" si="936">R2336+T2336+V2336+X2336</f>
        <v>21678900</v>
      </c>
      <c r="AA2336" s="385">
        <f t="shared" ref="AA2336:AB2341" si="937">M2336+Y2336</f>
        <v>20</v>
      </c>
      <c r="AB2336" s="386">
        <f t="shared" si="937"/>
        <v>63905160</v>
      </c>
      <c r="AC2336" s="389">
        <f t="shared" ref="AC2336:AC2341" si="938">(AA2336/K2336)*100</f>
        <v>33.333333333333329</v>
      </c>
      <c r="AD2336" s="389">
        <f t="shared" si="934"/>
        <v>22.422863157894739</v>
      </c>
      <c r="AE2336" s="1374" t="s">
        <v>4328</v>
      </c>
      <c r="AG2336" s="3946"/>
      <c r="AH2336" s="3946"/>
    </row>
    <row r="2337" spans="1:76" s="6" customFormat="1" ht="38.25">
      <c r="A2337" s="385"/>
      <c r="B2337" s="384"/>
      <c r="C2337" s="3852">
        <v>5</v>
      </c>
      <c r="D2337" s="3853" t="s">
        <v>107</v>
      </c>
      <c r="E2337" s="3853" t="s">
        <v>66</v>
      </c>
      <c r="F2337" s="3853" t="s">
        <v>155</v>
      </c>
      <c r="G2337" s="3853" t="s">
        <v>1099</v>
      </c>
      <c r="H2337" s="3853" t="s">
        <v>65</v>
      </c>
      <c r="I2337" s="384" t="s">
        <v>4390</v>
      </c>
      <c r="J2337" s="384" t="s">
        <v>4391</v>
      </c>
      <c r="K2337" s="385">
        <v>6</v>
      </c>
      <c r="L2337" s="3875">
        <v>57375180</v>
      </c>
      <c r="M2337" s="385">
        <v>2</v>
      </c>
      <c r="N2337" s="386">
        <v>8371180</v>
      </c>
      <c r="O2337" s="385">
        <v>1</v>
      </c>
      <c r="P2337" s="387">
        <v>7614420</v>
      </c>
      <c r="Q2337" s="1375">
        <f t="shared" ref="Q2337:Q2341" si="939">R2337/P2337*100</f>
        <v>0</v>
      </c>
      <c r="R2337" s="3644">
        <v>0</v>
      </c>
      <c r="S2337" s="3963">
        <f t="shared" ref="S2337:S2338" si="940">T2337/P2337*100</f>
        <v>0</v>
      </c>
      <c r="T2337" s="3644">
        <v>0</v>
      </c>
      <c r="U2337" s="3963">
        <v>1</v>
      </c>
      <c r="V2337" s="386">
        <v>5180000</v>
      </c>
      <c r="W2337" s="385"/>
      <c r="X2337" s="385"/>
      <c r="Y2337" s="385">
        <f t="shared" ref="Y2337:Y2341" si="941">Q2337+S2337+U2337+W2337</f>
        <v>1</v>
      </c>
      <c r="Z2337" s="386">
        <f t="shared" si="936"/>
        <v>5180000</v>
      </c>
      <c r="AA2337" s="385">
        <f t="shared" si="937"/>
        <v>3</v>
      </c>
      <c r="AB2337" s="386">
        <f t="shared" si="937"/>
        <v>13551180</v>
      </c>
      <c r="AC2337" s="389">
        <f t="shared" si="938"/>
        <v>50</v>
      </c>
      <c r="AD2337" s="389">
        <f t="shared" si="934"/>
        <v>23.618540281703694</v>
      </c>
      <c r="AE2337" s="1374" t="s">
        <v>4328</v>
      </c>
      <c r="AG2337" s="3946"/>
      <c r="AH2337" s="3946"/>
    </row>
    <row r="2338" spans="1:76" s="6" customFormat="1" ht="63.75">
      <c r="A2338" s="385"/>
      <c r="B2338" s="384"/>
      <c r="C2338" s="3852">
        <v>5</v>
      </c>
      <c r="D2338" s="3853" t="s">
        <v>107</v>
      </c>
      <c r="E2338" s="3853" t="s">
        <v>66</v>
      </c>
      <c r="F2338" s="3853" t="s">
        <v>155</v>
      </c>
      <c r="G2338" s="3853" t="s">
        <v>1099</v>
      </c>
      <c r="H2338" s="3853" t="s">
        <v>196</v>
      </c>
      <c r="I2338" s="384" t="s">
        <v>4392</v>
      </c>
      <c r="J2338" s="384" t="s">
        <v>4393</v>
      </c>
      <c r="K2338" s="385">
        <v>6</v>
      </c>
      <c r="L2338" s="386">
        <v>110500000</v>
      </c>
      <c r="M2338" s="385">
        <v>2</v>
      </c>
      <c r="N2338" s="386">
        <v>8084960</v>
      </c>
      <c r="O2338" s="385">
        <v>1</v>
      </c>
      <c r="P2338" s="387">
        <v>15442720</v>
      </c>
      <c r="Q2338" s="1375">
        <v>1</v>
      </c>
      <c r="R2338" s="3644">
        <v>7350000</v>
      </c>
      <c r="S2338" s="3963">
        <f t="shared" si="940"/>
        <v>0</v>
      </c>
      <c r="T2338" s="3644">
        <v>0</v>
      </c>
      <c r="U2338" s="3963">
        <v>0</v>
      </c>
      <c r="V2338" s="386">
        <v>0</v>
      </c>
      <c r="W2338" s="385"/>
      <c r="X2338" s="385"/>
      <c r="Y2338" s="385">
        <f t="shared" si="941"/>
        <v>1</v>
      </c>
      <c r="Z2338" s="386">
        <f t="shared" si="936"/>
        <v>7350000</v>
      </c>
      <c r="AA2338" s="385">
        <f t="shared" si="937"/>
        <v>3</v>
      </c>
      <c r="AB2338" s="386">
        <f t="shared" si="937"/>
        <v>15434960</v>
      </c>
      <c r="AC2338" s="389">
        <f t="shared" si="938"/>
        <v>50</v>
      </c>
      <c r="AD2338" s="389">
        <f t="shared" si="934"/>
        <v>13.968289592760181</v>
      </c>
      <c r="AE2338" s="1374" t="s">
        <v>4328</v>
      </c>
      <c r="AG2338" s="3946"/>
      <c r="AH2338" s="3946"/>
    </row>
    <row r="2339" spans="1:76" s="6" customFormat="1" ht="51">
      <c r="A2339" s="385"/>
      <c r="B2339" s="384"/>
      <c r="C2339" s="3852">
        <v>5</v>
      </c>
      <c r="D2339" s="3853" t="s">
        <v>107</v>
      </c>
      <c r="E2339" s="3853" t="s">
        <v>66</v>
      </c>
      <c r="F2339" s="3853" t="s">
        <v>155</v>
      </c>
      <c r="G2339" s="3853" t="s">
        <v>1099</v>
      </c>
      <c r="H2339" s="3853" t="s">
        <v>161</v>
      </c>
      <c r="I2339" s="384" t="s">
        <v>4394</v>
      </c>
      <c r="J2339" s="384" t="s">
        <v>4395</v>
      </c>
      <c r="K2339" s="385">
        <v>72</v>
      </c>
      <c r="L2339" s="386">
        <v>48500000</v>
      </c>
      <c r="M2339" s="385">
        <v>24</v>
      </c>
      <c r="N2339" s="386">
        <v>8065700</v>
      </c>
      <c r="O2339" s="385">
        <v>12</v>
      </c>
      <c r="P2339" s="387">
        <v>8125000</v>
      </c>
      <c r="Q2339" s="1375">
        <v>3</v>
      </c>
      <c r="R2339" s="3644">
        <v>0</v>
      </c>
      <c r="S2339" s="1375">
        <v>3</v>
      </c>
      <c r="T2339" s="3644">
        <v>0</v>
      </c>
      <c r="U2339" s="3963">
        <v>3</v>
      </c>
      <c r="V2339" s="386">
        <v>0</v>
      </c>
      <c r="W2339" s="385"/>
      <c r="X2339" s="385"/>
      <c r="Y2339" s="385">
        <f t="shared" si="941"/>
        <v>9</v>
      </c>
      <c r="Z2339" s="386">
        <f t="shared" si="936"/>
        <v>0</v>
      </c>
      <c r="AA2339" s="385">
        <f t="shared" si="937"/>
        <v>33</v>
      </c>
      <c r="AB2339" s="386">
        <f t="shared" si="937"/>
        <v>8065700</v>
      </c>
      <c r="AC2339" s="389">
        <f t="shared" si="938"/>
        <v>45.833333333333329</v>
      </c>
      <c r="AD2339" s="389">
        <f t="shared" si="934"/>
        <v>16.630309278350516</v>
      </c>
      <c r="AE2339" s="1374" t="s">
        <v>4328</v>
      </c>
      <c r="AG2339" s="3946"/>
      <c r="AH2339" s="3946"/>
    </row>
    <row r="2340" spans="1:76" s="6" customFormat="1" ht="38.25">
      <c r="A2340" s="385"/>
      <c r="B2340" s="384"/>
      <c r="C2340" s="3852">
        <v>5</v>
      </c>
      <c r="D2340" s="3853" t="s">
        <v>107</v>
      </c>
      <c r="E2340" s="3853" t="s">
        <v>66</v>
      </c>
      <c r="F2340" s="3853" t="s">
        <v>155</v>
      </c>
      <c r="G2340" s="3853" t="s">
        <v>1099</v>
      </c>
      <c r="H2340" s="3853" t="s">
        <v>197</v>
      </c>
      <c r="I2340" s="384" t="s">
        <v>4293</v>
      </c>
      <c r="J2340" s="384" t="s">
        <v>4396</v>
      </c>
      <c r="K2340" s="385">
        <v>150</v>
      </c>
      <c r="L2340" s="386">
        <v>200000000</v>
      </c>
      <c r="M2340" s="385">
        <v>50</v>
      </c>
      <c r="N2340" s="386">
        <v>24239640</v>
      </c>
      <c r="O2340" s="385">
        <v>25</v>
      </c>
      <c r="P2340" s="387">
        <v>3147726</v>
      </c>
      <c r="Q2340" s="1375">
        <f t="shared" si="939"/>
        <v>0</v>
      </c>
      <c r="R2340" s="3644">
        <v>0</v>
      </c>
      <c r="S2340" s="3963">
        <v>25</v>
      </c>
      <c r="T2340" s="3644">
        <v>3000000</v>
      </c>
      <c r="U2340" s="3963">
        <v>0</v>
      </c>
      <c r="V2340" s="386">
        <v>0</v>
      </c>
      <c r="W2340" s="385"/>
      <c r="X2340" s="385"/>
      <c r="Y2340" s="385">
        <f t="shared" si="941"/>
        <v>25</v>
      </c>
      <c r="Z2340" s="386">
        <f t="shared" si="936"/>
        <v>3000000</v>
      </c>
      <c r="AA2340" s="385">
        <f t="shared" si="937"/>
        <v>75</v>
      </c>
      <c r="AB2340" s="386">
        <f t="shared" si="937"/>
        <v>27239640</v>
      </c>
      <c r="AC2340" s="389">
        <f t="shared" si="938"/>
        <v>50</v>
      </c>
      <c r="AD2340" s="389">
        <f t="shared" si="934"/>
        <v>13.619819999999999</v>
      </c>
      <c r="AE2340" s="1374" t="s">
        <v>4328</v>
      </c>
      <c r="AG2340" s="3946"/>
      <c r="AH2340" s="3946"/>
    </row>
    <row r="2341" spans="1:76" s="6" customFormat="1" ht="65.25" customHeight="1">
      <c r="A2341" s="385"/>
      <c r="B2341" s="384"/>
      <c r="C2341" s="3852">
        <v>5</v>
      </c>
      <c r="D2341" s="3853" t="s">
        <v>107</v>
      </c>
      <c r="E2341" s="3853" t="s">
        <v>66</v>
      </c>
      <c r="F2341" s="3853" t="s">
        <v>155</v>
      </c>
      <c r="G2341" s="3853" t="s">
        <v>1099</v>
      </c>
      <c r="H2341" s="3853" t="s">
        <v>376</v>
      </c>
      <c r="I2341" s="2632" t="s">
        <v>4397</v>
      </c>
      <c r="J2341" s="384" t="s">
        <v>4398</v>
      </c>
      <c r="K2341" s="385">
        <v>10</v>
      </c>
      <c r="L2341" s="386">
        <v>42500000</v>
      </c>
      <c r="M2341" s="385">
        <v>2</v>
      </c>
      <c r="N2341" s="386">
        <v>0</v>
      </c>
      <c r="O2341" s="385">
        <v>2</v>
      </c>
      <c r="P2341" s="387">
        <v>3350000</v>
      </c>
      <c r="Q2341" s="1375">
        <f t="shared" si="939"/>
        <v>0</v>
      </c>
      <c r="R2341" s="3644">
        <v>0</v>
      </c>
      <c r="S2341" s="3963">
        <v>1</v>
      </c>
      <c r="T2341" s="3644">
        <v>1220000</v>
      </c>
      <c r="U2341" s="3963">
        <v>1</v>
      </c>
      <c r="V2341" s="386">
        <v>0</v>
      </c>
      <c r="W2341" s="385"/>
      <c r="X2341" s="385"/>
      <c r="Y2341" s="385">
        <f t="shared" si="941"/>
        <v>2</v>
      </c>
      <c r="Z2341" s="386">
        <f t="shared" si="936"/>
        <v>1220000</v>
      </c>
      <c r="AA2341" s="385">
        <f>M2341+Y2341</f>
        <v>4</v>
      </c>
      <c r="AB2341" s="386">
        <f t="shared" si="937"/>
        <v>1220000</v>
      </c>
      <c r="AC2341" s="389">
        <f t="shared" si="938"/>
        <v>40</v>
      </c>
      <c r="AD2341" s="389">
        <f t="shared" si="934"/>
        <v>2.8705882352941177</v>
      </c>
      <c r="AE2341" s="1374" t="s">
        <v>4328</v>
      </c>
      <c r="AG2341" s="3946"/>
      <c r="AH2341" s="3946"/>
    </row>
    <row r="2342" spans="1:76" s="2117" customFormat="1" ht="78" customHeight="1">
      <c r="A2342" s="3838">
        <v>9</v>
      </c>
      <c r="B2342" s="3838"/>
      <c r="C2342" s="3838">
        <v>5</v>
      </c>
      <c r="D2342" s="3839" t="s">
        <v>107</v>
      </c>
      <c r="E2342" s="3839" t="s">
        <v>66</v>
      </c>
      <c r="F2342" s="3839" t="s">
        <v>155</v>
      </c>
      <c r="G2342" s="3839" t="s">
        <v>293</v>
      </c>
      <c r="H2342" s="3838"/>
      <c r="I2342" s="3660" t="s">
        <v>4399</v>
      </c>
      <c r="J2342" s="3953" t="s">
        <v>4400</v>
      </c>
      <c r="K2342" s="3954">
        <v>10</v>
      </c>
      <c r="L2342" s="3955">
        <f>SUM(L2343)</f>
        <v>31200000</v>
      </c>
      <c r="M2342" s="3954">
        <v>0</v>
      </c>
      <c r="N2342" s="3955">
        <f>SUM(N2343)</f>
        <v>0</v>
      </c>
      <c r="O2342" s="3954">
        <v>2</v>
      </c>
      <c r="P2342" s="3955">
        <f>SUM(P2343)</f>
        <v>2850000</v>
      </c>
      <c r="Q2342" s="3954">
        <v>0</v>
      </c>
      <c r="R2342" s="3955">
        <f>SUM(R2343)</f>
        <v>0</v>
      </c>
      <c r="S2342" s="3956">
        <v>0</v>
      </c>
      <c r="T2342" s="3955">
        <f>T2343</f>
        <v>150000</v>
      </c>
      <c r="U2342" s="3956">
        <v>0</v>
      </c>
      <c r="V2342" s="3957">
        <f>V2343</f>
        <v>0</v>
      </c>
      <c r="W2342" s="3954"/>
      <c r="X2342" s="3954"/>
      <c r="Y2342" s="3954">
        <f>Q2342+S2342+U2342+W2342</f>
        <v>0</v>
      </c>
      <c r="Z2342" s="3955">
        <f>SUM(Z2343)</f>
        <v>150000</v>
      </c>
      <c r="AA2342" s="3954">
        <f>M2342+Y2342</f>
        <v>0</v>
      </c>
      <c r="AB2342" s="3955">
        <f>SUM(AB2343)</f>
        <v>150000</v>
      </c>
      <c r="AC2342" s="3956">
        <f>(AA2342/K2342)*100</f>
        <v>0</v>
      </c>
      <c r="AD2342" s="3956">
        <f t="shared" si="934"/>
        <v>0.48076923076923078</v>
      </c>
      <c r="AE2342" s="3660" t="s">
        <v>4328</v>
      </c>
      <c r="AG2342" s="3965"/>
      <c r="AH2342" s="3965"/>
    </row>
    <row r="2343" spans="1:76" s="6" customFormat="1" ht="99" customHeight="1">
      <c r="A2343" s="64"/>
      <c r="B2343" s="2632" t="s">
        <v>4401</v>
      </c>
      <c r="C2343" s="3852">
        <v>5</v>
      </c>
      <c r="D2343" s="3853" t="s">
        <v>107</v>
      </c>
      <c r="E2343" s="3853" t="s">
        <v>66</v>
      </c>
      <c r="F2343" s="3853" t="s">
        <v>155</v>
      </c>
      <c r="G2343" s="3853" t="s">
        <v>293</v>
      </c>
      <c r="H2343" s="1715" t="s">
        <v>196</v>
      </c>
      <c r="I2343" s="2632" t="s">
        <v>4402</v>
      </c>
      <c r="J2343" s="2632" t="s">
        <v>4403</v>
      </c>
      <c r="K2343" s="64">
        <v>10</v>
      </c>
      <c r="L2343" s="1689">
        <v>31200000</v>
      </c>
      <c r="M2343" s="64">
        <v>0</v>
      </c>
      <c r="N2343" s="64">
        <v>0</v>
      </c>
      <c r="O2343" s="64">
        <v>2</v>
      </c>
      <c r="P2343" s="1690">
        <v>2850000</v>
      </c>
      <c r="Q2343" s="64">
        <v>0</v>
      </c>
      <c r="R2343" s="1689">
        <v>0</v>
      </c>
      <c r="S2343" s="3645">
        <v>0</v>
      </c>
      <c r="T2343" s="3644">
        <v>150000</v>
      </c>
      <c r="U2343" s="3645">
        <f>V2343/P2343*100</f>
        <v>0</v>
      </c>
      <c r="V2343" s="1689">
        <v>0</v>
      </c>
      <c r="W2343" s="64"/>
      <c r="X2343" s="64"/>
      <c r="Y2343" s="64">
        <f>Q2343+S2343+U2343+W2343</f>
        <v>0</v>
      </c>
      <c r="Z2343" s="386">
        <f t="shared" ref="Z2343" si="942">R2343+T2343+V2343+X2343</f>
        <v>150000</v>
      </c>
      <c r="AA2343" s="64">
        <f>M2343+Y2343</f>
        <v>0</v>
      </c>
      <c r="AB2343" s="386">
        <f t="shared" ref="AB2343" si="943">N2343+Z2343</f>
        <v>150000</v>
      </c>
      <c r="AC2343" s="3668">
        <f>(AA2343/K2343)*100</f>
        <v>0</v>
      </c>
      <c r="AD2343" s="1946">
        <f t="shared" si="934"/>
        <v>0.48076923076923078</v>
      </c>
      <c r="AE2343" s="1374" t="s">
        <v>4328</v>
      </c>
      <c r="AG2343" s="3946"/>
      <c r="AH2343" s="3946"/>
    </row>
    <row r="2344" spans="1:76" customFormat="1" ht="17.25" customHeight="1">
      <c r="A2344" s="4264" t="s">
        <v>89</v>
      </c>
      <c r="B2344" s="4264"/>
      <c r="C2344" s="4265"/>
      <c r="D2344" s="4265"/>
      <c r="E2344" s="4265"/>
      <c r="F2344" s="4265"/>
      <c r="G2344" s="4265"/>
      <c r="H2344" s="4265"/>
      <c r="I2344" s="4265"/>
      <c r="J2344" s="4265"/>
      <c r="K2344" s="4265"/>
      <c r="L2344" s="4265"/>
      <c r="M2344" s="4265"/>
      <c r="N2344" s="4265"/>
      <c r="O2344" s="4265"/>
      <c r="P2344" s="4265"/>
      <c r="Q2344" s="4265"/>
      <c r="R2344" s="4265"/>
      <c r="S2344" s="4265"/>
      <c r="T2344" s="4265"/>
      <c r="U2344" s="4265"/>
      <c r="V2344" s="4265"/>
      <c r="W2344" s="4265"/>
      <c r="X2344" s="4265"/>
      <c r="Y2344" s="4265"/>
      <c r="Z2344" s="4265"/>
      <c r="AA2344" s="4265"/>
      <c r="AB2344" s="4265"/>
      <c r="AC2344" s="3784">
        <f>(AC2305+AC2321+AC2329+AC2331+AC2333+AC2335+AC2342)/7</f>
        <v>40.132653061224495</v>
      </c>
      <c r="AD2344" s="3784">
        <f>(AD2305+AD2321+AD2329+AD2331+AD2333+AD2335+AD2342)/7</f>
        <v>19.550909766026781</v>
      </c>
      <c r="AE2344" s="2116"/>
    </row>
    <row r="2345" spans="1:76" customFormat="1" ht="20.25" customHeight="1">
      <c r="A2345" s="4264" t="s">
        <v>90</v>
      </c>
      <c r="B2345" s="4264"/>
      <c r="C2345" s="4265"/>
      <c r="D2345" s="4265"/>
      <c r="E2345" s="4265"/>
      <c r="F2345" s="4265"/>
      <c r="G2345" s="4265"/>
      <c r="H2345" s="4265"/>
      <c r="I2345" s="4265"/>
      <c r="J2345" s="4265"/>
      <c r="K2345" s="4265"/>
      <c r="L2345" s="4265"/>
      <c r="M2345" s="4265"/>
      <c r="N2345" s="4265"/>
      <c r="O2345" s="4265"/>
      <c r="P2345" s="4265"/>
      <c r="Q2345" s="4265"/>
      <c r="R2345" s="4265"/>
      <c r="S2345" s="4265"/>
      <c r="T2345" s="4265"/>
      <c r="U2345" s="4265"/>
      <c r="V2345" s="4265"/>
      <c r="W2345" s="4265"/>
      <c r="X2345" s="4265"/>
      <c r="Y2345" s="4265"/>
      <c r="Z2345" s="4265"/>
      <c r="AA2345" s="4265"/>
      <c r="AB2345" s="4265"/>
      <c r="AC2345" s="3689" t="str">
        <f>IF(AC2344&gt;=91,"ST",IF(AC2344&gt;=76,"T",IF(AC2344&gt;=66,"S",IF(AC2344&gt;=51,"R","SR"))))</f>
        <v>SR</v>
      </c>
      <c r="AD2345" s="3689" t="str">
        <f>IF(AD2344&gt;=91,"ST",IF(AD2344&gt;=76,"T",IF(AD2344&gt;=66,"S",IF(AD2344&gt;=51,"R","SR"))))</f>
        <v>SR</v>
      </c>
      <c r="AE2345" s="2116"/>
    </row>
    <row r="2346" spans="1:76" s="55" customFormat="1" ht="25.5" customHeight="1">
      <c r="A2346" s="2546" t="s">
        <v>3381</v>
      </c>
      <c r="B2346" s="2918"/>
      <c r="C2346" s="2546"/>
      <c r="D2346" s="2546"/>
      <c r="E2346" s="2546"/>
      <c r="F2346" s="2546"/>
      <c r="G2346" s="2546"/>
      <c r="H2346" s="2546"/>
      <c r="I2346" s="2515" t="s">
        <v>4530</v>
      </c>
      <c r="J2346" s="2918"/>
      <c r="K2346" s="2918"/>
      <c r="L2346" s="3238">
        <f>L2347+L2359+L2364+L2366+L2368+L2370+L2375+L2372</f>
        <v>3006648440</v>
      </c>
      <c r="M2346" s="2918"/>
      <c r="N2346" s="2916">
        <f>N2347+N2359+N2364+N2366+N2368+N2370+N2375+N2372</f>
        <v>808064400</v>
      </c>
      <c r="O2346" s="2918"/>
      <c r="P2346" s="2916">
        <f>P2347+P2359+P2364+P2366+P2368+P2370+P2375+P2372</f>
        <v>429839301.30000001</v>
      </c>
      <c r="Q2346" s="2918"/>
      <c r="R2346" s="2916">
        <f>R2347+R2359+R2364+R2366+R2368+R2370+R2375+R2372</f>
        <v>49484019</v>
      </c>
      <c r="S2346" s="2918"/>
      <c r="T2346" s="2916">
        <f>T2347+T2359+T2364+T2366+T2368+T2370+T2375+T2372</f>
        <v>126167375</v>
      </c>
      <c r="U2346" s="2918"/>
      <c r="V2346" s="2916">
        <f>V2347+V2359+V2364+V2366+V2368+V2370+V2375+V2372</f>
        <v>127106700</v>
      </c>
      <c r="W2346" s="2918"/>
      <c r="X2346" s="2918"/>
      <c r="Y2346" s="2546">
        <f>Q2346+S2346+U2346+W2346</f>
        <v>0</v>
      </c>
      <c r="Z2346" s="2916">
        <f>Z2347+Z2359+Z2364+Z2366+Z2368+Z2370+Z2375+Z2372</f>
        <v>302758094</v>
      </c>
      <c r="AA2346" s="2918"/>
      <c r="AB2346" s="2916">
        <f>AB2347+AB2359+AB2364+AB2366+AB2368+AB2370+AB2375+AB2372</f>
        <v>1110822494</v>
      </c>
      <c r="AC2346" s="2918"/>
      <c r="AD2346" s="2918"/>
      <c r="AE2346" s="3211"/>
      <c r="AF2346" s="145"/>
      <c r="AG2346" s="145"/>
      <c r="AH2346" s="145"/>
      <c r="AI2346" s="145"/>
      <c r="AJ2346" s="145"/>
      <c r="AK2346" s="145"/>
      <c r="AL2346" s="145"/>
      <c r="AM2346" s="145"/>
      <c r="AN2346" s="145"/>
      <c r="AO2346" s="145"/>
      <c r="AP2346" s="145"/>
      <c r="AQ2346" s="145"/>
      <c r="AR2346" s="145"/>
      <c r="AS2346" s="145"/>
      <c r="AT2346" s="145"/>
      <c r="AU2346" s="145"/>
      <c r="AV2346" s="145"/>
      <c r="AW2346" s="145"/>
      <c r="AX2346" s="145"/>
      <c r="AY2346" s="145"/>
      <c r="AZ2346" s="145"/>
      <c r="BA2346" s="145"/>
      <c r="BB2346" s="145"/>
      <c r="BC2346" s="145"/>
      <c r="BD2346" s="145"/>
      <c r="BE2346" s="145"/>
      <c r="BF2346" s="145"/>
      <c r="BG2346" s="145"/>
      <c r="BH2346" s="145"/>
      <c r="BI2346" s="145"/>
      <c r="BJ2346" s="145"/>
      <c r="BK2346" s="145"/>
      <c r="BL2346" s="145"/>
      <c r="BM2346" s="145"/>
      <c r="BN2346" s="145"/>
      <c r="BO2346" s="145"/>
      <c r="BP2346" s="145"/>
      <c r="BQ2346" s="145"/>
      <c r="BR2346" s="145"/>
      <c r="BS2346" s="145"/>
      <c r="BT2346" s="145"/>
      <c r="BU2346" s="145"/>
      <c r="BV2346" s="145"/>
      <c r="BW2346" s="145"/>
      <c r="BX2346" s="145"/>
    </row>
    <row r="2347" spans="1:76" s="3802" customFormat="1" ht="92.25" customHeight="1">
      <c r="A2347" s="3657"/>
      <c r="B2347" s="3835"/>
      <c r="C2347" s="3659">
        <v>5</v>
      </c>
      <c r="D2347" s="3659" t="s">
        <v>107</v>
      </c>
      <c r="E2347" s="3659" t="s">
        <v>66</v>
      </c>
      <c r="F2347" s="3659" t="s">
        <v>155</v>
      </c>
      <c r="G2347" s="3659" t="s">
        <v>66</v>
      </c>
      <c r="H2347" s="3657"/>
      <c r="I2347" s="3660" t="s">
        <v>4326</v>
      </c>
      <c r="J2347" s="3660" t="s">
        <v>4529</v>
      </c>
      <c r="K2347" s="3657">
        <v>72</v>
      </c>
      <c r="L2347" s="3662">
        <f>SUM(L2348:L2358)</f>
        <v>1390430600</v>
      </c>
      <c r="M2347" s="3657">
        <v>24</v>
      </c>
      <c r="N2347" s="3662">
        <f>SUM(N2348:N2358)</f>
        <v>407863000</v>
      </c>
      <c r="O2347" s="3657">
        <v>12</v>
      </c>
      <c r="P2347" s="3662">
        <f>SUM(P2348:P2358)</f>
        <v>212823009.55000001</v>
      </c>
      <c r="Q2347" s="3657">
        <v>3</v>
      </c>
      <c r="R2347" s="3662">
        <f>SUM(R2348:R2358)</f>
        <v>27740906</v>
      </c>
      <c r="S2347" s="3657">
        <v>3</v>
      </c>
      <c r="T2347" s="3662">
        <f>SUM(T2348:T2358)</f>
        <v>50773875</v>
      </c>
      <c r="U2347" s="3657">
        <v>3</v>
      </c>
      <c r="V2347" s="3662">
        <f>SUM(V2348:V2358)</f>
        <v>61533300</v>
      </c>
      <c r="W2347" s="3661"/>
      <c r="X2347" s="3661"/>
      <c r="Y2347" s="3836">
        <f>Q2347+S2347+U2347+W2347</f>
        <v>9</v>
      </c>
      <c r="Z2347" s="3662">
        <f>SUM(Z2348:Z2358)</f>
        <v>140048081</v>
      </c>
      <c r="AA2347" s="3836">
        <f>M2347+Y2347</f>
        <v>33</v>
      </c>
      <c r="AB2347" s="3662">
        <f>SUM(AB2348:AB2358)</f>
        <v>547911081</v>
      </c>
      <c r="AC2347" s="3664">
        <f>(AA2347/K2347)*100</f>
        <v>45.833333333333329</v>
      </c>
      <c r="AD2347" s="3664">
        <f>AB2347/L2347*100</f>
        <v>39.40585607077405</v>
      </c>
      <c r="AE2347" s="3660" t="s">
        <v>4571</v>
      </c>
    </row>
    <row r="2348" spans="1:76" s="2117" customFormat="1" ht="81.75" customHeight="1">
      <c r="A2348" s="3803"/>
      <c r="B2348" s="3678"/>
      <c r="C2348" s="36">
        <v>5</v>
      </c>
      <c r="D2348" s="36" t="s">
        <v>107</v>
      </c>
      <c r="E2348" s="36" t="s">
        <v>66</v>
      </c>
      <c r="F2348" s="36" t="s">
        <v>155</v>
      </c>
      <c r="G2348" s="36" t="s">
        <v>66</v>
      </c>
      <c r="H2348" s="3804" t="s">
        <v>66</v>
      </c>
      <c r="I2348" s="3690" t="s">
        <v>4586</v>
      </c>
      <c r="J2348" s="3690" t="s">
        <v>4587</v>
      </c>
      <c r="K2348" s="3805">
        <v>72</v>
      </c>
      <c r="L2348" s="3691">
        <v>104170000</v>
      </c>
      <c r="M2348" s="3804">
        <v>24</v>
      </c>
      <c r="N2348" s="3806">
        <v>23763500</v>
      </c>
      <c r="O2348" s="3805">
        <v>12</v>
      </c>
      <c r="P2348" s="3807">
        <v>10239807.5</v>
      </c>
      <c r="Q2348" s="3804">
        <v>3</v>
      </c>
      <c r="R2348" s="3691">
        <v>3235807</v>
      </c>
      <c r="S2348" s="3805">
        <v>3</v>
      </c>
      <c r="T2348" s="3691">
        <v>2350000</v>
      </c>
      <c r="U2348" s="3805">
        <v>3</v>
      </c>
      <c r="V2348" s="3807">
        <v>2250000</v>
      </c>
      <c r="W2348" s="3803"/>
      <c r="X2348" s="3803"/>
      <c r="Y2348" s="3679">
        <f t="shared" ref="Y2348:Y2350" si="944">Q2348+S2348+U2348+W2348</f>
        <v>9</v>
      </c>
      <c r="Z2348" s="3691">
        <f>R2348+T2348+V2348+X2348</f>
        <v>7835807</v>
      </c>
      <c r="AA2348" s="3679">
        <f t="shared" ref="AA2348:AA2351" si="945">M2348+Y2348</f>
        <v>33</v>
      </c>
      <c r="AB2348" s="3691">
        <f t="shared" ref="AB2348:AB2358" si="946">N2348+Z2348</f>
        <v>31599307</v>
      </c>
      <c r="AC2348" s="3684">
        <f>(AA2348/K2348)*100</f>
        <v>45.833333333333329</v>
      </c>
      <c r="AD2348" s="3684">
        <f t="shared" ref="AD2348:AD2358" si="947">AB2348/L2348*100</f>
        <v>30.334364020351352</v>
      </c>
      <c r="AE2348" s="3690" t="s">
        <v>4571</v>
      </c>
      <c r="AG2348" s="3945"/>
      <c r="AH2348" s="3945"/>
    </row>
    <row r="2349" spans="1:76" s="2117" customFormat="1" ht="81.75" customHeight="1">
      <c r="A2349" s="3803"/>
      <c r="B2349" s="3678"/>
      <c r="C2349" s="36">
        <v>5</v>
      </c>
      <c r="D2349" s="36" t="s">
        <v>107</v>
      </c>
      <c r="E2349" s="36" t="s">
        <v>66</v>
      </c>
      <c r="F2349" s="36" t="s">
        <v>155</v>
      </c>
      <c r="G2349" s="36" t="s">
        <v>66</v>
      </c>
      <c r="H2349" s="3804" t="s">
        <v>65</v>
      </c>
      <c r="I2349" s="3690" t="s">
        <v>4330</v>
      </c>
      <c r="J2349" s="3690" t="s">
        <v>4331</v>
      </c>
      <c r="K2349" s="3805">
        <v>72</v>
      </c>
      <c r="L2349" s="3691">
        <v>74170000</v>
      </c>
      <c r="M2349" s="3804">
        <v>24</v>
      </c>
      <c r="N2349" s="3806">
        <v>16763500</v>
      </c>
      <c r="O2349" s="3805">
        <v>12</v>
      </c>
      <c r="P2349" s="3807">
        <v>7390000</v>
      </c>
      <c r="Q2349" s="3804">
        <v>3</v>
      </c>
      <c r="R2349" s="3691">
        <v>1200000</v>
      </c>
      <c r="S2349" s="3805">
        <v>3</v>
      </c>
      <c r="T2349" s="3691">
        <v>3790000</v>
      </c>
      <c r="U2349" s="3805">
        <v>3</v>
      </c>
      <c r="V2349" s="3807">
        <v>1200000</v>
      </c>
      <c r="W2349" s="3803"/>
      <c r="X2349" s="3803"/>
      <c r="Y2349" s="3679">
        <f t="shared" ref="Y2349" si="948">Q2349+S2349+U2349+W2349</f>
        <v>9</v>
      </c>
      <c r="Z2349" s="3691">
        <f>R2349+T2349+V2349+X2349</f>
        <v>6190000</v>
      </c>
      <c r="AA2349" s="3679">
        <f t="shared" ref="AA2349" si="949">M2349+Y2349</f>
        <v>33</v>
      </c>
      <c r="AB2349" s="3691">
        <f t="shared" ref="AB2349" si="950">N2349+Z2349</f>
        <v>22953500</v>
      </c>
      <c r="AC2349" s="3684">
        <f>(AA2349/K2349)*100</f>
        <v>45.833333333333329</v>
      </c>
      <c r="AD2349" s="3684">
        <f t="shared" ref="AD2349" si="951">AB2349/L2349*100</f>
        <v>30.947148442766618</v>
      </c>
      <c r="AE2349" s="3690" t="s">
        <v>4571</v>
      </c>
      <c r="AG2349" s="3945"/>
      <c r="AH2349" s="3945"/>
    </row>
    <row r="2350" spans="1:76" s="2117" customFormat="1" ht="105">
      <c r="A2350" s="3803"/>
      <c r="B2350" s="3678"/>
      <c r="C2350" s="36">
        <v>5</v>
      </c>
      <c r="D2350" s="36" t="s">
        <v>107</v>
      </c>
      <c r="E2350" s="36" t="s">
        <v>66</v>
      </c>
      <c r="F2350" s="36" t="s">
        <v>155</v>
      </c>
      <c r="G2350" s="36" t="s">
        <v>66</v>
      </c>
      <c r="H2350" s="3804" t="s">
        <v>198</v>
      </c>
      <c r="I2350" s="3690" t="s">
        <v>4332</v>
      </c>
      <c r="J2350" s="3690" t="s">
        <v>4333</v>
      </c>
      <c r="K2350" s="3805">
        <v>72</v>
      </c>
      <c r="L2350" s="3691">
        <v>199260600</v>
      </c>
      <c r="M2350" s="3804">
        <v>24</v>
      </c>
      <c r="N2350" s="3806">
        <f>29350000+39600000</f>
        <v>68950000</v>
      </c>
      <c r="O2350" s="3805">
        <v>12</v>
      </c>
      <c r="P2350" s="3807">
        <v>56400000</v>
      </c>
      <c r="Q2350" s="3804">
        <v>3</v>
      </c>
      <c r="R2350" s="3691">
        <v>14100000</v>
      </c>
      <c r="S2350" s="3805">
        <v>3</v>
      </c>
      <c r="T2350" s="3691">
        <v>14100000</v>
      </c>
      <c r="U2350" s="3805">
        <v>3</v>
      </c>
      <c r="V2350" s="3691">
        <v>14100000</v>
      </c>
      <c r="W2350" s="3803"/>
      <c r="X2350" s="3803"/>
      <c r="Y2350" s="3679">
        <f t="shared" si="944"/>
        <v>9</v>
      </c>
      <c r="Z2350" s="3691">
        <f t="shared" ref="Z2350:Z2358" si="952">R2350+T2350+V2350+X2350</f>
        <v>42300000</v>
      </c>
      <c r="AA2350" s="3679">
        <f t="shared" si="945"/>
        <v>33</v>
      </c>
      <c r="AB2350" s="3691">
        <f t="shared" si="946"/>
        <v>111250000</v>
      </c>
      <c r="AC2350" s="3684">
        <f t="shared" ref="AC2350" si="953">(AA2350/K2350)*100</f>
        <v>45.833333333333329</v>
      </c>
      <c r="AD2350" s="3684">
        <f t="shared" si="947"/>
        <v>55.831408718030559</v>
      </c>
      <c r="AE2350" s="3690" t="s">
        <v>4571</v>
      </c>
    </row>
    <row r="2351" spans="1:76" s="2117" customFormat="1" ht="66.75" customHeight="1">
      <c r="A2351" s="2116"/>
      <c r="B2351" s="3678"/>
      <c r="C2351" s="36">
        <v>5</v>
      </c>
      <c r="D2351" s="36" t="s">
        <v>107</v>
      </c>
      <c r="E2351" s="36" t="s">
        <v>66</v>
      </c>
      <c r="F2351" s="36" t="s">
        <v>155</v>
      </c>
      <c r="G2351" s="36" t="s">
        <v>66</v>
      </c>
      <c r="H2351" s="36" t="s">
        <v>93</v>
      </c>
      <c r="I2351" s="3680" t="s">
        <v>876</v>
      </c>
      <c r="J2351" s="3680" t="s">
        <v>4334</v>
      </c>
      <c r="K2351" s="36">
        <v>72</v>
      </c>
      <c r="L2351" s="3682">
        <v>93500000</v>
      </c>
      <c r="M2351" s="36">
        <v>24</v>
      </c>
      <c r="N2351" s="3808">
        <v>26825000</v>
      </c>
      <c r="O2351" s="3679">
        <v>12</v>
      </c>
      <c r="P2351" s="3683">
        <v>7950150</v>
      </c>
      <c r="Q2351" s="36">
        <v>3</v>
      </c>
      <c r="R2351" s="3682">
        <v>1500000</v>
      </c>
      <c r="S2351" s="3679">
        <v>3</v>
      </c>
      <c r="T2351" s="3682">
        <v>2517575</v>
      </c>
      <c r="U2351" s="3679">
        <v>3</v>
      </c>
      <c r="V2351" s="3683">
        <v>1500000</v>
      </c>
      <c r="W2351" s="2116"/>
      <c r="X2351" s="2116"/>
      <c r="Y2351" s="3679">
        <f>Q2351+S2351+U2351+W2351</f>
        <v>9</v>
      </c>
      <c r="Z2351" s="3682">
        <f t="shared" si="952"/>
        <v>5517575</v>
      </c>
      <c r="AA2351" s="3679">
        <f t="shared" si="945"/>
        <v>33</v>
      </c>
      <c r="AB2351" s="3682">
        <f t="shared" si="946"/>
        <v>32342575</v>
      </c>
      <c r="AC2351" s="3684">
        <f>(AA2351/K2351)*100</f>
        <v>45.833333333333329</v>
      </c>
      <c r="AD2351" s="3684">
        <f t="shared" si="947"/>
        <v>34.590989304812837</v>
      </c>
      <c r="AE2351" s="3680" t="s">
        <v>4571</v>
      </c>
    </row>
    <row r="2352" spans="1:76" s="2117" customFormat="1" ht="45">
      <c r="A2352" s="3803"/>
      <c r="B2352" s="3809"/>
      <c r="C2352" s="3804">
        <v>5</v>
      </c>
      <c r="D2352" s="3804" t="s">
        <v>107</v>
      </c>
      <c r="E2352" s="3804" t="s">
        <v>66</v>
      </c>
      <c r="F2352" s="3804" t="s">
        <v>155</v>
      </c>
      <c r="G2352" s="3804" t="s">
        <v>66</v>
      </c>
      <c r="H2352" s="3804" t="s">
        <v>202</v>
      </c>
      <c r="I2352" s="3690" t="s">
        <v>880</v>
      </c>
      <c r="J2352" s="3690" t="s">
        <v>443</v>
      </c>
      <c r="K2352" s="3805">
        <v>72</v>
      </c>
      <c r="L2352" s="3691">
        <v>132600000</v>
      </c>
      <c r="M2352" s="3804">
        <v>24</v>
      </c>
      <c r="N2352" s="3806">
        <v>39955000</v>
      </c>
      <c r="O2352" s="3805">
        <v>12</v>
      </c>
      <c r="P2352" s="3807">
        <v>17211653.050000001</v>
      </c>
      <c r="Q2352" s="3804">
        <v>3</v>
      </c>
      <c r="R2352" s="3691">
        <v>4302900</v>
      </c>
      <c r="S2352" s="3805">
        <v>3</v>
      </c>
      <c r="T2352" s="3691">
        <v>4302900</v>
      </c>
      <c r="U2352" s="3805">
        <v>3</v>
      </c>
      <c r="V2352" s="3691">
        <v>4302900</v>
      </c>
      <c r="W2352" s="3803"/>
      <c r="X2352" s="3803"/>
      <c r="Y2352" s="3805">
        <f t="shared" ref="Y2352:Y2353" si="954">Q2352+S2352+U2352+W2352</f>
        <v>9</v>
      </c>
      <c r="Z2352" s="3691">
        <f t="shared" si="952"/>
        <v>12908700</v>
      </c>
      <c r="AA2352" s="3805">
        <f>M2352+Y2352</f>
        <v>33</v>
      </c>
      <c r="AB2352" s="3691">
        <f t="shared" si="946"/>
        <v>52863700</v>
      </c>
      <c r="AC2352" s="3810">
        <f>(AA2352/K2352)*100</f>
        <v>45.833333333333329</v>
      </c>
      <c r="AD2352" s="3810">
        <f t="shared" si="947"/>
        <v>39.867043740573152</v>
      </c>
      <c r="AE2352" s="3690" t="s">
        <v>4571</v>
      </c>
    </row>
    <row r="2353" spans="1:31" s="2117" customFormat="1" ht="75">
      <c r="A2353" s="2116"/>
      <c r="B2353" s="3678"/>
      <c r="C2353" s="36">
        <v>5</v>
      </c>
      <c r="D2353" s="36" t="s">
        <v>107</v>
      </c>
      <c r="E2353" s="36" t="s">
        <v>66</v>
      </c>
      <c r="F2353" s="36" t="s">
        <v>155</v>
      </c>
      <c r="G2353" s="36" t="s">
        <v>66</v>
      </c>
      <c r="H2353" s="36" t="s">
        <v>417</v>
      </c>
      <c r="I2353" s="3680" t="s">
        <v>882</v>
      </c>
      <c r="J2353" s="3681" t="s">
        <v>4547</v>
      </c>
      <c r="K2353" s="3679">
        <v>72</v>
      </c>
      <c r="L2353" s="3682">
        <v>65400000</v>
      </c>
      <c r="M2353" s="36">
        <v>24</v>
      </c>
      <c r="N2353" s="3808">
        <v>21002000</v>
      </c>
      <c r="O2353" s="3679">
        <v>12</v>
      </c>
      <c r="P2353" s="3683">
        <v>10516899</v>
      </c>
      <c r="Q2353" s="36">
        <v>3</v>
      </c>
      <c r="R2353" s="3682">
        <v>1104699</v>
      </c>
      <c r="S2353" s="3679">
        <v>3</v>
      </c>
      <c r="T2353" s="3682">
        <v>3137400</v>
      </c>
      <c r="U2353" s="3679">
        <v>3</v>
      </c>
      <c r="V2353" s="3682">
        <v>3137400</v>
      </c>
      <c r="W2353" s="2116"/>
      <c r="X2353" s="2116"/>
      <c r="Y2353" s="3679">
        <f t="shared" si="954"/>
        <v>9</v>
      </c>
      <c r="Z2353" s="3682">
        <f t="shared" si="952"/>
        <v>7379499</v>
      </c>
      <c r="AA2353" s="3679">
        <f t="shared" ref="AA2353:AA2355" si="955">M2353+Y2353</f>
        <v>33</v>
      </c>
      <c r="AB2353" s="3682">
        <f t="shared" si="946"/>
        <v>28381499</v>
      </c>
      <c r="AC2353" s="3684">
        <f t="shared" ref="AC2353:AC2355" si="956">(AA2353/K2353)*100</f>
        <v>45.833333333333329</v>
      </c>
      <c r="AD2353" s="3684">
        <f t="shared" si="947"/>
        <v>43.396787461773698</v>
      </c>
      <c r="AE2353" s="3680" t="s">
        <v>4571</v>
      </c>
    </row>
    <row r="2354" spans="1:31" s="2117" customFormat="1" ht="92.25" customHeight="1">
      <c r="A2354" s="2116"/>
      <c r="B2354" s="3678"/>
      <c r="C2354" s="36">
        <v>5</v>
      </c>
      <c r="D2354" s="36" t="s">
        <v>107</v>
      </c>
      <c r="E2354" s="36" t="s">
        <v>66</v>
      </c>
      <c r="F2354" s="36" t="s">
        <v>155</v>
      </c>
      <c r="G2354" s="36" t="s">
        <v>66</v>
      </c>
      <c r="H2354" s="36" t="s">
        <v>160</v>
      </c>
      <c r="I2354" s="3680" t="s">
        <v>4339</v>
      </c>
      <c r="J2354" s="3680" t="s">
        <v>4519</v>
      </c>
      <c r="K2354" s="3679">
        <v>72</v>
      </c>
      <c r="L2354" s="3682">
        <v>15000000</v>
      </c>
      <c r="M2354" s="36">
        <v>24</v>
      </c>
      <c r="N2354" s="3808">
        <v>3931000</v>
      </c>
      <c r="O2354" s="3679">
        <v>12</v>
      </c>
      <c r="P2354" s="3683">
        <v>3012000</v>
      </c>
      <c r="Q2354" s="36">
        <v>3</v>
      </c>
      <c r="R2354" s="3682">
        <v>0</v>
      </c>
      <c r="S2354" s="3679">
        <v>3</v>
      </c>
      <c r="T2354" s="3682">
        <v>1606000</v>
      </c>
      <c r="U2354" s="3679">
        <v>3</v>
      </c>
      <c r="V2354" s="3683">
        <v>859000</v>
      </c>
      <c r="W2354" s="2116"/>
      <c r="X2354" s="2116"/>
      <c r="Y2354" s="3679">
        <f>Q2354+S2354+U2354+W2354</f>
        <v>9</v>
      </c>
      <c r="Z2354" s="3682">
        <f t="shared" si="952"/>
        <v>2465000</v>
      </c>
      <c r="AA2354" s="3679">
        <f t="shared" si="955"/>
        <v>33</v>
      </c>
      <c r="AB2354" s="3682">
        <f t="shared" si="946"/>
        <v>6396000</v>
      </c>
      <c r="AC2354" s="3684">
        <f t="shared" si="956"/>
        <v>45.833333333333329</v>
      </c>
      <c r="AD2354" s="3684">
        <f t="shared" si="947"/>
        <v>42.64</v>
      </c>
      <c r="AE2354" s="3680" t="s">
        <v>4571</v>
      </c>
    </row>
    <row r="2355" spans="1:31" s="2117" customFormat="1" ht="75">
      <c r="A2355" s="3803"/>
      <c r="B2355" s="3678"/>
      <c r="C2355" s="36">
        <v>5</v>
      </c>
      <c r="D2355" s="36" t="s">
        <v>107</v>
      </c>
      <c r="E2355" s="36" t="s">
        <v>66</v>
      </c>
      <c r="F2355" s="36" t="s">
        <v>155</v>
      </c>
      <c r="G2355" s="36" t="s">
        <v>66</v>
      </c>
      <c r="H2355" s="3804" t="s">
        <v>155</v>
      </c>
      <c r="I2355" s="3690" t="s">
        <v>4341</v>
      </c>
      <c r="J2355" s="3690" t="s">
        <v>4548</v>
      </c>
      <c r="K2355" s="3805">
        <v>72</v>
      </c>
      <c r="L2355" s="3691">
        <v>20130000</v>
      </c>
      <c r="M2355" s="3804">
        <v>24</v>
      </c>
      <c r="N2355" s="3806">
        <v>5640000</v>
      </c>
      <c r="O2355" s="3805">
        <v>12</v>
      </c>
      <c r="P2355" s="3807">
        <v>5640000</v>
      </c>
      <c r="Q2355" s="3804">
        <v>3</v>
      </c>
      <c r="R2355" s="3691">
        <v>1160000</v>
      </c>
      <c r="S2355" s="3805">
        <v>3</v>
      </c>
      <c r="T2355" s="3691">
        <v>1160000</v>
      </c>
      <c r="U2355" s="3805">
        <v>3</v>
      </c>
      <c r="V2355" s="3691">
        <v>1160000</v>
      </c>
      <c r="W2355" s="3803"/>
      <c r="X2355" s="3803"/>
      <c r="Y2355" s="3679">
        <f t="shared" ref="Y2355:Y2356" si="957">Q2355+S2355+U2355+W2355</f>
        <v>9</v>
      </c>
      <c r="Z2355" s="3691">
        <f t="shared" si="952"/>
        <v>3480000</v>
      </c>
      <c r="AA2355" s="3679">
        <f t="shared" si="955"/>
        <v>33</v>
      </c>
      <c r="AB2355" s="3691">
        <f t="shared" si="946"/>
        <v>9120000</v>
      </c>
      <c r="AC2355" s="3684">
        <f t="shared" si="956"/>
        <v>45.833333333333329</v>
      </c>
      <c r="AD2355" s="3684">
        <f t="shared" si="947"/>
        <v>45.305514157973178</v>
      </c>
      <c r="AE2355" s="3690" t="s">
        <v>4571</v>
      </c>
    </row>
    <row r="2356" spans="1:31" s="2117" customFormat="1" ht="52.5" customHeight="1">
      <c r="A2356" s="2116"/>
      <c r="B2356" s="3678"/>
      <c r="C2356" s="36">
        <v>5</v>
      </c>
      <c r="D2356" s="36" t="s">
        <v>107</v>
      </c>
      <c r="E2356" s="36" t="s">
        <v>66</v>
      </c>
      <c r="F2356" s="36" t="s">
        <v>155</v>
      </c>
      <c r="G2356" s="36" t="s">
        <v>66</v>
      </c>
      <c r="H2356" s="36" t="s">
        <v>448</v>
      </c>
      <c r="I2356" s="3680" t="s">
        <v>223</v>
      </c>
      <c r="J2356" s="3681" t="s">
        <v>4343</v>
      </c>
      <c r="K2356" s="3679">
        <v>72</v>
      </c>
      <c r="L2356" s="3682">
        <v>196500000</v>
      </c>
      <c r="M2356" s="36">
        <v>24</v>
      </c>
      <c r="N2356" s="3808">
        <v>59575000</v>
      </c>
      <c r="O2356" s="3679">
        <v>12</v>
      </c>
      <c r="P2356" s="3683">
        <v>16872500</v>
      </c>
      <c r="Q2356" s="36">
        <v>3</v>
      </c>
      <c r="R2356" s="3682">
        <v>1012500</v>
      </c>
      <c r="S2356" s="3679">
        <v>3</v>
      </c>
      <c r="T2356" s="3682">
        <v>4620000</v>
      </c>
      <c r="U2356" s="3679">
        <v>3</v>
      </c>
      <c r="V2356" s="3682">
        <v>4620000</v>
      </c>
      <c r="W2356" s="2116"/>
      <c r="X2356" s="2116"/>
      <c r="Y2356" s="3679">
        <f t="shared" si="957"/>
        <v>9</v>
      </c>
      <c r="Z2356" s="3682">
        <f t="shared" si="952"/>
        <v>10252500</v>
      </c>
      <c r="AA2356" s="3679">
        <f>M2356+Y2356</f>
        <v>33</v>
      </c>
      <c r="AB2356" s="3682">
        <f t="shared" si="946"/>
        <v>69827500</v>
      </c>
      <c r="AC2356" s="3684">
        <f>(AA2356/K2356)*100</f>
        <v>45.833333333333329</v>
      </c>
      <c r="AD2356" s="3684">
        <f t="shared" si="947"/>
        <v>35.535623409669206</v>
      </c>
      <c r="AE2356" s="3680" t="s">
        <v>4571</v>
      </c>
    </row>
    <row r="2357" spans="1:31" s="2117" customFormat="1" ht="64.5" customHeight="1">
      <c r="A2357" s="2116"/>
      <c r="B2357" s="3678"/>
      <c r="C2357" s="36">
        <v>5</v>
      </c>
      <c r="D2357" s="36" t="s">
        <v>107</v>
      </c>
      <c r="E2357" s="36" t="s">
        <v>66</v>
      </c>
      <c r="F2357" s="36" t="s">
        <v>155</v>
      </c>
      <c r="G2357" s="36" t="s">
        <v>66</v>
      </c>
      <c r="H2357" s="36" t="s">
        <v>167</v>
      </c>
      <c r="I2357" s="3680" t="s">
        <v>973</v>
      </c>
      <c r="J2357" s="3680" t="s">
        <v>4345</v>
      </c>
      <c r="K2357" s="3679">
        <v>72</v>
      </c>
      <c r="L2357" s="3682">
        <v>195000000</v>
      </c>
      <c r="M2357" s="36">
        <v>24</v>
      </c>
      <c r="N2357" s="3808">
        <v>55578000</v>
      </c>
      <c r="O2357" s="3679">
        <v>12</v>
      </c>
      <c r="P2357" s="3683">
        <v>22200000</v>
      </c>
      <c r="Q2357" s="36">
        <v>3</v>
      </c>
      <c r="R2357" s="3682"/>
      <c r="S2357" s="3679">
        <v>3</v>
      </c>
      <c r="T2357" s="3682">
        <v>1000000</v>
      </c>
      <c r="U2357" s="3679">
        <v>3</v>
      </c>
      <c r="V2357" s="3683">
        <v>15654000</v>
      </c>
      <c r="W2357" s="2116"/>
      <c r="X2357" s="2116"/>
      <c r="Y2357" s="3679">
        <f>Q2357+S2357+U2357+W2357</f>
        <v>9</v>
      </c>
      <c r="Z2357" s="3682">
        <f t="shared" si="952"/>
        <v>16654000</v>
      </c>
      <c r="AA2357" s="3679">
        <f t="shared" ref="AA2357:AA2358" si="958">M2357+Y2357</f>
        <v>33</v>
      </c>
      <c r="AB2357" s="3682">
        <f t="shared" si="946"/>
        <v>72232000</v>
      </c>
      <c r="AC2357" s="3684">
        <f t="shared" ref="AC2357:AC2358" si="959">(AA2357/K2357)*100</f>
        <v>45.833333333333329</v>
      </c>
      <c r="AD2357" s="3684">
        <f t="shared" si="947"/>
        <v>37.042051282051283</v>
      </c>
      <c r="AE2357" s="3680" t="s">
        <v>4571</v>
      </c>
    </row>
    <row r="2358" spans="1:31" s="2117" customFormat="1" ht="75">
      <c r="A2358" s="3803"/>
      <c r="B2358" s="3678"/>
      <c r="C2358" s="36">
        <v>5</v>
      </c>
      <c r="D2358" s="36" t="s">
        <v>107</v>
      </c>
      <c r="E2358" s="36" t="s">
        <v>66</v>
      </c>
      <c r="F2358" s="36" t="s">
        <v>155</v>
      </c>
      <c r="G2358" s="36" t="s">
        <v>66</v>
      </c>
      <c r="H2358" s="3804" t="s">
        <v>376</v>
      </c>
      <c r="I2358" s="3690" t="s">
        <v>4346</v>
      </c>
      <c r="J2358" s="3690" t="s">
        <v>4347</v>
      </c>
      <c r="K2358" s="3805">
        <v>72</v>
      </c>
      <c r="L2358" s="3691">
        <v>294700000</v>
      </c>
      <c r="M2358" s="3804">
        <v>24</v>
      </c>
      <c r="N2358" s="3806">
        <v>85880000</v>
      </c>
      <c r="O2358" s="3805">
        <v>12</v>
      </c>
      <c r="P2358" s="3807">
        <v>55390000</v>
      </c>
      <c r="Q2358" s="3804">
        <v>3</v>
      </c>
      <c r="R2358" s="3691">
        <v>125000</v>
      </c>
      <c r="S2358" s="3805">
        <v>3</v>
      </c>
      <c r="T2358" s="3691">
        <v>12190000</v>
      </c>
      <c r="U2358" s="3805">
        <v>3</v>
      </c>
      <c r="V2358" s="3807">
        <v>12750000</v>
      </c>
      <c r="W2358" s="3803"/>
      <c r="X2358" s="3803"/>
      <c r="Y2358" s="3679">
        <f t="shared" ref="Y2358" si="960">Q2358+S2358+U2358+W2358</f>
        <v>9</v>
      </c>
      <c r="Z2358" s="3691">
        <f t="shared" si="952"/>
        <v>25065000</v>
      </c>
      <c r="AA2358" s="3679">
        <f t="shared" si="958"/>
        <v>33</v>
      </c>
      <c r="AB2358" s="3691">
        <f t="shared" si="946"/>
        <v>110945000</v>
      </c>
      <c r="AC2358" s="3684">
        <f t="shared" si="959"/>
        <v>45.833333333333329</v>
      </c>
      <c r="AD2358" s="3684">
        <f t="shared" si="947"/>
        <v>37.646759416355621</v>
      </c>
      <c r="AE2358" s="3690" t="s">
        <v>4571</v>
      </c>
    </row>
    <row r="2359" spans="1:31" s="3837" customFormat="1" ht="99">
      <c r="A2359" s="3657"/>
      <c r="B2359" s="3835"/>
      <c r="C2359" s="3659">
        <v>5</v>
      </c>
      <c r="D2359" s="3659" t="s">
        <v>107</v>
      </c>
      <c r="E2359" s="3659" t="s">
        <v>66</v>
      </c>
      <c r="F2359" s="3659" t="s">
        <v>155</v>
      </c>
      <c r="G2359" s="3659" t="s">
        <v>65</v>
      </c>
      <c r="H2359" s="3657"/>
      <c r="I2359" s="3660" t="s">
        <v>4350</v>
      </c>
      <c r="J2359" s="3660" t="s">
        <v>4313</v>
      </c>
      <c r="K2359" s="3657">
        <v>72</v>
      </c>
      <c r="L2359" s="3662">
        <f>SUM(L2360:L2363)</f>
        <v>328106000</v>
      </c>
      <c r="M2359" s="3657">
        <v>24</v>
      </c>
      <c r="N2359" s="3662">
        <f>SUM(N2360:N2363)</f>
        <v>103949000</v>
      </c>
      <c r="O2359" s="3657">
        <v>12</v>
      </c>
      <c r="P2359" s="3662">
        <f>SUM(P2360:P2363)</f>
        <v>43750000</v>
      </c>
      <c r="Q2359" s="3657">
        <v>3</v>
      </c>
      <c r="R2359" s="3662">
        <f>SUM(R2360:R2363)</f>
        <v>9400000</v>
      </c>
      <c r="S2359" s="3657">
        <v>3</v>
      </c>
      <c r="T2359" s="3662">
        <f>SUM(T2360:T2363)</f>
        <v>5700000</v>
      </c>
      <c r="U2359" s="3661">
        <v>3</v>
      </c>
      <c r="V2359" s="3662">
        <f>SUM(V2360:V2363)</f>
        <v>12553000</v>
      </c>
      <c r="W2359" s="3661"/>
      <c r="X2359" s="3661"/>
      <c r="Y2359" s="3657">
        <f>Q2359+S2359+U2359+W2359</f>
        <v>9</v>
      </c>
      <c r="Z2359" s="3662">
        <f>SUM(Z2360:Z2363)</f>
        <v>27653000</v>
      </c>
      <c r="AA2359" s="3657">
        <f>M2359+Y2359</f>
        <v>33</v>
      </c>
      <c r="AB2359" s="3662">
        <f>SUM(AB2360:AB2363)</f>
        <v>131602000</v>
      </c>
      <c r="AC2359" s="3664">
        <f>(AA2359/K2359)*100</f>
        <v>45.833333333333329</v>
      </c>
      <c r="AD2359" s="3664">
        <f>(AB2359/L2359)*100</f>
        <v>40.109598727240588</v>
      </c>
      <c r="AE2359" s="3660" t="s">
        <v>4571</v>
      </c>
    </row>
    <row r="2360" spans="1:31" s="2117" customFormat="1" ht="64.5" customHeight="1">
      <c r="A2360" s="3803"/>
      <c r="B2360" s="3678"/>
      <c r="C2360" s="36">
        <v>5</v>
      </c>
      <c r="D2360" s="36" t="s">
        <v>107</v>
      </c>
      <c r="E2360" s="36" t="s">
        <v>66</v>
      </c>
      <c r="F2360" s="36" t="s">
        <v>155</v>
      </c>
      <c r="G2360" s="36" t="s">
        <v>65</v>
      </c>
      <c r="H2360" s="36" t="s">
        <v>163</v>
      </c>
      <c r="I2360" s="3690" t="s">
        <v>4549</v>
      </c>
      <c r="J2360" s="3690" t="s">
        <v>4550</v>
      </c>
      <c r="K2360" s="3805">
        <v>6</v>
      </c>
      <c r="L2360" s="3691">
        <v>27000000</v>
      </c>
      <c r="M2360" s="3804">
        <v>2</v>
      </c>
      <c r="N2360" s="3806">
        <v>13125000</v>
      </c>
      <c r="O2360" s="3805">
        <v>1</v>
      </c>
      <c r="P2360" s="3807">
        <v>3500000</v>
      </c>
      <c r="Q2360" s="3804">
        <v>1</v>
      </c>
      <c r="R2360" s="3691">
        <v>0</v>
      </c>
      <c r="S2360" s="3805">
        <v>0</v>
      </c>
      <c r="T2360" s="3691">
        <v>0</v>
      </c>
      <c r="U2360" s="3805">
        <v>0</v>
      </c>
      <c r="V2360" s="3807">
        <v>0</v>
      </c>
      <c r="W2360" s="3803"/>
      <c r="X2360" s="3803"/>
      <c r="Y2360" s="3679">
        <f t="shared" ref="Y2360:Y2361" si="961">Q2360+S2360+U2360+W2360</f>
        <v>1</v>
      </c>
      <c r="Z2360" s="3691">
        <f t="shared" ref="Z2360:Z2362" si="962">R2360+T2360+V2360+X2360</f>
        <v>0</v>
      </c>
      <c r="AA2360" s="3679">
        <f t="shared" ref="AA2360:AA2371" si="963">M2360+Y2360</f>
        <v>3</v>
      </c>
      <c r="AB2360" s="3691">
        <f t="shared" ref="AB2360:AB2363" si="964">N2360+Z2360</f>
        <v>13125000</v>
      </c>
      <c r="AC2360" s="3684">
        <f t="shared" ref="AC2360:AC2371" si="965">(AA2360/K2360)*100</f>
        <v>50</v>
      </c>
      <c r="AD2360" s="3684">
        <f t="shared" ref="AD2360:AD2362" si="966">(AB2360/L2360)*100</f>
        <v>48.611111111111107</v>
      </c>
      <c r="AE2360" s="3690" t="s">
        <v>4571</v>
      </c>
    </row>
    <row r="2361" spans="1:31" s="2117" customFormat="1" ht="64.5" customHeight="1">
      <c r="A2361" s="3803"/>
      <c r="B2361" s="3678"/>
      <c r="C2361" s="36">
        <v>5</v>
      </c>
      <c r="D2361" s="36" t="s">
        <v>107</v>
      </c>
      <c r="E2361" s="36" t="s">
        <v>66</v>
      </c>
      <c r="F2361" s="36" t="s">
        <v>155</v>
      </c>
      <c r="G2361" s="36" t="s">
        <v>65</v>
      </c>
      <c r="H2361" s="36" t="s">
        <v>163</v>
      </c>
      <c r="I2361" s="3690" t="s">
        <v>1301</v>
      </c>
      <c r="J2361" s="3690" t="s">
        <v>4358</v>
      </c>
      <c r="K2361" s="3805">
        <v>6</v>
      </c>
      <c r="L2361" s="3691">
        <v>27000000</v>
      </c>
      <c r="M2361" s="3804">
        <v>2</v>
      </c>
      <c r="N2361" s="3806">
        <v>13125000</v>
      </c>
      <c r="O2361" s="3805">
        <v>1</v>
      </c>
      <c r="P2361" s="3807">
        <v>3000000</v>
      </c>
      <c r="Q2361" s="3804">
        <v>1</v>
      </c>
      <c r="R2361" s="3691">
        <v>500000</v>
      </c>
      <c r="S2361" s="3805">
        <v>0</v>
      </c>
      <c r="T2361" s="3691">
        <v>0</v>
      </c>
      <c r="U2361" s="3805">
        <v>0</v>
      </c>
      <c r="V2361" s="3807">
        <f>1250000</f>
        <v>1250000</v>
      </c>
      <c r="W2361" s="3803"/>
      <c r="X2361" s="3803"/>
      <c r="Y2361" s="3679">
        <f t="shared" si="961"/>
        <v>1</v>
      </c>
      <c r="Z2361" s="3691">
        <f t="shared" si="962"/>
        <v>1750000</v>
      </c>
      <c r="AA2361" s="3679">
        <f t="shared" si="963"/>
        <v>3</v>
      </c>
      <c r="AB2361" s="3691">
        <f t="shared" si="964"/>
        <v>14875000</v>
      </c>
      <c r="AC2361" s="3684">
        <f t="shared" si="965"/>
        <v>50</v>
      </c>
      <c r="AD2361" s="3684">
        <f t="shared" si="966"/>
        <v>55.092592592592595</v>
      </c>
      <c r="AE2361" s="3690" t="s">
        <v>4571</v>
      </c>
    </row>
    <row r="2362" spans="1:31" s="2117" customFormat="1" ht="90">
      <c r="A2362" s="3803"/>
      <c r="B2362" s="3678"/>
      <c r="C2362" s="36">
        <v>5</v>
      </c>
      <c r="D2362" s="36" t="s">
        <v>107</v>
      </c>
      <c r="E2362" s="36" t="s">
        <v>66</v>
      </c>
      <c r="F2362" s="36" t="s">
        <v>155</v>
      </c>
      <c r="G2362" s="36" t="s">
        <v>65</v>
      </c>
      <c r="H2362" s="36" t="s">
        <v>165</v>
      </c>
      <c r="I2362" s="3690" t="s">
        <v>4359</v>
      </c>
      <c r="J2362" s="3690" t="s">
        <v>4360</v>
      </c>
      <c r="K2362" s="3805">
        <v>24</v>
      </c>
      <c r="L2362" s="3691">
        <v>247106000</v>
      </c>
      <c r="M2362" s="3804">
        <v>8</v>
      </c>
      <c r="N2362" s="3806">
        <v>73919000</v>
      </c>
      <c r="O2362" s="3805">
        <v>4</v>
      </c>
      <c r="P2362" s="3807">
        <v>34450000</v>
      </c>
      <c r="Q2362" s="3804">
        <v>1</v>
      </c>
      <c r="R2362" s="3691">
        <v>8500000</v>
      </c>
      <c r="S2362" s="3805">
        <v>1</v>
      </c>
      <c r="T2362" s="3807">
        <f>13800000-R2362</f>
        <v>5300000</v>
      </c>
      <c r="U2362" s="3805">
        <v>1</v>
      </c>
      <c r="V2362" s="3807">
        <f>24503000-T2362-R2362</f>
        <v>10703000</v>
      </c>
      <c r="W2362" s="3803"/>
      <c r="X2362" s="3803"/>
      <c r="Y2362" s="3679">
        <v>1</v>
      </c>
      <c r="Z2362" s="3691">
        <f t="shared" si="962"/>
        <v>24503000</v>
      </c>
      <c r="AA2362" s="3679">
        <f t="shared" si="963"/>
        <v>9</v>
      </c>
      <c r="AB2362" s="3691">
        <f t="shared" si="964"/>
        <v>98422000</v>
      </c>
      <c r="AC2362" s="3684">
        <f t="shared" si="965"/>
        <v>37.5</v>
      </c>
      <c r="AD2362" s="3684">
        <f t="shared" si="966"/>
        <v>39.829870581855559</v>
      </c>
      <c r="AE2362" s="3690" t="s">
        <v>4571</v>
      </c>
    </row>
    <row r="2363" spans="1:31" s="2117" customFormat="1" ht="75">
      <c r="A2363" s="3803"/>
      <c r="B2363" s="3678"/>
      <c r="C2363" s="36">
        <v>5</v>
      </c>
      <c r="D2363" s="36" t="s">
        <v>107</v>
      </c>
      <c r="E2363" s="36" t="s">
        <v>66</v>
      </c>
      <c r="F2363" s="36" t="s">
        <v>155</v>
      </c>
      <c r="G2363" s="36" t="s">
        <v>65</v>
      </c>
      <c r="H2363" s="36" t="s">
        <v>178</v>
      </c>
      <c r="I2363" s="3690" t="s">
        <v>4361</v>
      </c>
      <c r="J2363" s="3690" t="s">
        <v>4362</v>
      </c>
      <c r="K2363" s="3805">
        <v>96</v>
      </c>
      <c r="L2363" s="3691">
        <v>27000000</v>
      </c>
      <c r="M2363" s="3804">
        <v>12</v>
      </c>
      <c r="N2363" s="3806">
        <v>3780000</v>
      </c>
      <c r="O2363" s="3805">
        <v>13</v>
      </c>
      <c r="P2363" s="3807">
        <v>2800000</v>
      </c>
      <c r="Q2363" s="3804">
        <v>3</v>
      </c>
      <c r="R2363" s="3691">
        <v>400000</v>
      </c>
      <c r="S2363" s="3805">
        <v>3</v>
      </c>
      <c r="T2363" s="3807">
        <v>400000</v>
      </c>
      <c r="U2363" s="3805">
        <v>3</v>
      </c>
      <c r="V2363" s="3807">
        <v>600000</v>
      </c>
      <c r="W2363" s="3803"/>
      <c r="X2363" s="3803"/>
      <c r="Y2363" s="3679">
        <f t="shared" ref="Y2363:Y2371" si="967">Q2363+S2363+U2363+W2363</f>
        <v>9</v>
      </c>
      <c r="Z2363" s="3691">
        <f>R2363+T2363+V2363+X2363</f>
        <v>1400000</v>
      </c>
      <c r="AA2363" s="3679">
        <f t="shared" si="963"/>
        <v>21</v>
      </c>
      <c r="AB2363" s="3691">
        <f t="shared" si="964"/>
        <v>5180000</v>
      </c>
      <c r="AC2363" s="3684">
        <f t="shared" si="965"/>
        <v>21.875</v>
      </c>
      <c r="AD2363" s="3684">
        <f>(AB2363/L2363)*100</f>
        <v>19.185185185185187</v>
      </c>
      <c r="AE2363" s="3690" t="s">
        <v>4571</v>
      </c>
    </row>
    <row r="2364" spans="1:31" s="3825" customFormat="1" ht="82.5">
      <c r="A2364" s="3657"/>
      <c r="B2364" s="3835"/>
      <c r="C2364" s="3659">
        <v>5</v>
      </c>
      <c r="D2364" s="3659" t="s">
        <v>107</v>
      </c>
      <c r="E2364" s="3659" t="s">
        <v>66</v>
      </c>
      <c r="F2364" s="3659" t="s">
        <v>155</v>
      </c>
      <c r="G2364" s="3659" t="s">
        <v>448</v>
      </c>
      <c r="H2364" s="3657"/>
      <c r="I2364" s="3660" t="s">
        <v>4364</v>
      </c>
      <c r="J2364" s="3660" t="s">
        <v>4365</v>
      </c>
      <c r="K2364" s="3657">
        <v>100</v>
      </c>
      <c r="L2364" s="3662">
        <f>SUM(L2365:L2365)</f>
        <v>174225000</v>
      </c>
      <c r="M2364" s="3657">
        <v>32</v>
      </c>
      <c r="N2364" s="3662">
        <f>SUM(N2365:N2365)</f>
        <v>41225000</v>
      </c>
      <c r="O2364" s="3657">
        <v>18</v>
      </c>
      <c r="P2364" s="3662">
        <f>SUM(P2365:P2365)</f>
        <v>31319000</v>
      </c>
      <c r="Q2364" s="3657">
        <v>0</v>
      </c>
      <c r="R2364" s="3662">
        <f>SUM(R2365:R2365)</f>
        <v>0</v>
      </c>
      <c r="S2364" s="3657">
        <v>0</v>
      </c>
      <c r="T2364" s="3662">
        <f>SUM(T2365:T2365)</f>
        <v>500000</v>
      </c>
      <c r="U2364" s="3664">
        <f>V2364/P2364*100</f>
        <v>81.739519141735045</v>
      </c>
      <c r="V2364" s="3662">
        <f>SUM(V2365:V2365)</f>
        <v>25600000</v>
      </c>
      <c r="W2364" s="3661"/>
      <c r="X2364" s="3661"/>
      <c r="Y2364" s="3836">
        <f t="shared" si="967"/>
        <v>81.739519141735045</v>
      </c>
      <c r="Z2364" s="3662">
        <f>SUM(Z2365:Z2365)</f>
        <v>26100000</v>
      </c>
      <c r="AA2364" s="3836">
        <f t="shared" si="963"/>
        <v>113.73951914173504</v>
      </c>
      <c r="AB2364" s="3662">
        <f>SUM(AB2365:AB2365)</f>
        <v>67325000</v>
      </c>
      <c r="AC2364" s="3664">
        <f t="shared" si="965"/>
        <v>113.73951914173503</v>
      </c>
      <c r="AD2364" s="3664">
        <f t="shared" ref="AD2364" si="968">(AB2364/L2364)*100</f>
        <v>38.642559908164728</v>
      </c>
      <c r="AE2364" s="3660" t="s">
        <v>4571</v>
      </c>
    </row>
    <row r="2365" spans="1:31" s="2117" customFormat="1" ht="45">
      <c r="A2365" s="18"/>
      <c r="B2365" s="15"/>
      <c r="C2365" s="36">
        <v>5</v>
      </c>
      <c r="D2365" s="36" t="s">
        <v>107</v>
      </c>
      <c r="E2365" s="36" t="s">
        <v>66</v>
      </c>
      <c r="F2365" s="36" t="s">
        <v>155</v>
      </c>
      <c r="G2365" s="36" t="s">
        <v>448</v>
      </c>
      <c r="H2365" s="36" t="s">
        <v>197</v>
      </c>
      <c r="I2365" s="15" t="s">
        <v>4366</v>
      </c>
      <c r="J2365" s="15" t="s">
        <v>4367</v>
      </c>
      <c r="K2365" s="3826">
        <v>6</v>
      </c>
      <c r="L2365" s="16">
        <v>174225000</v>
      </c>
      <c r="M2365" s="3826">
        <v>2</v>
      </c>
      <c r="N2365" s="16">
        <v>41225000</v>
      </c>
      <c r="O2365" s="3826">
        <v>1</v>
      </c>
      <c r="P2365" s="16">
        <v>31319000</v>
      </c>
      <c r="Q2365" s="3826">
        <v>0</v>
      </c>
      <c r="R2365" s="16">
        <v>0</v>
      </c>
      <c r="S2365" s="3826">
        <v>0</v>
      </c>
      <c r="T2365" s="16">
        <v>500000</v>
      </c>
      <c r="U2365" s="3826">
        <v>1</v>
      </c>
      <c r="V2365" s="3827">
        <v>25600000</v>
      </c>
      <c r="W2365" s="15"/>
      <c r="X2365" s="15"/>
      <c r="Y2365" s="3826">
        <f t="shared" si="967"/>
        <v>1</v>
      </c>
      <c r="Z2365" s="3691">
        <f>R2365+T2365+V2365+X2365</f>
        <v>26100000</v>
      </c>
      <c r="AA2365" s="3826">
        <f t="shared" si="963"/>
        <v>3</v>
      </c>
      <c r="AB2365" s="3691">
        <f t="shared" ref="AB2365" si="969">N2365+Z2365</f>
        <v>67325000</v>
      </c>
      <c r="AC2365" s="19">
        <f t="shared" si="965"/>
        <v>50</v>
      </c>
      <c r="AD2365" s="19">
        <f>(AB2365/L2365)*100</f>
        <v>38.642559908164728</v>
      </c>
      <c r="AE2365" s="15" t="s">
        <v>4571</v>
      </c>
    </row>
    <row r="2366" spans="1:31" s="3825" customFormat="1" ht="99">
      <c r="A2366" s="3657"/>
      <c r="B2366" s="3835"/>
      <c r="C2366" s="3659">
        <v>5</v>
      </c>
      <c r="D2366" s="3659" t="s">
        <v>107</v>
      </c>
      <c r="E2366" s="3659" t="s">
        <v>66</v>
      </c>
      <c r="F2366" s="3659" t="s">
        <v>155</v>
      </c>
      <c r="G2366" s="3659" t="s">
        <v>155</v>
      </c>
      <c r="H2366" s="3659"/>
      <c r="I2366" s="3660" t="s">
        <v>4369</v>
      </c>
      <c r="J2366" s="3660" t="s">
        <v>4370</v>
      </c>
      <c r="K2366" s="3657">
        <v>100</v>
      </c>
      <c r="L2366" s="3662">
        <f>SUM(L2367:L2367)</f>
        <v>75310000</v>
      </c>
      <c r="M2366" s="3657">
        <v>32</v>
      </c>
      <c r="N2366" s="3662">
        <f>SUM(N2367:N2367)</f>
        <v>20605000</v>
      </c>
      <c r="O2366" s="3657">
        <v>18</v>
      </c>
      <c r="P2366" s="3662">
        <f>SUM(P2367:P2367)</f>
        <v>22087500</v>
      </c>
      <c r="Q2366" s="3657">
        <v>0</v>
      </c>
      <c r="R2366" s="3662">
        <f>SUM(R2367:R2367)</f>
        <v>0</v>
      </c>
      <c r="S2366" s="3657">
        <v>15</v>
      </c>
      <c r="T2366" s="3663">
        <f>SUM(T2367)</f>
        <v>21780000</v>
      </c>
      <c r="U2366" s="3661">
        <v>3</v>
      </c>
      <c r="V2366" s="3663">
        <f>SUM(V2367)</f>
        <v>0</v>
      </c>
      <c r="W2366" s="3661"/>
      <c r="X2366" s="3661"/>
      <c r="Y2366" s="3657">
        <f t="shared" si="967"/>
        <v>18</v>
      </c>
      <c r="Z2366" s="3662">
        <f>SUM(Z2367:Z2367)</f>
        <v>21780000</v>
      </c>
      <c r="AA2366" s="3657">
        <f t="shared" si="963"/>
        <v>50</v>
      </c>
      <c r="AB2366" s="3662">
        <f>SUM(AB2367:AB2367)</f>
        <v>42385000</v>
      </c>
      <c r="AC2366" s="3664">
        <f t="shared" si="965"/>
        <v>50</v>
      </c>
      <c r="AD2366" s="3664">
        <f t="shared" ref="AD2366:AD2368" si="970">(AB2366/L2366)*100</f>
        <v>56.280706413490897</v>
      </c>
      <c r="AE2366" s="3660" t="s">
        <v>4571</v>
      </c>
    </row>
    <row r="2367" spans="1:31" s="2117" customFormat="1" ht="75">
      <c r="A2367" s="18"/>
      <c r="B2367" s="15"/>
      <c r="C2367" s="36">
        <v>5</v>
      </c>
      <c r="D2367" s="36" t="s">
        <v>107</v>
      </c>
      <c r="E2367" s="36" t="s">
        <v>66</v>
      </c>
      <c r="F2367" s="36" t="s">
        <v>155</v>
      </c>
      <c r="G2367" s="36" t="s">
        <v>155</v>
      </c>
      <c r="H2367" s="36" t="s">
        <v>202</v>
      </c>
      <c r="I2367" s="15" t="s">
        <v>4371</v>
      </c>
      <c r="J2367" s="15" t="s">
        <v>4565</v>
      </c>
      <c r="K2367" s="3826">
        <v>6</v>
      </c>
      <c r="L2367" s="16">
        <v>75310000</v>
      </c>
      <c r="M2367" s="3826">
        <v>2</v>
      </c>
      <c r="N2367" s="16">
        <v>20605000</v>
      </c>
      <c r="O2367" s="3826">
        <v>1</v>
      </c>
      <c r="P2367" s="16">
        <v>22087500</v>
      </c>
      <c r="Q2367" s="3826">
        <v>0</v>
      </c>
      <c r="R2367" s="16">
        <v>0</v>
      </c>
      <c r="S2367" s="3826">
        <v>1</v>
      </c>
      <c r="T2367" s="3827">
        <v>21780000</v>
      </c>
      <c r="U2367" s="3826">
        <v>1</v>
      </c>
      <c r="V2367" s="3827">
        <v>0</v>
      </c>
      <c r="W2367" s="15"/>
      <c r="X2367" s="15"/>
      <c r="Y2367" s="3679">
        <f t="shared" si="967"/>
        <v>2</v>
      </c>
      <c r="Z2367" s="3691">
        <f>R2367+T2367+V2367+X2367</f>
        <v>21780000</v>
      </c>
      <c r="AA2367" s="3679">
        <f t="shared" si="963"/>
        <v>4</v>
      </c>
      <c r="AB2367" s="3691">
        <f t="shared" ref="AB2367" si="971">N2367+Z2367</f>
        <v>42385000</v>
      </c>
      <c r="AC2367" s="3684">
        <f t="shared" si="965"/>
        <v>66.666666666666657</v>
      </c>
      <c r="AD2367" s="3684">
        <f t="shared" si="970"/>
        <v>56.280706413490897</v>
      </c>
      <c r="AE2367" s="15" t="s">
        <v>4571</v>
      </c>
    </row>
    <row r="2368" spans="1:31" s="3825" customFormat="1" ht="66">
      <c r="A2368" s="3657"/>
      <c r="B2368" s="3835"/>
      <c r="C2368" s="3659">
        <v>5</v>
      </c>
      <c r="D2368" s="3659" t="s">
        <v>107</v>
      </c>
      <c r="E2368" s="3659" t="s">
        <v>66</v>
      </c>
      <c r="F2368" s="3659" t="s">
        <v>155</v>
      </c>
      <c r="G2368" s="3659">
        <v>21</v>
      </c>
      <c r="H2368" s="3659"/>
      <c r="I2368" s="3660" t="s">
        <v>4279</v>
      </c>
      <c r="J2368" s="3660" t="s">
        <v>4595</v>
      </c>
      <c r="K2368" s="3657">
        <v>80</v>
      </c>
      <c r="L2368" s="3662">
        <f>SUM(L2369:L2369)</f>
        <v>100000000</v>
      </c>
      <c r="M2368" s="3657">
        <v>40</v>
      </c>
      <c r="N2368" s="3662">
        <f>SUM(N2369:N2369)</f>
        <v>0</v>
      </c>
      <c r="O2368" s="3657">
        <v>15</v>
      </c>
      <c r="P2368" s="3662">
        <f>SUM(P2369:P2369)</f>
        <v>8680000</v>
      </c>
      <c r="Q2368" s="3657">
        <v>0</v>
      </c>
      <c r="R2368" s="3662">
        <f>SUM(R2369:R2369)</f>
        <v>150000</v>
      </c>
      <c r="S2368" s="3657">
        <v>10</v>
      </c>
      <c r="T2368" s="3662">
        <f>SUM(T2369)</f>
        <v>8000000</v>
      </c>
      <c r="U2368" s="3661">
        <v>3</v>
      </c>
      <c r="V2368" s="3662">
        <f>SUM(V2369)</f>
        <v>0</v>
      </c>
      <c r="W2368" s="3661"/>
      <c r="X2368" s="3661"/>
      <c r="Y2368" s="3657">
        <f t="shared" si="967"/>
        <v>13</v>
      </c>
      <c r="Z2368" s="3662">
        <f>SUM(Z2369:Z2369)</f>
        <v>8150000</v>
      </c>
      <c r="AA2368" s="3657">
        <f t="shared" si="963"/>
        <v>53</v>
      </c>
      <c r="AB2368" s="3662">
        <f>SUM(AB2369:AB2369)</f>
        <v>8150000</v>
      </c>
      <c r="AC2368" s="3664">
        <f t="shared" si="965"/>
        <v>66.25</v>
      </c>
      <c r="AD2368" s="3664">
        <f t="shared" si="970"/>
        <v>8.15</v>
      </c>
      <c r="AE2368" s="3660" t="s">
        <v>4571</v>
      </c>
    </row>
    <row r="2369" spans="1:31" s="63" customFormat="1" ht="38.25">
      <c r="A2369" s="3852"/>
      <c r="B2369" s="3854"/>
      <c r="C2369" s="3853">
        <v>5</v>
      </c>
      <c r="D2369" s="3853" t="s">
        <v>107</v>
      </c>
      <c r="E2369" s="3853" t="s">
        <v>66</v>
      </c>
      <c r="F2369" s="3853" t="s">
        <v>155</v>
      </c>
      <c r="G2369" s="3853">
        <v>21</v>
      </c>
      <c r="H2369" s="3853">
        <v>21</v>
      </c>
      <c r="I2369" s="3985" t="s">
        <v>4596</v>
      </c>
      <c r="J2369" s="3985" t="s">
        <v>4597</v>
      </c>
      <c r="K2369" s="3852">
        <v>5</v>
      </c>
      <c r="L2369" s="3863">
        <v>100000000</v>
      </c>
      <c r="M2369" s="3852">
        <v>0</v>
      </c>
      <c r="N2369" s="3863">
        <v>0</v>
      </c>
      <c r="O2369" s="3852">
        <v>1</v>
      </c>
      <c r="P2369" s="3863">
        <v>8680000</v>
      </c>
      <c r="Q2369" s="3852">
        <v>0</v>
      </c>
      <c r="R2369" s="3855">
        <v>150000</v>
      </c>
      <c r="S2369" s="3852">
        <v>1</v>
      </c>
      <c r="T2369" s="3863">
        <v>8000000</v>
      </c>
      <c r="U2369" s="3852">
        <v>0</v>
      </c>
      <c r="V2369" s="3864">
        <v>0</v>
      </c>
      <c r="W2369" s="3852"/>
      <c r="X2369" s="3852"/>
      <c r="Y2369" s="3852">
        <f t="shared" si="967"/>
        <v>1</v>
      </c>
      <c r="Z2369" s="60">
        <f>R2369+T2369+V2369+X2369</f>
        <v>8150000</v>
      </c>
      <c r="AA2369" s="3852">
        <f t="shared" si="963"/>
        <v>1</v>
      </c>
      <c r="AB2369" s="60">
        <f t="shared" ref="AB2369" si="972">N2369+Z2369</f>
        <v>8150000</v>
      </c>
      <c r="AC2369" s="389">
        <f t="shared" si="965"/>
        <v>20</v>
      </c>
      <c r="AD2369" s="3852"/>
      <c r="AE2369" s="3851" t="s">
        <v>4571</v>
      </c>
    </row>
    <row r="2370" spans="1:31" s="3829" customFormat="1" ht="111.75" customHeight="1">
      <c r="A2370" s="3657"/>
      <c r="B2370" s="3835"/>
      <c r="C2370" s="3659">
        <v>5</v>
      </c>
      <c r="D2370" s="3659" t="s">
        <v>107</v>
      </c>
      <c r="E2370" s="3659" t="s">
        <v>66</v>
      </c>
      <c r="F2370" s="3659" t="s">
        <v>155</v>
      </c>
      <c r="G2370" s="3659" t="s">
        <v>357</v>
      </c>
      <c r="H2370" s="3657"/>
      <c r="I2370" s="3660" t="s">
        <v>4378</v>
      </c>
      <c r="J2370" s="3660" t="s">
        <v>4379</v>
      </c>
      <c r="K2370" s="3657">
        <v>100</v>
      </c>
      <c r="L2370" s="3662">
        <f>SUM(L2371:L2371)</f>
        <v>129353840</v>
      </c>
      <c r="M2370" s="3657">
        <v>32</v>
      </c>
      <c r="N2370" s="3662">
        <f>SUM(N2371:N2371)</f>
        <v>49300000</v>
      </c>
      <c r="O2370" s="3657">
        <v>18</v>
      </c>
      <c r="P2370" s="3662">
        <f>SUM(P2371:P2371)</f>
        <v>12136613</v>
      </c>
      <c r="Q2370" s="3657">
        <v>0</v>
      </c>
      <c r="R2370" s="3662">
        <f>SUM(R2371:R2371)</f>
        <v>4331613</v>
      </c>
      <c r="S2370" s="3657">
        <v>2</v>
      </c>
      <c r="T2370" s="3663">
        <f>SUM(T2371:T2371)</f>
        <v>1115000</v>
      </c>
      <c r="U2370" s="3664">
        <f>V2370/P2370*100</f>
        <v>27.56123145724429</v>
      </c>
      <c r="V2370" s="3663">
        <f>SUM(V2371:V2371)</f>
        <v>3345000</v>
      </c>
      <c r="W2370" s="3661"/>
      <c r="X2370" s="3661"/>
      <c r="Y2370" s="3836">
        <f t="shared" si="967"/>
        <v>29.56123145724429</v>
      </c>
      <c r="Z2370" s="3662">
        <f>SUM(Z2371:Z2371)</f>
        <v>8791613</v>
      </c>
      <c r="AA2370" s="3836">
        <f t="shared" si="963"/>
        <v>61.56123145724429</v>
      </c>
      <c r="AB2370" s="3662">
        <f>SUM(AB2371:AB2371)</f>
        <v>58091613</v>
      </c>
      <c r="AC2370" s="3664">
        <f t="shared" si="965"/>
        <v>61.56123145724429</v>
      </c>
      <c r="AD2370" s="3664">
        <f t="shared" ref="AD2370" si="973">(AB2370/L2370)*100</f>
        <v>44.909074983780926</v>
      </c>
      <c r="AE2370" s="3660" t="s">
        <v>4571</v>
      </c>
    </row>
    <row r="2371" spans="1:31" s="6" customFormat="1" ht="30">
      <c r="A2371" s="18"/>
      <c r="B2371" s="15"/>
      <c r="C2371" s="36">
        <v>5</v>
      </c>
      <c r="D2371" s="36" t="s">
        <v>107</v>
      </c>
      <c r="E2371" s="36" t="s">
        <v>66</v>
      </c>
      <c r="F2371" s="36" t="s">
        <v>155</v>
      </c>
      <c r="G2371" s="36" t="s">
        <v>357</v>
      </c>
      <c r="H2371" s="35" t="s">
        <v>201</v>
      </c>
      <c r="I2371" s="15" t="s">
        <v>2957</v>
      </c>
      <c r="J2371" s="15" t="s">
        <v>4588</v>
      </c>
      <c r="K2371" s="3826">
        <v>60</v>
      </c>
      <c r="L2371" s="16">
        <v>129353840</v>
      </c>
      <c r="M2371" s="3826">
        <v>20</v>
      </c>
      <c r="N2371" s="16">
        <v>49300000</v>
      </c>
      <c r="O2371" s="3826">
        <v>10</v>
      </c>
      <c r="P2371" s="16">
        <v>12136613</v>
      </c>
      <c r="Q2371" s="3826">
        <v>2</v>
      </c>
      <c r="R2371" s="16">
        <v>4331613</v>
      </c>
      <c r="S2371" s="3826">
        <f>4-Q2371</f>
        <v>2</v>
      </c>
      <c r="T2371" s="3827">
        <v>1115000</v>
      </c>
      <c r="U2371" s="3826">
        <v>2</v>
      </c>
      <c r="V2371" s="3827">
        <v>3345000</v>
      </c>
      <c r="W2371" s="15"/>
      <c r="X2371" s="15"/>
      <c r="Y2371" s="3826">
        <f t="shared" si="967"/>
        <v>6</v>
      </c>
      <c r="Z2371" s="3691">
        <f>R2371+T2371+V2371+X2371</f>
        <v>8791613</v>
      </c>
      <c r="AA2371" s="3826">
        <f t="shared" si="963"/>
        <v>26</v>
      </c>
      <c r="AB2371" s="3691">
        <f t="shared" ref="AB2371" si="974">N2371+Z2371</f>
        <v>58091613</v>
      </c>
      <c r="AC2371" s="19">
        <f t="shared" si="965"/>
        <v>43.333333333333336</v>
      </c>
      <c r="AD2371" s="19">
        <f>(AB2371/L2371)*100</f>
        <v>44.909074983780926</v>
      </c>
      <c r="AE2371" s="15" t="s">
        <v>4571</v>
      </c>
    </row>
    <row r="2372" spans="1:31" s="3825" customFormat="1" ht="82.5">
      <c r="A2372" s="3657"/>
      <c r="B2372" s="3835"/>
      <c r="C2372" s="3659">
        <v>5</v>
      </c>
      <c r="D2372" s="3659" t="s">
        <v>107</v>
      </c>
      <c r="E2372" s="3659" t="s">
        <v>66</v>
      </c>
      <c r="F2372" s="3659" t="s">
        <v>197</v>
      </c>
      <c r="G2372" s="3659">
        <v>21</v>
      </c>
      <c r="H2372" s="3659"/>
      <c r="I2372" s="3660" t="s">
        <v>4598</v>
      </c>
      <c r="J2372" s="3660" t="s">
        <v>4599</v>
      </c>
      <c r="K2372" s="3657">
        <v>80</v>
      </c>
      <c r="L2372" s="3662">
        <f>SUM(L2373:L2374)</f>
        <v>118000000</v>
      </c>
      <c r="M2372" s="3657">
        <v>60</v>
      </c>
      <c r="N2372" s="3662">
        <f>SUM(N2373:N2374)</f>
        <v>8680000</v>
      </c>
      <c r="O2372" s="3657">
        <v>15</v>
      </c>
      <c r="P2372" s="3662">
        <f>SUM(P2373:P2374)</f>
        <v>15355000</v>
      </c>
      <c r="Q2372" s="3657">
        <v>0</v>
      </c>
      <c r="R2372" s="3662">
        <f>SUM(R2373:R2374)</f>
        <v>750000</v>
      </c>
      <c r="S2372" s="3657">
        <v>10</v>
      </c>
      <c r="T2372" s="3662">
        <f>SUM(T2373:T2374)</f>
        <v>5100000</v>
      </c>
      <c r="U2372" s="3661">
        <v>3</v>
      </c>
      <c r="V2372" s="3662">
        <f>SUM(V2373:V2374)</f>
        <v>9410000</v>
      </c>
      <c r="W2372" s="3661"/>
      <c r="X2372" s="3661"/>
      <c r="Y2372" s="3657">
        <f t="shared" ref="Y2372:Y2374" si="975">Q2372+S2372+U2372+W2372</f>
        <v>13</v>
      </c>
      <c r="Z2372" s="3662">
        <f>R2372+T2372+V2372+X2372</f>
        <v>15260000</v>
      </c>
      <c r="AA2372" s="3657">
        <f t="shared" ref="AA2372:AA2374" si="976">M2372+Y2372</f>
        <v>73</v>
      </c>
      <c r="AB2372" s="3662">
        <f t="shared" ref="AB2372:AB2373" si="977">N2372+Z2372</f>
        <v>23940000</v>
      </c>
      <c r="AC2372" s="3664">
        <f t="shared" ref="AC2372:AC2374" si="978">(AA2372/K2372)*100</f>
        <v>91.25</v>
      </c>
      <c r="AD2372" s="3664">
        <f t="shared" ref="AD2372" si="979">(AB2372/L2372)*100</f>
        <v>20.288135593220339</v>
      </c>
      <c r="AE2372" s="3660" t="s">
        <v>4571</v>
      </c>
    </row>
    <row r="2373" spans="1:31" s="63" customFormat="1" ht="38.25">
      <c r="A2373" s="3983"/>
      <c r="B2373" s="3985"/>
      <c r="C2373" s="3984">
        <v>5</v>
      </c>
      <c r="D2373" s="3984" t="s">
        <v>107</v>
      </c>
      <c r="E2373" s="3984" t="s">
        <v>66</v>
      </c>
      <c r="F2373" s="3984" t="s">
        <v>197</v>
      </c>
      <c r="G2373" s="3984">
        <v>21</v>
      </c>
      <c r="H2373" s="3984" t="s">
        <v>66</v>
      </c>
      <c r="I2373" s="3985" t="s">
        <v>4600</v>
      </c>
      <c r="J2373" s="3985" t="s">
        <v>4601</v>
      </c>
      <c r="K2373" s="3983">
        <v>5</v>
      </c>
      <c r="L2373" s="3988">
        <v>18000000</v>
      </c>
      <c r="M2373" s="3983">
        <v>0</v>
      </c>
      <c r="N2373" s="3988">
        <v>0</v>
      </c>
      <c r="O2373" s="3983">
        <v>1</v>
      </c>
      <c r="P2373" s="3988">
        <v>2495000</v>
      </c>
      <c r="Q2373" s="3983">
        <v>0</v>
      </c>
      <c r="R2373" s="3987">
        <v>0</v>
      </c>
      <c r="S2373" s="3983">
        <v>1</v>
      </c>
      <c r="T2373" s="3988">
        <v>2400000</v>
      </c>
      <c r="U2373" s="3983">
        <v>0</v>
      </c>
      <c r="V2373" s="3864">
        <v>0</v>
      </c>
      <c r="W2373" s="3983"/>
      <c r="X2373" s="3983"/>
      <c r="Y2373" s="3983">
        <f t="shared" ref="Y2373" si="980">Q2373+S2373+U2373+W2373</f>
        <v>1</v>
      </c>
      <c r="Z2373" s="60">
        <f>R2373+T2373+V2373+X2373</f>
        <v>2400000</v>
      </c>
      <c r="AA2373" s="3983">
        <f t="shared" ref="AA2373" si="981">M2373+Y2373</f>
        <v>1</v>
      </c>
      <c r="AB2373" s="60">
        <f t="shared" si="977"/>
        <v>2400000</v>
      </c>
      <c r="AC2373" s="389">
        <f t="shared" ref="AC2373" si="982">(AA2373/K2373)*100</f>
        <v>20</v>
      </c>
      <c r="AD2373" s="3983"/>
      <c r="AE2373" s="3982" t="s">
        <v>4571</v>
      </c>
    </row>
    <row r="2374" spans="1:31" s="63" customFormat="1" ht="25.5">
      <c r="A2374" s="3983"/>
      <c r="B2374" s="3985"/>
      <c r="C2374" s="3984">
        <v>5</v>
      </c>
      <c r="D2374" s="3984" t="s">
        <v>107</v>
      </c>
      <c r="E2374" s="3984" t="s">
        <v>66</v>
      </c>
      <c r="F2374" s="3984" t="s">
        <v>197</v>
      </c>
      <c r="G2374" s="3984">
        <v>21</v>
      </c>
      <c r="H2374" s="3984">
        <v>23</v>
      </c>
      <c r="I2374" s="3985" t="s">
        <v>4602</v>
      </c>
      <c r="J2374" s="3985" t="s">
        <v>4603</v>
      </c>
      <c r="K2374" s="3983">
        <v>60</v>
      </c>
      <c r="L2374" s="3988">
        <v>100000000</v>
      </c>
      <c r="M2374" s="3983">
        <v>0</v>
      </c>
      <c r="N2374" s="3988">
        <v>8680000</v>
      </c>
      <c r="O2374" s="3983">
        <v>1</v>
      </c>
      <c r="P2374" s="3988">
        <v>12860000</v>
      </c>
      <c r="Q2374" s="3983">
        <v>3</v>
      </c>
      <c r="R2374" s="3986">
        <v>750000</v>
      </c>
      <c r="S2374" s="3983">
        <v>3</v>
      </c>
      <c r="T2374" s="3988">
        <v>2700000</v>
      </c>
      <c r="U2374" s="3983">
        <v>3</v>
      </c>
      <c r="V2374" s="3864">
        <v>9410000</v>
      </c>
      <c r="W2374" s="3983"/>
      <c r="X2374" s="3983"/>
      <c r="Y2374" s="3983">
        <f t="shared" si="975"/>
        <v>9</v>
      </c>
      <c r="Z2374" s="60">
        <f>R2374+T2374+V2374+X2374</f>
        <v>12860000</v>
      </c>
      <c r="AA2374" s="3983">
        <f t="shared" si="976"/>
        <v>9</v>
      </c>
      <c r="AB2374" s="60">
        <f t="shared" ref="AB2374" si="983">N2374+Z2374</f>
        <v>21540000</v>
      </c>
      <c r="AC2374" s="389">
        <f t="shared" si="978"/>
        <v>15</v>
      </c>
      <c r="AD2374" s="3983"/>
      <c r="AE2374" s="3982" t="s">
        <v>4571</v>
      </c>
    </row>
    <row r="2375" spans="1:31" s="3802" customFormat="1" ht="99">
      <c r="A2375" s="3657"/>
      <c r="B2375" s="3835"/>
      <c r="C2375" s="3659">
        <v>5</v>
      </c>
      <c r="D2375" s="3659" t="s">
        <v>107</v>
      </c>
      <c r="E2375" s="3659" t="s">
        <v>66</v>
      </c>
      <c r="F2375" s="3659" t="s">
        <v>155</v>
      </c>
      <c r="G2375" s="3659" t="s">
        <v>1099</v>
      </c>
      <c r="H2375" s="3657"/>
      <c r="I2375" s="3660" t="s">
        <v>4387</v>
      </c>
      <c r="J2375" s="3660" t="s">
        <v>4388</v>
      </c>
      <c r="K2375" s="3657">
        <v>100</v>
      </c>
      <c r="L2375" s="3662">
        <f>SUM(L2376:L2382)</f>
        <v>691223000</v>
      </c>
      <c r="M2375" s="3657">
        <v>32</v>
      </c>
      <c r="N2375" s="3662">
        <f>SUM(N2376:N2382)</f>
        <v>176442400</v>
      </c>
      <c r="O2375" s="3657">
        <v>20</v>
      </c>
      <c r="P2375" s="3662">
        <f>SUM(P2376:P2382)</f>
        <v>83688178.75</v>
      </c>
      <c r="Q2375" s="3657">
        <v>0</v>
      </c>
      <c r="R2375" s="3662">
        <f>SUM(R2376:R2382)</f>
        <v>7111500</v>
      </c>
      <c r="S2375" s="3657">
        <v>5</v>
      </c>
      <c r="T2375" s="3662">
        <f>SUM(T2376:T2382)</f>
        <v>33198500</v>
      </c>
      <c r="U2375" s="3664">
        <f>V2375/P2375*100</f>
        <v>17.523860859500424</v>
      </c>
      <c r="V2375" s="3662">
        <f>SUM(V2376:V2382)</f>
        <v>14665400</v>
      </c>
      <c r="W2375" s="3661"/>
      <c r="X2375" s="3661"/>
      <c r="Y2375" s="3836">
        <f>Q2375+S2375+U2375+W2375</f>
        <v>22.523860859500424</v>
      </c>
      <c r="Z2375" s="3662">
        <f>SUM(Z2376:Z2382)</f>
        <v>54975400</v>
      </c>
      <c r="AA2375" s="3836">
        <f>M2375+Y2375</f>
        <v>54.523860859500424</v>
      </c>
      <c r="AB2375" s="3662">
        <f>SUM(AB2376:AB2382)</f>
        <v>231417800</v>
      </c>
      <c r="AC2375" s="3664">
        <f>(AA2375/K2375)*100</f>
        <v>54.523860859500431</v>
      </c>
      <c r="AD2375" s="3664">
        <f t="shared" ref="AD2375:AD2382" si="984">(AB2375/L2375)*100</f>
        <v>33.479470445861899</v>
      </c>
      <c r="AE2375" s="3660" t="s">
        <v>4571</v>
      </c>
    </row>
    <row r="2376" spans="1:31" s="6" customFormat="1" ht="63" customHeight="1">
      <c r="A2376" s="3803"/>
      <c r="B2376" s="3678"/>
      <c r="C2376" s="36">
        <v>5</v>
      </c>
      <c r="D2376" s="36" t="s">
        <v>107</v>
      </c>
      <c r="E2376" s="36" t="s">
        <v>66</v>
      </c>
      <c r="F2376" s="36" t="s">
        <v>155</v>
      </c>
      <c r="G2376" s="36" t="s">
        <v>1099</v>
      </c>
      <c r="H2376" s="3804" t="s">
        <v>66</v>
      </c>
      <c r="I2376" s="3690" t="s">
        <v>4285</v>
      </c>
      <c r="J2376" s="3690" t="s">
        <v>4389</v>
      </c>
      <c r="K2376" s="3805">
        <v>60</v>
      </c>
      <c r="L2376" s="3691">
        <v>188580500</v>
      </c>
      <c r="M2376" s="3804">
        <v>20</v>
      </c>
      <c r="N2376" s="3806">
        <v>58377900</v>
      </c>
      <c r="O2376" s="3805">
        <v>10</v>
      </c>
      <c r="P2376" s="3807">
        <v>30822900</v>
      </c>
      <c r="Q2376" s="3804">
        <v>1</v>
      </c>
      <c r="R2376" s="3691">
        <v>3261500</v>
      </c>
      <c r="S2376" s="3805">
        <v>2</v>
      </c>
      <c r="T2376" s="3807">
        <v>12858500</v>
      </c>
      <c r="U2376" s="3805">
        <v>2</v>
      </c>
      <c r="V2376" s="3807">
        <v>4081500</v>
      </c>
      <c r="W2376" s="3803"/>
      <c r="X2376" s="3803"/>
      <c r="Y2376" s="3679">
        <f>Q2376+S2376+U2376+W2376</f>
        <v>5</v>
      </c>
      <c r="Z2376" s="3691">
        <f t="shared" ref="Z2376:Z2382" si="985">R2376+T2376+V2376+X2376</f>
        <v>20201500</v>
      </c>
      <c r="AA2376" s="3679">
        <f t="shared" ref="AA2376:AA2381" si="986">M2376+Y2376</f>
        <v>25</v>
      </c>
      <c r="AB2376" s="3691">
        <f t="shared" ref="AB2376:AB2382" si="987">N2376+Z2376</f>
        <v>78579400</v>
      </c>
      <c r="AC2376" s="3684">
        <f t="shared" ref="AC2376:AC2382" si="988">(AA2376/K2376)*100</f>
        <v>41.666666666666671</v>
      </c>
      <c r="AD2376" s="3684">
        <f t="shared" si="984"/>
        <v>41.668889413274435</v>
      </c>
      <c r="AE2376" s="3690" t="s">
        <v>4571</v>
      </c>
    </row>
    <row r="2377" spans="1:31" s="6" customFormat="1" ht="75">
      <c r="A2377" s="3803"/>
      <c r="B2377" s="3678"/>
      <c r="C2377" s="36">
        <v>5</v>
      </c>
      <c r="D2377" s="36" t="s">
        <v>107</v>
      </c>
      <c r="E2377" s="36" t="s">
        <v>66</v>
      </c>
      <c r="F2377" s="36" t="s">
        <v>155</v>
      </c>
      <c r="G2377" s="36" t="s">
        <v>1099</v>
      </c>
      <c r="H2377" s="3804" t="s">
        <v>65</v>
      </c>
      <c r="I2377" s="3690" t="s">
        <v>4390</v>
      </c>
      <c r="J2377" s="3690" t="s">
        <v>4391</v>
      </c>
      <c r="K2377" s="3805">
        <v>6</v>
      </c>
      <c r="L2377" s="3831">
        <v>137849500</v>
      </c>
      <c r="M2377" s="3804">
        <v>2</v>
      </c>
      <c r="N2377" s="3806">
        <v>36148000</v>
      </c>
      <c r="O2377" s="3805">
        <v>1</v>
      </c>
      <c r="P2377" s="3807">
        <v>8315000</v>
      </c>
      <c r="Q2377" s="3823">
        <v>0</v>
      </c>
      <c r="R2377" s="3691">
        <v>0</v>
      </c>
      <c r="S2377" s="3824">
        <v>0</v>
      </c>
      <c r="T2377" s="3691">
        <v>0</v>
      </c>
      <c r="U2377" s="3805">
        <v>0</v>
      </c>
      <c r="V2377" s="3803">
        <v>0</v>
      </c>
      <c r="W2377" s="3803"/>
      <c r="X2377" s="3803"/>
      <c r="Y2377" s="3679">
        <f t="shared" ref="Y2377:Y2379" si="989">Q2377+S2377+U2377+W2377</f>
        <v>0</v>
      </c>
      <c r="Z2377" s="3691">
        <f t="shared" si="985"/>
        <v>0</v>
      </c>
      <c r="AA2377" s="3679">
        <f t="shared" si="986"/>
        <v>2</v>
      </c>
      <c r="AB2377" s="3691">
        <f t="shared" si="987"/>
        <v>36148000</v>
      </c>
      <c r="AC2377" s="3684">
        <f t="shared" si="988"/>
        <v>33.333333333333329</v>
      </c>
      <c r="AD2377" s="3684">
        <f t="shared" si="984"/>
        <v>26.222800953213472</v>
      </c>
      <c r="AE2377" s="3690" t="s">
        <v>4571</v>
      </c>
    </row>
    <row r="2378" spans="1:31" s="6" customFormat="1" ht="105">
      <c r="A2378" s="3803"/>
      <c r="B2378" s="3678"/>
      <c r="C2378" s="36">
        <v>5</v>
      </c>
      <c r="D2378" s="36" t="s">
        <v>107</v>
      </c>
      <c r="E2378" s="36" t="s">
        <v>66</v>
      </c>
      <c r="F2378" s="36" t="s">
        <v>155</v>
      </c>
      <c r="G2378" s="36" t="s">
        <v>1099</v>
      </c>
      <c r="H2378" s="3804" t="s">
        <v>196</v>
      </c>
      <c r="I2378" s="3690" t="s">
        <v>4392</v>
      </c>
      <c r="J2378" s="3690" t="s">
        <v>4393</v>
      </c>
      <c r="K2378" s="3805">
        <v>6</v>
      </c>
      <c r="L2378" s="3691">
        <v>171393000</v>
      </c>
      <c r="M2378" s="3804">
        <v>2</v>
      </c>
      <c r="N2378" s="3806">
        <v>48716500</v>
      </c>
      <c r="O2378" s="3805">
        <v>1</v>
      </c>
      <c r="P2378" s="3807">
        <v>10572278.75</v>
      </c>
      <c r="Q2378" s="3804">
        <v>0</v>
      </c>
      <c r="R2378" s="3691">
        <v>2200000</v>
      </c>
      <c r="S2378" s="3824">
        <v>1</v>
      </c>
      <c r="T2378" s="3807">
        <v>8300000</v>
      </c>
      <c r="U2378" s="3805">
        <v>0</v>
      </c>
      <c r="V2378" s="3807">
        <v>0</v>
      </c>
      <c r="W2378" s="3803"/>
      <c r="X2378" s="3803"/>
      <c r="Y2378" s="3679">
        <f t="shared" si="989"/>
        <v>1</v>
      </c>
      <c r="Z2378" s="3691">
        <f t="shared" si="985"/>
        <v>10500000</v>
      </c>
      <c r="AA2378" s="3679">
        <f t="shared" si="986"/>
        <v>3</v>
      </c>
      <c r="AB2378" s="3691">
        <f t="shared" si="987"/>
        <v>59216500</v>
      </c>
      <c r="AC2378" s="3684">
        <f t="shared" si="988"/>
        <v>50</v>
      </c>
      <c r="AD2378" s="3684">
        <f t="shared" si="984"/>
        <v>34.550127484786422</v>
      </c>
      <c r="AE2378" s="3690" t="s">
        <v>4571</v>
      </c>
    </row>
    <row r="2379" spans="1:31" s="6" customFormat="1" ht="90">
      <c r="A2379" s="3803"/>
      <c r="B2379" s="3678"/>
      <c r="C2379" s="36">
        <v>5</v>
      </c>
      <c r="D2379" s="36" t="s">
        <v>107</v>
      </c>
      <c r="E2379" s="36" t="s">
        <v>66</v>
      </c>
      <c r="F2379" s="36" t="s">
        <v>155</v>
      </c>
      <c r="G2379" s="36" t="s">
        <v>1099</v>
      </c>
      <c r="H2379" s="3804" t="s">
        <v>161</v>
      </c>
      <c r="I2379" s="3690" t="s">
        <v>4394</v>
      </c>
      <c r="J2379" s="3690" t="s">
        <v>4395</v>
      </c>
      <c r="K2379" s="3805">
        <v>72</v>
      </c>
      <c r="L2379" s="3691">
        <v>36000000</v>
      </c>
      <c r="M2379" s="3804">
        <v>24</v>
      </c>
      <c r="N2379" s="3806">
        <v>12000000</v>
      </c>
      <c r="O2379" s="3805">
        <v>12</v>
      </c>
      <c r="P2379" s="3807">
        <v>3000000</v>
      </c>
      <c r="Q2379" s="3804">
        <v>3</v>
      </c>
      <c r="R2379" s="3691">
        <v>0</v>
      </c>
      <c r="S2379" s="3824">
        <v>3</v>
      </c>
      <c r="T2379" s="3691">
        <v>900000</v>
      </c>
      <c r="U2379" s="3805">
        <v>3</v>
      </c>
      <c r="V2379" s="3807">
        <v>750000</v>
      </c>
      <c r="W2379" s="3803"/>
      <c r="X2379" s="3803"/>
      <c r="Y2379" s="3679">
        <f t="shared" si="989"/>
        <v>9</v>
      </c>
      <c r="Z2379" s="3691">
        <f t="shared" si="985"/>
        <v>1650000</v>
      </c>
      <c r="AA2379" s="3679">
        <f t="shared" si="986"/>
        <v>33</v>
      </c>
      <c r="AB2379" s="3691">
        <f t="shared" si="987"/>
        <v>13650000</v>
      </c>
      <c r="AC2379" s="3684">
        <f t="shared" si="988"/>
        <v>45.833333333333329</v>
      </c>
      <c r="AD2379" s="3684">
        <f t="shared" si="984"/>
        <v>37.916666666666664</v>
      </c>
      <c r="AE2379" s="3690" t="s">
        <v>4571</v>
      </c>
    </row>
    <row r="2380" spans="1:31" s="6" customFormat="1" ht="30">
      <c r="A2380" s="3803"/>
      <c r="B2380" s="3678"/>
      <c r="C2380" s="36">
        <v>5</v>
      </c>
      <c r="D2380" s="36" t="s">
        <v>107</v>
      </c>
      <c r="E2380" s="36" t="s">
        <v>66</v>
      </c>
      <c r="F2380" s="36" t="s">
        <v>155</v>
      </c>
      <c r="G2380" s="36" t="s">
        <v>1099</v>
      </c>
      <c r="H2380" s="3804" t="s">
        <v>391</v>
      </c>
      <c r="I2380" s="3690" t="s">
        <v>4589</v>
      </c>
      <c r="J2380" s="3690" t="s">
        <v>4590</v>
      </c>
      <c r="K2380" s="3805">
        <v>72</v>
      </c>
      <c r="L2380" s="3691">
        <v>76200000</v>
      </c>
      <c r="M2380" s="3804">
        <v>24</v>
      </c>
      <c r="N2380" s="3806">
        <v>21200000</v>
      </c>
      <c r="O2380" s="3805">
        <v>12</v>
      </c>
      <c r="P2380" s="3807">
        <v>15000000</v>
      </c>
      <c r="Q2380" s="3804">
        <v>3</v>
      </c>
      <c r="R2380" s="3691">
        <v>1000000</v>
      </c>
      <c r="S2380" s="3824">
        <v>3</v>
      </c>
      <c r="T2380" s="3691">
        <v>4300000</v>
      </c>
      <c r="U2380" s="3805">
        <v>3</v>
      </c>
      <c r="V2380" s="3807">
        <v>4250700</v>
      </c>
      <c r="W2380" s="3803"/>
      <c r="X2380" s="3803"/>
      <c r="Y2380" s="3679">
        <f>Q2380+S2380+U2380+W2380</f>
        <v>9</v>
      </c>
      <c r="Z2380" s="3691">
        <f t="shared" ref="Z2380" si="990">R2380+T2380+V2380+X2380</f>
        <v>9550700</v>
      </c>
      <c r="AA2380" s="3679">
        <f t="shared" ref="AA2380" si="991">M2380+Y2380</f>
        <v>33</v>
      </c>
      <c r="AB2380" s="3691">
        <f t="shared" ref="AB2380" si="992">N2380+Z2380</f>
        <v>30750700</v>
      </c>
      <c r="AC2380" s="3684">
        <f t="shared" ref="AC2380" si="993">(AA2380/K2380)*100</f>
        <v>45.833333333333329</v>
      </c>
      <c r="AD2380" s="3684">
        <f t="shared" ref="AD2380" si="994">(AB2380/L2380)*100</f>
        <v>40.355249343832021</v>
      </c>
      <c r="AE2380" s="3690" t="s">
        <v>4571</v>
      </c>
    </row>
    <row r="2381" spans="1:31" s="6" customFormat="1" ht="45">
      <c r="A2381" s="3803"/>
      <c r="B2381" s="3678"/>
      <c r="C2381" s="36">
        <v>5</v>
      </c>
      <c r="D2381" s="36" t="s">
        <v>107</v>
      </c>
      <c r="E2381" s="36" t="s">
        <v>66</v>
      </c>
      <c r="F2381" s="36" t="s">
        <v>155</v>
      </c>
      <c r="G2381" s="36" t="s">
        <v>1099</v>
      </c>
      <c r="H2381" s="3804" t="s">
        <v>163</v>
      </c>
      <c r="I2381" s="3690" t="s">
        <v>4591</v>
      </c>
      <c r="J2381" s="3690" t="s">
        <v>4592</v>
      </c>
      <c r="K2381" s="3805">
        <v>150</v>
      </c>
      <c r="L2381" s="3691">
        <v>56200000</v>
      </c>
      <c r="M2381" s="3804">
        <v>0</v>
      </c>
      <c r="N2381" s="3806">
        <v>0</v>
      </c>
      <c r="O2381" s="3805">
        <v>20</v>
      </c>
      <c r="P2381" s="3807">
        <v>12030000</v>
      </c>
      <c r="Q2381" s="3804">
        <v>0</v>
      </c>
      <c r="R2381" s="3691">
        <v>650000</v>
      </c>
      <c r="S2381" s="3824">
        <v>8</v>
      </c>
      <c r="T2381" s="3691">
        <v>5640000</v>
      </c>
      <c r="U2381" s="3805">
        <v>8</v>
      </c>
      <c r="V2381" s="3807">
        <v>4083200</v>
      </c>
      <c r="W2381" s="3803"/>
      <c r="X2381" s="3803"/>
      <c r="Y2381" s="3679">
        <f>Q2381+S2381+U2381+W2381</f>
        <v>16</v>
      </c>
      <c r="Z2381" s="3691">
        <f t="shared" si="985"/>
        <v>10373200</v>
      </c>
      <c r="AA2381" s="3679">
        <f t="shared" si="986"/>
        <v>16</v>
      </c>
      <c r="AB2381" s="3691">
        <f t="shared" si="987"/>
        <v>10373200</v>
      </c>
      <c r="AC2381" s="3684">
        <f t="shared" si="988"/>
        <v>10.666666666666668</v>
      </c>
      <c r="AD2381" s="3684">
        <f t="shared" si="984"/>
        <v>18.457651245551602</v>
      </c>
      <c r="AE2381" s="3690" t="s">
        <v>4571</v>
      </c>
    </row>
    <row r="2382" spans="1:31" s="6" customFormat="1" ht="60">
      <c r="A2382" s="3803"/>
      <c r="B2382" s="3678"/>
      <c r="C2382" s="36">
        <v>5</v>
      </c>
      <c r="D2382" s="36" t="s">
        <v>107</v>
      </c>
      <c r="E2382" s="36" t="s">
        <v>66</v>
      </c>
      <c r="F2382" s="36" t="s">
        <v>155</v>
      </c>
      <c r="G2382" s="36" t="s">
        <v>1099</v>
      </c>
      <c r="H2382" s="3804">
        <v>33</v>
      </c>
      <c r="I2382" s="15" t="s">
        <v>4593</v>
      </c>
      <c r="J2382" s="3690" t="s">
        <v>4594</v>
      </c>
      <c r="K2382" s="3805">
        <v>15</v>
      </c>
      <c r="L2382" s="3691">
        <v>25000000</v>
      </c>
      <c r="M2382" s="3804">
        <v>3</v>
      </c>
      <c r="N2382" s="3832">
        <v>0</v>
      </c>
      <c r="O2382" s="3805">
        <v>3</v>
      </c>
      <c r="P2382" s="3807">
        <v>3948000</v>
      </c>
      <c r="Q2382" s="3804">
        <v>0</v>
      </c>
      <c r="R2382" s="3691">
        <v>0</v>
      </c>
      <c r="S2382" s="3805">
        <v>1</v>
      </c>
      <c r="T2382" s="3691">
        <v>1200000</v>
      </c>
      <c r="U2382" s="3805">
        <v>1</v>
      </c>
      <c r="V2382" s="3807">
        <v>1500000</v>
      </c>
      <c r="W2382" s="3803"/>
      <c r="X2382" s="3803"/>
      <c r="Y2382" s="3679">
        <f t="shared" ref="Y2382" si="995">Q2382+S2382+U2382+W2382</f>
        <v>2</v>
      </c>
      <c r="Z2382" s="3691">
        <f t="shared" si="985"/>
        <v>2700000</v>
      </c>
      <c r="AA2382" s="3679">
        <f>M2382+Y2382</f>
        <v>5</v>
      </c>
      <c r="AB2382" s="3691">
        <f t="shared" si="987"/>
        <v>2700000</v>
      </c>
      <c r="AC2382" s="3684">
        <f t="shared" si="988"/>
        <v>33.333333333333329</v>
      </c>
      <c r="AD2382" s="3684">
        <f t="shared" si="984"/>
        <v>10.8</v>
      </c>
      <c r="AE2382" s="3690" t="s">
        <v>4571</v>
      </c>
    </row>
    <row r="2383" spans="1:31" customFormat="1" ht="17.25" customHeight="1">
      <c r="A2383" s="4264" t="s">
        <v>89</v>
      </c>
      <c r="B2383" s="4264"/>
      <c r="C2383" s="4265"/>
      <c r="D2383" s="4265"/>
      <c r="E2383" s="4265"/>
      <c r="F2383" s="4265"/>
      <c r="G2383" s="4265"/>
      <c r="H2383" s="4265"/>
      <c r="I2383" s="4265"/>
      <c r="J2383" s="4265"/>
      <c r="K2383" s="4265"/>
      <c r="L2383" s="4265"/>
      <c r="M2383" s="4265"/>
      <c r="N2383" s="4265"/>
      <c r="O2383" s="4265"/>
      <c r="P2383" s="4265"/>
      <c r="Q2383" s="4265"/>
      <c r="R2383" s="4265"/>
      <c r="S2383" s="4265"/>
      <c r="T2383" s="4265"/>
      <c r="U2383" s="4265"/>
      <c r="V2383" s="4265"/>
      <c r="W2383" s="4265"/>
      <c r="X2383" s="4265"/>
      <c r="Y2383" s="4265"/>
      <c r="Z2383" s="4265"/>
      <c r="AA2383" s="4265"/>
      <c r="AB2383" s="4265"/>
      <c r="AC2383" s="3784">
        <f>(AC2347+AC2359+AC2364+AC2366+AC2368+AC2370+AC2375+AC2372)/8</f>
        <v>66.123909765643305</v>
      </c>
      <c r="AD2383" s="3784">
        <f>(AD2347+AD2359+AD2364+AD2366+AD2368+AD2370+AD2375+AD2372)/8</f>
        <v>35.158175267816681</v>
      </c>
      <c r="AE2383" s="2116"/>
    </row>
    <row r="2384" spans="1:31" customFormat="1" ht="20.25" customHeight="1">
      <c r="A2384" s="4264" t="s">
        <v>90</v>
      </c>
      <c r="B2384" s="4264"/>
      <c r="C2384" s="4265"/>
      <c r="D2384" s="4265"/>
      <c r="E2384" s="4265"/>
      <c r="F2384" s="4265"/>
      <c r="G2384" s="4265"/>
      <c r="H2384" s="4265"/>
      <c r="I2384" s="4265"/>
      <c r="J2384" s="4265"/>
      <c r="K2384" s="4265"/>
      <c r="L2384" s="4265"/>
      <c r="M2384" s="4265"/>
      <c r="N2384" s="4265"/>
      <c r="O2384" s="4265"/>
      <c r="P2384" s="4265"/>
      <c r="Q2384" s="4265"/>
      <c r="R2384" s="4265"/>
      <c r="S2384" s="4265"/>
      <c r="T2384" s="4265"/>
      <c r="U2384" s="4265"/>
      <c r="V2384" s="4265"/>
      <c r="W2384" s="4265"/>
      <c r="X2384" s="4265"/>
      <c r="Y2384" s="4265"/>
      <c r="Z2384" s="4265"/>
      <c r="AA2384" s="4265"/>
      <c r="AB2384" s="4265"/>
      <c r="AC2384" s="3689" t="str">
        <f>IF(AC2383&gt;=91,"ST",IF(AC2383&gt;=76,"T",IF(AC2383&gt;=66,"S",IF(AC2383&gt;=51,"R","SR"))))</f>
        <v>S</v>
      </c>
      <c r="AD2384" s="3689" t="str">
        <f>IF(AD2383&gt;=91,"ST",IF(AD2383&gt;=76,"T",IF(AD2383&gt;=66,"S",IF(AD2383&gt;=51,"R","SR"))))</f>
        <v>SR</v>
      </c>
      <c r="AE2384" s="2116"/>
    </row>
    <row r="2385" spans="1:76" s="3996" customFormat="1" ht="30.75" customHeight="1">
      <c r="A2385" s="3989" t="s">
        <v>3382</v>
      </c>
      <c r="B2385" s="3990"/>
      <c r="C2385" s="3989"/>
      <c r="D2385" s="3989"/>
      <c r="E2385" s="3989"/>
      <c r="F2385" s="3989"/>
      <c r="G2385" s="3989"/>
      <c r="H2385" s="3989"/>
      <c r="I2385" s="3991" t="s">
        <v>1035</v>
      </c>
      <c r="J2385" s="3990"/>
      <c r="K2385" s="3990"/>
      <c r="L2385" s="3992">
        <f>L2386+L2398+L2406+L2408+L2410+L2412+L2415+L2417+L2423+L2403</f>
        <v>2897446952</v>
      </c>
      <c r="M2385" s="3990"/>
      <c r="N2385" s="3993">
        <f>N2386+N2398+N2406+N2408+N2410+N2412+N2415+N2417+N2423+N2403</f>
        <v>1070344694</v>
      </c>
      <c r="O2385" s="3990"/>
      <c r="P2385" s="3993">
        <f>P2386+P2398+P2406+P2408+P2410+P2412+P2415+P2417+P2423+P2403</f>
        <v>470617796.97000003</v>
      </c>
      <c r="Q2385" s="3992"/>
      <c r="R2385" s="3993">
        <f>R2386+R2398+R2406+R2408+R2410+R2412+R2415+R2417+R2423+R2403</f>
        <v>76246302</v>
      </c>
      <c r="S2385" s="3990"/>
      <c r="T2385" s="3993">
        <f>T2386+T2398+T2406+T2408+T2410+T2412+T2415+T2417+T2423+T2403</f>
        <v>197797619</v>
      </c>
      <c r="U2385" s="3990"/>
      <c r="V2385" s="3993">
        <f>V2386+V2398+V2406+V2408+V2410+V2412+V2415+V2417+V2423+V2403</f>
        <v>104030637</v>
      </c>
      <c r="W2385" s="3990"/>
      <c r="X2385" s="3990"/>
      <c r="Y2385" s="3989">
        <f>Q2385+S2385+U2385+W2385</f>
        <v>0</v>
      </c>
      <c r="Z2385" s="3993">
        <f>Z2386+Z2398+Z2406+Z2408+Z2410+Z2412+Z2415+Z2417+Z2423+Z2403</f>
        <v>461673580</v>
      </c>
      <c r="AA2385" s="3990"/>
      <c r="AB2385" s="3993">
        <f>AB2386+AB2398+AB2406+AB2408+AB2410+AB2412+AB2415+AB2417+AB2423+AB2403</f>
        <v>1709946674</v>
      </c>
      <c r="AC2385" s="3990"/>
      <c r="AD2385" s="3990"/>
      <c r="AE2385" s="3994"/>
      <c r="AF2385" s="3995"/>
      <c r="AG2385" s="3995"/>
      <c r="AH2385" s="3995"/>
      <c r="AI2385" s="3995"/>
      <c r="AJ2385" s="3995"/>
      <c r="AK2385" s="3995"/>
      <c r="AL2385" s="3995"/>
      <c r="AM2385" s="3995"/>
      <c r="AN2385" s="3995"/>
      <c r="AO2385" s="3995"/>
      <c r="AP2385" s="3995"/>
      <c r="AQ2385" s="3995"/>
      <c r="AR2385" s="3995"/>
      <c r="AS2385" s="3995"/>
      <c r="AT2385" s="3995"/>
      <c r="AU2385" s="3995"/>
      <c r="AV2385" s="3995"/>
      <c r="AW2385" s="3995"/>
      <c r="AX2385" s="3995"/>
      <c r="AY2385" s="3995"/>
      <c r="AZ2385" s="3995"/>
      <c r="BA2385" s="3995"/>
      <c r="BB2385" s="3995"/>
      <c r="BC2385" s="3995"/>
      <c r="BD2385" s="3995"/>
      <c r="BE2385" s="3995"/>
      <c r="BF2385" s="3995"/>
      <c r="BG2385" s="3995"/>
      <c r="BH2385" s="3995"/>
      <c r="BI2385" s="3995"/>
      <c r="BJ2385" s="3995"/>
      <c r="BK2385" s="3995"/>
      <c r="BL2385" s="3995"/>
      <c r="BM2385" s="3995"/>
      <c r="BN2385" s="3995"/>
      <c r="BO2385" s="3995"/>
      <c r="BP2385" s="3995"/>
      <c r="BQ2385" s="3995"/>
      <c r="BR2385" s="3995"/>
      <c r="BS2385" s="3995"/>
      <c r="BT2385" s="3995"/>
      <c r="BU2385" s="3995"/>
      <c r="BV2385" s="3995"/>
      <c r="BW2385" s="3995"/>
      <c r="BX2385" s="3995"/>
    </row>
    <row r="2386" spans="1:76" s="3802" customFormat="1" ht="92.25" customHeight="1">
      <c r="A2386" s="3657">
        <v>1</v>
      </c>
      <c r="B2386" s="3835"/>
      <c r="C2386" s="3659">
        <v>5</v>
      </c>
      <c r="D2386" s="3659" t="s">
        <v>107</v>
      </c>
      <c r="E2386" s="3659" t="s">
        <v>66</v>
      </c>
      <c r="F2386" s="3659" t="s">
        <v>155</v>
      </c>
      <c r="G2386" s="3659" t="s">
        <v>66</v>
      </c>
      <c r="H2386" s="3657"/>
      <c r="I2386" s="3660" t="s">
        <v>4326</v>
      </c>
      <c r="J2386" s="3660" t="s">
        <v>4529</v>
      </c>
      <c r="K2386" s="3657">
        <v>72</v>
      </c>
      <c r="L2386" s="3662">
        <f>SUM(L2387:L2397)</f>
        <v>1260089002</v>
      </c>
      <c r="M2386" s="3657">
        <v>24</v>
      </c>
      <c r="N2386" s="3662">
        <f>SUM(N2387:N2397)</f>
        <v>477360794</v>
      </c>
      <c r="O2386" s="3657">
        <v>12</v>
      </c>
      <c r="P2386" s="3662">
        <f>SUM(P2387:P2397)</f>
        <v>234700813.47</v>
      </c>
      <c r="Q2386" s="3657">
        <v>3</v>
      </c>
      <c r="R2386" s="3662">
        <f>SUM(R2387:R2397)</f>
        <v>58175127</v>
      </c>
      <c r="S2386" s="3657">
        <v>3</v>
      </c>
      <c r="T2386" s="3662">
        <f>SUM(T2387:T2397)</f>
        <v>72249727</v>
      </c>
      <c r="U2386" s="3657">
        <v>3</v>
      </c>
      <c r="V2386" s="3662">
        <f>SUM(V2387:V2397)</f>
        <v>64841727</v>
      </c>
      <c r="W2386" s="3661"/>
      <c r="X2386" s="3661"/>
      <c r="Y2386" s="3836">
        <f>Q2386+S2386+U2386+W2386</f>
        <v>9</v>
      </c>
      <c r="Z2386" s="3662">
        <f>SUM(Z2387:Z2397)</f>
        <v>195266581</v>
      </c>
      <c r="AA2386" s="3836">
        <f>M2386+Y2386</f>
        <v>33</v>
      </c>
      <c r="AB2386" s="3662">
        <f>SUM(AB2387:AB2397)</f>
        <v>672627375</v>
      </c>
      <c r="AC2386" s="3664">
        <f>(AA2386/K2386)*100</f>
        <v>45.833333333333329</v>
      </c>
      <c r="AD2386" s="3664">
        <f>AB2386/L2386*100</f>
        <v>53.379354468804422</v>
      </c>
      <c r="AE2386" s="3661" t="s">
        <v>4517</v>
      </c>
    </row>
    <row r="2387" spans="1:76" s="2117" customFormat="1" ht="81.75" customHeight="1">
      <c r="A2387" s="3803"/>
      <c r="B2387" s="3678"/>
      <c r="C2387" s="36">
        <v>5</v>
      </c>
      <c r="D2387" s="36" t="s">
        <v>107</v>
      </c>
      <c r="E2387" s="36" t="s">
        <v>66</v>
      </c>
      <c r="F2387" s="36" t="s">
        <v>155</v>
      </c>
      <c r="G2387" s="36" t="s">
        <v>66</v>
      </c>
      <c r="H2387" s="3804" t="s">
        <v>65</v>
      </c>
      <c r="I2387" s="3690" t="s">
        <v>4330</v>
      </c>
      <c r="J2387" s="3690" t="s">
        <v>4331</v>
      </c>
      <c r="K2387" s="3805">
        <v>72</v>
      </c>
      <c r="L2387" s="3691">
        <v>50769000</v>
      </c>
      <c r="M2387" s="3804">
        <v>24</v>
      </c>
      <c r="N2387" s="3806">
        <f>9000000+5188500</f>
        <v>14188500</v>
      </c>
      <c r="O2387" s="3805">
        <v>12</v>
      </c>
      <c r="P2387" s="3807">
        <v>4800000</v>
      </c>
      <c r="Q2387" s="3804">
        <v>3</v>
      </c>
      <c r="R2387" s="3691">
        <v>1200000</v>
      </c>
      <c r="S2387" s="3805">
        <v>3</v>
      </c>
      <c r="T2387" s="3691">
        <v>1200000</v>
      </c>
      <c r="U2387" s="3805">
        <v>3</v>
      </c>
      <c r="V2387" s="3807">
        <v>1200000</v>
      </c>
      <c r="W2387" s="3803"/>
      <c r="X2387" s="3803"/>
      <c r="Y2387" s="3679">
        <f t="shared" ref="Y2387:Y2388" si="996">Q2387+S2387+U2387+W2387</f>
        <v>9</v>
      </c>
      <c r="Z2387" s="3691">
        <f>R2387+T2387+V2387+X2387</f>
        <v>3600000</v>
      </c>
      <c r="AA2387" s="3679">
        <f t="shared" ref="AA2387:AA2389" si="997">M2387+Y2387</f>
        <v>33</v>
      </c>
      <c r="AB2387" s="3691">
        <f t="shared" ref="AB2387:AB2397" si="998">N2387+Z2387</f>
        <v>17788500</v>
      </c>
      <c r="AC2387" s="3684">
        <f>(AA2387/K2387)*100</f>
        <v>45.833333333333329</v>
      </c>
      <c r="AD2387" s="3684">
        <f t="shared" ref="AD2387:AD2397" si="999">AB2387/L2387*100</f>
        <v>35.038113809608227</v>
      </c>
      <c r="AE2387" s="3803" t="s">
        <v>4517</v>
      </c>
    </row>
    <row r="2388" spans="1:76" s="2117" customFormat="1" ht="105">
      <c r="A2388" s="3803"/>
      <c r="B2388" s="3678"/>
      <c r="C2388" s="36">
        <v>5</v>
      </c>
      <c r="D2388" s="36" t="s">
        <v>107</v>
      </c>
      <c r="E2388" s="36" t="s">
        <v>66</v>
      </c>
      <c r="F2388" s="36" t="s">
        <v>155</v>
      </c>
      <c r="G2388" s="36" t="s">
        <v>66</v>
      </c>
      <c r="H2388" s="3804" t="s">
        <v>198</v>
      </c>
      <c r="I2388" s="3690" t="s">
        <v>4332</v>
      </c>
      <c r="J2388" s="3690" t="s">
        <v>4333</v>
      </c>
      <c r="K2388" s="3805">
        <v>72</v>
      </c>
      <c r="L2388" s="3691">
        <v>199260600</v>
      </c>
      <c r="M2388" s="3804">
        <v>24</v>
      </c>
      <c r="N2388" s="3806">
        <f>29350000+39600000</f>
        <v>68950000</v>
      </c>
      <c r="O2388" s="3805">
        <v>12</v>
      </c>
      <c r="P2388" s="3807">
        <v>36300000</v>
      </c>
      <c r="Q2388" s="3804">
        <v>3</v>
      </c>
      <c r="R2388" s="3807">
        <v>9300000</v>
      </c>
      <c r="S2388" s="3805">
        <v>3</v>
      </c>
      <c r="T2388" s="3691">
        <v>8850000</v>
      </c>
      <c r="U2388" s="3805">
        <v>3</v>
      </c>
      <c r="V2388" s="3807">
        <v>8850000</v>
      </c>
      <c r="W2388" s="3803"/>
      <c r="X2388" s="3803"/>
      <c r="Y2388" s="3679">
        <f t="shared" si="996"/>
        <v>9</v>
      </c>
      <c r="Z2388" s="3691">
        <f t="shared" ref="Z2388:Z2396" si="1000">R2388+T2388+V2388+X2388</f>
        <v>27000000</v>
      </c>
      <c r="AA2388" s="3679">
        <f t="shared" si="997"/>
        <v>33</v>
      </c>
      <c r="AB2388" s="3691">
        <f t="shared" si="998"/>
        <v>95950000</v>
      </c>
      <c r="AC2388" s="3684">
        <f t="shared" ref="AC2388" si="1001">(AA2388/K2388)*100</f>
        <v>45.833333333333329</v>
      </c>
      <c r="AD2388" s="3684">
        <f t="shared" si="999"/>
        <v>48.153021721303659</v>
      </c>
      <c r="AE2388" s="3803" t="s">
        <v>4517</v>
      </c>
    </row>
    <row r="2389" spans="1:76" s="2117" customFormat="1" ht="66.75" customHeight="1">
      <c r="A2389" s="2116"/>
      <c r="B2389" s="3678"/>
      <c r="C2389" s="36">
        <v>5</v>
      </c>
      <c r="D2389" s="36" t="s">
        <v>107</v>
      </c>
      <c r="E2389" s="36" t="s">
        <v>66</v>
      </c>
      <c r="F2389" s="36" t="s">
        <v>155</v>
      </c>
      <c r="G2389" s="36" t="s">
        <v>66</v>
      </c>
      <c r="H2389" s="36" t="s">
        <v>93</v>
      </c>
      <c r="I2389" s="3680" t="s">
        <v>876</v>
      </c>
      <c r="J2389" s="3680" t="s">
        <v>4334</v>
      </c>
      <c r="K2389" s="36">
        <v>72</v>
      </c>
      <c r="L2389" s="3682">
        <v>202547836</v>
      </c>
      <c r="M2389" s="36">
        <v>24</v>
      </c>
      <c r="N2389" s="3808">
        <f>28767600+37875600</f>
        <v>66643200</v>
      </c>
      <c r="O2389" s="3679">
        <v>12</v>
      </c>
      <c r="P2389" s="3683">
        <v>19713177</v>
      </c>
      <c r="Q2389" s="36">
        <v>3</v>
      </c>
      <c r="R2389" s="3682">
        <v>4928427</v>
      </c>
      <c r="S2389" s="3679">
        <v>3</v>
      </c>
      <c r="T2389" s="3682">
        <v>4928427</v>
      </c>
      <c r="U2389" s="3679">
        <v>3</v>
      </c>
      <c r="V2389" s="3682">
        <v>4928427</v>
      </c>
      <c r="W2389" s="2116"/>
      <c r="X2389" s="2116"/>
      <c r="Y2389" s="3679">
        <f>Q2389+S2389+U2389+W2389</f>
        <v>9</v>
      </c>
      <c r="Z2389" s="3682">
        <f t="shared" si="1000"/>
        <v>14785281</v>
      </c>
      <c r="AA2389" s="3679">
        <f t="shared" si="997"/>
        <v>33</v>
      </c>
      <c r="AB2389" s="3682">
        <f t="shared" si="998"/>
        <v>81428481</v>
      </c>
      <c r="AC2389" s="3684">
        <f>(AA2389/K2389)*100</f>
        <v>45.833333333333329</v>
      </c>
      <c r="AD2389" s="3684">
        <f t="shared" si="999"/>
        <v>40.202098727927165</v>
      </c>
      <c r="AE2389" s="2116" t="s">
        <v>4517</v>
      </c>
    </row>
    <row r="2390" spans="1:76" s="2117" customFormat="1" ht="45">
      <c r="A2390" s="3803"/>
      <c r="B2390" s="3809"/>
      <c r="C2390" s="3804">
        <v>5</v>
      </c>
      <c r="D2390" s="3804" t="s">
        <v>107</v>
      </c>
      <c r="E2390" s="3804" t="s">
        <v>66</v>
      </c>
      <c r="F2390" s="3804" t="s">
        <v>155</v>
      </c>
      <c r="G2390" s="3804" t="s">
        <v>66</v>
      </c>
      <c r="H2390" s="3804" t="s">
        <v>202</v>
      </c>
      <c r="I2390" s="3690" t="s">
        <v>880</v>
      </c>
      <c r="J2390" s="3690" t="s">
        <v>443</v>
      </c>
      <c r="K2390" s="3805">
        <v>72</v>
      </c>
      <c r="L2390" s="3691">
        <v>66547812</v>
      </c>
      <c r="M2390" s="3804">
        <v>24</v>
      </c>
      <c r="N2390" s="3806">
        <f>13363344+11460150</f>
        <v>24823494</v>
      </c>
      <c r="O2390" s="3805">
        <v>12</v>
      </c>
      <c r="P2390" s="3807">
        <v>18006236.469999999</v>
      </c>
      <c r="Q2390" s="3804">
        <v>3</v>
      </c>
      <c r="R2390" s="3691">
        <v>4501200</v>
      </c>
      <c r="S2390" s="3805">
        <v>3</v>
      </c>
      <c r="T2390" s="3691">
        <v>4501200</v>
      </c>
      <c r="U2390" s="3805">
        <v>3</v>
      </c>
      <c r="V2390" s="3691">
        <v>4501200</v>
      </c>
      <c r="W2390" s="3803"/>
      <c r="X2390" s="3803"/>
      <c r="Y2390" s="3805">
        <f t="shared" ref="Y2390:Y2391" si="1002">Q2390+S2390+U2390+W2390</f>
        <v>9</v>
      </c>
      <c r="Z2390" s="3691">
        <f t="shared" si="1000"/>
        <v>13503600</v>
      </c>
      <c r="AA2390" s="3805">
        <f>M2390+Y2390</f>
        <v>33</v>
      </c>
      <c r="AB2390" s="3691">
        <f t="shared" si="998"/>
        <v>38327094</v>
      </c>
      <c r="AC2390" s="3810">
        <f>(AA2390/K2390)*100</f>
        <v>45.833333333333329</v>
      </c>
      <c r="AD2390" s="3810">
        <f t="shared" si="999"/>
        <v>57.593319521910047</v>
      </c>
      <c r="AE2390" s="3803" t="s">
        <v>4517</v>
      </c>
    </row>
    <row r="2391" spans="1:76" s="2117" customFormat="1" ht="75">
      <c r="A2391" s="3811"/>
      <c r="B2391" s="3812"/>
      <c r="C2391" s="3813">
        <v>5</v>
      </c>
      <c r="D2391" s="3813" t="s">
        <v>107</v>
      </c>
      <c r="E2391" s="3813" t="s">
        <v>66</v>
      </c>
      <c r="F2391" s="3813" t="s">
        <v>155</v>
      </c>
      <c r="G2391" s="3813" t="s">
        <v>66</v>
      </c>
      <c r="H2391" s="3813" t="s">
        <v>417</v>
      </c>
      <c r="I2391" s="3814" t="s">
        <v>882</v>
      </c>
      <c r="J2391" s="3815" t="s">
        <v>4573</v>
      </c>
      <c r="K2391" s="3816">
        <v>72</v>
      </c>
      <c r="L2391" s="3817">
        <v>28255000</v>
      </c>
      <c r="M2391" s="3813">
        <v>24</v>
      </c>
      <c r="N2391" s="3818">
        <v>10918200</v>
      </c>
      <c r="O2391" s="3816">
        <v>12</v>
      </c>
      <c r="P2391" s="3819">
        <v>8281400</v>
      </c>
      <c r="Q2391" s="3813">
        <v>3</v>
      </c>
      <c r="R2391" s="3817">
        <v>2300500</v>
      </c>
      <c r="S2391" s="3816">
        <v>3</v>
      </c>
      <c r="T2391" s="3817">
        <v>18995100</v>
      </c>
      <c r="U2391" s="3816">
        <v>3</v>
      </c>
      <c r="V2391" s="3817">
        <v>2187100</v>
      </c>
      <c r="W2391" s="3811"/>
      <c r="X2391" s="3811"/>
      <c r="Y2391" s="3816">
        <f t="shared" si="1002"/>
        <v>9</v>
      </c>
      <c r="Z2391" s="3817">
        <f t="shared" si="1000"/>
        <v>23482700</v>
      </c>
      <c r="AA2391" s="3816">
        <f t="shared" ref="AA2391:AA2393" si="1003">M2391+Y2391</f>
        <v>33</v>
      </c>
      <c r="AB2391" s="3817">
        <f t="shared" si="998"/>
        <v>34400900</v>
      </c>
      <c r="AC2391" s="3820">
        <f t="shared" ref="AC2391:AC2393" si="1004">(AA2391/K2391)*100</f>
        <v>45.833333333333329</v>
      </c>
      <c r="AD2391" s="3820">
        <f t="shared" si="999"/>
        <v>121.75154839851355</v>
      </c>
      <c r="AE2391" s="3811" t="s">
        <v>4517</v>
      </c>
    </row>
    <row r="2392" spans="1:76" s="2117" customFormat="1" ht="92.25" customHeight="1">
      <c r="A2392" s="2116"/>
      <c r="B2392" s="3678"/>
      <c r="C2392" s="36">
        <v>5</v>
      </c>
      <c r="D2392" s="36" t="s">
        <v>107</v>
      </c>
      <c r="E2392" s="36" t="s">
        <v>66</v>
      </c>
      <c r="F2392" s="36" t="s">
        <v>155</v>
      </c>
      <c r="G2392" s="36" t="s">
        <v>66</v>
      </c>
      <c r="H2392" s="36" t="s">
        <v>160</v>
      </c>
      <c r="I2392" s="3680" t="s">
        <v>4339</v>
      </c>
      <c r="J2392" s="3680" t="s">
        <v>4519</v>
      </c>
      <c r="K2392" s="3679">
        <v>72</v>
      </c>
      <c r="L2392" s="3682">
        <v>13691130</v>
      </c>
      <c r="M2392" s="36">
        <v>24</v>
      </c>
      <c r="N2392" s="3808">
        <f>2413500+2430000</f>
        <v>4843500</v>
      </c>
      <c r="O2392" s="3679">
        <v>12</v>
      </c>
      <c r="P2392" s="3683">
        <v>1500000</v>
      </c>
      <c r="Q2392" s="36">
        <v>3</v>
      </c>
      <c r="R2392" s="3682">
        <v>495000</v>
      </c>
      <c r="S2392" s="3679">
        <v>3</v>
      </c>
      <c r="T2392" s="3682">
        <f>745000-R2392</f>
        <v>250000</v>
      </c>
      <c r="U2392" s="3679">
        <v>0</v>
      </c>
      <c r="V2392" s="3683">
        <f>745000-T2392-R2392</f>
        <v>0</v>
      </c>
      <c r="W2392" s="2116"/>
      <c r="X2392" s="2116"/>
      <c r="Y2392" s="3679">
        <f>Q2392+S2392+U2392+W2392</f>
        <v>6</v>
      </c>
      <c r="Z2392" s="3682">
        <f t="shared" si="1000"/>
        <v>745000</v>
      </c>
      <c r="AA2392" s="3679">
        <f t="shared" si="1003"/>
        <v>30</v>
      </c>
      <c r="AB2392" s="3682">
        <f t="shared" si="998"/>
        <v>5588500</v>
      </c>
      <c r="AC2392" s="3684">
        <f t="shared" si="1004"/>
        <v>41.666666666666671</v>
      </c>
      <c r="AD2392" s="3684">
        <f t="shared" si="999"/>
        <v>40.818398481352524</v>
      </c>
      <c r="AE2392" s="2116" t="s">
        <v>4517</v>
      </c>
    </row>
    <row r="2393" spans="1:76" s="2117" customFormat="1" ht="90">
      <c r="A2393" s="3803"/>
      <c r="B2393" s="3678"/>
      <c r="C2393" s="36">
        <v>5</v>
      </c>
      <c r="D2393" s="36" t="s">
        <v>107</v>
      </c>
      <c r="E2393" s="36" t="s">
        <v>66</v>
      </c>
      <c r="F2393" s="36" t="s">
        <v>155</v>
      </c>
      <c r="G2393" s="36" t="s">
        <v>66</v>
      </c>
      <c r="H2393" s="3804" t="s">
        <v>155</v>
      </c>
      <c r="I2393" s="3690" t="s">
        <v>4341</v>
      </c>
      <c r="J2393" s="3690" t="s">
        <v>4342</v>
      </c>
      <c r="K2393" s="3805">
        <v>6</v>
      </c>
      <c r="L2393" s="3691">
        <v>4641520</v>
      </c>
      <c r="M2393" s="3804">
        <v>2</v>
      </c>
      <c r="N2393" s="3806">
        <f>1300000+720000</f>
        <v>2020000</v>
      </c>
      <c r="O2393" s="3805">
        <v>3</v>
      </c>
      <c r="P2393" s="3807">
        <v>1200000</v>
      </c>
      <c r="Q2393" s="3804">
        <v>0</v>
      </c>
      <c r="R2393" s="3691">
        <v>300000</v>
      </c>
      <c r="S2393" s="3805">
        <v>1</v>
      </c>
      <c r="T2393" s="3691">
        <v>300000</v>
      </c>
      <c r="U2393" s="3805">
        <v>1</v>
      </c>
      <c r="V2393" s="3807">
        <v>300000</v>
      </c>
      <c r="W2393" s="3803"/>
      <c r="X2393" s="3803"/>
      <c r="Y2393" s="3679">
        <f t="shared" ref="Y2393:Y2394" si="1005">Q2393+S2393+U2393+W2393</f>
        <v>2</v>
      </c>
      <c r="Z2393" s="3691">
        <f t="shared" si="1000"/>
        <v>900000</v>
      </c>
      <c r="AA2393" s="3679">
        <f t="shared" si="1003"/>
        <v>4</v>
      </c>
      <c r="AB2393" s="3691">
        <f t="shared" si="998"/>
        <v>2920000</v>
      </c>
      <c r="AC2393" s="3684">
        <f t="shared" si="1004"/>
        <v>66.666666666666657</v>
      </c>
      <c r="AD2393" s="3684">
        <f t="shared" si="999"/>
        <v>62.910425894965435</v>
      </c>
      <c r="AE2393" s="3803" t="s">
        <v>4517</v>
      </c>
    </row>
    <row r="2394" spans="1:76" s="2117" customFormat="1" ht="52.5" customHeight="1">
      <c r="A2394" s="2116"/>
      <c r="B2394" s="3678"/>
      <c r="C2394" s="36">
        <v>5</v>
      </c>
      <c r="D2394" s="36" t="s">
        <v>107</v>
      </c>
      <c r="E2394" s="36" t="s">
        <v>66</v>
      </c>
      <c r="F2394" s="36" t="s">
        <v>155</v>
      </c>
      <c r="G2394" s="36" t="s">
        <v>66</v>
      </c>
      <c r="H2394" s="36" t="s">
        <v>448</v>
      </c>
      <c r="I2394" s="3680" t="s">
        <v>223</v>
      </c>
      <c r="J2394" s="3681" t="s">
        <v>4343</v>
      </c>
      <c r="K2394" s="3679">
        <v>72</v>
      </c>
      <c r="L2394" s="3682">
        <v>85470000</v>
      </c>
      <c r="M2394" s="36">
        <v>24</v>
      </c>
      <c r="N2394" s="3808">
        <v>41112500</v>
      </c>
      <c r="O2394" s="3679">
        <v>12</v>
      </c>
      <c r="P2394" s="3683">
        <v>10250000</v>
      </c>
      <c r="Q2394" s="36">
        <v>3</v>
      </c>
      <c r="R2394" s="3682">
        <v>3300000</v>
      </c>
      <c r="S2394" s="3679">
        <v>3</v>
      </c>
      <c r="T2394" s="3682">
        <v>2825000</v>
      </c>
      <c r="U2394" s="3679">
        <v>3</v>
      </c>
      <c r="V2394" s="3683">
        <v>2475000</v>
      </c>
      <c r="W2394" s="2116"/>
      <c r="X2394" s="2116"/>
      <c r="Y2394" s="3679">
        <f t="shared" si="1005"/>
        <v>9</v>
      </c>
      <c r="Z2394" s="3682">
        <f t="shared" si="1000"/>
        <v>8600000</v>
      </c>
      <c r="AA2394" s="3679">
        <f>M2394+Y2394</f>
        <v>33</v>
      </c>
      <c r="AB2394" s="3682">
        <f t="shared" si="998"/>
        <v>49712500</v>
      </c>
      <c r="AC2394" s="3684">
        <f>(AA2394/K2394)*100</f>
        <v>45.833333333333329</v>
      </c>
      <c r="AD2394" s="3684">
        <f t="shared" si="999"/>
        <v>58.163683163683167</v>
      </c>
      <c r="AE2394" s="2116" t="s">
        <v>4517</v>
      </c>
    </row>
    <row r="2395" spans="1:76" s="2117" customFormat="1" ht="64.5" customHeight="1">
      <c r="A2395" s="3803"/>
      <c r="B2395" s="3809"/>
      <c r="C2395" s="3804">
        <v>5</v>
      </c>
      <c r="D2395" s="3804" t="s">
        <v>107</v>
      </c>
      <c r="E2395" s="3804" t="s">
        <v>66</v>
      </c>
      <c r="F2395" s="3804" t="s">
        <v>155</v>
      </c>
      <c r="G2395" s="3804" t="s">
        <v>66</v>
      </c>
      <c r="H2395" s="3804" t="s">
        <v>167</v>
      </c>
      <c r="I2395" s="3690" t="s">
        <v>973</v>
      </c>
      <c r="J2395" s="3690" t="s">
        <v>4345</v>
      </c>
      <c r="K2395" s="3805">
        <v>72</v>
      </c>
      <c r="L2395" s="3691">
        <v>197033000</v>
      </c>
      <c r="M2395" s="3804">
        <v>24</v>
      </c>
      <c r="N2395" s="3806">
        <f>43880000+31002000</f>
        <v>74882000</v>
      </c>
      <c r="O2395" s="3805">
        <v>12</v>
      </c>
      <c r="P2395" s="3807">
        <v>28550000</v>
      </c>
      <c r="Q2395" s="3804">
        <v>3</v>
      </c>
      <c r="R2395" s="3691">
        <v>2350000</v>
      </c>
      <c r="S2395" s="3805">
        <v>3</v>
      </c>
      <c r="T2395" s="3691">
        <v>4700000</v>
      </c>
      <c r="U2395" s="3805">
        <v>3</v>
      </c>
      <c r="V2395" s="3807">
        <v>15200000</v>
      </c>
      <c r="W2395" s="3803"/>
      <c r="X2395" s="3803"/>
      <c r="Y2395" s="3805">
        <f>Q2395+S2395+U2395+W2395</f>
        <v>9</v>
      </c>
      <c r="Z2395" s="3691">
        <f t="shared" si="1000"/>
        <v>22250000</v>
      </c>
      <c r="AA2395" s="3805">
        <f t="shared" ref="AA2395:AA2396" si="1006">M2395+Y2395</f>
        <v>33</v>
      </c>
      <c r="AB2395" s="3691">
        <f t="shared" si="998"/>
        <v>97132000</v>
      </c>
      <c r="AC2395" s="3810">
        <f t="shared" ref="AC2395:AC2396" si="1007">(AA2395/K2395)*100</f>
        <v>45.833333333333329</v>
      </c>
      <c r="AD2395" s="3810">
        <f t="shared" si="999"/>
        <v>49.297325828668292</v>
      </c>
      <c r="AE2395" s="3803" t="s">
        <v>4517</v>
      </c>
    </row>
    <row r="2396" spans="1:76" s="2117" customFormat="1" ht="75">
      <c r="A2396" s="3803"/>
      <c r="B2396" s="3678"/>
      <c r="C2396" s="36">
        <v>5</v>
      </c>
      <c r="D2396" s="36" t="s">
        <v>107</v>
      </c>
      <c r="E2396" s="36" t="s">
        <v>66</v>
      </c>
      <c r="F2396" s="36" t="s">
        <v>155</v>
      </c>
      <c r="G2396" s="36" t="s">
        <v>66</v>
      </c>
      <c r="H2396" s="3804" t="s">
        <v>376</v>
      </c>
      <c r="I2396" s="3690" t="s">
        <v>4346</v>
      </c>
      <c r="J2396" s="3690" t="s">
        <v>4347</v>
      </c>
      <c r="K2396" s="3805">
        <v>72</v>
      </c>
      <c r="L2396" s="3691">
        <v>382943104</v>
      </c>
      <c r="M2396" s="3804">
        <v>24</v>
      </c>
      <c r="N2396" s="3806">
        <f>84550000+77238000</f>
        <v>161788000</v>
      </c>
      <c r="O2396" s="3805">
        <v>12</v>
      </c>
      <c r="P2396" s="3807">
        <v>105100000</v>
      </c>
      <c r="Q2396" s="3804">
        <v>3</v>
      </c>
      <c r="R2396" s="3691">
        <v>29500000</v>
      </c>
      <c r="S2396" s="3805">
        <v>3</v>
      </c>
      <c r="T2396" s="3691">
        <v>25200000</v>
      </c>
      <c r="U2396" s="3805">
        <v>3</v>
      </c>
      <c r="V2396" s="3807">
        <v>25200000</v>
      </c>
      <c r="W2396" s="3803"/>
      <c r="X2396" s="3803"/>
      <c r="Y2396" s="3679">
        <f t="shared" ref="Y2396" si="1008">Q2396+S2396+U2396+W2396</f>
        <v>9</v>
      </c>
      <c r="Z2396" s="3691">
        <f t="shared" si="1000"/>
        <v>79900000</v>
      </c>
      <c r="AA2396" s="3679">
        <f t="shared" si="1006"/>
        <v>33</v>
      </c>
      <c r="AB2396" s="3691">
        <f t="shared" si="998"/>
        <v>241688000</v>
      </c>
      <c r="AC2396" s="3684">
        <f t="shared" si="1007"/>
        <v>45.833333333333329</v>
      </c>
      <c r="AD2396" s="3684">
        <f t="shared" si="999"/>
        <v>63.113292151097198</v>
      </c>
      <c r="AE2396" s="3803" t="s">
        <v>4517</v>
      </c>
    </row>
    <row r="2397" spans="1:76" s="2117" customFormat="1" ht="79.5" customHeight="1">
      <c r="A2397" s="3803"/>
      <c r="B2397" s="3678"/>
      <c r="C2397" s="36">
        <v>5</v>
      </c>
      <c r="D2397" s="36" t="s">
        <v>107</v>
      </c>
      <c r="E2397" s="36" t="s">
        <v>66</v>
      </c>
      <c r="F2397" s="36" t="s">
        <v>155</v>
      </c>
      <c r="G2397" s="36" t="s">
        <v>66</v>
      </c>
      <c r="H2397" s="3804">
        <v>24</v>
      </c>
      <c r="I2397" s="3690" t="s">
        <v>4574</v>
      </c>
      <c r="J2397" s="3690" t="s">
        <v>4575</v>
      </c>
      <c r="K2397" s="3805">
        <v>12</v>
      </c>
      <c r="L2397" s="3691">
        <v>28930000</v>
      </c>
      <c r="M2397" s="3804">
        <v>2</v>
      </c>
      <c r="N2397" s="3806">
        <v>7191400</v>
      </c>
      <c r="O2397" s="3805">
        <v>2</v>
      </c>
      <c r="P2397" s="3807">
        <v>1000000</v>
      </c>
      <c r="Q2397" s="3804">
        <v>0</v>
      </c>
      <c r="R2397" s="3691">
        <v>0</v>
      </c>
      <c r="S2397" s="3805">
        <v>1</v>
      </c>
      <c r="T2397" s="3691">
        <v>500000</v>
      </c>
      <c r="U2397" s="3805">
        <v>0</v>
      </c>
      <c r="V2397" s="3807">
        <v>0</v>
      </c>
      <c r="W2397" s="3803"/>
      <c r="X2397" s="3803"/>
      <c r="Y2397" s="3679">
        <f>Q2397+S2397+U2397+W2397</f>
        <v>1</v>
      </c>
      <c r="Z2397" s="3691">
        <f>R2397+T2397+V2397+X2397</f>
        <v>500000</v>
      </c>
      <c r="AA2397" s="3679">
        <f>M2397+Y2397</f>
        <v>3</v>
      </c>
      <c r="AB2397" s="3691">
        <f t="shared" si="998"/>
        <v>7691400</v>
      </c>
      <c r="AC2397" s="3684">
        <f>(AA2397/K2397)*100</f>
        <v>25</v>
      </c>
      <c r="AD2397" s="3684">
        <f t="shared" si="999"/>
        <v>26.586242654683716</v>
      </c>
      <c r="AE2397" s="3803" t="s">
        <v>4517</v>
      </c>
    </row>
    <row r="2398" spans="1:76" s="3837" customFormat="1" ht="99">
      <c r="A2398" s="3657">
        <v>2</v>
      </c>
      <c r="B2398" s="3835"/>
      <c r="C2398" s="3659">
        <v>5</v>
      </c>
      <c r="D2398" s="3659" t="s">
        <v>107</v>
      </c>
      <c r="E2398" s="3659" t="s">
        <v>66</v>
      </c>
      <c r="F2398" s="3659" t="s">
        <v>155</v>
      </c>
      <c r="G2398" s="3659" t="s">
        <v>65</v>
      </c>
      <c r="H2398" s="3657"/>
      <c r="I2398" s="3660" t="s">
        <v>4350</v>
      </c>
      <c r="J2398" s="3660" t="s">
        <v>4313</v>
      </c>
      <c r="K2398" s="3657">
        <v>72</v>
      </c>
      <c r="L2398" s="3662">
        <f>SUM(L2399:L2402)</f>
        <v>371422585</v>
      </c>
      <c r="M2398" s="3657">
        <v>24</v>
      </c>
      <c r="N2398" s="3662">
        <f>SUM(N2399:N2402)</f>
        <v>183412050</v>
      </c>
      <c r="O2398" s="3657">
        <v>12</v>
      </c>
      <c r="P2398" s="3662">
        <f>SUM(P2399:P2402)</f>
        <v>91900000</v>
      </c>
      <c r="Q2398" s="3657">
        <v>3</v>
      </c>
      <c r="R2398" s="3662">
        <f>SUM(R2399:R2402)</f>
        <v>9237200</v>
      </c>
      <c r="S2398" s="3657">
        <v>3</v>
      </c>
      <c r="T2398" s="3662">
        <f>SUM(T2399:T2402)</f>
        <v>62737200</v>
      </c>
      <c r="U2398" s="3661">
        <v>3</v>
      </c>
      <c r="V2398" s="3662">
        <f>SUM(V2399:V2402)</f>
        <v>7237200</v>
      </c>
      <c r="W2398" s="3661"/>
      <c r="X2398" s="3661"/>
      <c r="Y2398" s="3657">
        <f>Q2398+S2398+U2398+W2398</f>
        <v>9</v>
      </c>
      <c r="Z2398" s="3662">
        <f>SUM(Z2399:Z2402)</f>
        <v>79211600</v>
      </c>
      <c r="AA2398" s="3657">
        <f>M2398+Y2398</f>
        <v>33</v>
      </c>
      <c r="AB2398" s="3662">
        <f>SUM(AB2399:AB2402)</f>
        <v>262623650</v>
      </c>
      <c r="AC2398" s="3664">
        <f>(AA2398/K2398)*100</f>
        <v>45.833333333333329</v>
      </c>
      <c r="AD2398" s="3664">
        <f>(AB2398/L2398)*100</f>
        <v>70.707506922337529</v>
      </c>
      <c r="AE2398" s="3661" t="s">
        <v>4517</v>
      </c>
    </row>
    <row r="2399" spans="1:76" s="2117" customFormat="1" ht="75">
      <c r="A2399" s="3803"/>
      <c r="B2399" s="3678"/>
      <c r="C2399" s="36">
        <v>5</v>
      </c>
      <c r="D2399" s="36" t="s">
        <v>107</v>
      </c>
      <c r="E2399" s="36" t="s">
        <v>66</v>
      </c>
      <c r="F2399" s="36" t="s">
        <v>155</v>
      </c>
      <c r="G2399" s="36" t="s">
        <v>65</v>
      </c>
      <c r="H2399" s="36" t="s">
        <v>198</v>
      </c>
      <c r="I2399" s="3690" t="s">
        <v>4248</v>
      </c>
      <c r="J2399" s="3690" t="s">
        <v>4352</v>
      </c>
      <c r="K2399" s="3805">
        <v>45</v>
      </c>
      <c r="L2399" s="3691">
        <v>25209890</v>
      </c>
      <c r="M2399" s="3804">
        <v>16</v>
      </c>
      <c r="N2399" s="3806">
        <f>9940000+47540000</f>
        <v>57480000</v>
      </c>
      <c r="O2399" s="3805">
        <v>12</v>
      </c>
      <c r="P2399" s="3807">
        <v>13950000</v>
      </c>
      <c r="Q2399" s="3804">
        <v>0</v>
      </c>
      <c r="R2399" s="3691">
        <v>0</v>
      </c>
      <c r="S2399" s="3805">
        <v>11</v>
      </c>
      <c r="T2399" s="3691">
        <v>13500000</v>
      </c>
      <c r="U2399" s="3805">
        <v>0</v>
      </c>
      <c r="V2399" s="3807">
        <v>0</v>
      </c>
      <c r="W2399" s="3803"/>
      <c r="X2399" s="3803"/>
      <c r="Y2399" s="3679">
        <f>Q2399+S2399+U2399+W2399</f>
        <v>11</v>
      </c>
      <c r="Z2399" s="3691">
        <f>R2399+T2399+V2399+X2399</f>
        <v>13500000</v>
      </c>
      <c r="AA2399" s="3679">
        <f t="shared" ref="AA2399:AA2416" si="1009">M2399+Y2399</f>
        <v>27</v>
      </c>
      <c r="AB2399" s="3691">
        <f>N2399+Z2399</f>
        <v>70980000</v>
      </c>
      <c r="AC2399" s="3684">
        <f>(AA2399/K2399)*100</f>
        <v>60</v>
      </c>
      <c r="AD2399" s="3684">
        <f>(AB2399/L2399)*100</f>
        <v>281.55616704396567</v>
      </c>
      <c r="AE2399" s="3803" t="s">
        <v>4517</v>
      </c>
    </row>
    <row r="2400" spans="1:76" s="2117" customFormat="1" ht="64.5" customHeight="1">
      <c r="A2400" s="3803"/>
      <c r="B2400" s="3678"/>
      <c r="C2400" s="36">
        <v>5</v>
      </c>
      <c r="D2400" s="36" t="s">
        <v>107</v>
      </c>
      <c r="E2400" s="36" t="s">
        <v>66</v>
      </c>
      <c r="F2400" s="36" t="s">
        <v>155</v>
      </c>
      <c r="G2400" s="36" t="s">
        <v>65</v>
      </c>
      <c r="H2400" s="36" t="s">
        <v>163</v>
      </c>
      <c r="I2400" s="3690" t="s">
        <v>1301</v>
      </c>
      <c r="J2400" s="3690" t="s">
        <v>4358</v>
      </c>
      <c r="K2400" s="3805">
        <v>6</v>
      </c>
      <c r="L2400" s="3691">
        <v>53854000</v>
      </c>
      <c r="M2400" s="3804">
        <v>2</v>
      </c>
      <c r="N2400" s="3806">
        <f>14409000+21009000</f>
        <v>35418000</v>
      </c>
      <c r="O2400" s="3805">
        <v>1</v>
      </c>
      <c r="P2400" s="3807">
        <v>45000000</v>
      </c>
      <c r="Q2400" s="3804">
        <v>0</v>
      </c>
      <c r="R2400" s="3691">
        <v>0</v>
      </c>
      <c r="S2400" s="3805">
        <v>1</v>
      </c>
      <c r="T2400" s="3691">
        <v>42000000</v>
      </c>
      <c r="U2400" s="3805">
        <v>0</v>
      </c>
      <c r="V2400" s="3807">
        <v>0</v>
      </c>
      <c r="W2400" s="3803"/>
      <c r="X2400" s="3803"/>
      <c r="Y2400" s="3679">
        <f t="shared" ref="Y2400:Y2416" si="1010">Q2400+S2400+U2400+W2400</f>
        <v>1</v>
      </c>
      <c r="Z2400" s="3691">
        <f t="shared" ref="Z2400:Z2401" si="1011">R2400+T2400+V2400+X2400</f>
        <v>42000000</v>
      </c>
      <c r="AA2400" s="3679">
        <f t="shared" si="1009"/>
        <v>3</v>
      </c>
      <c r="AB2400" s="3691">
        <f t="shared" ref="AB2400:AB2402" si="1012">N2400+Z2400</f>
        <v>77418000</v>
      </c>
      <c r="AC2400" s="3684">
        <f t="shared" ref="AC2400:AC2416" si="1013">(AA2400/K2400)*100</f>
        <v>50</v>
      </c>
      <c r="AD2400" s="3684">
        <f t="shared" ref="AD2400:AD2401" si="1014">(AB2400/L2400)*100</f>
        <v>143.75533850781744</v>
      </c>
      <c r="AE2400" s="3803" t="s">
        <v>4517</v>
      </c>
    </row>
    <row r="2401" spans="1:31" s="2117" customFormat="1" ht="90">
      <c r="A2401" s="3803"/>
      <c r="B2401" s="3678"/>
      <c r="C2401" s="36">
        <v>5</v>
      </c>
      <c r="D2401" s="36" t="s">
        <v>107</v>
      </c>
      <c r="E2401" s="36" t="s">
        <v>66</v>
      </c>
      <c r="F2401" s="36" t="s">
        <v>155</v>
      </c>
      <c r="G2401" s="36" t="s">
        <v>65</v>
      </c>
      <c r="H2401" s="36" t="s">
        <v>165</v>
      </c>
      <c r="I2401" s="3690" t="s">
        <v>4359</v>
      </c>
      <c r="J2401" s="3690" t="s">
        <v>4360</v>
      </c>
      <c r="K2401" s="3805">
        <v>24</v>
      </c>
      <c r="L2401" s="3691">
        <v>273794695</v>
      </c>
      <c r="M2401" s="3804">
        <v>8</v>
      </c>
      <c r="N2401" s="3806">
        <f>44411750+43102300</f>
        <v>87514050</v>
      </c>
      <c r="O2401" s="3805">
        <v>4</v>
      </c>
      <c r="P2401" s="3807">
        <v>28950000</v>
      </c>
      <c r="Q2401" s="3804">
        <v>1</v>
      </c>
      <c r="R2401" s="3691">
        <v>7237200</v>
      </c>
      <c r="S2401" s="3805">
        <v>1</v>
      </c>
      <c r="T2401" s="3691">
        <v>7237200</v>
      </c>
      <c r="U2401" s="3805">
        <v>1</v>
      </c>
      <c r="V2401" s="3691">
        <v>7237200</v>
      </c>
      <c r="W2401" s="3803"/>
      <c r="X2401" s="3803"/>
      <c r="Y2401" s="3679">
        <f t="shared" si="1010"/>
        <v>3</v>
      </c>
      <c r="Z2401" s="3691">
        <f t="shared" si="1011"/>
        <v>21711600</v>
      </c>
      <c r="AA2401" s="3679">
        <f t="shared" si="1009"/>
        <v>11</v>
      </c>
      <c r="AB2401" s="3691">
        <f t="shared" si="1012"/>
        <v>109225650</v>
      </c>
      <c r="AC2401" s="3684">
        <f t="shared" si="1013"/>
        <v>45.833333333333329</v>
      </c>
      <c r="AD2401" s="3684">
        <f t="shared" si="1014"/>
        <v>39.893267471818625</v>
      </c>
      <c r="AE2401" s="3803" t="s">
        <v>4517</v>
      </c>
    </row>
    <row r="2402" spans="1:31" s="2117" customFormat="1" ht="75">
      <c r="A2402" s="3803"/>
      <c r="B2402" s="3678"/>
      <c r="C2402" s="36">
        <v>5</v>
      </c>
      <c r="D2402" s="36" t="s">
        <v>107</v>
      </c>
      <c r="E2402" s="36" t="s">
        <v>66</v>
      </c>
      <c r="F2402" s="36" t="s">
        <v>155</v>
      </c>
      <c r="G2402" s="36" t="s">
        <v>65</v>
      </c>
      <c r="H2402" s="36" t="s">
        <v>178</v>
      </c>
      <c r="I2402" s="3690" t="s">
        <v>4361</v>
      </c>
      <c r="J2402" s="3690" t="s">
        <v>4362</v>
      </c>
      <c r="K2402" s="3805">
        <v>96</v>
      </c>
      <c r="L2402" s="3691">
        <v>18564000</v>
      </c>
      <c r="M2402" s="3804">
        <v>12</v>
      </c>
      <c r="N2402" s="3806">
        <v>3000000</v>
      </c>
      <c r="O2402" s="3805">
        <v>13</v>
      </c>
      <c r="P2402" s="3807">
        <v>4000000</v>
      </c>
      <c r="Q2402" s="3804">
        <v>1</v>
      </c>
      <c r="R2402" s="3691">
        <v>2000000</v>
      </c>
      <c r="S2402" s="3805">
        <v>0</v>
      </c>
      <c r="T2402" s="3807">
        <v>0</v>
      </c>
      <c r="U2402" s="3805">
        <v>0</v>
      </c>
      <c r="V2402" s="3807">
        <v>0</v>
      </c>
      <c r="W2402" s="3803"/>
      <c r="X2402" s="3803"/>
      <c r="Y2402" s="3679">
        <f t="shared" si="1010"/>
        <v>1</v>
      </c>
      <c r="Z2402" s="3691">
        <f>R2402+T2402+V2402+X2402</f>
        <v>2000000</v>
      </c>
      <c r="AA2402" s="3679">
        <f t="shared" si="1009"/>
        <v>13</v>
      </c>
      <c r="AB2402" s="3691">
        <f t="shared" si="1012"/>
        <v>5000000</v>
      </c>
      <c r="AC2402" s="3684">
        <f t="shared" si="1013"/>
        <v>13.541666666666666</v>
      </c>
      <c r="AD2402" s="3684">
        <f>(AB2402/L2402)*100</f>
        <v>26.933850463262228</v>
      </c>
      <c r="AE2402" s="3803" t="s">
        <v>4517</v>
      </c>
    </row>
    <row r="2403" spans="1:31" s="3802" customFormat="1" ht="92.25" customHeight="1">
      <c r="A2403" s="3657">
        <v>3</v>
      </c>
      <c r="B2403" s="3835"/>
      <c r="C2403" s="3659">
        <v>5</v>
      </c>
      <c r="D2403" s="3659" t="s">
        <v>107</v>
      </c>
      <c r="E2403" s="3659" t="s">
        <v>66</v>
      </c>
      <c r="F2403" s="3659" t="s">
        <v>155</v>
      </c>
      <c r="G2403" s="3659" t="s">
        <v>197</v>
      </c>
      <c r="H2403" s="3657"/>
      <c r="I2403" s="3660" t="s">
        <v>4555</v>
      </c>
      <c r="J2403" s="3660" t="s">
        <v>4581</v>
      </c>
      <c r="K2403" s="3657">
        <v>72</v>
      </c>
      <c r="L2403" s="3662">
        <f>SUM(L2404:L2405)</f>
        <v>250029600</v>
      </c>
      <c r="M2403" s="3657">
        <v>66</v>
      </c>
      <c r="N2403" s="3662">
        <f>SUM(N2404:N2405)</f>
        <v>83138500</v>
      </c>
      <c r="O2403" s="3657">
        <v>5</v>
      </c>
      <c r="P2403" s="3662">
        <f>SUM(P2404:P2405)</f>
        <v>12109714.5</v>
      </c>
      <c r="Q2403" s="3657">
        <v>0</v>
      </c>
      <c r="R2403" s="3662">
        <f>SUM(R2404:R2405)</f>
        <v>0</v>
      </c>
      <c r="S2403" s="3657">
        <v>0</v>
      </c>
      <c r="T2403" s="3662">
        <f>SUM(T2404:T2405)</f>
        <v>8658343</v>
      </c>
      <c r="U2403" s="3657">
        <v>5</v>
      </c>
      <c r="V2403" s="3662">
        <f>SUM(V2404:V2405)</f>
        <v>0</v>
      </c>
      <c r="W2403" s="3661"/>
      <c r="X2403" s="3661"/>
      <c r="Y2403" s="3836">
        <f t="shared" ref="Y2403:Y2405" si="1015">Q2403+S2403+U2403+W2403</f>
        <v>5</v>
      </c>
      <c r="Z2403" s="3662">
        <f>SUM(Z2404:Z2414)</f>
        <v>107194535</v>
      </c>
      <c r="AA2403" s="3836">
        <f>M2403+Y2403</f>
        <v>71</v>
      </c>
      <c r="AB2403" s="3662">
        <f>SUM(AB2404:AB2414)</f>
        <v>389543935</v>
      </c>
      <c r="AC2403" s="3664">
        <f>(AA2403/K2403)*100</f>
        <v>98.611111111111114</v>
      </c>
      <c r="AD2403" s="3664">
        <f>AB2403/L2403*100</f>
        <v>155.79912738331782</v>
      </c>
      <c r="AE2403" s="3661" t="s">
        <v>4517</v>
      </c>
    </row>
    <row r="2404" spans="1:31" s="2117" customFormat="1" ht="81.75" customHeight="1">
      <c r="A2404" s="3803"/>
      <c r="B2404" s="3678"/>
      <c r="C2404" s="36">
        <v>5</v>
      </c>
      <c r="D2404" s="36" t="s">
        <v>107</v>
      </c>
      <c r="E2404" s="36" t="s">
        <v>66</v>
      </c>
      <c r="F2404" s="36" t="s">
        <v>155</v>
      </c>
      <c r="G2404" s="36" t="s">
        <v>197</v>
      </c>
      <c r="H2404" s="3804" t="s">
        <v>66</v>
      </c>
      <c r="I2404" s="3690" t="s">
        <v>4582</v>
      </c>
      <c r="J2404" s="3690" t="s">
        <v>4583</v>
      </c>
      <c r="K2404" s="3805">
        <v>6</v>
      </c>
      <c r="L2404" s="3691">
        <v>50769000</v>
      </c>
      <c r="M2404" s="3804">
        <v>2</v>
      </c>
      <c r="N2404" s="3806">
        <f>9000000+5188500</f>
        <v>14188500</v>
      </c>
      <c r="O2404" s="3805">
        <v>1</v>
      </c>
      <c r="P2404" s="3807">
        <v>4801371.5</v>
      </c>
      <c r="Q2404" s="3804">
        <v>0</v>
      </c>
      <c r="R2404" s="3691">
        <v>0</v>
      </c>
      <c r="S2404" s="3805">
        <v>1</v>
      </c>
      <c r="T2404" s="3691">
        <v>3750000</v>
      </c>
      <c r="U2404" s="3805">
        <v>3</v>
      </c>
      <c r="V2404" s="3807">
        <v>0</v>
      </c>
      <c r="W2404" s="3803"/>
      <c r="X2404" s="3803"/>
      <c r="Y2404" s="3679">
        <f t="shared" si="1015"/>
        <v>4</v>
      </c>
      <c r="Z2404" s="3691">
        <f>R2404+T2404+V2404+X2404</f>
        <v>3750000</v>
      </c>
      <c r="AA2404" s="3679">
        <f t="shared" ref="AA2404:AA2405" si="1016">M2404+Y2404</f>
        <v>6</v>
      </c>
      <c r="AB2404" s="3691">
        <f t="shared" ref="AB2404:AB2405" si="1017">N2404+Z2404</f>
        <v>17938500</v>
      </c>
      <c r="AC2404" s="3684">
        <f>(AA2404/K2404)*100</f>
        <v>100</v>
      </c>
      <c r="AD2404" s="3684">
        <f t="shared" ref="AD2404:AD2405" si="1018">AB2404/L2404*100</f>
        <v>35.33356969804408</v>
      </c>
      <c r="AE2404" s="3803" t="s">
        <v>4517</v>
      </c>
    </row>
    <row r="2405" spans="1:31" s="2117" customFormat="1" ht="30">
      <c r="A2405" s="3803"/>
      <c r="B2405" s="3678"/>
      <c r="C2405" s="36">
        <v>5</v>
      </c>
      <c r="D2405" s="36" t="s">
        <v>107</v>
      </c>
      <c r="E2405" s="36" t="s">
        <v>66</v>
      </c>
      <c r="F2405" s="36" t="s">
        <v>155</v>
      </c>
      <c r="G2405" s="36" t="s">
        <v>197</v>
      </c>
      <c r="H2405" s="3804" t="s">
        <v>202</v>
      </c>
      <c r="I2405" s="3690" t="s">
        <v>4584</v>
      </c>
      <c r="J2405" s="3690" t="s">
        <v>4585</v>
      </c>
      <c r="K2405" s="3805">
        <v>24</v>
      </c>
      <c r="L2405" s="3691">
        <v>199260600</v>
      </c>
      <c r="M2405" s="3804">
        <v>12</v>
      </c>
      <c r="N2405" s="3806">
        <f>29350000+39600000</f>
        <v>68950000</v>
      </c>
      <c r="O2405" s="3805">
        <v>2</v>
      </c>
      <c r="P2405" s="3807">
        <v>7308343</v>
      </c>
      <c r="Q2405" s="3804">
        <v>1</v>
      </c>
      <c r="R2405" s="3807">
        <v>0</v>
      </c>
      <c r="S2405" s="3805">
        <v>1</v>
      </c>
      <c r="T2405" s="3691">
        <v>4908343</v>
      </c>
      <c r="U2405" s="3805">
        <v>1</v>
      </c>
      <c r="V2405" s="3807">
        <v>0</v>
      </c>
      <c r="W2405" s="3803"/>
      <c r="X2405" s="3803"/>
      <c r="Y2405" s="3679">
        <f t="shared" si="1015"/>
        <v>3</v>
      </c>
      <c r="Z2405" s="3691">
        <f t="shared" ref="Z2405" si="1019">R2405+T2405+V2405+X2405</f>
        <v>4908343</v>
      </c>
      <c r="AA2405" s="3679">
        <f t="shared" si="1016"/>
        <v>15</v>
      </c>
      <c r="AB2405" s="3691">
        <f t="shared" si="1017"/>
        <v>73858343</v>
      </c>
      <c r="AC2405" s="3684">
        <f t="shared" ref="AC2405" si="1020">(AA2405/K2405)*100</f>
        <v>62.5</v>
      </c>
      <c r="AD2405" s="3684">
        <f t="shared" si="1018"/>
        <v>37.066205260849358</v>
      </c>
      <c r="AE2405" s="3803" t="s">
        <v>4517</v>
      </c>
    </row>
    <row r="2406" spans="1:31" s="3825" customFormat="1" ht="82.5">
      <c r="A2406" s="3657">
        <v>3</v>
      </c>
      <c r="B2406" s="3835"/>
      <c r="C2406" s="3659">
        <v>5</v>
      </c>
      <c r="D2406" s="3659" t="s">
        <v>107</v>
      </c>
      <c r="E2406" s="3659" t="s">
        <v>66</v>
      </c>
      <c r="F2406" s="3659" t="s">
        <v>155</v>
      </c>
      <c r="G2406" s="3659" t="s">
        <v>448</v>
      </c>
      <c r="H2406" s="3657"/>
      <c r="I2406" s="3660" t="s">
        <v>4364</v>
      </c>
      <c r="J2406" s="3660" t="s">
        <v>4365</v>
      </c>
      <c r="K2406" s="3657">
        <v>100</v>
      </c>
      <c r="L2406" s="3662">
        <f>SUM(L2407:L2407)</f>
        <v>98767141</v>
      </c>
      <c r="M2406" s="3657">
        <v>32</v>
      </c>
      <c r="N2406" s="3662">
        <f>SUM(N2407:N2407)</f>
        <v>37542600</v>
      </c>
      <c r="O2406" s="3657">
        <v>18</v>
      </c>
      <c r="P2406" s="3662">
        <f>SUM(P2407:P2407)</f>
        <v>19425000</v>
      </c>
      <c r="Q2406" s="3657">
        <v>0</v>
      </c>
      <c r="R2406" s="3662">
        <f>SUM(R2407:R2407)</f>
        <v>0</v>
      </c>
      <c r="S2406" s="3657">
        <v>0</v>
      </c>
      <c r="T2406" s="3662">
        <f>SUM(T2407:T2407)</f>
        <v>0</v>
      </c>
      <c r="U2406" s="3664">
        <f>V2406/P2406*100</f>
        <v>95.238095238095227</v>
      </c>
      <c r="V2406" s="3662">
        <f>SUM(V2407:V2407)</f>
        <v>18500000</v>
      </c>
      <c r="W2406" s="3661"/>
      <c r="X2406" s="3661"/>
      <c r="Y2406" s="3836">
        <f t="shared" si="1010"/>
        <v>95.238095238095227</v>
      </c>
      <c r="Z2406" s="3662">
        <f>SUM(Z2407:Z2407)</f>
        <v>18500000</v>
      </c>
      <c r="AA2406" s="3836">
        <f t="shared" si="1009"/>
        <v>127.23809523809523</v>
      </c>
      <c r="AB2406" s="3662">
        <f>SUM(AB2407:AB2407)</f>
        <v>56042600</v>
      </c>
      <c r="AC2406" s="3664">
        <f t="shared" si="1013"/>
        <v>127.23809523809521</v>
      </c>
      <c r="AD2406" s="3664">
        <f t="shared" ref="AD2406" si="1021">(AB2406/L2406)*100</f>
        <v>56.742150711844545</v>
      </c>
      <c r="AE2406" s="3661" t="s">
        <v>4517</v>
      </c>
    </row>
    <row r="2407" spans="1:31" s="2117" customFormat="1" ht="45">
      <c r="A2407" s="18"/>
      <c r="B2407" s="15"/>
      <c r="C2407" s="36">
        <v>5</v>
      </c>
      <c r="D2407" s="36" t="s">
        <v>107</v>
      </c>
      <c r="E2407" s="36" t="s">
        <v>66</v>
      </c>
      <c r="F2407" s="36" t="s">
        <v>155</v>
      </c>
      <c r="G2407" s="36" t="s">
        <v>448</v>
      </c>
      <c r="H2407" s="36" t="s">
        <v>197</v>
      </c>
      <c r="I2407" s="15" t="s">
        <v>4366</v>
      </c>
      <c r="J2407" s="15" t="s">
        <v>4367</v>
      </c>
      <c r="K2407" s="3826">
        <v>6</v>
      </c>
      <c r="L2407" s="16">
        <v>98767141</v>
      </c>
      <c r="M2407" s="3826">
        <v>2</v>
      </c>
      <c r="N2407" s="16">
        <f>17508800+20033800</f>
        <v>37542600</v>
      </c>
      <c r="O2407" s="3826">
        <v>1</v>
      </c>
      <c r="P2407" s="16">
        <v>19425000</v>
      </c>
      <c r="Q2407" s="3826">
        <v>0</v>
      </c>
      <c r="R2407" s="16">
        <v>0</v>
      </c>
      <c r="S2407" s="3826">
        <v>0</v>
      </c>
      <c r="T2407" s="16">
        <v>0</v>
      </c>
      <c r="U2407" s="3826">
        <v>1</v>
      </c>
      <c r="V2407" s="3827">
        <v>18500000</v>
      </c>
      <c r="W2407" s="15"/>
      <c r="X2407" s="15"/>
      <c r="Y2407" s="3826">
        <f t="shared" si="1010"/>
        <v>1</v>
      </c>
      <c r="Z2407" s="3691">
        <f>R2407+T2407+V2407+X2407</f>
        <v>18500000</v>
      </c>
      <c r="AA2407" s="3826">
        <f t="shared" si="1009"/>
        <v>3</v>
      </c>
      <c r="AB2407" s="3691">
        <f t="shared" ref="AB2407" si="1022">N2407+Z2407</f>
        <v>56042600</v>
      </c>
      <c r="AC2407" s="19">
        <f t="shared" si="1013"/>
        <v>50</v>
      </c>
      <c r="AD2407" s="19">
        <f>(AB2407/L2407)*100</f>
        <v>56.742150711844545</v>
      </c>
      <c r="AE2407" s="18" t="s">
        <v>4517</v>
      </c>
    </row>
    <row r="2408" spans="1:31" s="3825" customFormat="1" ht="99">
      <c r="A2408" s="3657">
        <v>4</v>
      </c>
      <c r="B2408" s="3835"/>
      <c r="C2408" s="3659">
        <v>5</v>
      </c>
      <c r="D2408" s="3659" t="s">
        <v>107</v>
      </c>
      <c r="E2408" s="3659" t="s">
        <v>66</v>
      </c>
      <c r="F2408" s="3659" t="s">
        <v>155</v>
      </c>
      <c r="G2408" s="3659" t="s">
        <v>155</v>
      </c>
      <c r="H2408" s="3659"/>
      <c r="I2408" s="3660" t="s">
        <v>4369</v>
      </c>
      <c r="J2408" s="3660" t="s">
        <v>4370</v>
      </c>
      <c r="K2408" s="3657">
        <v>100</v>
      </c>
      <c r="L2408" s="3662">
        <f>SUM(L2409:L2409)</f>
        <v>70929850</v>
      </c>
      <c r="M2408" s="3657">
        <v>32</v>
      </c>
      <c r="N2408" s="3662">
        <f>SUM(N2409:N2409)</f>
        <v>25165300</v>
      </c>
      <c r="O2408" s="3657">
        <v>18</v>
      </c>
      <c r="P2408" s="3662">
        <f>SUM(P2409:P2409)</f>
        <v>8525000</v>
      </c>
      <c r="Q2408" s="3657">
        <v>0</v>
      </c>
      <c r="R2408" s="3662">
        <f>SUM(R2409:R2409)</f>
        <v>0</v>
      </c>
      <c r="S2408" s="3657">
        <v>15</v>
      </c>
      <c r="T2408" s="3663">
        <f>SUM(T2409)</f>
        <v>8500000</v>
      </c>
      <c r="U2408" s="3661">
        <v>3</v>
      </c>
      <c r="V2408" s="3663">
        <f>SUM(V2409)</f>
        <v>0</v>
      </c>
      <c r="W2408" s="3661"/>
      <c r="X2408" s="3661"/>
      <c r="Y2408" s="3657">
        <f t="shared" si="1010"/>
        <v>18</v>
      </c>
      <c r="Z2408" s="3662">
        <f>SUM(Z2409:Z2409)</f>
        <v>8500000</v>
      </c>
      <c r="AA2408" s="3657">
        <f t="shared" si="1009"/>
        <v>50</v>
      </c>
      <c r="AB2408" s="3662">
        <f>SUM(AB2409:AB2409)</f>
        <v>33665300</v>
      </c>
      <c r="AC2408" s="3664">
        <f t="shared" si="1013"/>
        <v>50</v>
      </c>
      <c r="AD2408" s="3664">
        <f t="shared" ref="AD2408:AD2410" si="1023">(AB2408/L2408)*100</f>
        <v>47.462810086303584</v>
      </c>
      <c r="AE2408" s="3661" t="s">
        <v>4517</v>
      </c>
    </row>
    <row r="2409" spans="1:31" s="2117" customFormat="1" ht="105">
      <c r="A2409" s="18"/>
      <c r="B2409" s="15"/>
      <c r="C2409" s="36">
        <v>5</v>
      </c>
      <c r="D2409" s="36" t="s">
        <v>107</v>
      </c>
      <c r="E2409" s="36" t="s">
        <v>66</v>
      </c>
      <c r="F2409" s="36" t="s">
        <v>155</v>
      </c>
      <c r="G2409" s="36" t="s">
        <v>155</v>
      </c>
      <c r="H2409" s="36" t="s">
        <v>202</v>
      </c>
      <c r="I2409" s="15" t="s">
        <v>4371</v>
      </c>
      <c r="J2409" s="15" t="s">
        <v>4520</v>
      </c>
      <c r="K2409" s="3826">
        <v>6</v>
      </c>
      <c r="L2409" s="16">
        <v>70929850</v>
      </c>
      <c r="M2409" s="3826">
        <v>2</v>
      </c>
      <c r="N2409" s="16">
        <f>12574000+12591300</f>
        <v>25165300</v>
      </c>
      <c r="O2409" s="3826">
        <v>1</v>
      </c>
      <c r="P2409" s="16">
        <v>8525000</v>
      </c>
      <c r="Q2409" s="3826">
        <v>0</v>
      </c>
      <c r="R2409" s="16">
        <v>0</v>
      </c>
      <c r="S2409" s="3826">
        <v>1</v>
      </c>
      <c r="T2409" s="3827">
        <v>8500000</v>
      </c>
      <c r="U2409" s="3826">
        <v>0</v>
      </c>
      <c r="V2409" s="3827">
        <v>0</v>
      </c>
      <c r="W2409" s="15"/>
      <c r="X2409" s="15"/>
      <c r="Y2409" s="3679">
        <f t="shared" si="1010"/>
        <v>1</v>
      </c>
      <c r="Z2409" s="3691">
        <f>R2409+T2409+V2409+X2409</f>
        <v>8500000</v>
      </c>
      <c r="AA2409" s="3679">
        <f t="shared" si="1009"/>
        <v>3</v>
      </c>
      <c r="AB2409" s="3691">
        <f t="shared" ref="AB2409" si="1024">N2409+Z2409</f>
        <v>33665300</v>
      </c>
      <c r="AC2409" s="3684">
        <f t="shared" si="1013"/>
        <v>50</v>
      </c>
      <c r="AD2409" s="3684">
        <f t="shared" si="1023"/>
        <v>47.462810086303584</v>
      </c>
      <c r="AE2409" s="18" t="s">
        <v>4517</v>
      </c>
    </row>
    <row r="2410" spans="1:31" s="3825" customFormat="1" ht="49.5">
      <c r="A2410" s="3657">
        <v>5</v>
      </c>
      <c r="B2410" s="3835"/>
      <c r="C2410" s="3659">
        <v>5</v>
      </c>
      <c r="D2410" s="3659" t="s">
        <v>107</v>
      </c>
      <c r="E2410" s="3659" t="s">
        <v>66</v>
      </c>
      <c r="F2410" s="3659" t="s">
        <v>155</v>
      </c>
      <c r="G2410" s="3659">
        <v>21</v>
      </c>
      <c r="H2410" s="3659"/>
      <c r="I2410" s="3660" t="s">
        <v>4576</v>
      </c>
      <c r="J2410" s="3660" t="s">
        <v>4577</v>
      </c>
      <c r="K2410" s="3657">
        <v>80</v>
      </c>
      <c r="L2410" s="3662">
        <f>SUM(L2411:L2411)</f>
        <v>23205000</v>
      </c>
      <c r="M2410" s="3657">
        <v>32</v>
      </c>
      <c r="N2410" s="3662">
        <f>SUM(N2411:N2411)</f>
        <v>4973800</v>
      </c>
      <c r="O2410" s="3657">
        <v>20</v>
      </c>
      <c r="P2410" s="3662">
        <f>SUM(P2411:P2411)</f>
        <v>6482500</v>
      </c>
      <c r="Q2410" s="3657">
        <v>0</v>
      </c>
      <c r="R2410" s="3662">
        <f>SUM(R2411:R2411)</f>
        <v>0</v>
      </c>
      <c r="S2410" s="3657">
        <v>10</v>
      </c>
      <c r="T2410" s="3662">
        <f>SUM(T2411)</f>
        <v>0</v>
      </c>
      <c r="U2410" s="3661">
        <v>10</v>
      </c>
      <c r="V2410" s="3662">
        <f>SUM(V2411)</f>
        <v>6300000</v>
      </c>
      <c r="W2410" s="3661"/>
      <c r="X2410" s="3661"/>
      <c r="Y2410" s="3657">
        <f t="shared" si="1010"/>
        <v>20</v>
      </c>
      <c r="Z2410" s="3662">
        <f>SUM(Z2411:Z2411)</f>
        <v>6300000</v>
      </c>
      <c r="AA2410" s="3657">
        <f t="shared" si="1009"/>
        <v>52</v>
      </c>
      <c r="AB2410" s="3662">
        <f>SUM(AB2411:AB2411)</f>
        <v>11273800</v>
      </c>
      <c r="AC2410" s="3664">
        <f t="shared" si="1013"/>
        <v>65</v>
      </c>
      <c r="AD2410" s="3664">
        <f t="shared" si="1023"/>
        <v>48.583494936436111</v>
      </c>
      <c r="AE2410" s="3661" t="s">
        <v>4517</v>
      </c>
    </row>
    <row r="2411" spans="1:31" s="2117" customFormat="1" ht="45">
      <c r="A2411" s="3685"/>
      <c r="B2411" s="3686"/>
      <c r="C2411" s="36" t="s">
        <v>107</v>
      </c>
      <c r="D2411" s="36" t="s">
        <v>66</v>
      </c>
      <c r="E2411" s="36" t="s">
        <v>155</v>
      </c>
      <c r="F2411" s="36" t="s">
        <v>155</v>
      </c>
      <c r="G2411" s="36">
        <v>21</v>
      </c>
      <c r="H2411" s="3687">
        <v>27</v>
      </c>
      <c r="I2411" s="3686" t="s">
        <v>4281</v>
      </c>
      <c r="J2411" s="3686" t="s">
        <v>4578</v>
      </c>
      <c r="K2411" s="3685">
        <v>5</v>
      </c>
      <c r="L2411" s="3688">
        <v>23205000</v>
      </c>
      <c r="M2411" s="3685">
        <v>1</v>
      </c>
      <c r="N2411" s="3688">
        <v>4973800</v>
      </c>
      <c r="O2411" s="3685">
        <v>1</v>
      </c>
      <c r="P2411" s="3688">
        <v>6482500</v>
      </c>
      <c r="Q2411" s="3685">
        <v>0</v>
      </c>
      <c r="R2411" s="3850">
        <v>0</v>
      </c>
      <c r="S2411" s="3685">
        <v>0</v>
      </c>
      <c r="T2411" s="3688">
        <v>0</v>
      </c>
      <c r="U2411" s="3685">
        <v>1</v>
      </c>
      <c r="V2411" s="3828">
        <v>6300000</v>
      </c>
      <c r="W2411" s="3685"/>
      <c r="X2411" s="3685"/>
      <c r="Y2411" s="3679">
        <f t="shared" si="1010"/>
        <v>1</v>
      </c>
      <c r="Z2411" s="3691">
        <f>R2411+T2411+V2411+X2411</f>
        <v>6300000</v>
      </c>
      <c r="AA2411" s="3679">
        <f t="shared" si="1009"/>
        <v>2</v>
      </c>
      <c r="AB2411" s="3691">
        <f t="shared" ref="AB2411" si="1025">N2411+Z2411</f>
        <v>11273800</v>
      </c>
      <c r="AC2411" s="3684">
        <f t="shared" si="1013"/>
        <v>40</v>
      </c>
      <c r="AD2411" s="3685"/>
      <c r="AE2411" s="3685" t="s">
        <v>4517</v>
      </c>
    </row>
    <row r="2412" spans="1:31" s="3829" customFormat="1" ht="111.75" customHeight="1">
      <c r="A2412" s="3657">
        <v>6</v>
      </c>
      <c r="B2412" s="3835"/>
      <c r="C2412" s="3659">
        <v>5</v>
      </c>
      <c r="D2412" s="3659" t="s">
        <v>107</v>
      </c>
      <c r="E2412" s="3659" t="s">
        <v>66</v>
      </c>
      <c r="F2412" s="3659" t="s">
        <v>155</v>
      </c>
      <c r="G2412" s="3659" t="s">
        <v>357</v>
      </c>
      <c r="H2412" s="3657"/>
      <c r="I2412" s="3660" t="s">
        <v>4378</v>
      </c>
      <c r="J2412" s="3660" t="s">
        <v>4379</v>
      </c>
      <c r="K2412" s="3657">
        <v>100</v>
      </c>
      <c r="L2412" s="3662">
        <f>SUM(L2413:L2414)</f>
        <v>59900000</v>
      </c>
      <c r="M2412" s="3657">
        <v>32</v>
      </c>
      <c r="N2412" s="3662">
        <f>SUM(N2413:N2414)</f>
        <v>42565000</v>
      </c>
      <c r="O2412" s="3657">
        <v>18</v>
      </c>
      <c r="P2412" s="3662">
        <f>SUM(P2413:P2414)</f>
        <v>30255677.75</v>
      </c>
      <c r="Q2412" s="3657">
        <v>0</v>
      </c>
      <c r="R2412" s="3662">
        <f>SUM(R2413:R2414)</f>
        <v>2000000</v>
      </c>
      <c r="S2412" s="3657">
        <v>2</v>
      </c>
      <c r="T2412" s="3663">
        <f>SUM(T2413:T2414)</f>
        <v>16293096</v>
      </c>
      <c r="U2412" s="3664">
        <f>V2412/P2412*100</f>
        <v>17.000395900898305</v>
      </c>
      <c r="V2412" s="3663">
        <f>SUM(V2413:V2414)</f>
        <v>5143585</v>
      </c>
      <c r="W2412" s="3661"/>
      <c r="X2412" s="3661"/>
      <c r="Y2412" s="3836">
        <f t="shared" si="1010"/>
        <v>19.000395900898305</v>
      </c>
      <c r="Z2412" s="3662">
        <f>SUM(Z2414:Z2414)</f>
        <v>8499511</v>
      </c>
      <c r="AA2412" s="3836">
        <f t="shared" si="1009"/>
        <v>51.000395900898305</v>
      </c>
      <c r="AB2412" s="3662">
        <f>SUM(AB2414:AB2414)</f>
        <v>29782011</v>
      </c>
      <c r="AC2412" s="3664">
        <f t="shared" si="1013"/>
        <v>51.000395900898312</v>
      </c>
      <c r="AD2412" s="3664">
        <f t="shared" ref="AD2412" si="1026">(AB2412/L2412)*100</f>
        <v>49.719550918197001</v>
      </c>
      <c r="AE2412" s="3661" t="s">
        <v>4517</v>
      </c>
    </row>
    <row r="2413" spans="1:31" s="6" customFormat="1" ht="45">
      <c r="A2413" s="18"/>
      <c r="B2413" s="15"/>
      <c r="C2413" s="36">
        <v>5</v>
      </c>
      <c r="D2413" s="36" t="s">
        <v>107</v>
      </c>
      <c r="E2413" s="36" t="s">
        <v>66</v>
      </c>
      <c r="F2413" s="36" t="s">
        <v>155</v>
      </c>
      <c r="G2413" s="36" t="s">
        <v>357</v>
      </c>
      <c r="H2413" s="35" t="s">
        <v>66</v>
      </c>
      <c r="I2413" s="15" t="s">
        <v>4495</v>
      </c>
      <c r="J2413" s="15" t="s">
        <v>4579</v>
      </c>
      <c r="K2413" s="3826">
        <v>60</v>
      </c>
      <c r="L2413" s="16">
        <v>29950000</v>
      </c>
      <c r="M2413" s="3826">
        <v>20</v>
      </c>
      <c r="N2413" s="16">
        <f>8850000+12432500</f>
        <v>21282500</v>
      </c>
      <c r="O2413" s="3826">
        <v>10</v>
      </c>
      <c r="P2413" s="16">
        <v>18256656.75</v>
      </c>
      <c r="Q2413" s="3826">
        <v>2</v>
      </c>
      <c r="R2413" s="16">
        <v>2000000</v>
      </c>
      <c r="S2413" s="3826">
        <f>4-Q2413</f>
        <v>2</v>
      </c>
      <c r="T2413" s="3827">
        <v>10293585</v>
      </c>
      <c r="U2413" s="3826">
        <v>2</v>
      </c>
      <c r="V2413" s="3827">
        <v>2643585</v>
      </c>
      <c r="W2413" s="15"/>
      <c r="X2413" s="15"/>
      <c r="Y2413" s="3826">
        <f t="shared" ref="Y2413" si="1027">Q2413+S2413+U2413+W2413</f>
        <v>6</v>
      </c>
      <c r="Z2413" s="3691">
        <f>R2413+T2413+V2413+X2413</f>
        <v>14937170</v>
      </c>
      <c r="AA2413" s="3826">
        <f t="shared" ref="AA2413" si="1028">M2413+Y2413</f>
        <v>26</v>
      </c>
      <c r="AB2413" s="3691">
        <f t="shared" ref="AB2413" si="1029">N2413+Z2413</f>
        <v>36219670</v>
      </c>
      <c r="AC2413" s="19">
        <f t="shared" ref="AC2413" si="1030">(AA2413/K2413)*100</f>
        <v>43.333333333333336</v>
      </c>
      <c r="AD2413" s="19">
        <f>(AB2413/L2413)*100</f>
        <v>120.9337896494157</v>
      </c>
      <c r="AE2413" s="18" t="s">
        <v>4517</v>
      </c>
    </row>
    <row r="2414" spans="1:31" s="6" customFormat="1" ht="30">
      <c r="A2414" s="18"/>
      <c r="B2414" s="15"/>
      <c r="C2414" s="36">
        <v>5</v>
      </c>
      <c r="D2414" s="36" t="s">
        <v>107</v>
      </c>
      <c r="E2414" s="36" t="s">
        <v>66</v>
      </c>
      <c r="F2414" s="36" t="s">
        <v>155</v>
      </c>
      <c r="G2414" s="36" t="s">
        <v>357</v>
      </c>
      <c r="H2414" s="35" t="s">
        <v>65</v>
      </c>
      <c r="I2414" s="15" t="s">
        <v>4580</v>
      </c>
      <c r="J2414" s="15" t="s">
        <v>4579</v>
      </c>
      <c r="K2414" s="3826">
        <v>60</v>
      </c>
      <c r="L2414" s="16">
        <v>29950000</v>
      </c>
      <c r="M2414" s="3826">
        <v>20</v>
      </c>
      <c r="N2414" s="16">
        <f>8850000+12432500</f>
        <v>21282500</v>
      </c>
      <c r="O2414" s="3826">
        <v>10</v>
      </c>
      <c r="P2414" s="16">
        <v>11999021</v>
      </c>
      <c r="Q2414" s="3826">
        <v>0</v>
      </c>
      <c r="R2414" s="16">
        <v>0</v>
      </c>
      <c r="S2414" s="3826">
        <f>4-Q2414</f>
        <v>4</v>
      </c>
      <c r="T2414" s="3827">
        <v>5999511</v>
      </c>
      <c r="U2414" s="3826">
        <v>2</v>
      </c>
      <c r="V2414" s="3827">
        <v>2500000</v>
      </c>
      <c r="W2414" s="15"/>
      <c r="X2414" s="15"/>
      <c r="Y2414" s="3826">
        <f t="shared" si="1010"/>
        <v>6</v>
      </c>
      <c r="Z2414" s="3691">
        <f>R2414+T2414+V2414+X2414</f>
        <v>8499511</v>
      </c>
      <c r="AA2414" s="3826">
        <f t="shared" si="1009"/>
        <v>26</v>
      </c>
      <c r="AB2414" s="3691">
        <f t="shared" ref="AB2414" si="1031">N2414+Z2414</f>
        <v>29782011</v>
      </c>
      <c r="AC2414" s="19">
        <f t="shared" si="1013"/>
        <v>43.333333333333336</v>
      </c>
      <c r="AD2414" s="19">
        <f>(AB2414/L2414)*100</f>
        <v>99.439101836394002</v>
      </c>
      <c r="AE2414" s="18" t="s">
        <v>4517</v>
      </c>
    </row>
    <row r="2415" spans="1:31" s="3802" customFormat="1" ht="99">
      <c r="A2415" s="3657">
        <v>7</v>
      </c>
      <c r="B2415" s="3835"/>
      <c r="C2415" s="3659">
        <v>5</v>
      </c>
      <c r="D2415" s="3659" t="s">
        <v>107</v>
      </c>
      <c r="E2415" s="3659" t="s">
        <v>66</v>
      </c>
      <c r="F2415" s="3659" t="s">
        <v>155</v>
      </c>
      <c r="G2415" s="3659" t="s">
        <v>67</v>
      </c>
      <c r="H2415" s="3657"/>
      <c r="I2415" s="3660" t="s">
        <v>2620</v>
      </c>
      <c r="J2415" s="3660" t="s">
        <v>4382</v>
      </c>
      <c r="K2415" s="3657">
        <v>100</v>
      </c>
      <c r="L2415" s="3662">
        <f>SUM(L2416:L2416)</f>
        <v>170530000</v>
      </c>
      <c r="M2415" s="3657">
        <v>36</v>
      </c>
      <c r="N2415" s="3662">
        <f>SUM(N2416:N2416)</f>
        <v>57740000</v>
      </c>
      <c r="O2415" s="3657">
        <v>20</v>
      </c>
      <c r="P2415" s="3662">
        <f>SUM(P2416:P2416)</f>
        <v>1375000</v>
      </c>
      <c r="Q2415" s="3657">
        <v>0</v>
      </c>
      <c r="R2415" s="3662">
        <f>SUM(R2416:R2416)</f>
        <v>0</v>
      </c>
      <c r="S2415" s="3657">
        <v>16</v>
      </c>
      <c r="T2415" s="3663">
        <f>SUM(T2416:T2416)</f>
        <v>0</v>
      </c>
      <c r="U2415" s="3664">
        <f>V2415/P2415*100</f>
        <v>0</v>
      </c>
      <c r="V2415" s="3663">
        <f>SUM(V2416:V2416)</f>
        <v>0</v>
      </c>
      <c r="W2415" s="3661"/>
      <c r="X2415" s="3661"/>
      <c r="Y2415" s="3836">
        <f t="shared" si="1010"/>
        <v>16</v>
      </c>
      <c r="Z2415" s="3662">
        <f>SUM(Z2416:Z2416)</f>
        <v>0</v>
      </c>
      <c r="AA2415" s="3836">
        <f t="shared" si="1009"/>
        <v>52</v>
      </c>
      <c r="AB2415" s="3662">
        <f>SUM(AB2416:AB2416)</f>
        <v>57740000</v>
      </c>
      <c r="AC2415" s="3664">
        <f t="shared" si="1013"/>
        <v>52</v>
      </c>
      <c r="AD2415" s="3664">
        <f t="shared" ref="AD2415:AD2424" si="1032">(AB2415/L2415)*100</f>
        <v>33.859145018471828</v>
      </c>
      <c r="AE2415" s="3661" t="s">
        <v>4517</v>
      </c>
    </row>
    <row r="2416" spans="1:31" s="2117" customFormat="1" ht="50.25" customHeight="1">
      <c r="A2416" s="3679"/>
      <c r="B2416" s="3686"/>
      <c r="C2416" s="36">
        <v>5</v>
      </c>
      <c r="D2416" s="36" t="s">
        <v>107</v>
      </c>
      <c r="E2416" s="36" t="s">
        <v>66</v>
      </c>
      <c r="F2416" s="36" t="s">
        <v>155</v>
      </c>
      <c r="G2416" s="36" t="s">
        <v>67</v>
      </c>
      <c r="H2416" s="36" t="s">
        <v>66</v>
      </c>
      <c r="I2416" s="3686" t="s">
        <v>4383</v>
      </c>
      <c r="J2416" s="3686" t="s">
        <v>4384</v>
      </c>
      <c r="K2416" s="3679">
        <v>6</v>
      </c>
      <c r="L2416" s="3682">
        <v>170530000</v>
      </c>
      <c r="M2416" s="3679">
        <v>2</v>
      </c>
      <c r="N2416" s="3682">
        <f>31300000+26440000</f>
        <v>57740000</v>
      </c>
      <c r="O2416" s="3679">
        <v>1</v>
      </c>
      <c r="P2416" s="3682">
        <v>1375000</v>
      </c>
      <c r="Q2416" s="3679">
        <v>0</v>
      </c>
      <c r="R2416" s="3683">
        <v>0</v>
      </c>
      <c r="S2416" s="3679">
        <v>0</v>
      </c>
      <c r="T2416" s="3682">
        <v>0</v>
      </c>
      <c r="U2416" s="3679">
        <v>0</v>
      </c>
      <c r="V2416" s="3683">
        <v>0</v>
      </c>
      <c r="W2416" s="2116"/>
      <c r="X2416" s="2116"/>
      <c r="Y2416" s="3679">
        <f t="shared" si="1010"/>
        <v>0</v>
      </c>
      <c r="Z2416" s="3691">
        <f>R2416+T2416+V2416+X2416</f>
        <v>0</v>
      </c>
      <c r="AA2416" s="3679">
        <f t="shared" si="1009"/>
        <v>2</v>
      </c>
      <c r="AB2416" s="3691">
        <f t="shared" ref="AB2416" si="1033">N2416+Z2416</f>
        <v>57740000</v>
      </c>
      <c r="AC2416" s="3684">
        <f t="shared" si="1013"/>
        <v>33.333333333333329</v>
      </c>
      <c r="AD2416" s="3684">
        <f t="shared" si="1032"/>
        <v>33.859145018471828</v>
      </c>
      <c r="AE2416" s="2116" t="s">
        <v>4517</v>
      </c>
    </row>
    <row r="2417" spans="1:76" s="3802" customFormat="1" ht="99">
      <c r="A2417" s="3657">
        <v>8</v>
      </c>
      <c r="B2417" s="3835"/>
      <c r="C2417" s="3659">
        <v>5</v>
      </c>
      <c r="D2417" s="3659" t="s">
        <v>107</v>
      </c>
      <c r="E2417" s="3659" t="s">
        <v>66</v>
      </c>
      <c r="F2417" s="3659" t="s">
        <v>155</v>
      </c>
      <c r="G2417" s="3659" t="s">
        <v>1099</v>
      </c>
      <c r="H2417" s="3657"/>
      <c r="I2417" s="3660" t="s">
        <v>4387</v>
      </c>
      <c r="J2417" s="3660" t="s">
        <v>4388</v>
      </c>
      <c r="K2417" s="3657">
        <v>100</v>
      </c>
      <c r="L2417" s="3662">
        <f>SUM(L2418:L2422)</f>
        <v>510194374</v>
      </c>
      <c r="M2417" s="3657">
        <v>32</v>
      </c>
      <c r="N2417" s="3662">
        <f>SUM(N2418:N2422)</f>
        <v>158446650</v>
      </c>
      <c r="O2417" s="3657">
        <v>20</v>
      </c>
      <c r="P2417" s="3662">
        <f>SUM(P2418:P2422)</f>
        <v>52114191.25</v>
      </c>
      <c r="Q2417" s="3657">
        <v>0</v>
      </c>
      <c r="R2417" s="3662">
        <f>SUM(R2418:R2422)</f>
        <v>6833975</v>
      </c>
      <c r="S2417" s="3657">
        <v>5</v>
      </c>
      <c r="T2417" s="3662">
        <f>SUM(T2418:T2422)</f>
        <v>28859253</v>
      </c>
      <c r="U2417" s="3664">
        <f>V2417/P2417*100</f>
        <v>0.38017475710131071</v>
      </c>
      <c r="V2417" s="3662">
        <f>SUM(V2418:V2422)</f>
        <v>198125</v>
      </c>
      <c r="W2417" s="3661"/>
      <c r="X2417" s="3661"/>
      <c r="Y2417" s="3836">
        <f>Q2417+S2417+U2417+W2417</f>
        <v>5.3801747571013108</v>
      </c>
      <c r="Z2417" s="3662">
        <f>SUM(Z2418:Z2422)</f>
        <v>35891353</v>
      </c>
      <c r="AA2417" s="3836">
        <f>M2417+Y2417</f>
        <v>37.380174757101308</v>
      </c>
      <c r="AB2417" s="3662">
        <f>SUM(AB2418:AB2422)</f>
        <v>194338003</v>
      </c>
      <c r="AC2417" s="3664">
        <f>(AA2417/K2417)*100</f>
        <v>37.380174757101308</v>
      </c>
      <c r="AD2417" s="3664">
        <f t="shared" si="1032"/>
        <v>38.090973343426164</v>
      </c>
      <c r="AE2417" s="3661" t="s">
        <v>4517</v>
      </c>
    </row>
    <row r="2418" spans="1:76" s="6" customFormat="1" ht="63" customHeight="1">
      <c r="A2418" s="3803"/>
      <c r="B2418" s="3678"/>
      <c r="C2418" s="36">
        <v>5</v>
      </c>
      <c r="D2418" s="36" t="s">
        <v>107</v>
      </c>
      <c r="E2418" s="36" t="s">
        <v>66</v>
      </c>
      <c r="F2418" s="36" t="s">
        <v>155</v>
      </c>
      <c r="G2418" s="36" t="s">
        <v>1099</v>
      </c>
      <c r="H2418" s="3804" t="s">
        <v>66</v>
      </c>
      <c r="I2418" s="3690" t="s">
        <v>4285</v>
      </c>
      <c r="J2418" s="3690" t="s">
        <v>4389</v>
      </c>
      <c r="K2418" s="3805">
        <v>60</v>
      </c>
      <c r="L2418" s="3691">
        <v>224265159</v>
      </c>
      <c r="M2418" s="3804">
        <v>20</v>
      </c>
      <c r="N2418" s="3806">
        <f>39286100+53909300</f>
        <v>93195400</v>
      </c>
      <c r="O2418" s="3805">
        <v>10</v>
      </c>
      <c r="P2418" s="3807">
        <v>19840000</v>
      </c>
      <c r="Q2418" s="3804">
        <v>1</v>
      </c>
      <c r="R2418" s="3691">
        <v>4958975</v>
      </c>
      <c r="S2418" s="3805">
        <v>2</v>
      </c>
      <c r="T2418" s="3691">
        <v>4958975</v>
      </c>
      <c r="U2418" s="3805">
        <v>2</v>
      </c>
      <c r="V2418" s="3691">
        <v>4958975</v>
      </c>
      <c r="W2418" s="3803"/>
      <c r="X2418" s="3803"/>
      <c r="Y2418" s="3679">
        <f>Q2418+S2418+U2418+W2418</f>
        <v>5</v>
      </c>
      <c r="Z2418" s="3691">
        <f t="shared" ref="Z2418:Z2422" si="1034">R2418+T2418+V2418+X2418</f>
        <v>14876925</v>
      </c>
      <c r="AA2418" s="3679">
        <f t="shared" ref="AA2418:AA2422" si="1035">M2418+Y2418</f>
        <v>25</v>
      </c>
      <c r="AB2418" s="3691">
        <f t="shared" ref="AB2418:AB2422" si="1036">N2418+Z2418</f>
        <v>108072325</v>
      </c>
      <c r="AC2418" s="3684">
        <f t="shared" ref="AC2418:AC2422" si="1037">(AA2418/K2418)*100</f>
        <v>41.666666666666671</v>
      </c>
      <c r="AD2418" s="3684">
        <f t="shared" si="1032"/>
        <v>48.189529520276487</v>
      </c>
      <c r="AE2418" s="3803" t="s">
        <v>4517</v>
      </c>
    </row>
    <row r="2419" spans="1:76" s="6" customFormat="1" ht="75">
      <c r="A2419" s="3803"/>
      <c r="B2419" s="3678"/>
      <c r="C2419" s="36">
        <v>5</v>
      </c>
      <c r="D2419" s="36" t="s">
        <v>107</v>
      </c>
      <c r="E2419" s="36" t="s">
        <v>66</v>
      </c>
      <c r="F2419" s="36" t="s">
        <v>155</v>
      </c>
      <c r="G2419" s="36" t="s">
        <v>1099</v>
      </c>
      <c r="H2419" s="3804" t="s">
        <v>65</v>
      </c>
      <c r="I2419" s="3690" t="s">
        <v>4390</v>
      </c>
      <c r="J2419" s="3690" t="s">
        <v>4391</v>
      </c>
      <c r="K2419" s="3805">
        <v>6</v>
      </c>
      <c r="L2419" s="3831">
        <v>20003563</v>
      </c>
      <c r="M2419" s="3804">
        <v>2</v>
      </c>
      <c r="N2419" s="3806">
        <f>5362600+3050450</f>
        <v>8413050</v>
      </c>
      <c r="O2419" s="3805">
        <v>1</v>
      </c>
      <c r="P2419" s="3807">
        <v>7975000</v>
      </c>
      <c r="Q2419" s="3823">
        <v>0</v>
      </c>
      <c r="R2419" s="3691">
        <v>0</v>
      </c>
      <c r="S2419" s="3824">
        <v>1</v>
      </c>
      <c r="T2419" s="3691">
        <v>7500000</v>
      </c>
      <c r="U2419" s="3805">
        <v>0</v>
      </c>
      <c r="V2419" s="3803">
        <v>0</v>
      </c>
      <c r="W2419" s="3803"/>
      <c r="X2419" s="3803"/>
      <c r="Y2419" s="3679">
        <f t="shared" ref="Y2419:Y2421" si="1038">Q2419+S2419+U2419+W2419</f>
        <v>1</v>
      </c>
      <c r="Z2419" s="3691">
        <f t="shared" si="1034"/>
        <v>7500000</v>
      </c>
      <c r="AA2419" s="3679">
        <f t="shared" si="1035"/>
        <v>3</v>
      </c>
      <c r="AB2419" s="3691">
        <f t="shared" si="1036"/>
        <v>15913050</v>
      </c>
      <c r="AC2419" s="3684">
        <f t="shared" si="1037"/>
        <v>50</v>
      </c>
      <c r="AD2419" s="3684">
        <f t="shared" si="1032"/>
        <v>79.551077975458668</v>
      </c>
      <c r="AE2419" s="3803" t="s">
        <v>4517</v>
      </c>
    </row>
    <row r="2420" spans="1:76" s="6" customFormat="1" ht="105">
      <c r="A2420" s="3803"/>
      <c r="B2420" s="3678"/>
      <c r="C2420" s="36">
        <v>5</v>
      </c>
      <c r="D2420" s="36" t="s">
        <v>107</v>
      </c>
      <c r="E2420" s="36" t="s">
        <v>66</v>
      </c>
      <c r="F2420" s="36" t="s">
        <v>155</v>
      </c>
      <c r="G2420" s="36" t="s">
        <v>1099</v>
      </c>
      <c r="H2420" s="3804" t="s">
        <v>196</v>
      </c>
      <c r="I2420" s="3690" t="s">
        <v>4392</v>
      </c>
      <c r="J2420" s="3690" t="s">
        <v>4393</v>
      </c>
      <c r="K2420" s="3805">
        <v>6</v>
      </c>
      <c r="L2420" s="3691">
        <v>52402670</v>
      </c>
      <c r="M2420" s="3804">
        <v>2</v>
      </c>
      <c r="N2420" s="3806">
        <f>6505500+9884600</f>
        <v>16390100</v>
      </c>
      <c r="O2420" s="3805">
        <v>1</v>
      </c>
      <c r="P2420" s="3807">
        <v>14248635.25</v>
      </c>
      <c r="Q2420" s="3804">
        <v>1</v>
      </c>
      <c r="R2420" s="3691">
        <v>0</v>
      </c>
      <c r="S2420" s="3824">
        <v>0</v>
      </c>
      <c r="T2420" s="3807">
        <v>13250000</v>
      </c>
      <c r="U2420" s="3805">
        <v>0</v>
      </c>
      <c r="V2420" s="3807">
        <f>6614150-T2420-R2420</f>
        <v>-6635850</v>
      </c>
      <c r="W2420" s="3803"/>
      <c r="X2420" s="3803"/>
      <c r="Y2420" s="3679">
        <f t="shared" si="1038"/>
        <v>1</v>
      </c>
      <c r="Z2420" s="3691">
        <f t="shared" si="1034"/>
        <v>6614150</v>
      </c>
      <c r="AA2420" s="3679">
        <f t="shared" si="1035"/>
        <v>3</v>
      </c>
      <c r="AB2420" s="3691">
        <f t="shared" si="1036"/>
        <v>23004250</v>
      </c>
      <c r="AC2420" s="3684">
        <f t="shared" si="1037"/>
        <v>50</v>
      </c>
      <c r="AD2420" s="3684">
        <f t="shared" si="1032"/>
        <v>43.899003619472062</v>
      </c>
      <c r="AE2420" s="3803" t="s">
        <v>4517</v>
      </c>
    </row>
    <row r="2421" spans="1:76" s="6" customFormat="1" ht="90">
      <c r="A2421" s="3803"/>
      <c r="B2421" s="3678"/>
      <c r="C2421" s="36">
        <v>5</v>
      </c>
      <c r="D2421" s="36" t="s">
        <v>107</v>
      </c>
      <c r="E2421" s="36" t="s">
        <v>66</v>
      </c>
      <c r="F2421" s="36" t="s">
        <v>155</v>
      </c>
      <c r="G2421" s="36" t="s">
        <v>1099</v>
      </c>
      <c r="H2421" s="3804" t="s">
        <v>161</v>
      </c>
      <c r="I2421" s="3690" t="s">
        <v>4394</v>
      </c>
      <c r="J2421" s="3690" t="s">
        <v>4395</v>
      </c>
      <c r="K2421" s="3805">
        <v>72</v>
      </c>
      <c r="L2421" s="3691">
        <v>38314412</v>
      </c>
      <c r="M2421" s="3804">
        <v>24</v>
      </c>
      <c r="N2421" s="3806">
        <f>6992000+6261100</f>
        <v>13253100</v>
      </c>
      <c r="O2421" s="3805">
        <v>12</v>
      </c>
      <c r="P2421" s="3807">
        <v>7500000</v>
      </c>
      <c r="Q2421" s="3804">
        <v>3</v>
      </c>
      <c r="R2421" s="3691">
        <v>1875000</v>
      </c>
      <c r="S2421" s="3824">
        <v>0</v>
      </c>
      <c r="T2421" s="3691">
        <v>1875000</v>
      </c>
      <c r="U2421" s="3805">
        <v>4</v>
      </c>
      <c r="V2421" s="3691">
        <v>1875000</v>
      </c>
      <c r="W2421" s="3803"/>
      <c r="X2421" s="3803"/>
      <c r="Y2421" s="3679">
        <f t="shared" si="1038"/>
        <v>7</v>
      </c>
      <c r="Z2421" s="3691">
        <f t="shared" si="1034"/>
        <v>5625000</v>
      </c>
      <c r="AA2421" s="3679">
        <f t="shared" si="1035"/>
        <v>31</v>
      </c>
      <c r="AB2421" s="3691">
        <f t="shared" si="1036"/>
        <v>18878100</v>
      </c>
      <c r="AC2421" s="3684">
        <f t="shared" si="1037"/>
        <v>43.055555555555557</v>
      </c>
      <c r="AD2421" s="3684">
        <f t="shared" si="1032"/>
        <v>49.271537822373475</v>
      </c>
      <c r="AE2421" s="3803" t="s">
        <v>4517</v>
      </c>
    </row>
    <row r="2422" spans="1:76" s="6" customFormat="1" ht="75">
      <c r="A2422" s="3803"/>
      <c r="B2422" s="3678"/>
      <c r="C2422" s="36">
        <v>5</v>
      </c>
      <c r="D2422" s="36" t="s">
        <v>107</v>
      </c>
      <c r="E2422" s="36" t="s">
        <v>66</v>
      </c>
      <c r="F2422" s="36" t="s">
        <v>155</v>
      </c>
      <c r="G2422" s="36" t="s">
        <v>1099</v>
      </c>
      <c r="H2422" s="3804" t="s">
        <v>197</v>
      </c>
      <c r="I2422" s="3690" t="s">
        <v>4293</v>
      </c>
      <c r="J2422" s="3690" t="s">
        <v>4396</v>
      </c>
      <c r="K2422" s="3805">
        <v>150</v>
      </c>
      <c r="L2422" s="3691">
        <v>175208570</v>
      </c>
      <c r="M2422" s="3804">
        <v>50</v>
      </c>
      <c r="N2422" s="3806">
        <f>9200000+17995000</f>
        <v>27195000</v>
      </c>
      <c r="O2422" s="3805">
        <v>6</v>
      </c>
      <c r="P2422" s="3807">
        <v>2550556</v>
      </c>
      <c r="Q2422" s="3804">
        <v>0</v>
      </c>
      <c r="R2422" s="3691">
        <v>0</v>
      </c>
      <c r="S2422" s="3824">
        <v>1</v>
      </c>
      <c r="T2422" s="3691">
        <v>1275278</v>
      </c>
      <c r="U2422" s="3805">
        <v>2</v>
      </c>
      <c r="V2422" s="3807">
        <v>0</v>
      </c>
      <c r="W2422" s="3803"/>
      <c r="X2422" s="3803"/>
      <c r="Y2422" s="3679">
        <f>Q2422+S2422+U2422+W2422</f>
        <v>3</v>
      </c>
      <c r="Z2422" s="3691">
        <f t="shared" si="1034"/>
        <v>1275278</v>
      </c>
      <c r="AA2422" s="3679">
        <f t="shared" si="1035"/>
        <v>53</v>
      </c>
      <c r="AB2422" s="3691">
        <f t="shared" si="1036"/>
        <v>28470278</v>
      </c>
      <c r="AC2422" s="3684">
        <f t="shared" si="1037"/>
        <v>35.333333333333336</v>
      </c>
      <c r="AD2422" s="3684">
        <f t="shared" si="1032"/>
        <v>16.249363829634589</v>
      </c>
      <c r="AE2422" s="3803" t="s">
        <v>4517</v>
      </c>
    </row>
    <row r="2423" spans="1:76" s="6" customFormat="1" ht="82.5">
      <c r="A2423" s="3838">
        <v>9</v>
      </c>
      <c r="B2423" s="3838"/>
      <c r="C2423" s="3839">
        <v>5</v>
      </c>
      <c r="D2423" s="3839" t="s">
        <v>107</v>
      </c>
      <c r="E2423" s="3839" t="s">
        <v>66</v>
      </c>
      <c r="F2423" s="3839" t="s">
        <v>155</v>
      </c>
      <c r="G2423" s="3839" t="s">
        <v>293</v>
      </c>
      <c r="H2423" s="3838"/>
      <c r="I2423" s="3660" t="s">
        <v>4525</v>
      </c>
      <c r="J2423" s="3660" t="s">
        <v>4526</v>
      </c>
      <c r="K2423" s="3657">
        <v>10</v>
      </c>
      <c r="L2423" s="3662">
        <f>SUM(L2424)</f>
        <v>82379400</v>
      </c>
      <c r="M2423" s="3657">
        <v>0</v>
      </c>
      <c r="N2423" s="3662">
        <f>SUM(N2424)</f>
        <v>0</v>
      </c>
      <c r="O2423" s="3657">
        <v>2</v>
      </c>
      <c r="P2423" s="3662">
        <f>SUM(P2424)</f>
        <v>13729900</v>
      </c>
      <c r="Q2423" s="3657">
        <v>0</v>
      </c>
      <c r="R2423" s="3662">
        <f>SUM(R2424)</f>
        <v>0</v>
      </c>
      <c r="S2423" s="3657">
        <v>0</v>
      </c>
      <c r="T2423" s="3663">
        <f>SUM(T2424)</f>
        <v>500000</v>
      </c>
      <c r="U2423" s="3664">
        <f>V2423/P2423*100</f>
        <v>13.182907377329769</v>
      </c>
      <c r="V2423" s="3663">
        <f>SUM(V2424)</f>
        <v>1810000</v>
      </c>
      <c r="W2423" s="3661"/>
      <c r="X2423" s="3661"/>
      <c r="Y2423" s="3836">
        <f>Q2423+S2423+U2423+W2423</f>
        <v>13.182907377329769</v>
      </c>
      <c r="Z2423" s="3662">
        <f>SUM(Z2424)</f>
        <v>2310000</v>
      </c>
      <c r="AA2423" s="3836">
        <f>M2423+Y2423</f>
        <v>13.182907377329769</v>
      </c>
      <c r="AB2423" s="3662">
        <f>SUM(AB2424)</f>
        <v>2310000</v>
      </c>
      <c r="AC2423" s="3664">
        <f>(AA2423/K2423)*100</f>
        <v>131.82907377329769</v>
      </c>
      <c r="AD2423" s="3664">
        <f t="shared" si="1032"/>
        <v>2.8040990830231829</v>
      </c>
      <c r="AE2423" s="3661" t="s">
        <v>4517</v>
      </c>
    </row>
    <row r="2424" spans="1:76" s="6" customFormat="1" ht="135">
      <c r="A2424" s="8"/>
      <c r="B2424" s="3833"/>
      <c r="C2424" s="36">
        <v>5</v>
      </c>
      <c r="D2424" s="36" t="s">
        <v>107</v>
      </c>
      <c r="E2424" s="36" t="s">
        <v>66</v>
      </c>
      <c r="F2424" s="36" t="s">
        <v>155</v>
      </c>
      <c r="G2424" s="36" t="s">
        <v>293</v>
      </c>
      <c r="H2424" s="35" t="s">
        <v>196</v>
      </c>
      <c r="I2424" s="10" t="s">
        <v>4527</v>
      </c>
      <c r="J2424" s="10" t="s">
        <v>4528</v>
      </c>
      <c r="K2424" s="3834">
        <v>10</v>
      </c>
      <c r="L2424" s="11">
        <f>6*13729900</f>
        <v>82379400</v>
      </c>
      <c r="M2424" s="35">
        <v>0</v>
      </c>
      <c r="N2424" s="9">
        <v>0</v>
      </c>
      <c r="O2424" s="3834">
        <v>2</v>
      </c>
      <c r="P2424" s="12">
        <v>13729900</v>
      </c>
      <c r="Q2424" s="35">
        <v>0</v>
      </c>
      <c r="R2424" s="11">
        <v>0</v>
      </c>
      <c r="S2424" s="3834">
        <v>0</v>
      </c>
      <c r="T2424" s="11">
        <v>500000</v>
      </c>
      <c r="U2424" s="8">
        <v>1</v>
      </c>
      <c r="V2424" s="12">
        <f>2310000-T2424-R2424</f>
        <v>1810000</v>
      </c>
      <c r="W2424" s="8"/>
      <c r="X2424" s="8"/>
      <c r="Y2424" s="3834">
        <f>Q2424+S2424+U2424+W2424</f>
        <v>1</v>
      </c>
      <c r="Z2424" s="3691">
        <f t="shared" ref="Z2424" si="1039">R2424+T2424+V2424+X2424</f>
        <v>2310000</v>
      </c>
      <c r="AA2424" s="3834">
        <f>M2424+Y2424</f>
        <v>1</v>
      </c>
      <c r="AB2424" s="3691">
        <f t="shared" ref="AB2424" si="1040">N2424+Z2424</f>
        <v>2310000</v>
      </c>
      <c r="AC2424" s="13">
        <f>(AA2424/K2424)*100</f>
        <v>10</v>
      </c>
      <c r="AD2424" s="14">
        <f t="shared" si="1032"/>
        <v>2.8040990830231829</v>
      </c>
      <c r="AE2424" s="8" t="s">
        <v>4517</v>
      </c>
    </row>
    <row r="2425" spans="1:76" customFormat="1" ht="21" customHeight="1">
      <c r="A2425" s="4264" t="s">
        <v>89</v>
      </c>
      <c r="B2425" s="4264"/>
      <c r="C2425" s="4265"/>
      <c r="D2425" s="4265"/>
      <c r="E2425" s="4265"/>
      <c r="F2425" s="4265"/>
      <c r="G2425" s="4265"/>
      <c r="H2425" s="4265"/>
      <c r="I2425" s="4265"/>
      <c r="J2425" s="4265"/>
      <c r="K2425" s="4265"/>
      <c r="L2425" s="4265"/>
      <c r="M2425" s="4265"/>
      <c r="N2425" s="4265"/>
      <c r="O2425" s="4265"/>
      <c r="P2425" s="4265"/>
      <c r="Q2425" s="4265"/>
      <c r="R2425" s="4265"/>
      <c r="S2425" s="4265"/>
      <c r="T2425" s="4265"/>
      <c r="U2425" s="4265"/>
      <c r="V2425" s="4265"/>
      <c r="W2425" s="4265"/>
      <c r="X2425" s="4265"/>
      <c r="Y2425" s="4265"/>
      <c r="Z2425" s="4265"/>
      <c r="AA2425" s="4265"/>
      <c r="AB2425" s="4265"/>
      <c r="AC2425" s="3784">
        <f>(AC2386+AC2398+AC2406+AC2408+AC2410+AC2412+AC2415+AC2417+AC2423+AC2403)/10</f>
        <v>70.472551744717023</v>
      </c>
      <c r="AD2425" s="3784">
        <f>(AD2386+AD2398+AD2406+AD2408+AD2410+AD2412+AD2415+AD2417+AD2423+AD2403)/10</f>
        <v>55.714821287216225</v>
      </c>
      <c r="AE2425" s="2116"/>
    </row>
    <row r="2426" spans="1:76" customFormat="1" ht="21" customHeight="1">
      <c r="A2426" s="4264" t="s">
        <v>90</v>
      </c>
      <c r="B2426" s="4264"/>
      <c r="C2426" s="4265"/>
      <c r="D2426" s="4265"/>
      <c r="E2426" s="4265"/>
      <c r="F2426" s="4265"/>
      <c r="G2426" s="4265"/>
      <c r="H2426" s="4265"/>
      <c r="I2426" s="4265"/>
      <c r="J2426" s="4265"/>
      <c r="K2426" s="4265"/>
      <c r="L2426" s="4265"/>
      <c r="M2426" s="4265"/>
      <c r="N2426" s="4265"/>
      <c r="O2426" s="4265"/>
      <c r="P2426" s="4265"/>
      <c r="Q2426" s="4265"/>
      <c r="R2426" s="4265"/>
      <c r="S2426" s="4265"/>
      <c r="T2426" s="4265"/>
      <c r="U2426" s="4265"/>
      <c r="V2426" s="4265"/>
      <c r="W2426" s="4265"/>
      <c r="X2426" s="4265"/>
      <c r="Y2426" s="4265"/>
      <c r="Z2426" s="4265"/>
      <c r="AA2426" s="4265"/>
      <c r="AB2426" s="4265"/>
      <c r="AC2426" s="3689" t="str">
        <f>IF(AC2425&gt;=91,"ST",IF(AC2425&gt;=76,"T",IF(AC2425&gt;=66,"S",IF(AC2425&gt;=51,"R","SR"))))</f>
        <v>S</v>
      </c>
      <c r="AD2426" s="3689" t="str">
        <f>IF(AD2425&gt;=91,"ST",IF(AD2425&gt;=76,"T",IF(AD2425&gt;=66,"S",IF(AD2425&gt;=51,"R","SR"))))</f>
        <v>R</v>
      </c>
      <c r="AE2426" s="2116"/>
    </row>
    <row r="2427" spans="1:76" s="55" customFormat="1" ht="25.5" customHeight="1">
      <c r="A2427" s="2546" t="s">
        <v>3383</v>
      </c>
      <c r="B2427" s="2918"/>
      <c r="C2427" s="2546"/>
      <c r="D2427" s="2546"/>
      <c r="E2427" s="2546"/>
      <c r="F2427" s="2546"/>
      <c r="G2427" s="2546"/>
      <c r="H2427" s="2546"/>
      <c r="I2427" s="2515" t="s">
        <v>1036</v>
      </c>
      <c r="J2427" s="2918"/>
      <c r="K2427" s="2918"/>
      <c r="L2427" s="3238">
        <f>L2428+L2442+L2448+L2450+L2452+L2454+L2456+L2460+L2468</f>
        <v>2962582702</v>
      </c>
      <c r="M2427" s="2918"/>
      <c r="N2427" s="2916">
        <f>N2428+N2442+N2448+N2450+N2452+N2454+N2456+N2460+N2468</f>
        <v>998382894</v>
      </c>
      <c r="O2427" s="2918"/>
      <c r="P2427" s="2916">
        <f>P2428+P2442+P2448+P2450+P2452+P2454+P2456+P2460+P2468</f>
        <v>555650645</v>
      </c>
      <c r="Q2427" s="2918"/>
      <c r="R2427" s="2916">
        <f>R2428+R2442+R2448+R2450+R2452+R2454+R2456+R2460+R2468</f>
        <v>90447750</v>
      </c>
      <c r="S2427" s="2918"/>
      <c r="T2427" s="2916">
        <f>T2428+T2442+T2448+T2450+T2452+T2454+T2456+T2460+T2468</f>
        <v>165292850</v>
      </c>
      <c r="U2427" s="2918"/>
      <c r="V2427" s="2916">
        <f>V2428+V2442+V2448+V2450+V2452+V2454+V2456+V2460+V2468</f>
        <v>92128700</v>
      </c>
      <c r="W2427" s="2918"/>
      <c r="X2427" s="2918"/>
      <c r="Y2427" s="2546">
        <f>Q2427+S2427+U2427+W2427</f>
        <v>0</v>
      </c>
      <c r="Z2427" s="2916">
        <f>Z2428+Z2442+Z2448+Z2450+Z2452+Z2454+Z2456+Z2460+Z2468</f>
        <v>347869300</v>
      </c>
      <c r="AA2427" s="2918"/>
      <c r="AB2427" s="2916">
        <f>AB2428+AB2442+AB2448+AB2450+AB2452+AB2454+AB2456+AB2460+AB2468</f>
        <v>1346252194</v>
      </c>
      <c r="AC2427" s="2918"/>
      <c r="AD2427" s="2918"/>
      <c r="AE2427" s="3211"/>
      <c r="AF2427" s="145"/>
      <c r="AG2427" s="145"/>
      <c r="AH2427" s="145"/>
      <c r="AI2427" s="145"/>
      <c r="AJ2427" s="145"/>
      <c r="AK2427" s="145"/>
      <c r="AL2427" s="145"/>
      <c r="AM2427" s="145"/>
      <c r="AN2427" s="145"/>
      <c r="AO2427" s="145"/>
      <c r="AP2427" s="145"/>
      <c r="AQ2427" s="145"/>
      <c r="AR2427" s="145"/>
      <c r="AS2427" s="145"/>
      <c r="AT2427" s="145"/>
      <c r="AU2427" s="145"/>
      <c r="AV2427" s="145"/>
      <c r="AW2427" s="145"/>
      <c r="AX2427" s="145"/>
      <c r="AY2427" s="145"/>
      <c r="AZ2427" s="145"/>
      <c r="BA2427" s="145"/>
      <c r="BB2427" s="145"/>
      <c r="BC2427" s="145"/>
      <c r="BD2427" s="145"/>
      <c r="BE2427" s="145"/>
      <c r="BF2427" s="145"/>
      <c r="BG2427" s="145"/>
      <c r="BH2427" s="145"/>
      <c r="BI2427" s="145"/>
      <c r="BJ2427" s="145"/>
      <c r="BK2427" s="145"/>
      <c r="BL2427" s="145"/>
      <c r="BM2427" s="145"/>
      <c r="BN2427" s="145"/>
      <c r="BO2427" s="145"/>
      <c r="BP2427" s="145"/>
      <c r="BQ2427" s="145"/>
      <c r="BR2427" s="145"/>
      <c r="BS2427" s="145"/>
      <c r="BT2427" s="145"/>
      <c r="BU2427" s="145"/>
      <c r="BV2427" s="145"/>
      <c r="BW2427" s="145"/>
      <c r="BX2427" s="145"/>
    </row>
    <row r="2428" spans="1:76" s="3802" customFormat="1" ht="92.25" customHeight="1">
      <c r="A2428" s="3657">
        <v>1</v>
      </c>
      <c r="B2428" s="3835"/>
      <c r="C2428" s="3659">
        <v>5</v>
      </c>
      <c r="D2428" s="3659" t="s">
        <v>107</v>
      </c>
      <c r="E2428" s="3659" t="s">
        <v>66</v>
      </c>
      <c r="F2428" s="3659" t="s">
        <v>155</v>
      </c>
      <c r="G2428" s="3659" t="s">
        <v>66</v>
      </c>
      <c r="H2428" s="3657"/>
      <c r="I2428" s="3660" t="s">
        <v>4326</v>
      </c>
      <c r="J2428" s="3660" t="s">
        <v>4529</v>
      </c>
      <c r="K2428" s="3657">
        <v>72</v>
      </c>
      <c r="L2428" s="3662">
        <f>SUM(L2429:L2441)</f>
        <v>1260089002</v>
      </c>
      <c r="M2428" s="3657">
        <v>24</v>
      </c>
      <c r="N2428" s="3662">
        <f>SUM(N2429:N2441)</f>
        <v>477360794</v>
      </c>
      <c r="O2428" s="3657">
        <v>12</v>
      </c>
      <c r="P2428" s="3662">
        <f>SUM(P2429:P2441)</f>
        <v>226666100</v>
      </c>
      <c r="Q2428" s="3657">
        <v>3</v>
      </c>
      <c r="R2428" s="3662">
        <f>SUM(R2429:R2441)</f>
        <v>57476900</v>
      </c>
      <c r="S2428" s="3657">
        <v>3</v>
      </c>
      <c r="T2428" s="3662">
        <f>SUM(T2429:T2441)</f>
        <v>83056100</v>
      </c>
      <c r="U2428" s="3657">
        <v>3</v>
      </c>
      <c r="V2428" s="3662">
        <f>SUM(V2429:V2441)</f>
        <v>46050600</v>
      </c>
      <c r="W2428" s="3661"/>
      <c r="X2428" s="3661"/>
      <c r="Y2428" s="3836">
        <f>Q2428+S2428+U2428+W2428</f>
        <v>9</v>
      </c>
      <c r="Z2428" s="3662">
        <f>SUM(Z2429:Z2441)</f>
        <v>186583600</v>
      </c>
      <c r="AA2428" s="3836">
        <f>M2428+Y2428</f>
        <v>33</v>
      </c>
      <c r="AB2428" s="3662">
        <f>SUM(AB2429:AB2441)</f>
        <v>663944394</v>
      </c>
      <c r="AC2428" s="3664">
        <f>(AA2428/K2428)*100</f>
        <v>45.833333333333329</v>
      </c>
      <c r="AD2428" s="3664">
        <f>AB2428/L2428*100</f>
        <v>52.690277666592955</v>
      </c>
      <c r="AE2428" s="3661" t="s">
        <v>4517</v>
      </c>
    </row>
    <row r="2429" spans="1:76" s="2117" customFormat="1" ht="81.75" customHeight="1">
      <c r="A2429" s="3803"/>
      <c r="B2429" s="3678"/>
      <c r="C2429" s="36">
        <v>5</v>
      </c>
      <c r="D2429" s="36" t="s">
        <v>107</v>
      </c>
      <c r="E2429" s="36" t="s">
        <v>66</v>
      </c>
      <c r="F2429" s="36" t="s">
        <v>155</v>
      </c>
      <c r="G2429" s="36" t="s">
        <v>66</v>
      </c>
      <c r="H2429" s="3804" t="s">
        <v>65</v>
      </c>
      <c r="I2429" s="3690" t="s">
        <v>4330</v>
      </c>
      <c r="J2429" s="3690" t="s">
        <v>4331</v>
      </c>
      <c r="K2429" s="3805">
        <v>72</v>
      </c>
      <c r="L2429" s="3691">
        <v>50769000</v>
      </c>
      <c r="M2429" s="3804">
        <v>24</v>
      </c>
      <c r="N2429" s="3806">
        <f>9000000+5188500</f>
        <v>14188500</v>
      </c>
      <c r="O2429" s="3805">
        <v>12</v>
      </c>
      <c r="P2429" s="3807">
        <v>3000000</v>
      </c>
      <c r="Q2429" s="3804">
        <v>3</v>
      </c>
      <c r="R2429" s="3691">
        <v>307500</v>
      </c>
      <c r="S2429" s="3805">
        <v>3</v>
      </c>
      <c r="T2429" s="3691">
        <f>1127500-R2429</f>
        <v>820000</v>
      </c>
      <c r="U2429" s="3805">
        <v>3</v>
      </c>
      <c r="V2429" s="3807">
        <f>1537500-T2429-R2429</f>
        <v>410000</v>
      </c>
      <c r="W2429" s="3803"/>
      <c r="X2429" s="3803"/>
      <c r="Y2429" s="3679">
        <f t="shared" ref="Y2429:Z2440" si="1041">Q2429+S2429+U2429+W2429</f>
        <v>9</v>
      </c>
      <c r="Z2429" s="3691">
        <f>R2429+T2429+V2429+X2429</f>
        <v>1537500</v>
      </c>
      <c r="AA2429" s="3679">
        <f t="shared" ref="AA2429:AB2441" si="1042">M2429+Y2429</f>
        <v>33</v>
      </c>
      <c r="AB2429" s="3691">
        <f t="shared" si="1042"/>
        <v>15726000</v>
      </c>
      <c r="AC2429" s="3684">
        <f>(AA2429/K2429)*100</f>
        <v>45.833333333333329</v>
      </c>
      <c r="AD2429" s="3684">
        <f t="shared" ref="AD2429:AD2441" si="1043">AB2429/L2429*100</f>
        <v>30.975595343615197</v>
      </c>
      <c r="AE2429" s="3803" t="s">
        <v>4517</v>
      </c>
    </row>
    <row r="2430" spans="1:76" s="2117" customFormat="1" ht="105">
      <c r="A2430" s="3803"/>
      <c r="B2430" s="3678"/>
      <c r="C2430" s="36">
        <v>5</v>
      </c>
      <c r="D2430" s="36" t="s">
        <v>107</v>
      </c>
      <c r="E2430" s="36" t="s">
        <v>66</v>
      </c>
      <c r="F2430" s="36" t="s">
        <v>155</v>
      </c>
      <c r="G2430" s="36" t="s">
        <v>66</v>
      </c>
      <c r="H2430" s="3804" t="s">
        <v>198</v>
      </c>
      <c r="I2430" s="3690" t="s">
        <v>4332</v>
      </c>
      <c r="J2430" s="3690" t="s">
        <v>4333</v>
      </c>
      <c r="K2430" s="3805">
        <v>72</v>
      </c>
      <c r="L2430" s="3691">
        <v>199260600</v>
      </c>
      <c r="M2430" s="3804">
        <v>24</v>
      </c>
      <c r="N2430" s="3806">
        <f>29350000+39600000</f>
        <v>68950000</v>
      </c>
      <c r="O2430" s="3805">
        <v>12</v>
      </c>
      <c r="P2430" s="3807">
        <v>54000000</v>
      </c>
      <c r="Q2430" s="3804">
        <v>3</v>
      </c>
      <c r="R2430" s="3691">
        <v>10300000</v>
      </c>
      <c r="S2430" s="3805">
        <v>3</v>
      </c>
      <c r="T2430" s="3691">
        <f>30900000-R2430</f>
        <v>20600000</v>
      </c>
      <c r="U2430" s="3805">
        <v>3</v>
      </c>
      <c r="V2430" s="3807">
        <f>41200000-T2430-R2430</f>
        <v>10300000</v>
      </c>
      <c r="W2430" s="3803"/>
      <c r="X2430" s="3803"/>
      <c r="Y2430" s="3679">
        <f t="shared" si="1041"/>
        <v>9</v>
      </c>
      <c r="Z2430" s="3691">
        <f t="shared" si="1041"/>
        <v>41200000</v>
      </c>
      <c r="AA2430" s="3679">
        <f t="shared" si="1042"/>
        <v>33</v>
      </c>
      <c r="AB2430" s="3691">
        <f t="shared" si="1042"/>
        <v>110150000</v>
      </c>
      <c r="AC2430" s="3684">
        <f t="shared" ref="AC2430:AC2440" si="1044">(AA2430/K2430)*100</f>
        <v>45.833333333333329</v>
      </c>
      <c r="AD2430" s="3684">
        <f t="shared" si="1043"/>
        <v>55.279367822841039</v>
      </c>
      <c r="AE2430" s="3803" t="s">
        <v>4517</v>
      </c>
    </row>
    <row r="2431" spans="1:76" s="2117" customFormat="1" ht="66.75" customHeight="1">
      <c r="A2431" s="2116"/>
      <c r="B2431" s="3678"/>
      <c r="C2431" s="36">
        <v>5</v>
      </c>
      <c r="D2431" s="36" t="s">
        <v>107</v>
      </c>
      <c r="E2431" s="36" t="s">
        <v>66</v>
      </c>
      <c r="F2431" s="36" t="s">
        <v>155</v>
      </c>
      <c r="G2431" s="36" t="s">
        <v>66</v>
      </c>
      <c r="H2431" s="36" t="s">
        <v>93</v>
      </c>
      <c r="I2431" s="3680" t="s">
        <v>876</v>
      </c>
      <c r="J2431" s="3680" t="s">
        <v>4334</v>
      </c>
      <c r="K2431" s="36">
        <v>72</v>
      </c>
      <c r="L2431" s="3682">
        <v>202547836</v>
      </c>
      <c r="M2431" s="36">
        <v>24</v>
      </c>
      <c r="N2431" s="3808">
        <f>28767600+37875600</f>
        <v>66643200</v>
      </c>
      <c r="O2431" s="3679">
        <v>12</v>
      </c>
      <c r="P2431" s="3683">
        <v>37510100</v>
      </c>
      <c r="Q2431" s="36">
        <v>3</v>
      </c>
      <c r="R2431" s="3682">
        <v>6250000</v>
      </c>
      <c r="S2431" s="3679">
        <v>3</v>
      </c>
      <c r="T2431" s="3682">
        <f>21900000-R2431</f>
        <v>15650000</v>
      </c>
      <c r="U2431" s="3679">
        <v>3</v>
      </c>
      <c r="V2431" s="3683">
        <f>27900000-T2431-R2431</f>
        <v>6000000</v>
      </c>
      <c r="W2431" s="2116"/>
      <c r="X2431" s="2116"/>
      <c r="Y2431" s="3679">
        <f>Q2431+S2431+U2431+W2431</f>
        <v>9</v>
      </c>
      <c r="Z2431" s="3682">
        <f t="shared" si="1041"/>
        <v>27900000</v>
      </c>
      <c r="AA2431" s="3679">
        <f t="shared" si="1042"/>
        <v>33</v>
      </c>
      <c r="AB2431" s="3682">
        <f t="shared" si="1042"/>
        <v>94543200</v>
      </c>
      <c r="AC2431" s="3684">
        <f>(AA2431/K2431)*100</f>
        <v>45.833333333333329</v>
      </c>
      <c r="AD2431" s="3684">
        <f t="shared" si="1043"/>
        <v>46.676973631058686</v>
      </c>
      <c r="AE2431" s="2116" t="s">
        <v>4517</v>
      </c>
    </row>
    <row r="2432" spans="1:76" s="2117" customFormat="1" ht="45">
      <c r="A2432" s="3803"/>
      <c r="B2432" s="3809"/>
      <c r="C2432" s="3804">
        <v>5</v>
      </c>
      <c r="D2432" s="3804" t="s">
        <v>107</v>
      </c>
      <c r="E2432" s="3804" t="s">
        <v>66</v>
      </c>
      <c r="F2432" s="3804" t="s">
        <v>155</v>
      </c>
      <c r="G2432" s="3804" t="s">
        <v>66</v>
      </c>
      <c r="H2432" s="3804" t="s">
        <v>202</v>
      </c>
      <c r="I2432" s="3690" t="s">
        <v>880</v>
      </c>
      <c r="J2432" s="3690" t="s">
        <v>443</v>
      </c>
      <c r="K2432" s="3805">
        <v>72</v>
      </c>
      <c r="L2432" s="3691">
        <v>66547812</v>
      </c>
      <c r="M2432" s="3804">
        <v>24</v>
      </c>
      <c r="N2432" s="3806">
        <f>13363344+11460150</f>
        <v>24823494</v>
      </c>
      <c r="O2432" s="3805">
        <v>12</v>
      </c>
      <c r="P2432" s="3807">
        <v>12387600</v>
      </c>
      <c r="Q2432" s="3804">
        <v>3</v>
      </c>
      <c r="R2432" s="3691">
        <v>3476200</v>
      </c>
      <c r="S2432" s="3805">
        <v>3</v>
      </c>
      <c r="T2432" s="3691">
        <f>7122200-R2432</f>
        <v>3646000</v>
      </c>
      <c r="U2432" s="3805">
        <v>3</v>
      </c>
      <c r="V2432" s="3807">
        <f>8503200-T2432-R2432</f>
        <v>1381000</v>
      </c>
      <c r="W2432" s="3803"/>
      <c r="X2432" s="3803"/>
      <c r="Y2432" s="3805">
        <f t="shared" si="1041"/>
        <v>9</v>
      </c>
      <c r="Z2432" s="3691">
        <f t="shared" si="1041"/>
        <v>8503200</v>
      </c>
      <c r="AA2432" s="3805">
        <f>M2432+Y2432</f>
        <v>33</v>
      </c>
      <c r="AB2432" s="3691">
        <f t="shared" si="1042"/>
        <v>33326694</v>
      </c>
      <c r="AC2432" s="3810">
        <f>(AA2432/K2432)*100</f>
        <v>45.833333333333329</v>
      </c>
      <c r="AD2432" s="3810">
        <f t="shared" si="1043"/>
        <v>50.079323419378539</v>
      </c>
      <c r="AE2432" s="3803" t="s">
        <v>4517</v>
      </c>
    </row>
    <row r="2433" spans="1:31" s="2117" customFormat="1" ht="45">
      <c r="A2433" s="3811"/>
      <c r="B2433" s="3812"/>
      <c r="C2433" s="3813">
        <v>5</v>
      </c>
      <c r="D2433" s="3813" t="s">
        <v>107</v>
      </c>
      <c r="E2433" s="3813" t="s">
        <v>66</v>
      </c>
      <c r="F2433" s="3813" t="s">
        <v>155</v>
      </c>
      <c r="G2433" s="3813" t="s">
        <v>66</v>
      </c>
      <c r="H2433" s="3813" t="s">
        <v>417</v>
      </c>
      <c r="I2433" s="3814" t="s">
        <v>882</v>
      </c>
      <c r="J2433" s="3815" t="s">
        <v>4518</v>
      </c>
      <c r="K2433" s="3816">
        <v>36</v>
      </c>
      <c r="L2433" s="3817">
        <v>16255000</v>
      </c>
      <c r="M2433" s="3813">
        <v>12</v>
      </c>
      <c r="N2433" s="3818">
        <f>3000000+3000000</f>
        <v>6000000</v>
      </c>
      <c r="O2433" s="3816">
        <v>31</v>
      </c>
      <c r="P2433" s="3819">
        <v>7992400</v>
      </c>
      <c r="Q2433" s="3813">
        <v>5</v>
      </c>
      <c r="R2433" s="3817">
        <v>1873200</v>
      </c>
      <c r="S2433" s="3816">
        <v>11</v>
      </c>
      <c r="T2433" s="3817">
        <f>4030800-R2433</f>
        <v>2157600</v>
      </c>
      <c r="U2433" s="3816">
        <v>2</v>
      </c>
      <c r="V2433" s="3817">
        <f>4922900-T2433-R2433</f>
        <v>892100</v>
      </c>
      <c r="W2433" s="3811"/>
      <c r="X2433" s="3811"/>
      <c r="Y2433" s="3816">
        <f t="shared" si="1041"/>
        <v>18</v>
      </c>
      <c r="Z2433" s="3817">
        <f t="shared" si="1041"/>
        <v>4922900</v>
      </c>
      <c r="AA2433" s="3816">
        <f t="shared" ref="AA2433:AA2434" si="1045">M2433+Y2433</f>
        <v>30</v>
      </c>
      <c r="AB2433" s="3817">
        <f t="shared" si="1042"/>
        <v>10922900</v>
      </c>
      <c r="AC2433" s="3820">
        <f t="shared" ref="AC2433:AC2434" si="1046">(AA2433/K2433)*100</f>
        <v>83.333333333333343</v>
      </c>
      <c r="AD2433" s="3820">
        <f t="shared" si="1043"/>
        <v>67.197170101507226</v>
      </c>
      <c r="AE2433" s="3811" t="s">
        <v>4517</v>
      </c>
    </row>
    <row r="2434" spans="1:31" s="2117" customFormat="1" ht="60">
      <c r="A2434" s="3803"/>
      <c r="B2434" s="3809"/>
      <c r="C2434" s="3804"/>
      <c r="D2434" s="3804"/>
      <c r="E2434" s="3804"/>
      <c r="F2434" s="3804"/>
      <c r="G2434" s="3804"/>
      <c r="H2434" s="3804"/>
      <c r="I2434" s="3690"/>
      <c r="J2434" s="3821" t="s">
        <v>4338</v>
      </c>
      <c r="K2434" s="3822">
        <v>60000</v>
      </c>
      <c r="L2434" s="3691">
        <v>12000000</v>
      </c>
      <c r="M2434" s="3823">
        <v>24591</v>
      </c>
      <c r="N2434" s="3806">
        <f>2030000+2888200</f>
        <v>4918200</v>
      </c>
      <c r="O2434" s="3824">
        <v>27000</v>
      </c>
      <c r="P2434" s="3807">
        <v>5400000</v>
      </c>
      <c r="Q2434" s="3823">
        <v>3500</v>
      </c>
      <c r="R2434" s="3691">
        <v>700000</v>
      </c>
      <c r="S2434" s="3824">
        <v>11000</v>
      </c>
      <c r="T2434" s="3691">
        <f>2900000-R2434</f>
        <v>2200000</v>
      </c>
      <c r="U2434" s="3805">
        <v>6500</v>
      </c>
      <c r="V2434" s="3691">
        <f>4200000-T2434-R2434</f>
        <v>1300000</v>
      </c>
      <c r="W2434" s="3803"/>
      <c r="X2434" s="3803"/>
      <c r="Y2434" s="3805">
        <f t="shared" si="1041"/>
        <v>21000</v>
      </c>
      <c r="Z2434" s="3691">
        <f t="shared" si="1041"/>
        <v>4200000</v>
      </c>
      <c r="AA2434" s="3805">
        <f t="shared" si="1045"/>
        <v>45591</v>
      </c>
      <c r="AB2434" s="3691">
        <f t="shared" si="1042"/>
        <v>9118200</v>
      </c>
      <c r="AC2434" s="3810">
        <f t="shared" si="1046"/>
        <v>75.984999999999999</v>
      </c>
      <c r="AD2434" s="3810">
        <f t="shared" si="1043"/>
        <v>75.984999999999999</v>
      </c>
      <c r="AE2434" s="3803"/>
    </row>
    <row r="2435" spans="1:31" s="2117" customFormat="1" ht="92.25" customHeight="1">
      <c r="A2435" s="3803"/>
      <c r="B2435" s="3678"/>
      <c r="C2435" s="36">
        <v>5</v>
      </c>
      <c r="D2435" s="36" t="s">
        <v>107</v>
      </c>
      <c r="E2435" s="36" t="s">
        <v>66</v>
      </c>
      <c r="F2435" s="36" t="s">
        <v>155</v>
      </c>
      <c r="G2435" s="36" t="s">
        <v>66</v>
      </c>
      <c r="H2435" s="3804" t="s">
        <v>160</v>
      </c>
      <c r="I2435" s="3690" t="s">
        <v>4339</v>
      </c>
      <c r="J2435" s="3690" t="s">
        <v>4519</v>
      </c>
      <c r="K2435" s="3805">
        <v>72</v>
      </c>
      <c r="L2435" s="3691">
        <v>13691130</v>
      </c>
      <c r="M2435" s="3804">
        <v>24</v>
      </c>
      <c r="N2435" s="3806">
        <f>2413500+2430000</f>
        <v>4843500</v>
      </c>
      <c r="O2435" s="3805">
        <v>12</v>
      </c>
      <c r="P2435" s="3807">
        <v>2636000</v>
      </c>
      <c r="Q2435" s="3804">
        <v>3</v>
      </c>
      <c r="R2435" s="3691">
        <v>495000</v>
      </c>
      <c r="S2435" s="3805">
        <v>3</v>
      </c>
      <c r="T2435" s="3691">
        <f>745000-R2435</f>
        <v>250000</v>
      </c>
      <c r="U2435" s="3805">
        <v>0</v>
      </c>
      <c r="V2435" s="3807">
        <f>745000-T2435-R2435</f>
        <v>0</v>
      </c>
      <c r="W2435" s="3803"/>
      <c r="X2435" s="3803"/>
      <c r="Y2435" s="3679">
        <f>Q2435+S2435+U2435+W2435</f>
        <v>6</v>
      </c>
      <c r="Z2435" s="3691">
        <f t="shared" si="1041"/>
        <v>745000</v>
      </c>
      <c r="AA2435" s="3679">
        <f t="shared" si="1042"/>
        <v>30</v>
      </c>
      <c r="AB2435" s="3691">
        <f t="shared" si="1042"/>
        <v>5588500</v>
      </c>
      <c r="AC2435" s="3684">
        <f t="shared" si="1044"/>
        <v>41.666666666666671</v>
      </c>
      <c r="AD2435" s="3684">
        <f t="shared" si="1043"/>
        <v>40.818398481352524</v>
      </c>
      <c r="AE2435" s="3803" t="s">
        <v>4517</v>
      </c>
    </row>
    <row r="2436" spans="1:31" s="2117" customFormat="1" ht="90">
      <c r="A2436" s="3803"/>
      <c r="B2436" s="3678"/>
      <c r="C2436" s="36">
        <v>5</v>
      </c>
      <c r="D2436" s="36" t="s">
        <v>107</v>
      </c>
      <c r="E2436" s="36" t="s">
        <v>66</v>
      </c>
      <c r="F2436" s="36" t="s">
        <v>155</v>
      </c>
      <c r="G2436" s="36" t="s">
        <v>66</v>
      </c>
      <c r="H2436" s="3804" t="s">
        <v>155</v>
      </c>
      <c r="I2436" s="3690" t="s">
        <v>4341</v>
      </c>
      <c r="J2436" s="3690" t="s">
        <v>4342</v>
      </c>
      <c r="K2436" s="3805">
        <v>6</v>
      </c>
      <c r="L2436" s="3691">
        <v>4641520</v>
      </c>
      <c r="M2436" s="3804">
        <v>2</v>
      </c>
      <c r="N2436" s="3806">
        <f>1300000+720000</f>
        <v>2020000</v>
      </c>
      <c r="O2436" s="3805">
        <v>3</v>
      </c>
      <c r="P2436" s="3807">
        <v>1800000</v>
      </c>
      <c r="Q2436" s="3804">
        <v>0</v>
      </c>
      <c r="R2436" s="3691">
        <v>0</v>
      </c>
      <c r="S2436" s="3805">
        <v>1</v>
      </c>
      <c r="T2436" s="3691">
        <f>200000-R2436</f>
        <v>200000</v>
      </c>
      <c r="U2436" s="3805">
        <v>1</v>
      </c>
      <c r="V2436" s="3807">
        <f>950000-T2436-R2436</f>
        <v>750000</v>
      </c>
      <c r="W2436" s="3803"/>
      <c r="X2436" s="3803"/>
      <c r="Y2436" s="3679">
        <f t="shared" si="1041"/>
        <v>2</v>
      </c>
      <c r="Z2436" s="3691">
        <f t="shared" si="1041"/>
        <v>950000</v>
      </c>
      <c r="AA2436" s="3679">
        <f t="shared" si="1042"/>
        <v>4</v>
      </c>
      <c r="AB2436" s="3691">
        <f t="shared" si="1042"/>
        <v>2970000</v>
      </c>
      <c r="AC2436" s="3684">
        <f t="shared" si="1044"/>
        <v>66.666666666666657</v>
      </c>
      <c r="AD2436" s="3684">
        <f t="shared" si="1043"/>
        <v>63.987659215084712</v>
      </c>
      <c r="AE2436" s="3803" t="s">
        <v>4517</v>
      </c>
    </row>
    <row r="2437" spans="1:31" s="2117" customFormat="1" ht="52.5" customHeight="1">
      <c r="A2437" s="3811"/>
      <c r="B2437" s="3812"/>
      <c r="C2437" s="3813">
        <v>5</v>
      </c>
      <c r="D2437" s="3813" t="s">
        <v>107</v>
      </c>
      <c r="E2437" s="3813" t="s">
        <v>66</v>
      </c>
      <c r="F2437" s="3813" t="s">
        <v>155</v>
      </c>
      <c r="G2437" s="3813" t="s">
        <v>66</v>
      </c>
      <c r="H2437" s="3813" t="s">
        <v>448</v>
      </c>
      <c r="I2437" s="3814" t="s">
        <v>223</v>
      </c>
      <c r="J2437" s="3815" t="s">
        <v>4343</v>
      </c>
      <c r="K2437" s="3816">
        <v>72</v>
      </c>
      <c r="L2437" s="3817">
        <v>40095000</v>
      </c>
      <c r="M2437" s="3813">
        <v>24</v>
      </c>
      <c r="N2437" s="3818">
        <f>17737500+8250000</f>
        <v>25987500</v>
      </c>
      <c r="O2437" s="3816">
        <v>12</v>
      </c>
      <c r="P2437" s="3819">
        <v>8250000</v>
      </c>
      <c r="Q2437" s="3813">
        <v>3</v>
      </c>
      <c r="R2437" s="3817">
        <v>2475000</v>
      </c>
      <c r="S2437" s="3816">
        <v>3</v>
      </c>
      <c r="T2437" s="3817">
        <f>4400000-R2437</f>
        <v>1925000</v>
      </c>
      <c r="U2437" s="3816">
        <v>3</v>
      </c>
      <c r="V2437" s="3819">
        <f>7067500-T2437-R2437</f>
        <v>2667500</v>
      </c>
      <c r="W2437" s="3811"/>
      <c r="X2437" s="3811"/>
      <c r="Y2437" s="3816">
        <f t="shared" si="1041"/>
        <v>9</v>
      </c>
      <c r="Z2437" s="3817">
        <f t="shared" si="1041"/>
        <v>7067500</v>
      </c>
      <c r="AA2437" s="3816">
        <f>M2437+Y2437</f>
        <v>33</v>
      </c>
      <c r="AB2437" s="3817">
        <f t="shared" si="1042"/>
        <v>33055000</v>
      </c>
      <c r="AC2437" s="3820">
        <f>(AA2437/K2437)*100</f>
        <v>45.833333333333329</v>
      </c>
      <c r="AD2437" s="3820">
        <f t="shared" si="1043"/>
        <v>82.441700960219478</v>
      </c>
      <c r="AE2437" s="3811" t="s">
        <v>4517</v>
      </c>
    </row>
    <row r="2438" spans="1:31" s="2117" customFormat="1" ht="45">
      <c r="A2438" s="3803"/>
      <c r="B2438" s="3809"/>
      <c r="C2438" s="3804"/>
      <c r="D2438" s="3804"/>
      <c r="E2438" s="3804"/>
      <c r="F2438" s="3804"/>
      <c r="G2438" s="3804"/>
      <c r="H2438" s="3804"/>
      <c r="I2438" s="3690"/>
      <c r="J2438" s="3821" t="s">
        <v>4344</v>
      </c>
      <c r="K2438" s="3805">
        <v>72</v>
      </c>
      <c r="L2438" s="3691">
        <v>45375000</v>
      </c>
      <c r="M2438" s="3804">
        <v>24</v>
      </c>
      <c r="N2438" s="3806">
        <f>10312500+4812500</f>
        <v>15125000</v>
      </c>
      <c r="O2438" s="3805">
        <v>12</v>
      </c>
      <c r="P2438" s="3807">
        <v>2750000</v>
      </c>
      <c r="Q2438" s="3804">
        <v>0</v>
      </c>
      <c r="R2438" s="3691">
        <v>0</v>
      </c>
      <c r="S2438" s="3805">
        <v>3</v>
      </c>
      <c r="T2438" s="3691">
        <f>2337500-R2438</f>
        <v>2337500</v>
      </c>
      <c r="U2438" s="3805">
        <v>0</v>
      </c>
      <c r="V2438" s="3807">
        <f>2337500-T2438-R2438</f>
        <v>0</v>
      </c>
      <c r="W2438" s="3803"/>
      <c r="X2438" s="3803"/>
      <c r="Y2438" s="3805">
        <f t="shared" si="1041"/>
        <v>3</v>
      </c>
      <c r="Z2438" s="3691">
        <f t="shared" si="1041"/>
        <v>2337500</v>
      </c>
      <c r="AA2438" s="3805">
        <f>M2438+Y2438</f>
        <v>27</v>
      </c>
      <c r="AB2438" s="3691">
        <f t="shared" si="1042"/>
        <v>17462500</v>
      </c>
      <c r="AC2438" s="3810">
        <f>(AA2438/K2438)*100</f>
        <v>37.5</v>
      </c>
      <c r="AD2438" s="3810">
        <f t="shared" si="1043"/>
        <v>38.484848484848484</v>
      </c>
      <c r="AE2438" s="3803"/>
    </row>
    <row r="2439" spans="1:31" s="2117" customFormat="1" ht="64.5" customHeight="1">
      <c r="A2439" s="3803"/>
      <c r="B2439" s="3678"/>
      <c r="C2439" s="36">
        <v>5</v>
      </c>
      <c r="D2439" s="36" t="s">
        <v>107</v>
      </c>
      <c r="E2439" s="36" t="s">
        <v>66</v>
      </c>
      <c r="F2439" s="36" t="s">
        <v>155</v>
      </c>
      <c r="G2439" s="36" t="s">
        <v>66</v>
      </c>
      <c r="H2439" s="3804" t="s">
        <v>167</v>
      </c>
      <c r="I2439" s="3690" t="s">
        <v>973</v>
      </c>
      <c r="J2439" s="3690" t="s">
        <v>4345</v>
      </c>
      <c r="K2439" s="3805">
        <v>72</v>
      </c>
      <c r="L2439" s="3691">
        <v>197033000</v>
      </c>
      <c r="M2439" s="3804">
        <v>24</v>
      </c>
      <c r="N2439" s="3806">
        <f>43880000+31002000</f>
        <v>74882000</v>
      </c>
      <c r="O2439" s="3805">
        <v>12</v>
      </c>
      <c r="P2439" s="3807">
        <v>30200000</v>
      </c>
      <c r="Q2439" s="3804">
        <v>3</v>
      </c>
      <c r="R2439" s="3691">
        <v>4550000</v>
      </c>
      <c r="S2439" s="3805">
        <v>3</v>
      </c>
      <c r="T2439" s="3691">
        <f>12300000-R2439</f>
        <v>7750000</v>
      </c>
      <c r="U2439" s="3805">
        <v>3</v>
      </c>
      <c r="V2439" s="3807">
        <f>27250000-T2439-R2439</f>
        <v>14950000</v>
      </c>
      <c r="W2439" s="3803"/>
      <c r="X2439" s="3803"/>
      <c r="Y2439" s="3679">
        <f>Q2439+S2439+U2439+W2439</f>
        <v>9</v>
      </c>
      <c r="Z2439" s="3691">
        <f t="shared" si="1041"/>
        <v>27250000</v>
      </c>
      <c r="AA2439" s="3679">
        <f t="shared" si="1042"/>
        <v>33</v>
      </c>
      <c r="AB2439" s="3691">
        <f t="shared" si="1042"/>
        <v>102132000</v>
      </c>
      <c r="AC2439" s="3684">
        <f t="shared" si="1044"/>
        <v>45.833333333333329</v>
      </c>
      <c r="AD2439" s="3684">
        <f t="shared" si="1043"/>
        <v>51.834971806753181</v>
      </c>
      <c r="AE2439" s="3803" t="s">
        <v>4517</v>
      </c>
    </row>
    <row r="2440" spans="1:31" s="2117" customFormat="1" ht="75">
      <c r="A2440" s="3803"/>
      <c r="B2440" s="3678"/>
      <c r="C2440" s="36">
        <v>5</v>
      </c>
      <c r="D2440" s="36" t="s">
        <v>107</v>
      </c>
      <c r="E2440" s="36" t="s">
        <v>66</v>
      </c>
      <c r="F2440" s="36" t="s">
        <v>155</v>
      </c>
      <c r="G2440" s="36" t="s">
        <v>66</v>
      </c>
      <c r="H2440" s="3804" t="s">
        <v>376</v>
      </c>
      <c r="I2440" s="3690" t="s">
        <v>4346</v>
      </c>
      <c r="J2440" s="3690" t="s">
        <v>4347</v>
      </c>
      <c r="K2440" s="3805">
        <v>72</v>
      </c>
      <c r="L2440" s="3691">
        <v>382943104</v>
      </c>
      <c r="M2440" s="3804">
        <v>24</v>
      </c>
      <c r="N2440" s="3806">
        <f>84550000+77238000</f>
        <v>161788000</v>
      </c>
      <c r="O2440" s="3805">
        <v>12</v>
      </c>
      <c r="P2440" s="3807">
        <v>56240000</v>
      </c>
      <c r="Q2440" s="3804">
        <v>3</v>
      </c>
      <c r="R2440" s="3691">
        <v>24750000</v>
      </c>
      <c r="S2440" s="3805">
        <v>3</v>
      </c>
      <c r="T2440" s="3691">
        <f>48745000-R2440</f>
        <v>23995000</v>
      </c>
      <c r="U2440" s="3805">
        <v>3</v>
      </c>
      <c r="V2440" s="3807">
        <f>56145000-T2440-R2440</f>
        <v>7400000</v>
      </c>
      <c r="W2440" s="3803"/>
      <c r="X2440" s="3803"/>
      <c r="Y2440" s="3679">
        <f t="shared" ref="Y2440" si="1047">Q2440+S2440+U2440+W2440</f>
        <v>9</v>
      </c>
      <c r="Z2440" s="3691">
        <f t="shared" si="1041"/>
        <v>56145000</v>
      </c>
      <c r="AA2440" s="3679">
        <f t="shared" si="1042"/>
        <v>33</v>
      </c>
      <c r="AB2440" s="3691">
        <f t="shared" si="1042"/>
        <v>217933000</v>
      </c>
      <c r="AC2440" s="3684">
        <f t="shared" si="1044"/>
        <v>45.833333333333329</v>
      </c>
      <c r="AD2440" s="3684">
        <f t="shared" si="1043"/>
        <v>56.910020763815602</v>
      </c>
      <c r="AE2440" s="3803" t="s">
        <v>4517</v>
      </c>
    </row>
    <row r="2441" spans="1:31" s="2117" customFormat="1" ht="79.5" customHeight="1">
      <c r="A2441" s="3803"/>
      <c r="B2441" s="3678"/>
      <c r="C2441" s="36">
        <v>5</v>
      </c>
      <c r="D2441" s="36" t="s">
        <v>107</v>
      </c>
      <c r="E2441" s="36" t="s">
        <v>66</v>
      </c>
      <c r="F2441" s="36" t="s">
        <v>155</v>
      </c>
      <c r="G2441" s="36" t="s">
        <v>66</v>
      </c>
      <c r="H2441" s="3804" t="s">
        <v>163</v>
      </c>
      <c r="I2441" s="3690" t="s">
        <v>4245</v>
      </c>
      <c r="J2441" s="3690" t="s">
        <v>4348</v>
      </c>
      <c r="K2441" s="3805">
        <v>35</v>
      </c>
      <c r="L2441" s="3691">
        <v>28930000</v>
      </c>
      <c r="M2441" s="3804">
        <v>14</v>
      </c>
      <c r="N2441" s="3806">
        <v>7191400</v>
      </c>
      <c r="O2441" s="3805">
        <v>7</v>
      </c>
      <c r="P2441" s="3807">
        <v>4500000</v>
      </c>
      <c r="Q2441" s="3804">
        <v>3</v>
      </c>
      <c r="R2441" s="3691">
        <v>2300000</v>
      </c>
      <c r="S2441" s="3805">
        <v>1</v>
      </c>
      <c r="T2441" s="3691">
        <f>3825000-R2441</f>
        <v>1525000</v>
      </c>
      <c r="U2441" s="3805">
        <v>0</v>
      </c>
      <c r="V2441" s="3807">
        <f>3825000-T2441-R2441</f>
        <v>0</v>
      </c>
      <c r="W2441" s="3803"/>
      <c r="X2441" s="3803"/>
      <c r="Y2441" s="3679">
        <f>Q2441+S2441+U2441+W2441</f>
        <v>4</v>
      </c>
      <c r="Z2441" s="3691">
        <f>R2441+T2441+V2441+X2441</f>
        <v>3825000</v>
      </c>
      <c r="AA2441" s="3679">
        <f>M2441+Y2441</f>
        <v>18</v>
      </c>
      <c r="AB2441" s="3691">
        <f t="shared" si="1042"/>
        <v>11016400</v>
      </c>
      <c r="AC2441" s="3684">
        <f>(AA2441/K2441)*100</f>
        <v>51.428571428571423</v>
      </c>
      <c r="AD2441" s="3684">
        <f t="shared" si="1043"/>
        <v>38.079502246802626</v>
      </c>
      <c r="AE2441" s="3803" t="s">
        <v>4517</v>
      </c>
    </row>
    <row r="2442" spans="1:31" s="3837" customFormat="1" ht="99">
      <c r="A2442" s="3657">
        <v>2</v>
      </c>
      <c r="B2442" s="3835"/>
      <c r="C2442" s="3659">
        <v>5</v>
      </c>
      <c r="D2442" s="3659" t="s">
        <v>107</v>
      </c>
      <c r="E2442" s="3659" t="s">
        <v>66</v>
      </c>
      <c r="F2442" s="3659" t="s">
        <v>155</v>
      </c>
      <c r="G2442" s="3659" t="s">
        <v>65</v>
      </c>
      <c r="H2442" s="3657"/>
      <c r="I2442" s="3660" t="s">
        <v>4350</v>
      </c>
      <c r="J2442" s="3660" t="s">
        <v>4313</v>
      </c>
      <c r="K2442" s="3657">
        <v>72</v>
      </c>
      <c r="L2442" s="3662">
        <f>SUM(L2443:L2447)</f>
        <v>423067585</v>
      </c>
      <c r="M2442" s="3657">
        <v>24</v>
      </c>
      <c r="N2442" s="3662">
        <f>SUM(N2443:N2447)</f>
        <v>205612050</v>
      </c>
      <c r="O2442" s="3657">
        <v>12</v>
      </c>
      <c r="P2442" s="3662">
        <f>SUM(P2443:P2447)</f>
        <v>88052000</v>
      </c>
      <c r="Q2442" s="3657">
        <v>3</v>
      </c>
      <c r="R2442" s="3662">
        <f>SUM(R2443:R2447)</f>
        <v>25817000</v>
      </c>
      <c r="S2442" s="3657">
        <v>3</v>
      </c>
      <c r="T2442" s="3662">
        <f>SUM(T2443:T2447)</f>
        <v>14045000</v>
      </c>
      <c r="U2442" s="3661">
        <v>3</v>
      </c>
      <c r="V2442" s="3662">
        <f>SUM(V2443:V2447)</f>
        <v>14138200</v>
      </c>
      <c r="W2442" s="3661"/>
      <c r="X2442" s="3661"/>
      <c r="Y2442" s="3657">
        <f>Q2442+S2442+U2442+W2442</f>
        <v>9</v>
      </c>
      <c r="Z2442" s="3662">
        <f>SUM(Z2443:Z2447)</f>
        <v>54000200</v>
      </c>
      <c r="AA2442" s="3657">
        <f>M2442+Y2442</f>
        <v>33</v>
      </c>
      <c r="AB2442" s="3662">
        <f>SUM(AB2443:AB2447)</f>
        <v>259612250</v>
      </c>
      <c r="AC2442" s="3664">
        <f>(AA2442/K2442)*100</f>
        <v>45.833333333333329</v>
      </c>
      <c r="AD2442" s="3664">
        <f>(AB2442/L2442)*100</f>
        <v>61.364249875111568</v>
      </c>
      <c r="AE2442" s="3661" t="s">
        <v>4517</v>
      </c>
    </row>
    <row r="2443" spans="1:31" s="2117" customFormat="1" ht="75">
      <c r="A2443" s="3803"/>
      <c r="B2443" s="3678"/>
      <c r="C2443" s="36">
        <v>5</v>
      </c>
      <c r="D2443" s="36" t="s">
        <v>107</v>
      </c>
      <c r="E2443" s="36" t="s">
        <v>66</v>
      </c>
      <c r="F2443" s="36" t="s">
        <v>155</v>
      </c>
      <c r="G2443" s="36" t="s">
        <v>65</v>
      </c>
      <c r="H2443" s="36" t="s">
        <v>198</v>
      </c>
      <c r="I2443" s="3690" t="s">
        <v>4248</v>
      </c>
      <c r="J2443" s="3690" t="s">
        <v>4352</v>
      </c>
      <c r="K2443" s="3805">
        <v>45</v>
      </c>
      <c r="L2443" s="3691">
        <v>25209890</v>
      </c>
      <c r="M2443" s="3804">
        <v>16</v>
      </c>
      <c r="N2443" s="3806">
        <f>9940000+47540000</f>
        <v>57480000</v>
      </c>
      <c r="O2443" s="3805">
        <v>12</v>
      </c>
      <c r="P2443" s="3807">
        <v>2893000</v>
      </c>
      <c r="Q2443" s="3804">
        <v>4</v>
      </c>
      <c r="R2443" s="3691">
        <v>250000</v>
      </c>
      <c r="S2443" s="3805">
        <v>0</v>
      </c>
      <c r="T2443" s="3691">
        <v>0</v>
      </c>
      <c r="U2443" s="3805">
        <v>0</v>
      </c>
      <c r="V2443" s="3807">
        <f>250000-T2443-R2443</f>
        <v>0</v>
      </c>
      <c r="W2443" s="3803"/>
      <c r="X2443" s="3803"/>
      <c r="Y2443" s="3679">
        <f>Q2443+S2443+U2443+W2443</f>
        <v>4</v>
      </c>
      <c r="Z2443" s="3691">
        <f>R2443+T2443+V2443+X2443</f>
        <v>250000</v>
      </c>
      <c r="AA2443" s="3679">
        <f t="shared" ref="AA2443:AB2447" si="1048">M2443+Y2443</f>
        <v>20</v>
      </c>
      <c r="AB2443" s="3691">
        <f>N2443+Z2443</f>
        <v>57730000</v>
      </c>
      <c r="AC2443" s="3684">
        <f>(AA2443/K2443)*100</f>
        <v>44.444444444444443</v>
      </c>
      <c r="AD2443" s="3684">
        <f>(AB2443/L2443)*100</f>
        <v>228.99742918354659</v>
      </c>
      <c r="AE2443" s="3803" t="s">
        <v>4517</v>
      </c>
    </row>
    <row r="2444" spans="1:31" s="2117" customFormat="1" ht="75">
      <c r="A2444" s="3803"/>
      <c r="B2444" s="3678"/>
      <c r="C2444" s="36">
        <v>5</v>
      </c>
      <c r="D2444" s="36" t="s">
        <v>107</v>
      </c>
      <c r="E2444" s="36" t="s">
        <v>66</v>
      </c>
      <c r="F2444" s="36" t="s">
        <v>155</v>
      </c>
      <c r="G2444" s="36" t="s">
        <v>65</v>
      </c>
      <c r="H2444" s="36" t="s">
        <v>201</v>
      </c>
      <c r="I2444" s="3690" t="s">
        <v>454</v>
      </c>
      <c r="J2444" s="3690" t="s">
        <v>4353</v>
      </c>
      <c r="K2444" s="3805">
        <v>12</v>
      </c>
      <c r="L2444" s="3691">
        <v>51645000</v>
      </c>
      <c r="M2444" s="3804">
        <v>5</v>
      </c>
      <c r="N2444" s="3806">
        <f>12200000+10000000</f>
        <v>22200000</v>
      </c>
      <c r="O2444" s="3805">
        <v>1</v>
      </c>
      <c r="P2444" s="3807">
        <v>10000000</v>
      </c>
      <c r="Q2444" s="3804">
        <v>0</v>
      </c>
      <c r="R2444" s="3691">
        <v>0</v>
      </c>
      <c r="S2444" s="3805">
        <v>0</v>
      </c>
      <c r="T2444" s="3691">
        <v>0</v>
      </c>
      <c r="U2444" s="3805">
        <v>1</v>
      </c>
      <c r="V2444" s="3807">
        <f>9000000-T2444-R2444</f>
        <v>9000000</v>
      </c>
      <c r="W2444" s="3803"/>
      <c r="X2444" s="3803"/>
      <c r="Y2444" s="3679">
        <f t="shared" ref="Y2444:Z2447" si="1049">Q2444+S2444+U2444+W2444</f>
        <v>1</v>
      </c>
      <c r="Z2444" s="3691">
        <f t="shared" si="1049"/>
        <v>9000000</v>
      </c>
      <c r="AA2444" s="3679">
        <f t="shared" si="1048"/>
        <v>6</v>
      </c>
      <c r="AB2444" s="3691">
        <f t="shared" si="1048"/>
        <v>31200000</v>
      </c>
      <c r="AC2444" s="3684">
        <f t="shared" ref="AC2444:AD2447" si="1050">(AA2444/K2444)*100</f>
        <v>50</v>
      </c>
      <c r="AD2444" s="3684">
        <f>(AB2444/L2444)*100</f>
        <v>60.412431019459781</v>
      </c>
      <c r="AE2444" s="3803" t="s">
        <v>4517</v>
      </c>
    </row>
    <row r="2445" spans="1:31" s="2117" customFormat="1" ht="64.5" customHeight="1">
      <c r="A2445" s="3803"/>
      <c r="B2445" s="3678"/>
      <c r="C2445" s="36">
        <v>5</v>
      </c>
      <c r="D2445" s="36" t="s">
        <v>107</v>
      </c>
      <c r="E2445" s="36" t="s">
        <v>66</v>
      </c>
      <c r="F2445" s="36" t="s">
        <v>155</v>
      </c>
      <c r="G2445" s="36" t="s">
        <v>65</v>
      </c>
      <c r="H2445" s="36" t="s">
        <v>163</v>
      </c>
      <c r="I2445" s="3690" t="s">
        <v>1301</v>
      </c>
      <c r="J2445" s="3690" t="s">
        <v>4358</v>
      </c>
      <c r="K2445" s="3805">
        <v>6</v>
      </c>
      <c r="L2445" s="3691">
        <v>53854000</v>
      </c>
      <c r="M2445" s="3804">
        <v>2</v>
      </c>
      <c r="N2445" s="3806">
        <f>14409000+21009000</f>
        <v>35418000</v>
      </c>
      <c r="O2445" s="3805">
        <v>1</v>
      </c>
      <c r="P2445" s="3807">
        <v>17439000</v>
      </c>
      <c r="Q2445" s="3804">
        <v>1</v>
      </c>
      <c r="R2445" s="3691">
        <v>17439000</v>
      </c>
      <c r="S2445" s="3805">
        <v>0</v>
      </c>
      <c r="T2445" s="3691">
        <v>0</v>
      </c>
      <c r="U2445" s="3805">
        <v>0</v>
      </c>
      <c r="V2445" s="3807">
        <f>17439000-T2445-R2445</f>
        <v>0</v>
      </c>
      <c r="W2445" s="3803"/>
      <c r="X2445" s="3803"/>
      <c r="Y2445" s="3679">
        <f t="shared" si="1049"/>
        <v>1</v>
      </c>
      <c r="Z2445" s="3691">
        <f t="shared" si="1049"/>
        <v>17439000</v>
      </c>
      <c r="AA2445" s="3679">
        <f t="shared" si="1048"/>
        <v>3</v>
      </c>
      <c r="AB2445" s="3691">
        <f t="shared" si="1048"/>
        <v>52857000</v>
      </c>
      <c r="AC2445" s="3684">
        <f t="shared" si="1050"/>
        <v>50</v>
      </c>
      <c r="AD2445" s="3684">
        <f t="shared" si="1050"/>
        <v>98.148698332528681</v>
      </c>
      <c r="AE2445" s="3803" t="s">
        <v>4517</v>
      </c>
    </row>
    <row r="2446" spans="1:31" s="2117" customFormat="1" ht="90">
      <c r="A2446" s="3803"/>
      <c r="B2446" s="3678"/>
      <c r="C2446" s="36">
        <v>5</v>
      </c>
      <c r="D2446" s="36" t="s">
        <v>107</v>
      </c>
      <c r="E2446" s="36" t="s">
        <v>66</v>
      </c>
      <c r="F2446" s="36" t="s">
        <v>155</v>
      </c>
      <c r="G2446" s="36" t="s">
        <v>65</v>
      </c>
      <c r="H2446" s="36" t="s">
        <v>165</v>
      </c>
      <c r="I2446" s="3690" t="s">
        <v>4359</v>
      </c>
      <c r="J2446" s="3690" t="s">
        <v>4360</v>
      </c>
      <c r="K2446" s="3805">
        <v>24</v>
      </c>
      <c r="L2446" s="3691">
        <v>273794695</v>
      </c>
      <c r="M2446" s="3804">
        <v>8</v>
      </c>
      <c r="N2446" s="3806">
        <f>44411750+43102300</f>
        <v>87514050</v>
      </c>
      <c r="O2446" s="3805">
        <v>4</v>
      </c>
      <c r="P2446" s="3807">
        <v>53020000</v>
      </c>
      <c r="Q2446" s="3804">
        <v>1</v>
      </c>
      <c r="R2446" s="3691">
        <v>7893000</v>
      </c>
      <c r="S2446" s="3805">
        <v>1</v>
      </c>
      <c r="T2446" s="3807">
        <f>21438000-R2446</f>
        <v>13545000</v>
      </c>
      <c r="U2446" s="3805">
        <v>1</v>
      </c>
      <c r="V2446" s="3807">
        <f>26576200-T2446-R2446</f>
        <v>5138200</v>
      </c>
      <c r="W2446" s="3803"/>
      <c r="X2446" s="3803"/>
      <c r="Y2446" s="3679">
        <f t="shared" si="1049"/>
        <v>3</v>
      </c>
      <c r="Z2446" s="3691">
        <f t="shared" si="1049"/>
        <v>26576200</v>
      </c>
      <c r="AA2446" s="3679">
        <f t="shared" si="1048"/>
        <v>11</v>
      </c>
      <c r="AB2446" s="3691">
        <f t="shared" si="1048"/>
        <v>114090250</v>
      </c>
      <c r="AC2446" s="3684">
        <f t="shared" si="1050"/>
        <v>45.833333333333329</v>
      </c>
      <c r="AD2446" s="3684">
        <f t="shared" si="1050"/>
        <v>41.670000216768258</v>
      </c>
      <c r="AE2446" s="3803" t="s">
        <v>4517</v>
      </c>
    </row>
    <row r="2447" spans="1:31" s="2117" customFormat="1" ht="75">
      <c r="A2447" s="3803"/>
      <c r="B2447" s="3678"/>
      <c r="C2447" s="36">
        <v>5</v>
      </c>
      <c r="D2447" s="36" t="s">
        <v>107</v>
      </c>
      <c r="E2447" s="36" t="s">
        <v>66</v>
      </c>
      <c r="F2447" s="36" t="s">
        <v>155</v>
      </c>
      <c r="G2447" s="36" t="s">
        <v>65</v>
      </c>
      <c r="H2447" s="36" t="s">
        <v>178</v>
      </c>
      <c r="I2447" s="3690" t="s">
        <v>4361</v>
      </c>
      <c r="J2447" s="3690" t="s">
        <v>4362</v>
      </c>
      <c r="K2447" s="3805">
        <v>96</v>
      </c>
      <c r="L2447" s="3691">
        <v>18564000</v>
      </c>
      <c r="M2447" s="3804">
        <v>12</v>
      </c>
      <c r="N2447" s="3806">
        <v>3000000</v>
      </c>
      <c r="O2447" s="3805">
        <v>13</v>
      </c>
      <c r="P2447" s="3807">
        <v>4700000</v>
      </c>
      <c r="Q2447" s="3804">
        <v>1</v>
      </c>
      <c r="R2447" s="3691">
        <v>235000</v>
      </c>
      <c r="S2447" s="3805">
        <v>3</v>
      </c>
      <c r="T2447" s="3807">
        <f>735000-R2447</f>
        <v>500000</v>
      </c>
      <c r="U2447" s="3805">
        <v>0</v>
      </c>
      <c r="V2447" s="3807">
        <f>735000-T2447-R2447</f>
        <v>0</v>
      </c>
      <c r="W2447" s="3803"/>
      <c r="X2447" s="3803"/>
      <c r="Y2447" s="3679">
        <f t="shared" si="1049"/>
        <v>4</v>
      </c>
      <c r="Z2447" s="3691">
        <f>R2447+T2447+V2447+X2447</f>
        <v>735000</v>
      </c>
      <c r="AA2447" s="3679">
        <f t="shared" si="1048"/>
        <v>16</v>
      </c>
      <c r="AB2447" s="3691">
        <f t="shared" si="1048"/>
        <v>3735000</v>
      </c>
      <c r="AC2447" s="3684">
        <f t="shared" si="1050"/>
        <v>16.666666666666664</v>
      </c>
      <c r="AD2447" s="3684">
        <f>(AB2447/L2447)*100</f>
        <v>20.119586296056884</v>
      </c>
      <c r="AE2447" s="3803" t="s">
        <v>4517</v>
      </c>
    </row>
    <row r="2448" spans="1:31" s="3825" customFormat="1" ht="82.5">
      <c r="A2448" s="3657">
        <v>3</v>
      </c>
      <c r="B2448" s="3835"/>
      <c r="C2448" s="3659">
        <v>5</v>
      </c>
      <c r="D2448" s="3659" t="s">
        <v>107</v>
      </c>
      <c r="E2448" s="3659" t="s">
        <v>66</v>
      </c>
      <c r="F2448" s="3659" t="s">
        <v>155</v>
      </c>
      <c r="G2448" s="3659" t="s">
        <v>448</v>
      </c>
      <c r="H2448" s="3657"/>
      <c r="I2448" s="3660" t="s">
        <v>4364</v>
      </c>
      <c r="J2448" s="3660" t="s">
        <v>4365</v>
      </c>
      <c r="K2448" s="3657">
        <v>100</v>
      </c>
      <c r="L2448" s="3662">
        <f>SUM(L2449:L2449)</f>
        <v>98767141</v>
      </c>
      <c r="M2448" s="3657">
        <v>32</v>
      </c>
      <c r="N2448" s="3662">
        <f>SUM(N2449:N2449)</f>
        <v>37542600</v>
      </c>
      <c r="O2448" s="3657">
        <v>18</v>
      </c>
      <c r="P2448" s="3662">
        <f>SUM(P2449:P2449)</f>
        <v>24748100</v>
      </c>
      <c r="Q2448" s="3657">
        <v>0</v>
      </c>
      <c r="R2448" s="3662">
        <f>SUM(R2449:R2449)</f>
        <v>0</v>
      </c>
      <c r="S2448" s="3657">
        <v>0</v>
      </c>
      <c r="T2448" s="3662">
        <f>SUM(T2449:T2449)</f>
        <v>0</v>
      </c>
      <c r="U2448" s="3664">
        <f>V2448/P2448*100</f>
        <v>51.781752942650137</v>
      </c>
      <c r="V2448" s="3662">
        <f>SUM(V2449:V2449)</f>
        <v>12815000</v>
      </c>
      <c r="W2448" s="3661"/>
      <c r="X2448" s="3661"/>
      <c r="Y2448" s="3836">
        <f t="shared" ref="Y2448:Y2456" si="1051">Q2448+S2448+U2448+W2448</f>
        <v>51.781752942650137</v>
      </c>
      <c r="Z2448" s="3662">
        <f>SUM(Z2449:Z2449)</f>
        <v>12815000</v>
      </c>
      <c r="AA2448" s="3836">
        <f t="shared" ref="AA2448:AA2456" si="1052">M2448+Y2448</f>
        <v>83.781752942650144</v>
      </c>
      <c r="AB2448" s="3662">
        <f>SUM(AB2449:AB2449)</f>
        <v>50357600</v>
      </c>
      <c r="AC2448" s="3664">
        <f t="shared" ref="AC2448:AC2456" si="1053">(AA2448/K2448)*100</f>
        <v>83.781752942650144</v>
      </c>
      <c r="AD2448" s="3664">
        <f t="shared" ref="AD2448" si="1054">(AB2448/L2448)*100</f>
        <v>50.986187805112223</v>
      </c>
      <c r="AE2448" s="3661" t="s">
        <v>4517</v>
      </c>
    </row>
    <row r="2449" spans="1:31" s="2117" customFormat="1" ht="45">
      <c r="A2449" s="18"/>
      <c r="B2449" s="15"/>
      <c r="C2449" s="36">
        <v>5</v>
      </c>
      <c r="D2449" s="36" t="s">
        <v>107</v>
      </c>
      <c r="E2449" s="36" t="s">
        <v>66</v>
      </c>
      <c r="F2449" s="36" t="s">
        <v>155</v>
      </c>
      <c r="G2449" s="36" t="s">
        <v>448</v>
      </c>
      <c r="H2449" s="36" t="s">
        <v>197</v>
      </c>
      <c r="I2449" s="15" t="s">
        <v>4366</v>
      </c>
      <c r="J2449" s="15" t="s">
        <v>4367</v>
      </c>
      <c r="K2449" s="3826">
        <v>6</v>
      </c>
      <c r="L2449" s="16">
        <v>98767141</v>
      </c>
      <c r="M2449" s="3826">
        <v>2</v>
      </c>
      <c r="N2449" s="16">
        <f>17508800+20033800</f>
        <v>37542600</v>
      </c>
      <c r="O2449" s="3826">
        <v>1</v>
      </c>
      <c r="P2449" s="16">
        <v>24748100</v>
      </c>
      <c r="Q2449" s="3826">
        <v>0</v>
      </c>
      <c r="R2449" s="16">
        <v>0</v>
      </c>
      <c r="S2449" s="3826">
        <v>0</v>
      </c>
      <c r="T2449" s="16">
        <v>0</v>
      </c>
      <c r="U2449" s="3826">
        <v>1</v>
      </c>
      <c r="V2449" s="3827">
        <f>12815000-T2449-R2449</f>
        <v>12815000</v>
      </c>
      <c r="W2449" s="15"/>
      <c r="X2449" s="15"/>
      <c r="Y2449" s="3826">
        <f t="shared" si="1051"/>
        <v>1</v>
      </c>
      <c r="Z2449" s="3691">
        <f>R2449+T2449+V2449+X2449</f>
        <v>12815000</v>
      </c>
      <c r="AA2449" s="3826">
        <f t="shared" si="1052"/>
        <v>3</v>
      </c>
      <c r="AB2449" s="3691">
        <f t="shared" ref="AB2449" si="1055">N2449+Z2449</f>
        <v>50357600</v>
      </c>
      <c r="AC2449" s="19">
        <f t="shared" si="1053"/>
        <v>50</v>
      </c>
      <c r="AD2449" s="19">
        <f>(AB2449/L2449)*100</f>
        <v>50.986187805112223</v>
      </c>
      <c r="AE2449" s="18" t="s">
        <v>4517</v>
      </c>
    </row>
    <row r="2450" spans="1:31" s="3825" customFormat="1" ht="99">
      <c r="A2450" s="3657">
        <v>4</v>
      </c>
      <c r="B2450" s="3835"/>
      <c r="C2450" s="3659">
        <v>5</v>
      </c>
      <c r="D2450" s="3659" t="s">
        <v>107</v>
      </c>
      <c r="E2450" s="3659" t="s">
        <v>66</v>
      </c>
      <c r="F2450" s="3659" t="s">
        <v>155</v>
      </c>
      <c r="G2450" s="3659" t="s">
        <v>155</v>
      </c>
      <c r="H2450" s="3659"/>
      <c r="I2450" s="3660" t="s">
        <v>4369</v>
      </c>
      <c r="J2450" s="3660" t="s">
        <v>4370</v>
      </c>
      <c r="K2450" s="3657">
        <v>100</v>
      </c>
      <c r="L2450" s="3662">
        <f>SUM(L2451:L2451)</f>
        <v>70929850</v>
      </c>
      <c r="M2450" s="3657">
        <v>32</v>
      </c>
      <c r="N2450" s="3662">
        <f>SUM(N2451:N2451)</f>
        <v>25165300</v>
      </c>
      <c r="O2450" s="3657">
        <v>18</v>
      </c>
      <c r="P2450" s="3662">
        <f>SUM(P2451:P2451)</f>
        <v>20030650</v>
      </c>
      <c r="Q2450" s="3657">
        <v>0</v>
      </c>
      <c r="R2450" s="3662">
        <f>SUM(R2451:R2451)</f>
        <v>0</v>
      </c>
      <c r="S2450" s="3657">
        <v>15</v>
      </c>
      <c r="T2450" s="3663">
        <f>SUM(T2451)</f>
        <v>17580650</v>
      </c>
      <c r="U2450" s="3661">
        <v>3</v>
      </c>
      <c r="V2450" s="3663">
        <f>SUM(V2451)</f>
        <v>1000000</v>
      </c>
      <c r="W2450" s="3661"/>
      <c r="X2450" s="3661"/>
      <c r="Y2450" s="3657">
        <f t="shared" si="1051"/>
        <v>18</v>
      </c>
      <c r="Z2450" s="3662">
        <f>SUM(Z2451:Z2451)</f>
        <v>18580650</v>
      </c>
      <c r="AA2450" s="3657">
        <f t="shared" si="1052"/>
        <v>50</v>
      </c>
      <c r="AB2450" s="3662">
        <f>SUM(AB2451:AB2451)</f>
        <v>43745950</v>
      </c>
      <c r="AC2450" s="3664">
        <f t="shared" si="1053"/>
        <v>50</v>
      </c>
      <c r="AD2450" s="3664">
        <f t="shared" ref="AD2450:AD2451" si="1056">(AB2450/L2450)*100</f>
        <v>61.674950673094607</v>
      </c>
      <c r="AE2450" s="3661" t="s">
        <v>4517</v>
      </c>
    </row>
    <row r="2451" spans="1:31" s="2117" customFormat="1" ht="105">
      <c r="A2451" s="18"/>
      <c r="B2451" s="15"/>
      <c r="C2451" s="36">
        <v>5</v>
      </c>
      <c r="D2451" s="36" t="s">
        <v>107</v>
      </c>
      <c r="E2451" s="36" t="s">
        <v>66</v>
      </c>
      <c r="F2451" s="36" t="s">
        <v>155</v>
      </c>
      <c r="G2451" s="36" t="s">
        <v>155</v>
      </c>
      <c r="H2451" s="36" t="s">
        <v>202</v>
      </c>
      <c r="I2451" s="15" t="s">
        <v>4371</v>
      </c>
      <c r="J2451" s="15" t="s">
        <v>4520</v>
      </c>
      <c r="K2451" s="3826">
        <v>6</v>
      </c>
      <c r="L2451" s="16">
        <v>70929850</v>
      </c>
      <c r="M2451" s="3826">
        <v>2</v>
      </c>
      <c r="N2451" s="16">
        <f>12574000+12591300</f>
        <v>25165300</v>
      </c>
      <c r="O2451" s="3826">
        <v>1</v>
      </c>
      <c r="P2451" s="16">
        <v>20030650</v>
      </c>
      <c r="Q2451" s="3826">
        <v>0</v>
      </c>
      <c r="R2451" s="16">
        <v>0</v>
      </c>
      <c r="S2451" s="3826">
        <v>1</v>
      </c>
      <c r="T2451" s="3827">
        <f>17580650-R2451</f>
        <v>17580650</v>
      </c>
      <c r="U2451" s="3826">
        <v>1</v>
      </c>
      <c r="V2451" s="3827">
        <f>18580650-T2451-R2451</f>
        <v>1000000</v>
      </c>
      <c r="W2451" s="15"/>
      <c r="X2451" s="15"/>
      <c r="Y2451" s="3679">
        <f t="shared" si="1051"/>
        <v>2</v>
      </c>
      <c r="Z2451" s="3691">
        <f>R2451+T2451+V2451+X2451</f>
        <v>18580650</v>
      </c>
      <c r="AA2451" s="3679">
        <f t="shared" si="1052"/>
        <v>4</v>
      </c>
      <c r="AB2451" s="3691">
        <f t="shared" ref="AB2451" si="1057">N2451+Z2451</f>
        <v>43745950</v>
      </c>
      <c r="AC2451" s="3684">
        <f t="shared" si="1053"/>
        <v>66.666666666666657</v>
      </c>
      <c r="AD2451" s="3684">
        <f t="shared" si="1056"/>
        <v>61.674950673094607</v>
      </c>
      <c r="AE2451" s="18" t="s">
        <v>4517</v>
      </c>
    </row>
    <row r="2452" spans="1:31" s="3825" customFormat="1" ht="66">
      <c r="A2452" s="3657">
        <v>5</v>
      </c>
      <c r="B2452" s="3835"/>
      <c r="C2452" s="3659">
        <v>5</v>
      </c>
      <c r="D2452" s="3659" t="s">
        <v>107</v>
      </c>
      <c r="E2452" s="3659" t="s">
        <v>66</v>
      </c>
      <c r="F2452" s="3659" t="s">
        <v>155</v>
      </c>
      <c r="G2452" s="3659" t="s">
        <v>448</v>
      </c>
      <c r="H2452" s="3659"/>
      <c r="I2452" s="3660" t="s">
        <v>4373</v>
      </c>
      <c r="J2452" s="3660" t="s">
        <v>4374</v>
      </c>
      <c r="K2452" s="3657">
        <v>100</v>
      </c>
      <c r="L2452" s="3662">
        <f>SUM(L2453:L2453)</f>
        <v>23205000</v>
      </c>
      <c r="M2452" s="3657">
        <v>32</v>
      </c>
      <c r="N2452" s="3662">
        <f>SUM(N2453:N2453)</f>
        <v>4973800</v>
      </c>
      <c r="O2452" s="3657">
        <v>20</v>
      </c>
      <c r="P2452" s="3662">
        <f>SUM(P2453:P2453)</f>
        <v>5878100</v>
      </c>
      <c r="Q2452" s="3657">
        <v>0</v>
      </c>
      <c r="R2452" s="3662">
        <f>SUM(R2453:R2453)</f>
        <v>0</v>
      </c>
      <c r="S2452" s="3657">
        <v>10</v>
      </c>
      <c r="T2452" s="3662">
        <f>SUM(T2453)</f>
        <v>1137500</v>
      </c>
      <c r="U2452" s="3661">
        <v>10</v>
      </c>
      <c r="V2452" s="3662">
        <f>SUM(V2453)</f>
        <v>2330600</v>
      </c>
      <c r="W2452" s="3661"/>
      <c r="X2452" s="3661"/>
      <c r="Y2452" s="3657">
        <f t="shared" si="1051"/>
        <v>20</v>
      </c>
      <c r="Z2452" s="3662">
        <f>SUM(Z2453:Z2453)</f>
        <v>3468100</v>
      </c>
      <c r="AA2452" s="3657">
        <f t="shared" si="1052"/>
        <v>52</v>
      </c>
      <c r="AB2452" s="3662">
        <f>SUM(AB2453:AB2453)</f>
        <v>8441900</v>
      </c>
      <c r="AC2452" s="3664">
        <f t="shared" si="1053"/>
        <v>52</v>
      </c>
      <c r="AD2452" s="3664">
        <f t="shared" ref="AD2452" si="1058">(AB2452/L2452)*100</f>
        <v>36.379659556130143</v>
      </c>
      <c r="AE2452" s="3661" t="s">
        <v>4517</v>
      </c>
    </row>
    <row r="2453" spans="1:31" s="2117" customFormat="1" ht="60">
      <c r="A2453" s="3685"/>
      <c r="B2453" s="3686"/>
      <c r="C2453" s="36" t="s">
        <v>107</v>
      </c>
      <c r="D2453" s="36" t="s">
        <v>66</v>
      </c>
      <c r="E2453" s="36" t="s">
        <v>155</v>
      </c>
      <c r="F2453" s="36" t="s">
        <v>155</v>
      </c>
      <c r="G2453" s="36" t="s">
        <v>448</v>
      </c>
      <c r="H2453" s="3687" t="s">
        <v>2910</v>
      </c>
      <c r="I2453" s="3686" t="s">
        <v>4375</v>
      </c>
      <c r="J2453" s="3686" t="s">
        <v>4376</v>
      </c>
      <c r="K2453" s="3685">
        <v>100</v>
      </c>
      <c r="L2453" s="3688">
        <v>23205000</v>
      </c>
      <c r="M2453" s="3685">
        <v>32</v>
      </c>
      <c r="N2453" s="3688">
        <v>4973800</v>
      </c>
      <c r="O2453" s="3685">
        <v>20</v>
      </c>
      <c r="P2453" s="3688">
        <v>5878100</v>
      </c>
      <c r="Q2453" s="3685">
        <v>0</v>
      </c>
      <c r="R2453" s="3786">
        <v>0</v>
      </c>
      <c r="S2453" s="3685">
        <v>5</v>
      </c>
      <c r="T2453" s="3688">
        <f>1137500-R2453</f>
        <v>1137500</v>
      </c>
      <c r="U2453" s="3685">
        <v>10</v>
      </c>
      <c r="V2453" s="3828">
        <f>3468100-T2453-R2453</f>
        <v>2330600</v>
      </c>
      <c r="W2453" s="3685"/>
      <c r="X2453" s="3685"/>
      <c r="Y2453" s="3679">
        <f t="shared" si="1051"/>
        <v>15</v>
      </c>
      <c r="Z2453" s="3691">
        <f>R2453+T2453+V2453+X2453</f>
        <v>3468100</v>
      </c>
      <c r="AA2453" s="3679">
        <f t="shared" si="1052"/>
        <v>47</v>
      </c>
      <c r="AB2453" s="3691">
        <f t="shared" ref="AB2453" si="1059">N2453+Z2453</f>
        <v>8441900</v>
      </c>
      <c r="AC2453" s="3684">
        <f t="shared" si="1053"/>
        <v>47</v>
      </c>
      <c r="AD2453" s="3685"/>
      <c r="AE2453" s="3685" t="s">
        <v>4517</v>
      </c>
    </row>
    <row r="2454" spans="1:31" s="3829" customFormat="1" ht="111.75" customHeight="1">
      <c r="A2454" s="3657">
        <v>6</v>
      </c>
      <c r="B2454" s="3835"/>
      <c r="C2454" s="3659">
        <v>5</v>
      </c>
      <c r="D2454" s="3659" t="s">
        <v>107</v>
      </c>
      <c r="E2454" s="3659" t="s">
        <v>66</v>
      </c>
      <c r="F2454" s="3659" t="s">
        <v>155</v>
      </c>
      <c r="G2454" s="3659" t="s">
        <v>357</v>
      </c>
      <c r="H2454" s="3657"/>
      <c r="I2454" s="3660" t="s">
        <v>4378</v>
      </c>
      <c r="J2454" s="3660" t="s">
        <v>4379</v>
      </c>
      <c r="K2454" s="3657">
        <v>100</v>
      </c>
      <c r="L2454" s="3662">
        <f>SUM(L2455:L2455)</f>
        <v>29950000</v>
      </c>
      <c r="M2454" s="3657">
        <v>32</v>
      </c>
      <c r="N2454" s="3662">
        <f>SUM(N2455:N2455)</f>
        <v>21282500</v>
      </c>
      <c r="O2454" s="3657">
        <v>18</v>
      </c>
      <c r="P2454" s="3662">
        <f>SUM(P2455:P2455)</f>
        <v>12900000</v>
      </c>
      <c r="Q2454" s="3657">
        <v>0</v>
      </c>
      <c r="R2454" s="3662">
        <f>SUM(R2455:R2455)</f>
        <v>701200</v>
      </c>
      <c r="S2454" s="3657">
        <v>2</v>
      </c>
      <c r="T2454" s="3663">
        <f>SUM(T2455)</f>
        <v>2162500</v>
      </c>
      <c r="U2454" s="3664">
        <f>V2454/P2454*100</f>
        <v>4.4961240310077519</v>
      </c>
      <c r="V2454" s="3663">
        <f>SUM(V2455)</f>
        <v>580000</v>
      </c>
      <c r="W2454" s="3661"/>
      <c r="X2454" s="3661"/>
      <c r="Y2454" s="3836">
        <f t="shared" si="1051"/>
        <v>6.4961240310077519</v>
      </c>
      <c r="Z2454" s="3662">
        <f>SUM(Z2455:Z2455)</f>
        <v>3443700</v>
      </c>
      <c r="AA2454" s="3836">
        <f t="shared" si="1052"/>
        <v>38.496124031007753</v>
      </c>
      <c r="AB2454" s="3662">
        <f>SUM(AB2455:AB2455)</f>
        <v>24726200</v>
      </c>
      <c r="AC2454" s="3664">
        <f t="shared" si="1053"/>
        <v>38.496124031007753</v>
      </c>
      <c r="AD2454" s="3664">
        <f t="shared" ref="AD2454" si="1060">(AB2454/L2454)*100</f>
        <v>82.558263772954916</v>
      </c>
      <c r="AE2454" s="3661" t="s">
        <v>4517</v>
      </c>
    </row>
    <row r="2455" spans="1:31" s="6" customFormat="1" ht="105">
      <c r="A2455" s="18"/>
      <c r="B2455" s="15"/>
      <c r="C2455" s="36">
        <v>5</v>
      </c>
      <c r="D2455" s="36" t="s">
        <v>107</v>
      </c>
      <c r="E2455" s="36" t="s">
        <v>66</v>
      </c>
      <c r="F2455" s="36" t="s">
        <v>155</v>
      </c>
      <c r="G2455" s="36" t="s">
        <v>357</v>
      </c>
      <c r="H2455" s="35" t="s">
        <v>65</v>
      </c>
      <c r="I2455" s="15" t="s">
        <v>4380</v>
      </c>
      <c r="J2455" s="15" t="s">
        <v>4381</v>
      </c>
      <c r="K2455" s="3826">
        <v>60</v>
      </c>
      <c r="L2455" s="16">
        <v>29950000</v>
      </c>
      <c r="M2455" s="3826">
        <v>20</v>
      </c>
      <c r="N2455" s="16">
        <f>8850000+12432500</f>
        <v>21282500</v>
      </c>
      <c r="O2455" s="3826">
        <v>10</v>
      </c>
      <c r="P2455" s="16">
        <v>12900000</v>
      </c>
      <c r="Q2455" s="3826">
        <v>2</v>
      </c>
      <c r="R2455" s="16">
        <v>701200</v>
      </c>
      <c r="S2455" s="3826">
        <f>4-Q2455</f>
        <v>2</v>
      </c>
      <c r="T2455" s="3827">
        <f>2863700-R2455</f>
        <v>2162500</v>
      </c>
      <c r="U2455" s="3826">
        <v>2</v>
      </c>
      <c r="V2455" s="3827">
        <f>3443700-T2455-R2455</f>
        <v>580000</v>
      </c>
      <c r="W2455" s="15"/>
      <c r="X2455" s="15"/>
      <c r="Y2455" s="3826">
        <f t="shared" si="1051"/>
        <v>6</v>
      </c>
      <c r="Z2455" s="3691">
        <f>R2455+T2455+V2455+X2455</f>
        <v>3443700</v>
      </c>
      <c r="AA2455" s="3826">
        <f t="shared" si="1052"/>
        <v>26</v>
      </c>
      <c r="AB2455" s="3691">
        <f t="shared" ref="AB2455" si="1061">N2455+Z2455</f>
        <v>24726200</v>
      </c>
      <c r="AC2455" s="19">
        <f t="shared" si="1053"/>
        <v>43.333333333333336</v>
      </c>
      <c r="AD2455" s="19">
        <f>(AB2455/L2455)*100</f>
        <v>82.558263772954916</v>
      </c>
      <c r="AE2455" s="18" t="s">
        <v>4517</v>
      </c>
    </row>
    <row r="2456" spans="1:31" s="3802" customFormat="1" ht="99">
      <c r="A2456" s="3657">
        <v>7</v>
      </c>
      <c r="B2456" s="3835"/>
      <c r="C2456" s="3659">
        <v>5</v>
      </c>
      <c r="D2456" s="3659" t="s">
        <v>107</v>
      </c>
      <c r="E2456" s="3659" t="s">
        <v>66</v>
      </c>
      <c r="F2456" s="3659" t="s">
        <v>155</v>
      </c>
      <c r="G2456" s="3659" t="s">
        <v>67</v>
      </c>
      <c r="H2456" s="3657"/>
      <c r="I2456" s="3660" t="s">
        <v>2620</v>
      </c>
      <c r="J2456" s="3660" t="s">
        <v>4382</v>
      </c>
      <c r="K2456" s="3657">
        <v>100</v>
      </c>
      <c r="L2456" s="3662">
        <f>SUM(L2457:L2459)</f>
        <v>385180000</v>
      </c>
      <c r="M2456" s="3657">
        <v>36</v>
      </c>
      <c r="N2456" s="3662">
        <f>SUM(N2457:N2459)</f>
        <v>57740000</v>
      </c>
      <c r="O2456" s="3657">
        <v>20</v>
      </c>
      <c r="P2456" s="3662">
        <f>SUM(P2457:P2459)</f>
        <v>82999945</v>
      </c>
      <c r="Q2456" s="3657">
        <v>0</v>
      </c>
      <c r="R2456" s="3662">
        <f>SUM(R2457:R2459)</f>
        <v>0</v>
      </c>
      <c r="S2456" s="3657">
        <v>16</v>
      </c>
      <c r="T2456" s="3663">
        <f>SUM(T2457:T2459)</f>
        <v>27217500</v>
      </c>
      <c r="U2456" s="3664">
        <f>V2456/P2456*100</f>
        <v>2.3192786453051264</v>
      </c>
      <c r="V2456" s="3663">
        <f>SUM(V2457:V2459)</f>
        <v>1925000</v>
      </c>
      <c r="W2456" s="3661"/>
      <c r="X2456" s="3661"/>
      <c r="Y2456" s="3836">
        <f t="shared" si="1051"/>
        <v>18.319278645305126</v>
      </c>
      <c r="Z2456" s="3662">
        <f>SUM(Z2457:Z2459)</f>
        <v>29142500</v>
      </c>
      <c r="AA2456" s="3836">
        <f t="shared" si="1052"/>
        <v>54.319278645305126</v>
      </c>
      <c r="AB2456" s="3662">
        <f>SUM(AB2457:AB2459)</f>
        <v>86882500</v>
      </c>
      <c r="AC2456" s="3664">
        <f t="shared" si="1053"/>
        <v>54.319278645305126</v>
      </c>
      <c r="AD2456" s="3664">
        <f t="shared" ref="AD2456:AD2459" si="1062">(AB2456/L2456)*100</f>
        <v>22.556337296848227</v>
      </c>
      <c r="AE2456" s="3661" t="s">
        <v>4517</v>
      </c>
    </row>
    <row r="2457" spans="1:31" s="2117" customFormat="1" ht="50.25" customHeight="1">
      <c r="A2457" s="3679"/>
      <c r="B2457" s="3686"/>
      <c r="C2457" s="36">
        <v>5</v>
      </c>
      <c r="D2457" s="36" t="s">
        <v>107</v>
      </c>
      <c r="E2457" s="36" t="s">
        <v>66</v>
      </c>
      <c r="F2457" s="36" t="s">
        <v>155</v>
      </c>
      <c r="G2457" s="36" t="s">
        <v>67</v>
      </c>
      <c r="H2457" s="36" t="s">
        <v>66</v>
      </c>
      <c r="I2457" s="3686" t="s">
        <v>4383</v>
      </c>
      <c r="J2457" s="3686" t="s">
        <v>4384</v>
      </c>
      <c r="K2457" s="3679">
        <v>6</v>
      </c>
      <c r="L2457" s="3682">
        <v>170530000</v>
      </c>
      <c r="M2457" s="3679">
        <v>2</v>
      </c>
      <c r="N2457" s="3682">
        <f>31300000+26440000</f>
        <v>57740000</v>
      </c>
      <c r="O2457" s="3679">
        <v>1</v>
      </c>
      <c r="P2457" s="3682">
        <v>30000000</v>
      </c>
      <c r="Q2457" s="3679">
        <v>0</v>
      </c>
      <c r="R2457" s="3683">
        <v>0</v>
      </c>
      <c r="S2457" s="3679">
        <v>1</v>
      </c>
      <c r="T2457" s="3682">
        <v>27217500</v>
      </c>
      <c r="U2457" s="3679">
        <v>0</v>
      </c>
      <c r="V2457" s="3683">
        <f>29142500-T2457-R2457</f>
        <v>1925000</v>
      </c>
      <c r="W2457" s="2116"/>
      <c r="X2457" s="2116"/>
      <c r="Y2457" s="3679">
        <f t="shared" ref="Y2457:Z2459" si="1063">Q2457+S2457+U2457+W2457</f>
        <v>1</v>
      </c>
      <c r="Z2457" s="3691">
        <f>R2457+T2457+V2457+X2457</f>
        <v>29142500</v>
      </c>
      <c r="AA2457" s="3679">
        <f t="shared" ref="AA2457:AB2459" si="1064">M2457+Y2457</f>
        <v>3</v>
      </c>
      <c r="AB2457" s="3691">
        <f t="shared" si="1064"/>
        <v>86882500</v>
      </c>
      <c r="AC2457" s="3684">
        <f t="shared" ref="AC2457:AC2459" si="1065">(AA2457/K2457)*100</f>
        <v>50</v>
      </c>
      <c r="AD2457" s="3684">
        <f t="shared" si="1062"/>
        <v>50.948513458042576</v>
      </c>
      <c r="AE2457" s="2116" t="s">
        <v>4517</v>
      </c>
    </row>
    <row r="2458" spans="1:31" s="2117" customFormat="1" ht="49.5" customHeight="1">
      <c r="A2458" s="3679"/>
      <c r="B2458" s="3686"/>
      <c r="C2458" s="36">
        <v>5</v>
      </c>
      <c r="D2458" s="36" t="s">
        <v>107</v>
      </c>
      <c r="E2458" s="36" t="s">
        <v>66</v>
      </c>
      <c r="F2458" s="36" t="s">
        <v>155</v>
      </c>
      <c r="G2458" s="36" t="s">
        <v>67</v>
      </c>
      <c r="H2458" s="36" t="s">
        <v>161</v>
      </c>
      <c r="I2458" s="3686" t="s">
        <v>4385</v>
      </c>
      <c r="J2458" s="3686" t="s">
        <v>4384</v>
      </c>
      <c r="K2458" s="3679">
        <v>4</v>
      </c>
      <c r="L2458" s="3682">
        <v>165000000</v>
      </c>
      <c r="M2458" s="3679">
        <v>0</v>
      </c>
      <c r="N2458" s="3682">
        <v>0</v>
      </c>
      <c r="O2458" s="3679">
        <v>1</v>
      </c>
      <c r="P2458" s="3682">
        <v>3000000</v>
      </c>
      <c r="Q2458" s="3679">
        <v>0</v>
      </c>
      <c r="R2458" s="3683">
        <v>0</v>
      </c>
      <c r="S2458" s="3679">
        <v>0</v>
      </c>
      <c r="T2458" s="3682">
        <v>0</v>
      </c>
      <c r="U2458" s="3679">
        <v>0</v>
      </c>
      <c r="V2458" s="2116">
        <v>0</v>
      </c>
      <c r="W2458" s="2116"/>
      <c r="X2458" s="2116"/>
      <c r="Y2458" s="3679">
        <f t="shared" si="1063"/>
        <v>0</v>
      </c>
      <c r="Z2458" s="3691">
        <f t="shared" si="1063"/>
        <v>0</v>
      </c>
      <c r="AA2458" s="3679">
        <f t="shared" si="1064"/>
        <v>0</v>
      </c>
      <c r="AB2458" s="3691">
        <f t="shared" si="1064"/>
        <v>0</v>
      </c>
      <c r="AC2458" s="3684">
        <f t="shared" si="1065"/>
        <v>0</v>
      </c>
      <c r="AD2458" s="3684">
        <f t="shared" si="1062"/>
        <v>0</v>
      </c>
      <c r="AE2458" s="2116" t="s">
        <v>4517</v>
      </c>
    </row>
    <row r="2459" spans="1:31" s="6" customFormat="1" ht="60">
      <c r="A2459" s="3685"/>
      <c r="C2459" s="36">
        <v>5</v>
      </c>
      <c r="D2459" s="36" t="s">
        <v>107</v>
      </c>
      <c r="E2459" s="36" t="s">
        <v>66</v>
      </c>
      <c r="F2459" s="36" t="s">
        <v>155</v>
      </c>
      <c r="G2459" s="36" t="s">
        <v>67</v>
      </c>
      <c r="H2459" s="3687" t="s">
        <v>197</v>
      </c>
      <c r="I2459" s="3686" t="s">
        <v>4521</v>
      </c>
      <c r="J2459" s="3686" t="s">
        <v>4522</v>
      </c>
      <c r="K2459" s="3685">
        <v>4</v>
      </c>
      <c r="L2459" s="3688">
        <v>49650000</v>
      </c>
      <c r="M2459" s="3685">
        <v>0</v>
      </c>
      <c r="N2459" s="3682">
        <v>0</v>
      </c>
      <c r="O2459" s="3685">
        <v>1</v>
      </c>
      <c r="P2459" s="3688">
        <v>49999945</v>
      </c>
      <c r="Q2459" s="3685">
        <v>0</v>
      </c>
      <c r="R2459" s="3683">
        <v>0</v>
      </c>
      <c r="S2459" s="3685">
        <v>0</v>
      </c>
      <c r="T2459" s="3830">
        <v>0</v>
      </c>
      <c r="U2459" s="3685">
        <v>0</v>
      </c>
      <c r="V2459" s="3786">
        <v>0</v>
      </c>
      <c r="W2459" s="3685"/>
      <c r="X2459" s="3685"/>
      <c r="Y2459" s="3679">
        <f t="shared" si="1063"/>
        <v>0</v>
      </c>
      <c r="Z2459" s="3691">
        <f t="shared" si="1063"/>
        <v>0</v>
      </c>
      <c r="AA2459" s="3679">
        <f t="shared" si="1064"/>
        <v>0</v>
      </c>
      <c r="AB2459" s="3691">
        <f t="shared" si="1064"/>
        <v>0</v>
      </c>
      <c r="AC2459" s="3684">
        <f t="shared" si="1065"/>
        <v>0</v>
      </c>
      <c r="AD2459" s="3684">
        <f t="shared" si="1062"/>
        <v>0</v>
      </c>
      <c r="AE2459" s="3685" t="s">
        <v>4517</v>
      </c>
    </row>
    <row r="2460" spans="1:31" s="3802" customFormat="1" ht="99">
      <c r="A2460" s="3657">
        <v>8</v>
      </c>
      <c r="B2460" s="3835"/>
      <c r="C2460" s="3659">
        <v>5</v>
      </c>
      <c r="D2460" s="3659" t="s">
        <v>107</v>
      </c>
      <c r="E2460" s="3659" t="s">
        <v>66</v>
      </c>
      <c r="F2460" s="3659" t="s">
        <v>155</v>
      </c>
      <c r="G2460" s="3659" t="s">
        <v>1099</v>
      </c>
      <c r="H2460" s="3657"/>
      <c r="I2460" s="3660" t="s">
        <v>4387</v>
      </c>
      <c r="J2460" s="3660" t="s">
        <v>4388</v>
      </c>
      <c r="K2460" s="3657">
        <v>100</v>
      </c>
      <c r="L2460" s="3662">
        <f>SUM(L2461:L2467)</f>
        <v>589014724</v>
      </c>
      <c r="M2460" s="3657">
        <v>32</v>
      </c>
      <c r="N2460" s="3662">
        <f>SUM(N2461:N2467)</f>
        <v>168705850</v>
      </c>
      <c r="O2460" s="3657">
        <v>20</v>
      </c>
      <c r="P2460" s="3662">
        <f>SUM(P2461:P2467)</f>
        <v>80645850</v>
      </c>
      <c r="Q2460" s="3657">
        <v>0</v>
      </c>
      <c r="R2460" s="3662">
        <f>SUM(R2461:R2467)</f>
        <v>6452650</v>
      </c>
      <c r="S2460" s="3657">
        <v>5</v>
      </c>
      <c r="T2460" s="3662">
        <f>SUM(T2461:T2467)</f>
        <v>19593600</v>
      </c>
      <c r="U2460" s="3664">
        <f>V2460/P2460*100</f>
        <v>14.234210439842842</v>
      </c>
      <c r="V2460" s="3662">
        <f>SUM(V2461:V2467)</f>
        <v>11479300</v>
      </c>
      <c r="W2460" s="3661"/>
      <c r="X2460" s="3661"/>
      <c r="Y2460" s="3836">
        <f>Q2460+S2460+U2460+W2460</f>
        <v>19.23421043984284</v>
      </c>
      <c r="Z2460" s="3662">
        <f>SUM(Z2461:Z2467)</f>
        <v>37525550</v>
      </c>
      <c r="AA2460" s="3836">
        <f>M2460+Y2460</f>
        <v>51.23421043984284</v>
      </c>
      <c r="AB2460" s="3662">
        <f>SUM(AB2461:AB2467)</f>
        <v>206231400</v>
      </c>
      <c r="AC2460" s="3664">
        <f>(AA2460/K2460)*100</f>
        <v>51.23421043984284</v>
      </c>
      <c r="AD2460" s="3664">
        <f t="shared" ref="AD2460:AD2467" si="1066">(AB2460/L2460)*100</f>
        <v>35.012944769781342</v>
      </c>
      <c r="AE2460" s="3661" t="s">
        <v>4517</v>
      </c>
    </row>
    <row r="2461" spans="1:31" s="6" customFormat="1" ht="63" customHeight="1">
      <c r="A2461" s="3803"/>
      <c r="B2461" s="3678"/>
      <c r="C2461" s="36">
        <v>5</v>
      </c>
      <c r="D2461" s="36" t="s">
        <v>107</v>
      </c>
      <c r="E2461" s="36" t="s">
        <v>66</v>
      </c>
      <c r="F2461" s="36" t="s">
        <v>155</v>
      </c>
      <c r="G2461" s="36" t="s">
        <v>1099</v>
      </c>
      <c r="H2461" s="3804" t="s">
        <v>66</v>
      </c>
      <c r="I2461" s="3690" t="s">
        <v>4285</v>
      </c>
      <c r="J2461" s="3690" t="s">
        <v>4389</v>
      </c>
      <c r="K2461" s="3805">
        <v>60</v>
      </c>
      <c r="L2461" s="3691">
        <v>224265159</v>
      </c>
      <c r="M2461" s="3804">
        <v>20</v>
      </c>
      <c r="N2461" s="3806">
        <f>39286100+53909300</f>
        <v>93195400</v>
      </c>
      <c r="O2461" s="3805">
        <v>10</v>
      </c>
      <c r="P2461" s="3807">
        <v>41652200</v>
      </c>
      <c r="Q2461" s="3804">
        <v>1</v>
      </c>
      <c r="R2461" s="3691">
        <v>687500</v>
      </c>
      <c r="S2461" s="3805">
        <v>2</v>
      </c>
      <c r="T2461" s="3807">
        <f>16429700-R2461</f>
        <v>15742200</v>
      </c>
      <c r="U2461" s="3805">
        <v>2</v>
      </c>
      <c r="V2461" s="3807">
        <f>23929700-T2461-R2461</f>
        <v>7500000</v>
      </c>
      <c r="W2461" s="3803"/>
      <c r="X2461" s="3803"/>
      <c r="Y2461" s="3679">
        <f>Q2461+S2461+U2461+W2461</f>
        <v>5</v>
      </c>
      <c r="Z2461" s="3691">
        <f t="shared" ref="Z2461:Z2467" si="1067">R2461+T2461+V2461+X2461</f>
        <v>23929700</v>
      </c>
      <c r="AA2461" s="3679">
        <f t="shared" ref="AA2461:AB2467" si="1068">M2461+Y2461</f>
        <v>25</v>
      </c>
      <c r="AB2461" s="3691">
        <f t="shared" si="1068"/>
        <v>117125100</v>
      </c>
      <c r="AC2461" s="3684">
        <f t="shared" ref="AC2461:AC2467" si="1069">(AA2461/K2461)*100</f>
        <v>41.666666666666671</v>
      </c>
      <c r="AD2461" s="3684">
        <f t="shared" si="1066"/>
        <v>52.226168577527467</v>
      </c>
      <c r="AE2461" s="3803" t="s">
        <v>4517</v>
      </c>
    </row>
    <row r="2462" spans="1:31" s="6" customFormat="1" ht="75">
      <c r="A2462" s="3803"/>
      <c r="B2462" s="3678"/>
      <c r="C2462" s="36">
        <v>5</v>
      </c>
      <c r="D2462" s="36" t="s">
        <v>107</v>
      </c>
      <c r="E2462" s="36" t="s">
        <v>66</v>
      </c>
      <c r="F2462" s="36" t="s">
        <v>155</v>
      </c>
      <c r="G2462" s="36" t="s">
        <v>1099</v>
      </c>
      <c r="H2462" s="3804" t="s">
        <v>65</v>
      </c>
      <c r="I2462" s="3690" t="s">
        <v>4390</v>
      </c>
      <c r="J2462" s="3690" t="s">
        <v>4391</v>
      </c>
      <c r="K2462" s="3805">
        <v>6</v>
      </c>
      <c r="L2462" s="3831">
        <v>20003563</v>
      </c>
      <c r="M2462" s="3804">
        <v>2</v>
      </c>
      <c r="N2462" s="3806">
        <f>5362600+3050450</f>
        <v>8413050</v>
      </c>
      <c r="O2462" s="3805">
        <v>1</v>
      </c>
      <c r="P2462" s="3807">
        <v>4187400</v>
      </c>
      <c r="Q2462" s="3823">
        <v>0</v>
      </c>
      <c r="R2462" s="3691">
        <v>0</v>
      </c>
      <c r="S2462" s="3824">
        <v>0</v>
      </c>
      <c r="T2462" s="3691">
        <v>0</v>
      </c>
      <c r="U2462" s="3805">
        <v>0</v>
      </c>
      <c r="V2462" s="3803">
        <v>0</v>
      </c>
      <c r="W2462" s="3803"/>
      <c r="X2462" s="3803"/>
      <c r="Y2462" s="3679">
        <f t="shared" ref="Y2462:Y2467" si="1070">Q2462+S2462+U2462+W2462</f>
        <v>0</v>
      </c>
      <c r="Z2462" s="3691">
        <f t="shared" si="1067"/>
        <v>0</v>
      </c>
      <c r="AA2462" s="3679">
        <f t="shared" si="1068"/>
        <v>2</v>
      </c>
      <c r="AB2462" s="3691">
        <f t="shared" si="1068"/>
        <v>8413050</v>
      </c>
      <c r="AC2462" s="3684">
        <f t="shared" si="1069"/>
        <v>33.333333333333329</v>
      </c>
      <c r="AD2462" s="3684">
        <f t="shared" si="1066"/>
        <v>42.057757410517318</v>
      </c>
      <c r="AE2462" s="3803" t="s">
        <v>4517</v>
      </c>
    </row>
    <row r="2463" spans="1:31" s="6" customFormat="1" ht="105">
      <c r="A2463" s="3803"/>
      <c r="B2463" s="3678"/>
      <c r="C2463" s="36">
        <v>5</v>
      </c>
      <c r="D2463" s="36" t="s">
        <v>107</v>
      </c>
      <c r="E2463" s="36" t="s">
        <v>66</v>
      </c>
      <c r="F2463" s="36" t="s">
        <v>155</v>
      </c>
      <c r="G2463" s="36" t="s">
        <v>1099</v>
      </c>
      <c r="H2463" s="3804" t="s">
        <v>196</v>
      </c>
      <c r="I2463" s="3690" t="s">
        <v>4392</v>
      </c>
      <c r="J2463" s="3690" t="s">
        <v>4393</v>
      </c>
      <c r="K2463" s="3805">
        <v>6</v>
      </c>
      <c r="L2463" s="3691">
        <v>52402670</v>
      </c>
      <c r="M2463" s="3804">
        <v>2</v>
      </c>
      <c r="N2463" s="3806">
        <f>6505500+9884600</f>
        <v>16390100</v>
      </c>
      <c r="O2463" s="3805">
        <v>1</v>
      </c>
      <c r="P2463" s="3807">
        <v>6853550</v>
      </c>
      <c r="Q2463" s="3804">
        <v>1</v>
      </c>
      <c r="R2463" s="3691">
        <v>5139150</v>
      </c>
      <c r="S2463" s="3824">
        <v>0</v>
      </c>
      <c r="T2463" s="3807">
        <f>6614150-R2463</f>
        <v>1475000</v>
      </c>
      <c r="U2463" s="3805">
        <v>0</v>
      </c>
      <c r="V2463" s="3807">
        <f>6614150-T2463-R2463</f>
        <v>0</v>
      </c>
      <c r="W2463" s="3803"/>
      <c r="X2463" s="3803"/>
      <c r="Y2463" s="3679">
        <f t="shared" si="1070"/>
        <v>1</v>
      </c>
      <c r="Z2463" s="3691">
        <f t="shared" si="1067"/>
        <v>6614150</v>
      </c>
      <c r="AA2463" s="3679">
        <f t="shared" si="1068"/>
        <v>3</v>
      </c>
      <c r="AB2463" s="3691">
        <f t="shared" si="1068"/>
        <v>23004250</v>
      </c>
      <c r="AC2463" s="3684">
        <f t="shared" si="1069"/>
        <v>50</v>
      </c>
      <c r="AD2463" s="3684">
        <f t="shared" si="1066"/>
        <v>43.899003619472062</v>
      </c>
      <c r="AE2463" s="3803" t="s">
        <v>4517</v>
      </c>
    </row>
    <row r="2464" spans="1:31" s="6" customFormat="1" ht="90">
      <c r="A2464" s="3803"/>
      <c r="B2464" s="3678"/>
      <c r="C2464" s="36">
        <v>5</v>
      </c>
      <c r="D2464" s="36" t="s">
        <v>107</v>
      </c>
      <c r="E2464" s="36" t="s">
        <v>66</v>
      </c>
      <c r="F2464" s="36" t="s">
        <v>155</v>
      </c>
      <c r="G2464" s="36" t="s">
        <v>1099</v>
      </c>
      <c r="H2464" s="3804" t="s">
        <v>161</v>
      </c>
      <c r="I2464" s="3690" t="s">
        <v>4394</v>
      </c>
      <c r="J2464" s="3690" t="s">
        <v>4395</v>
      </c>
      <c r="K2464" s="3805">
        <v>72</v>
      </c>
      <c r="L2464" s="3691">
        <v>38314412</v>
      </c>
      <c r="M2464" s="3804">
        <v>24</v>
      </c>
      <c r="N2464" s="3806">
        <f>6992000+6261100</f>
        <v>13253100</v>
      </c>
      <c r="O2464" s="3805">
        <v>12</v>
      </c>
      <c r="P2464" s="3807">
        <v>5566300</v>
      </c>
      <c r="Q2464" s="3804">
        <v>3</v>
      </c>
      <c r="R2464" s="3691">
        <v>626000</v>
      </c>
      <c r="S2464" s="3824">
        <v>0</v>
      </c>
      <c r="T2464" s="3691">
        <v>0</v>
      </c>
      <c r="U2464" s="3805">
        <v>4</v>
      </c>
      <c r="V2464" s="3807">
        <f>3275300-T2464-R2464</f>
        <v>2649300</v>
      </c>
      <c r="W2464" s="3803"/>
      <c r="X2464" s="3803"/>
      <c r="Y2464" s="3679">
        <f t="shared" si="1070"/>
        <v>7</v>
      </c>
      <c r="Z2464" s="3691">
        <f t="shared" si="1067"/>
        <v>3275300</v>
      </c>
      <c r="AA2464" s="3679">
        <f t="shared" si="1068"/>
        <v>31</v>
      </c>
      <c r="AB2464" s="3691">
        <f t="shared" si="1068"/>
        <v>16528400</v>
      </c>
      <c r="AC2464" s="3684">
        <f t="shared" si="1069"/>
        <v>43.055555555555557</v>
      </c>
      <c r="AD2464" s="3684">
        <f t="shared" si="1066"/>
        <v>43.138858557975524</v>
      </c>
      <c r="AE2464" s="3803" t="s">
        <v>4517</v>
      </c>
    </row>
    <row r="2465" spans="1:256" s="6" customFormat="1" ht="75">
      <c r="A2465" s="3803"/>
      <c r="B2465" s="3678"/>
      <c r="C2465" s="36">
        <v>5</v>
      </c>
      <c r="D2465" s="36" t="s">
        <v>107</v>
      </c>
      <c r="E2465" s="36" t="s">
        <v>66</v>
      </c>
      <c r="F2465" s="36" t="s">
        <v>155</v>
      </c>
      <c r="G2465" s="36" t="s">
        <v>1099</v>
      </c>
      <c r="H2465" s="3804" t="s">
        <v>197</v>
      </c>
      <c r="I2465" s="3690" t="s">
        <v>4293</v>
      </c>
      <c r="J2465" s="3690" t="s">
        <v>4396</v>
      </c>
      <c r="K2465" s="3805">
        <v>150</v>
      </c>
      <c r="L2465" s="3691">
        <v>175208570</v>
      </c>
      <c r="M2465" s="3804">
        <v>50</v>
      </c>
      <c r="N2465" s="3806">
        <f>9200000+17995000</f>
        <v>27195000</v>
      </c>
      <c r="O2465" s="3805">
        <v>6</v>
      </c>
      <c r="P2465" s="3807">
        <v>5800000</v>
      </c>
      <c r="Q2465" s="3804">
        <v>0</v>
      </c>
      <c r="R2465" s="3691">
        <v>0</v>
      </c>
      <c r="S2465" s="3824">
        <v>0</v>
      </c>
      <c r="T2465" s="3691">
        <v>0</v>
      </c>
      <c r="U2465" s="3805">
        <v>2</v>
      </c>
      <c r="V2465" s="3807">
        <f>1150000-T2465-R2465</f>
        <v>1150000</v>
      </c>
      <c r="W2465" s="3803"/>
      <c r="X2465" s="3803"/>
      <c r="Y2465" s="3679">
        <f>Q2465+S2465+U2465+W2465</f>
        <v>2</v>
      </c>
      <c r="Z2465" s="3691">
        <f t="shared" si="1067"/>
        <v>1150000</v>
      </c>
      <c r="AA2465" s="3679">
        <f t="shared" si="1068"/>
        <v>52</v>
      </c>
      <c r="AB2465" s="3691">
        <f t="shared" si="1068"/>
        <v>28345000</v>
      </c>
      <c r="AC2465" s="3684">
        <f t="shared" si="1069"/>
        <v>34.666666666666671</v>
      </c>
      <c r="AD2465" s="3684">
        <f t="shared" si="1066"/>
        <v>16.17786161944019</v>
      </c>
      <c r="AE2465" s="3803" t="s">
        <v>4517</v>
      </c>
    </row>
    <row r="2466" spans="1:256" s="6" customFormat="1" ht="107.25" customHeight="1">
      <c r="A2466" s="3803"/>
      <c r="B2466" s="3678"/>
      <c r="C2466" s="36">
        <v>5</v>
      </c>
      <c r="D2466" s="36" t="s">
        <v>107</v>
      </c>
      <c r="E2466" s="36" t="s">
        <v>66</v>
      </c>
      <c r="F2466" s="36" t="s">
        <v>155</v>
      </c>
      <c r="G2466" s="36" t="s">
        <v>1099</v>
      </c>
      <c r="H2466" s="3804" t="s">
        <v>357</v>
      </c>
      <c r="I2466" s="15" t="s">
        <v>4523</v>
      </c>
      <c r="J2466" s="3690" t="s">
        <v>4524</v>
      </c>
      <c r="K2466" s="3805">
        <v>10</v>
      </c>
      <c r="L2466" s="3691">
        <v>30786000</v>
      </c>
      <c r="M2466" s="3804">
        <v>0</v>
      </c>
      <c r="N2466" s="3832">
        <v>0</v>
      </c>
      <c r="O2466" s="3805">
        <v>2</v>
      </c>
      <c r="P2466" s="3807">
        <v>6571400</v>
      </c>
      <c r="Q2466" s="3804">
        <v>0</v>
      </c>
      <c r="R2466" s="3691">
        <v>0</v>
      </c>
      <c r="S2466" s="3805">
        <v>1</v>
      </c>
      <c r="T2466" s="3691">
        <v>2376400</v>
      </c>
      <c r="U2466" s="3805">
        <v>0</v>
      </c>
      <c r="V2466" s="3807">
        <f>2556400-T2466-R2466</f>
        <v>180000</v>
      </c>
      <c r="W2466" s="3803"/>
      <c r="X2466" s="3803"/>
      <c r="Y2466" s="3679">
        <f t="shared" si="1070"/>
        <v>1</v>
      </c>
      <c r="Z2466" s="3691">
        <f t="shared" si="1067"/>
        <v>2556400</v>
      </c>
      <c r="AA2466" s="3679">
        <f>M2466+Y2466</f>
        <v>1</v>
      </c>
      <c r="AB2466" s="3691">
        <f t="shared" si="1068"/>
        <v>2556400</v>
      </c>
      <c r="AC2466" s="3684">
        <f t="shared" si="1069"/>
        <v>10</v>
      </c>
      <c r="AD2466" s="3684">
        <f t="shared" si="1066"/>
        <v>8.3037744429286029</v>
      </c>
      <c r="AE2466" s="3803" t="s">
        <v>4517</v>
      </c>
    </row>
    <row r="2467" spans="1:256" s="6" customFormat="1" ht="65.25" customHeight="1">
      <c r="A2467" s="3803"/>
      <c r="B2467" s="3678"/>
      <c r="C2467" s="36">
        <v>5</v>
      </c>
      <c r="D2467" s="36" t="s">
        <v>107</v>
      </c>
      <c r="E2467" s="36" t="s">
        <v>66</v>
      </c>
      <c r="F2467" s="36" t="s">
        <v>155</v>
      </c>
      <c r="G2467" s="36" t="s">
        <v>1099</v>
      </c>
      <c r="H2467" s="3804" t="s">
        <v>376</v>
      </c>
      <c r="I2467" s="7" t="s">
        <v>4397</v>
      </c>
      <c r="J2467" s="3690" t="s">
        <v>4398</v>
      </c>
      <c r="K2467" s="3805">
        <v>10</v>
      </c>
      <c r="L2467" s="3691">
        <v>48034350</v>
      </c>
      <c r="M2467" s="3804">
        <v>2</v>
      </c>
      <c r="N2467" s="3806">
        <v>10259200</v>
      </c>
      <c r="O2467" s="3805">
        <v>5</v>
      </c>
      <c r="P2467" s="3807">
        <v>10015000</v>
      </c>
      <c r="Q2467" s="3804">
        <v>0</v>
      </c>
      <c r="R2467" s="3691">
        <v>0</v>
      </c>
      <c r="S2467" s="3805">
        <v>0</v>
      </c>
      <c r="T2467" s="3803">
        <v>0</v>
      </c>
      <c r="U2467" s="3805">
        <v>0</v>
      </c>
      <c r="V2467" s="3803">
        <v>0</v>
      </c>
      <c r="W2467" s="3803"/>
      <c r="X2467" s="3803"/>
      <c r="Y2467" s="3679">
        <f t="shared" si="1070"/>
        <v>0</v>
      </c>
      <c r="Z2467" s="3691">
        <f t="shared" si="1067"/>
        <v>0</v>
      </c>
      <c r="AA2467" s="3679">
        <f>M2467+Y2467</f>
        <v>2</v>
      </c>
      <c r="AB2467" s="3691">
        <f t="shared" si="1068"/>
        <v>10259200</v>
      </c>
      <c r="AC2467" s="3684">
        <f t="shared" si="1069"/>
        <v>20</v>
      </c>
      <c r="AD2467" s="3684">
        <f t="shared" si="1066"/>
        <v>21.358048979532356</v>
      </c>
      <c r="AE2467" s="3803" t="s">
        <v>4517</v>
      </c>
    </row>
    <row r="2468" spans="1:256" s="6" customFormat="1" ht="82.5">
      <c r="A2468" s="3838">
        <v>9</v>
      </c>
      <c r="B2468" s="3838"/>
      <c r="C2468" s="3839">
        <v>5</v>
      </c>
      <c r="D2468" s="3839" t="s">
        <v>107</v>
      </c>
      <c r="E2468" s="3839" t="s">
        <v>66</v>
      </c>
      <c r="F2468" s="3839" t="s">
        <v>155</v>
      </c>
      <c r="G2468" s="3839" t="s">
        <v>293</v>
      </c>
      <c r="H2468" s="3838"/>
      <c r="I2468" s="3660" t="s">
        <v>4525</v>
      </c>
      <c r="J2468" s="3660" t="s">
        <v>4526</v>
      </c>
      <c r="K2468" s="3657">
        <v>10</v>
      </c>
      <c r="L2468" s="3662">
        <f>SUM(L2469)</f>
        <v>82379400</v>
      </c>
      <c r="M2468" s="3657">
        <v>0</v>
      </c>
      <c r="N2468" s="3662">
        <f>SUM(N2469)</f>
        <v>0</v>
      </c>
      <c r="O2468" s="3657">
        <v>2</v>
      </c>
      <c r="P2468" s="3662">
        <f>SUM(P2469)</f>
        <v>13729900</v>
      </c>
      <c r="Q2468" s="3657">
        <v>0</v>
      </c>
      <c r="R2468" s="3662">
        <f>SUM(R2469)</f>
        <v>0</v>
      </c>
      <c r="S2468" s="3657">
        <v>0</v>
      </c>
      <c r="T2468" s="3663">
        <f>SUM(T2469)</f>
        <v>500000</v>
      </c>
      <c r="U2468" s="3664">
        <f>V2468/P2468*100</f>
        <v>13.182907377329769</v>
      </c>
      <c r="V2468" s="3663">
        <f>SUM(V2469)</f>
        <v>1810000</v>
      </c>
      <c r="W2468" s="3661"/>
      <c r="X2468" s="3661"/>
      <c r="Y2468" s="3836">
        <f>Q2468+S2468+U2468+W2468</f>
        <v>13.182907377329769</v>
      </c>
      <c r="Z2468" s="3662">
        <f>SUM(Z2469)</f>
        <v>2310000</v>
      </c>
      <c r="AA2468" s="3836">
        <f>M2468+Y2468</f>
        <v>13.182907377329769</v>
      </c>
      <c r="AB2468" s="3662">
        <f>SUM(AB2469)</f>
        <v>2310000</v>
      </c>
      <c r="AC2468" s="3664">
        <f>(AA2468/K2468)*100</f>
        <v>131.82907377329769</v>
      </c>
      <c r="AD2468" s="3664">
        <f t="shared" ref="AD2468:AD2469" si="1071">(AB2468/L2468)*100</f>
        <v>2.8040990830231829</v>
      </c>
      <c r="AE2468" s="3661" t="s">
        <v>4517</v>
      </c>
    </row>
    <row r="2469" spans="1:256" s="6" customFormat="1" ht="135">
      <c r="A2469" s="8"/>
      <c r="B2469" s="3833"/>
      <c r="C2469" s="36">
        <v>5</v>
      </c>
      <c r="D2469" s="36" t="s">
        <v>107</v>
      </c>
      <c r="E2469" s="36" t="s">
        <v>66</v>
      </c>
      <c r="F2469" s="36" t="s">
        <v>155</v>
      </c>
      <c r="G2469" s="36" t="s">
        <v>293</v>
      </c>
      <c r="H2469" s="35" t="s">
        <v>196</v>
      </c>
      <c r="I2469" s="10" t="s">
        <v>4527</v>
      </c>
      <c r="J2469" s="10" t="s">
        <v>4528</v>
      </c>
      <c r="K2469" s="3834">
        <v>10</v>
      </c>
      <c r="L2469" s="11">
        <f>6*13729900</f>
        <v>82379400</v>
      </c>
      <c r="M2469" s="35">
        <v>0</v>
      </c>
      <c r="N2469" s="9">
        <v>0</v>
      </c>
      <c r="O2469" s="3834">
        <v>2</v>
      </c>
      <c r="P2469" s="12">
        <v>13729900</v>
      </c>
      <c r="Q2469" s="35">
        <v>0</v>
      </c>
      <c r="R2469" s="11">
        <v>0</v>
      </c>
      <c r="S2469" s="3834">
        <v>0</v>
      </c>
      <c r="T2469" s="11">
        <v>500000</v>
      </c>
      <c r="U2469" s="8">
        <v>1</v>
      </c>
      <c r="V2469" s="12">
        <f>2310000-T2469-R2469</f>
        <v>1810000</v>
      </c>
      <c r="W2469" s="8"/>
      <c r="X2469" s="8"/>
      <c r="Y2469" s="3834">
        <f>Q2469+S2469+U2469+W2469</f>
        <v>1</v>
      </c>
      <c r="Z2469" s="3691">
        <f t="shared" ref="Z2469" si="1072">R2469+T2469+V2469+X2469</f>
        <v>2310000</v>
      </c>
      <c r="AA2469" s="3834">
        <f>M2469+Y2469</f>
        <v>1</v>
      </c>
      <c r="AB2469" s="3691">
        <f t="shared" ref="AB2469" si="1073">N2469+Z2469</f>
        <v>2310000</v>
      </c>
      <c r="AC2469" s="13">
        <f>(AA2469/K2469)*100</f>
        <v>10</v>
      </c>
      <c r="AD2469" s="14">
        <f t="shared" si="1071"/>
        <v>2.8040990830231829</v>
      </c>
      <c r="AE2469" s="8" t="s">
        <v>4517</v>
      </c>
    </row>
    <row r="2470" spans="1:256" customFormat="1" ht="15">
      <c r="A2470" s="4264" t="s">
        <v>89</v>
      </c>
      <c r="B2470" s="4264"/>
      <c r="C2470" s="4265"/>
      <c r="D2470" s="4265"/>
      <c r="E2470" s="4265"/>
      <c r="F2470" s="4265"/>
      <c r="G2470" s="4265"/>
      <c r="H2470" s="4265"/>
      <c r="I2470" s="4265"/>
      <c r="J2470" s="4265"/>
      <c r="K2470" s="4265"/>
      <c r="L2470" s="4265"/>
      <c r="M2470" s="4265"/>
      <c r="N2470" s="4265"/>
      <c r="O2470" s="4265"/>
      <c r="P2470" s="4265"/>
      <c r="Q2470" s="4265"/>
      <c r="R2470" s="4265"/>
      <c r="S2470" s="4265"/>
      <c r="T2470" s="4265"/>
      <c r="U2470" s="4265"/>
      <c r="V2470" s="4265"/>
      <c r="W2470" s="4265"/>
      <c r="X2470" s="4265"/>
      <c r="Y2470" s="4265"/>
      <c r="Z2470" s="4265"/>
      <c r="AA2470" s="4265"/>
      <c r="AB2470" s="4265"/>
      <c r="AC2470" s="3784">
        <f>(AC2428+AC2442+AC2448+AC2450+AC2452+AC2454+AC2456+AC2460+AC2468)/9</f>
        <v>61.480789610974476</v>
      </c>
      <c r="AD2470" s="3784">
        <f>(AD2428+AD2442+AD2448+AD2450+AD2452+AD2454+AD2456+AD2460+AD2468)/9</f>
        <v>45.114107833183247</v>
      </c>
      <c r="AE2470" s="2116"/>
    </row>
    <row r="2471" spans="1:256" customFormat="1" ht="15">
      <c r="A2471" s="4264" t="s">
        <v>90</v>
      </c>
      <c r="B2471" s="4264"/>
      <c r="C2471" s="4265"/>
      <c r="D2471" s="4265"/>
      <c r="E2471" s="4265"/>
      <c r="F2471" s="4265"/>
      <c r="G2471" s="4265"/>
      <c r="H2471" s="4265"/>
      <c r="I2471" s="4265"/>
      <c r="J2471" s="4265"/>
      <c r="K2471" s="4265"/>
      <c r="L2471" s="4265"/>
      <c r="M2471" s="4265"/>
      <c r="N2471" s="4265"/>
      <c r="O2471" s="4265"/>
      <c r="P2471" s="4265"/>
      <c r="Q2471" s="4265"/>
      <c r="R2471" s="4265"/>
      <c r="S2471" s="4265"/>
      <c r="T2471" s="4265"/>
      <c r="U2471" s="4265"/>
      <c r="V2471" s="4265"/>
      <c r="W2471" s="4265"/>
      <c r="X2471" s="4265"/>
      <c r="Y2471" s="4265"/>
      <c r="Z2471" s="4265"/>
      <c r="AA2471" s="4265"/>
      <c r="AB2471" s="4265"/>
      <c r="AC2471" s="3689" t="str">
        <f>IF(AC2470&gt;=91,"ST",IF(AC2470&gt;=76,"T",IF(AC2470&gt;=66,"S",IF(AC2470&gt;=51,"R","SR"))))</f>
        <v>R</v>
      </c>
      <c r="AD2471" s="3689" t="str">
        <f>IF(AD2470&gt;=91,"ST",IF(AD2470&gt;=76,"T",IF(AD2470&gt;=66,"S",IF(AD2470&gt;=51,"R","SR"))))</f>
        <v>SR</v>
      </c>
      <c r="AE2471" s="2116"/>
    </row>
    <row r="2472" spans="1:256">
      <c r="A2472" s="4275"/>
      <c r="B2472" s="4276"/>
      <c r="C2472" s="4276"/>
      <c r="D2472" s="4276"/>
      <c r="E2472" s="4276"/>
      <c r="F2472" s="4276"/>
      <c r="G2472" s="4276"/>
      <c r="H2472" s="4276"/>
      <c r="I2472" s="4276"/>
      <c r="J2472" s="4276"/>
      <c r="K2472" s="4276"/>
      <c r="L2472" s="4276"/>
      <c r="M2472" s="4276"/>
      <c r="N2472" s="4276"/>
      <c r="O2472" s="4276"/>
      <c r="P2472" s="4276"/>
      <c r="Q2472" s="4276"/>
      <c r="R2472" s="4276"/>
      <c r="S2472" s="4276"/>
      <c r="T2472" s="4276"/>
      <c r="U2472" s="4276"/>
      <c r="V2472" s="4276"/>
      <c r="W2472" s="4276"/>
      <c r="X2472" s="4276"/>
      <c r="Y2472" s="4276"/>
      <c r="Z2472" s="4276"/>
      <c r="AA2472" s="4276"/>
      <c r="AB2472" s="4276"/>
      <c r="AC2472" s="4276"/>
      <c r="AD2472" s="4276"/>
      <c r="AE2472" s="4277"/>
      <c r="AF2472" s="475"/>
      <c r="AG2472" s="475"/>
      <c r="AH2472" s="475"/>
      <c r="AI2472" s="475"/>
      <c r="AJ2472" s="475"/>
      <c r="AK2472" s="475"/>
      <c r="AL2472" s="475"/>
      <c r="AM2472" s="475"/>
      <c r="AN2472" s="475"/>
      <c r="AO2472" s="475"/>
      <c r="AP2472" s="475"/>
      <c r="AQ2472" s="475"/>
      <c r="AR2472" s="475"/>
      <c r="AS2472" s="475"/>
      <c r="AT2472" s="475"/>
      <c r="AU2472" s="475"/>
      <c r="AV2472" s="475"/>
      <c r="AW2472" s="475"/>
      <c r="AX2472" s="475"/>
      <c r="AY2472" s="475"/>
      <c r="AZ2472" s="475"/>
      <c r="BA2472" s="475"/>
      <c r="BB2472" s="475"/>
      <c r="BC2472" s="475"/>
      <c r="BD2472" s="475"/>
      <c r="BE2472" s="475"/>
      <c r="BF2472" s="475"/>
      <c r="BG2472" s="475"/>
      <c r="BH2472" s="475"/>
      <c r="BI2472" s="475"/>
      <c r="BJ2472" s="475"/>
      <c r="BK2472" s="475"/>
      <c r="BL2472" s="475"/>
      <c r="BM2472" s="475"/>
      <c r="BN2472" s="475"/>
      <c r="BO2472" s="475"/>
      <c r="BP2472" s="475"/>
      <c r="BQ2472" s="475"/>
      <c r="BR2472" s="475"/>
      <c r="BS2472" s="475"/>
      <c r="BT2472" s="475"/>
      <c r="BU2472" s="475"/>
      <c r="BV2472" s="475"/>
      <c r="BW2472" s="475"/>
      <c r="BX2472" s="475"/>
      <c r="BY2472" s="475"/>
      <c r="BZ2472" s="475"/>
      <c r="CA2472" s="475"/>
      <c r="CB2472" s="475"/>
      <c r="CC2472" s="475"/>
      <c r="CD2472" s="475"/>
      <c r="CE2472" s="475"/>
      <c r="CF2472" s="475"/>
      <c r="CG2472" s="475"/>
      <c r="CH2472" s="475"/>
      <c r="CI2472" s="475"/>
      <c r="CJ2472" s="475"/>
      <c r="CK2472" s="475"/>
      <c r="CL2472" s="475"/>
      <c r="CM2472" s="475"/>
      <c r="CN2472" s="475"/>
      <c r="CO2472" s="475"/>
      <c r="CP2472" s="475"/>
      <c r="CQ2472" s="475"/>
      <c r="CR2472" s="475"/>
      <c r="CS2472" s="475"/>
      <c r="CT2472" s="475"/>
      <c r="CU2472" s="475"/>
      <c r="CV2472" s="475"/>
      <c r="CW2472" s="475"/>
      <c r="CX2472" s="475"/>
      <c r="CY2472" s="475"/>
      <c r="CZ2472" s="475"/>
      <c r="DA2472" s="475"/>
      <c r="DB2472" s="475"/>
      <c r="DC2472" s="475"/>
      <c r="DD2472" s="475"/>
      <c r="DE2472" s="475"/>
      <c r="DF2472" s="475"/>
      <c r="DG2472" s="475"/>
      <c r="DH2472" s="475"/>
      <c r="DI2472" s="475"/>
      <c r="DJ2472" s="475"/>
      <c r="DK2472" s="475"/>
      <c r="DL2472" s="475"/>
      <c r="DM2472" s="475"/>
      <c r="DN2472" s="475"/>
      <c r="DO2472" s="475"/>
      <c r="DP2472" s="475"/>
      <c r="DQ2472" s="475"/>
      <c r="DR2472" s="475"/>
      <c r="DS2472" s="475"/>
      <c r="DT2472" s="475"/>
      <c r="DU2472" s="475"/>
      <c r="DV2472" s="475"/>
      <c r="DW2472" s="475"/>
      <c r="DX2472" s="475"/>
      <c r="DY2472" s="475"/>
      <c r="DZ2472" s="475"/>
      <c r="EA2472" s="475"/>
      <c r="EB2472" s="475"/>
      <c r="EC2472" s="475"/>
      <c r="ED2472" s="475"/>
      <c r="EE2472" s="475"/>
      <c r="EF2472" s="475"/>
      <c r="EG2472" s="475"/>
      <c r="EH2472" s="475"/>
      <c r="EI2472" s="475"/>
      <c r="EJ2472" s="475"/>
      <c r="EK2472" s="475"/>
      <c r="EL2472" s="475"/>
      <c r="EM2472" s="475"/>
      <c r="EN2472" s="475"/>
      <c r="EO2472" s="475"/>
      <c r="EP2472" s="475"/>
      <c r="EQ2472" s="475"/>
      <c r="ER2472" s="475"/>
      <c r="ES2472" s="475"/>
      <c r="ET2472" s="475"/>
      <c r="EU2472" s="475"/>
      <c r="EV2472" s="475"/>
      <c r="EW2472" s="475"/>
      <c r="EX2472" s="475"/>
      <c r="EY2472" s="475"/>
      <c r="EZ2472" s="475"/>
      <c r="FA2472" s="475"/>
      <c r="FB2472" s="475"/>
      <c r="FC2472" s="475"/>
      <c r="FD2472" s="475"/>
      <c r="FE2472" s="475"/>
      <c r="FF2472" s="475"/>
      <c r="FG2472" s="475"/>
      <c r="FH2472" s="475"/>
      <c r="FI2472" s="475"/>
      <c r="FJ2472" s="475"/>
      <c r="FK2472" s="475"/>
      <c r="FL2472" s="475"/>
      <c r="FM2472" s="475"/>
      <c r="FN2472" s="475"/>
      <c r="FO2472" s="475"/>
      <c r="FP2472" s="475"/>
      <c r="FQ2472" s="475"/>
      <c r="FR2472" s="475"/>
      <c r="FS2472" s="475"/>
      <c r="FT2472" s="475"/>
      <c r="FU2472" s="475"/>
      <c r="FV2472" s="475"/>
      <c r="FW2472" s="475"/>
      <c r="FX2472" s="475"/>
      <c r="FY2472" s="475"/>
      <c r="FZ2472" s="475"/>
      <c r="GA2472" s="475"/>
      <c r="GB2472" s="475"/>
      <c r="GC2472" s="475"/>
      <c r="GD2472" s="475"/>
      <c r="GE2472" s="475"/>
      <c r="GF2472" s="475"/>
      <c r="GG2472" s="475"/>
      <c r="GH2472" s="475"/>
      <c r="GI2472" s="475"/>
      <c r="GJ2472" s="475"/>
      <c r="GK2472" s="475"/>
      <c r="GL2472" s="475"/>
      <c r="GM2472" s="475"/>
      <c r="GN2472" s="475"/>
      <c r="GO2472" s="475"/>
      <c r="GP2472" s="475"/>
      <c r="GQ2472" s="475"/>
      <c r="GR2472" s="475"/>
      <c r="GS2472" s="475"/>
      <c r="GT2472" s="475"/>
      <c r="GU2472" s="475"/>
      <c r="GV2472" s="475"/>
      <c r="GW2472" s="475"/>
      <c r="GX2472" s="475"/>
      <c r="GY2472" s="475"/>
      <c r="GZ2472" s="475"/>
      <c r="HA2472" s="475"/>
      <c r="HB2472" s="475"/>
      <c r="HC2472" s="475"/>
      <c r="HD2472" s="475"/>
      <c r="HE2472" s="475"/>
      <c r="HF2472" s="475"/>
      <c r="HG2472" s="475"/>
      <c r="HH2472" s="475"/>
      <c r="HI2472" s="475"/>
      <c r="HJ2472" s="475"/>
      <c r="HK2472" s="475"/>
      <c r="HL2472" s="475"/>
      <c r="HM2472" s="475"/>
      <c r="HN2472" s="475"/>
      <c r="HO2472" s="475"/>
      <c r="HP2472" s="475"/>
      <c r="HQ2472" s="475"/>
      <c r="HR2472" s="475"/>
      <c r="HS2472" s="475"/>
      <c r="HT2472" s="475"/>
      <c r="HU2472" s="475"/>
      <c r="HV2472" s="475"/>
      <c r="HW2472" s="475"/>
      <c r="HX2472" s="475"/>
      <c r="HY2472" s="475"/>
      <c r="HZ2472" s="475"/>
      <c r="IA2472" s="475"/>
      <c r="IB2472" s="475"/>
      <c r="IC2472" s="475"/>
      <c r="ID2472" s="475"/>
      <c r="IE2472" s="475"/>
      <c r="IF2472" s="475"/>
      <c r="IG2472" s="475"/>
      <c r="IH2472" s="475"/>
      <c r="II2472" s="475"/>
      <c r="IJ2472" s="475"/>
      <c r="IK2472" s="475"/>
      <c r="IL2472" s="475"/>
      <c r="IM2472" s="475"/>
      <c r="IN2472" s="475"/>
      <c r="IO2472" s="475"/>
      <c r="IP2472" s="475"/>
      <c r="IQ2472" s="475"/>
      <c r="IR2472" s="475"/>
      <c r="IS2472" s="475"/>
      <c r="IT2472" s="475"/>
      <c r="IU2472" s="475"/>
      <c r="IV2472" s="475"/>
    </row>
    <row r="2473" spans="1:256" ht="16.5">
      <c r="A2473" s="4272" t="s">
        <v>3602</v>
      </c>
      <c r="B2473" s="4272"/>
      <c r="C2473" s="4272"/>
      <c r="D2473" s="4272"/>
      <c r="E2473" s="4272"/>
      <c r="F2473" s="4272"/>
      <c r="G2473" s="4272"/>
      <c r="H2473" s="4272"/>
      <c r="I2473" s="4272"/>
      <c r="J2473" s="64" t="s">
        <v>3604</v>
      </c>
      <c r="K2473" s="3136"/>
      <c r="L2473" s="3136"/>
      <c r="M2473" s="3136"/>
      <c r="N2473" s="3136"/>
      <c r="O2473" s="3136"/>
      <c r="P2473" s="3136"/>
      <c r="Q2473" s="3136"/>
      <c r="R2473" s="64"/>
      <c r="S2473" s="64"/>
      <c r="T2473" s="64"/>
      <c r="U2473" s="64"/>
      <c r="V2473" s="2280"/>
      <c r="W2473" s="64"/>
      <c r="X2473" s="64"/>
      <c r="Y2473" s="3136"/>
      <c r="Z2473" s="2280"/>
      <c r="AA2473" s="3136"/>
      <c r="AB2473" s="2280"/>
      <c r="AC2473" s="3136"/>
      <c r="AD2473" s="3136"/>
      <c r="AE2473" s="3160"/>
    </row>
    <row r="2474" spans="1:256" ht="16.5">
      <c r="A2474" s="4272" t="s">
        <v>1517</v>
      </c>
      <c r="B2474" s="4272"/>
      <c r="C2474" s="4272"/>
      <c r="D2474" s="4272"/>
      <c r="E2474" s="4272"/>
      <c r="F2474" s="4272"/>
      <c r="G2474" s="4272"/>
      <c r="H2474" s="4272"/>
      <c r="I2474" s="4272"/>
      <c r="J2474" s="64" t="s">
        <v>3604</v>
      </c>
      <c r="K2474" s="3136"/>
      <c r="L2474" s="3136"/>
      <c r="M2474" s="3136"/>
      <c r="N2474" s="3136"/>
      <c r="O2474" s="3136"/>
      <c r="P2474" s="3136"/>
      <c r="Q2474" s="3136"/>
      <c r="R2474" s="64"/>
      <c r="S2474" s="64"/>
      <c r="T2474" s="64"/>
      <c r="U2474" s="64"/>
      <c r="V2474" s="2280"/>
      <c r="W2474" s="64"/>
      <c r="X2474" s="64"/>
      <c r="Y2474" s="3136"/>
      <c r="Z2474" s="2280"/>
      <c r="AA2474" s="3136"/>
      <c r="AB2474" s="2280"/>
      <c r="AC2474" s="3136" t="s">
        <v>3572</v>
      </c>
      <c r="AD2474" s="3136"/>
      <c r="AE2474" s="3160"/>
    </row>
    <row r="2475" spans="1:256" ht="16.5">
      <c r="A2475" s="4272" t="s">
        <v>1518</v>
      </c>
      <c r="B2475" s="4272"/>
      <c r="C2475" s="4272"/>
      <c r="D2475" s="4272"/>
      <c r="E2475" s="4272"/>
      <c r="F2475" s="4272"/>
      <c r="G2475" s="4272"/>
      <c r="H2475" s="4272"/>
      <c r="I2475" s="4272"/>
      <c r="J2475" s="64" t="s">
        <v>3604</v>
      </c>
      <c r="K2475" s="3136"/>
      <c r="L2475" s="3136"/>
      <c r="M2475" s="3136"/>
      <c r="N2475" s="3136"/>
      <c r="O2475" s="3136"/>
      <c r="P2475" s="3136"/>
      <c r="Q2475" s="3136"/>
      <c r="R2475" s="64"/>
      <c r="S2475" s="64"/>
      <c r="T2475" s="64"/>
      <c r="U2475" s="64"/>
      <c r="V2475" s="2280"/>
      <c r="W2475" s="64"/>
      <c r="X2475" s="64"/>
      <c r="Y2475" s="3136"/>
      <c r="Z2475" s="2280"/>
      <c r="AA2475" s="3136"/>
      <c r="AB2475" s="2280"/>
      <c r="AC2475" s="3136"/>
      <c r="AD2475" s="3136"/>
      <c r="AE2475" s="3160"/>
    </row>
    <row r="2476" spans="1:256" ht="16.5">
      <c r="A2476" s="4272" t="s">
        <v>3603</v>
      </c>
      <c r="B2476" s="4272"/>
      <c r="C2476" s="4272"/>
      <c r="D2476" s="4272"/>
      <c r="E2476" s="4272"/>
      <c r="F2476" s="4272"/>
      <c r="G2476" s="4272"/>
      <c r="H2476" s="4272"/>
      <c r="I2476" s="4272"/>
      <c r="J2476" s="64" t="s">
        <v>3604</v>
      </c>
      <c r="K2476" s="3136"/>
      <c r="L2476" s="3136"/>
      <c r="M2476" s="3136"/>
      <c r="N2476" s="3136"/>
      <c r="O2476" s="3136"/>
      <c r="P2476" s="3136"/>
      <c r="Q2476" s="3136"/>
      <c r="R2476" s="64"/>
      <c r="S2476" s="64"/>
      <c r="T2476" s="64"/>
      <c r="U2476" s="64"/>
      <c r="V2476" s="2280"/>
      <c r="W2476" s="64"/>
      <c r="X2476" s="64"/>
      <c r="Y2476" s="3136"/>
      <c r="Z2476" s="2280"/>
      <c r="AA2476" s="3136"/>
      <c r="AB2476" s="2280"/>
      <c r="AC2476" s="3136"/>
      <c r="AD2476" s="3136"/>
      <c r="AE2476" s="3160"/>
    </row>
    <row r="2479" spans="1:256" ht="23.25">
      <c r="S2479" s="4274" t="s">
        <v>4196</v>
      </c>
      <c r="T2479" s="4274"/>
      <c r="U2479" s="4274"/>
      <c r="V2479" s="4274"/>
      <c r="W2479" s="4274"/>
      <c r="X2479" s="4274"/>
      <c r="Y2479" s="4274"/>
      <c r="Z2479" s="3239"/>
      <c r="AA2479" s="3240"/>
      <c r="AB2479" s="4273" t="s">
        <v>4559</v>
      </c>
      <c r="AC2479" s="4273"/>
      <c r="AD2479" s="4273"/>
      <c r="AE2479" s="4273"/>
    </row>
    <row r="2480" spans="1:256" ht="23.25">
      <c r="S2480" s="4274" t="s">
        <v>4138</v>
      </c>
      <c r="T2480" s="4274"/>
      <c r="U2480" s="4274"/>
      <c r="V2480" s="4274"/>
      <c r="W2480" s="4274"/>
      <c r="X2480" s="4274"/>
      <c r="Y2480" s="4274"/>
      <c r="Z2480" s="3239"/>
      <c r="AA2480" s="3240"/>
      <c r="AB2480" s="4273" t="s">
        <v>4137</v>
      </c>
      <c r="AC2480" s="4273"/>
      <c r="AD2480" s="4273"/>
      <c r="AE2480" s="4273"/>
    </row>
    <row r="2481" spans="19:31" ht="23.25">
      <c r="S2481" s="4306" t="s">
        <v>103</v>
      </c>
      <c r="T2481" s="4306"/>
      <c r="U2481" s="4306"/>
      <c r="V2481" s="4306"/>
      <c r="W2481" s="4306"/>
      <c r="X2481" s="4306"/>
      <c r="Y2481" s="4306"/>
      <c r="Z2481" s="3239"/>
      <c r="AA2481" s="3240"/>
      <c r="AB2481" s="4270" t="s">
        <v>3605</v>
      </c>
      <c r="AC2481" s="4270"/>
      <c r="AD2481" s="4270"/>
      <c r="AE2481" s="4270"/>
    </row>
    <row r="2482" spans="19:31" ht="23.25">
      <c r="S2482" s="4274"/>
      <c r="T2482" s="4274"/>
      <c r="U2482" s="4274"/>
      <c r="V2482" s="4274"/>
      <c r="W2482" s="4274"/>
      <c r="X2482" s="4274"/>
      <c r="Y2482" s="4274"/>
      <c r="Z2482" s="3239"/>
      <c r="AA2482" s="3240"/>
      <c r="AB2482" s="4273"/>
      <c r="AC2482" s="4273"/>
      <c r="AD2482" s="4273"/>
      <c r="AE2482" s="4273"/>
    </row>
    <row r="2483" spans="19:31" ht="23.25">
      <c r="S2483" s="3241"/>
      <c r="T2483" s="3241"/>
      <c r="U2483" s="3241"/>
      <c r="V2483" s="3248"/>
      <c r="W2483" s="3241"/>
      <c r="X2483" s="3241"/>
      <c r="Y2483" s="3241"/>
      <c r="Z2483" s="3239"/>
      <c r="AA2483" s="3240"/>
      <c r="AB2483" s="3242"/>
      <c r="AC2483" s="3242"/>
      <c r="AD2483" s="3242"/>
      <c r="AE2483" s="3243"/>
    </row>
    <row r="2484" spans="19:31" ht="23.25">
      <c r="S2484" s="4274"/>
      <c r="T2484" s="4274"/>
      <c r="U2484" s="4274"/>
      <c r="V2484" s="4274"/>
      <c r="W2484" s="4274"/>
      <c r="X2484" s="4274"/>
      <c r="Y2484" s="4274"/>
      <c r="Z2484" s="3239"/>
      <c r="AA2484" s="3240"/>
      <c r="AB2484" s="4273"/>
      <c r="AC2484" s="4273"/>
      <c r="AD2484" s="4273"/>
      <c r="AE2484" s="4273"/>
    </row>
    <row r="2485" spans="19:31" ht="23.25">
      <c r="S2485" s="4274"/>
      <c r="T2485" s="4274"/>
      <c r="U2485" s="4274"/>
      <c r="V2485" s="4274"/>
      <c r="W2485" s="4274"/>
      <c r="X2485" s="4274"/>
      <c r="Y2485" s="4274"/>
      <c r="Z2485" s="3239"/>
      <c r="AA2485" s="3240"/>
      <c r="AB2485" s="4273"/>
      <c r="AC2485" s="4273"/>
      <c r="AD2485" s="4273"/>
      <c r="AE2485" s="4273"/>
    </row>
    <row r="2486" spans="19:31" ht="23.25">
      <c r="S2486" s="4307" t="s">
        <v>3607</v>
      </c>
      <c r="T2486" s="4307"/>
      <c r="U2486" s="4307"/>
      <c r="V2486" s="4307"/>
      <c r="W2486" s="4307"/>
      <c r="X2486" s="4307"/>
      <c r="Y2486" s="4307"/>
      <c r="Z2486" s="3239"/>
      <c r="AA2486" s="3240"/>
      <c r="AB2486" s="4270" t="s">
        <v>3606</v>
      </c>
      <c r="AC2486" s="4270"/>
      <c r="AD2486" s="4270"/>
      <c r="AE2486" s="4270"/>
    </row>
    <row r="2487" spans="19:31" ht="23.25">
      <c r="S2487" s="4274" t="s">
        <v>3608</v>
      </c>
      <c r="T2487" s="4274"/>
      <c r="U2487" s="4274"/>
      <c r="V2487" s="4274"/>
      <c r="W2487" s="4274"/>
      <c r="X2487" s="4274"/>
      <c r="Y2487" s="4274"/>
      <c r="Z2487" s="2799"/>
      <c r="AA2487" s="2800"/>
      <c r="AB2487" s="2799"/>
      <c r="AC2487" s="2800"/>
      <c r="AD2487" s="2800"/>
      <c r="AE2487" s="3190"/>
    </row>
  </sheetData>
  <mergeCells count="328">
    <mergeCell ref="A2016:AB2016"/>
    <mergeCell ref="A2017:AB2017"/>
    <mergeCell ref="A2051:AB2051"/>
    <mergeCell ref="A2052:AB2052"/>
    <mergeCell ref="A2180:AB2180"/>
    <mergeCell ref="A2181:AB2181"/>
    <mergeCell ref="A2302:AB2302"/>
    <mergeCell ref="A2303:AB2303"/>
    <mergeCell ref="A2383:AB2383"/>
    <mergeCell ref="A2345:AB2345"/>
    <mergeCell ref="AE805:AE807"/>
    <mergeCell ref="A832:AB832"/>
    <mergeCell ref="A1059:AB1059"/>
    <mergeCell ref="A1065:AB1065"/>
    <mergeCell ref="A1066:AB1066"/>
    <mergeCell ref="Z1213:Z1214"/>
    <mergeCell ref="A1357:AB1357"/>
    <mergeCell ref="A833:AB833"/>
    <mergeCell ref="A843:A846"/>
    <mergeCell ref="B843:B846"/>
    <mergeCell ref="C843:C846"/>
    <mergeCell ref="D843:D846"/>
    <mergeCell ref="E843:E846"/>
    <mergeCell ref="A1356:AB1356"/>
    <mergeCell ref="L1213:L1214"/>
    <mergeCell ref="A948:AB948"/>
    <mergeCell ref="A947:AB947"/>
    <mergeCell ref="A1058:AB1058"/>
    <mergeCell ref="A856:AB856"/>
    <mergeCell ref="F848:F853"/>
    <mergeCell ref="A1026:AB1026"/>
    <mergeCell ref="B836:B838"/>
    <mergeCell ref="A1114:AB1114"/>
    <mergeCell ref="X1213:X1214"/>
    <mergeCell ref="A857:AB857"/>
    <mergeCell ref="V1213:V1214"/>
    <mergeCell ref="A988:AB988"/>
    <mergeCell ref="A989:AB989"/>
    <mergeCell ref="A906:AB906"/>
    <mergeCell ref="A905:AB905"/>
    <mergeCell ref="I848:I853"/>
    <mergeCell ref="A1113:AB1113"/>
    <mergeCell ref="A1025:AB1025"/>
    <mergeCell ref="A1089:AB1089"/>
    <mergeCell ref="A1082:A1087"/>
    <mergeCell ref="B1082:B1087"/>
    <mergeCell ref="A1088:AB1088"/>
    <mergeCell ref="E848:E853"/>
    <mergeCell ref="D848:D853"/>
    <mergeCell ref="C848:C853"/>
    <mergeCell ref="B848:B853"/>
    <mergeCell ref="A848:A853"/>
    <mergeCell ref="G848:G853"/>
    <mergeCell ref="H848:H853"/>
    <mergeCell ref="A1167:AB1167"/>
    <mergeCell ref="A1168:AB1168"/>
    <mergeCell ref="A1191:AB1191"/>
    <mergeCell ref="A1192:AB1192"/>
    <mergeCell ref="S2487:Y2487"/>
    <mergeCell ref="S2484:Y2484"/>
    <mergeCell ref="S2485:Y2485"/>
    <mergeCell ref="AD1213:AD1214"/>
    <mergeCell ref="AB1213:AB1214"/>
    <mergeCell ref="N1213:N1214"/>
    <mergeCell ref="P1213:P1214"/>
    <mergeCell ref="R1213:R1214"/>
    <mergeCell ref="T1213:T1214"/>
    <mergeCell ref="AB2485:AE2485"/>
    <mergeCell ref="AB2486:AE2486"/>
    <mergeCell ref="A1551:AB1551"/>
    <mergeCell ref="P1244:P1245"/>
    <mergeCell ref="S2480:Y2480"/>
    <mergeCell ref="S2481:Y2481"/>
    <mergeCell ref="S2482:Y2482"/>
    <mergeCell ref="A1857:AB1857"/>
    <mergeCell ref="A1858:AB1858"/>
    <mergeCell ref="A2473:I2473"/>
    <mergeCell ref="S2486:Y2486"/>
    <mergeCell ref="AB2482:AE2482"/>
    <mergeCell ref="AB2484:AE2484"/>
    <mergeCell ref="X1244:X1245"/>
    <mergeCell ref="Z1244:Z1245"/>
    <mergeCell ref="H836:H838"/>
    <mergeCell ref="I836:I838"/>
    <mergeCell ref="C836:C838"/>
    <mergeCell ref="D836:D838"/>
    <mergeCell ref="A836:A838"/>
    <mergeCell ref="F843:F846"/>
    <mergeCell ref="G843:G846"/>
    <mergeCell ref="H843:H846"/>
    <mergeCell ref="I843:I846"/>
    <mergeCell ref="E836:E838"/>
    <mergeCell ref="F836:F838"/>
    <mergeCell ref="G836:G838"/>
    <mergeCell ref="F839:F840"/>
    <mergeCell ref="G839:G840"/>
    <mergeCell ref="H839:H840"/>
    <mergeCell ref="I839:I840"/>
    <mergeCell ref="A839:A840"/>
    <mergeCell ref="B839:B840"/>
    <mergeCell ref="C839:C840"/>
    <mergeCell ref="D839:D840"/>
    <mergeCell ref="E839:E840"/>
    <mergeCell ref="A805:A807"/>
    <mergeCell ref="B805:B807"/>
    <mergeCell ref="C805:C807"/>
    <mergeCell ref="D805:D807"/>
    <mergeCell ref="E805:E807"/>
    <mergeCell ref="F805:F807"/>
    <mergeCell ref="G805:G807"/>
    <mergeCell ref="H805:H807"/>
    <mergeCell ref="I805:I807"/>
    <mergeCell ref="A796:A797"/>
    <mergeCell ref="B796:B797"/>
    <mergeCell ref="C796:C797"/>
    <mergeCell ref="O799:O800"/>
    <mergeCell ref="M799:M800"/>
    <mergeCell ref="N799:N800"/>
    <mergeCell ref="AA801:AA802"/>
    <mergeCell ref="AC801:AC802"/>
    <mergeCell ref="V801:V802"/>
    <mergeCell ref="W801:W802"/>
    <mergeCell ref="X801:X802"/>
    <mergeCell ref="Y801:Y802"/>
    <mergeCell ref="Z801:Z802"/>
    <mergeCell ref="H801:H802"/>
    <mergeCell ref="I801:I802"/>
    <mergeCell ref="K801:K802"/>
    <mergeCell ref="L801:L802"/>
    <mergeCell ref="M801:M802"/>
    <mergeCell ref="O801:O802"/>
    <mergeCell ref="P801:P802"/>
    <mergeCell ref="E801:E802"/>
    <mergeCell ref="V799:V800"/>
    <mergeCell ref="W799:W800"/>
    <mergeCell ref="A801:A802"/>
    <mergeCell ref="B801:B802"/>
    <mergeCell ref="C801:C802"/>
    <mergeCell ref="D801:D802"/>
    <mergeCell ref="G799:G800"/>
    <mergeCell ref="H799:H800"/>
    <mergeCell ref="N801:N802"/>
    <mergeCell ref="Q801:Q802"/>
    <mergeCell ref="R801:R802"/>
    <mergeCell ref="S801:S802"/>
    <mergeCell ref="T801:T802"/>
    <mergeCell ref="U801:U802"/>
    <mergeCell ref="H796:H797"/>
    <mergeCell ref="F801:F802"/>
    <mergeCell ref="G801:G802"/>
    <mergeCell ref="K799:K800"/>
    <mergeCell ref="L799:L800"/>
    <mergeCell ref="A650:A651"/>
    <mergeCell ref="B650:B651"/>
    <mergeCell ref="A674:AB674"/>
    <mergeCell ref="A734:AB734"/>
    <mergeCell ref="B786:B787"/>
    <mergeCell ref="C786:C787"/>
    <mergeCell ref="D786:D787"/>
    <mergeCell ref="F786:F787"/>
    <mergeCell ref="G786:G787"/>
    <mergeCell ref="A781:AB781"/>
    <mergeCell ref="A782:AB782"/>
    <mergeCell ref="E786:E787"/>
    <mergeCell ref="A675:AB675"/>
    <mergeCell ref="A786:A787"/>
    <mergeCell ref="A688:AB688"/>
    <mergeCell ref="AB801:AB802"/>
    <mergeCell ref="I799:I800"/>
    <mergeCell ref="Z799:Z800"/>
    <mergeCell ref="H790:H792"/>
    <mergeCell ref="R799:R800"/>
    <mergeCell ref="S8:T8"/>
    <mergeCell ref="U8:V8"/>
    <mergeCell ref="W8:X8"/>
    <mergeCell ref="A218:AB218"/>
    <mergeCell ref="A219:AB219"/>
    <mergeCell ref="A509:AE509"/>
    <mergeCell ref="A423:AB423"/>
    <mergeCell ref="A424:AB424"/>
    <mergeCell ref="AC8:AD8"/>
    <mergeCell ref="AE98:AE99"/>
    <mergeCell ref="A203:AB203"/>
    <mergeCell ref="A204:AB204"/>
    <mergeCell ref="A371:AB371"/>
    <mergeCell ref="M8:N8"/>
    <mergeCell ref="O8:P8"/>
    <mergeCell ref="A425:AE425"/>
    <mergeCell ref="AE8:AE9"/>
    <mergeCell ref="A615:AB615"/>
    <mergeCell ref="S799:S800"/>
    <mergeCell ref="AE796:AE797"/>
    <mergeCell ref="T799:T800"/>
    <mergeCell ref="AE799:AE800"/>
    <mergeCell ref="A1334:AB1334"/>
    <mergeCell ref="A1372:AB1372"/>
    <mergeCell ref="A1:AE1"/>
    <mergeCell ref="A2:AE2"/>
    <mergeCell ref="A3:AE3"/>
    <mergeCell ref="Q6:X6"/>
    <mergeCell ref="Y6:Z7"/>
    <mergeCell ref="C6:H7"/>
    <mergeCell ref="AE6:AE7"/>
    <mergeCell ref="B6:B7"/>
    <mergeCell ref="A6:A7"/>
    <mergeCell ref="I6:I7"/>
    <mergeCell ref="J6:J7"/>
    <mergeCell ref="K6:L7"/>
    <mergeCell ref="M6:N7"/>
    <mergeCell ref="O6:P7"/>
    <mergeCell ref="AA6:AB7"/>
    <mergeCell ref="AC6:AD7"/>
    <mergeCell ref="S7:T7"/>
    <mergeCell ref="U7:V7"/>
    <mergeCell ref="B8:B9"/>
    <mergeCell ref="A109:AE109"/>
    <mergeCell ref="Y8:Z8"/>
    <mergeCell ref="A2474:I2474"/>
    <mergeCell ref="A2475:I2475"/>
    <mergeCell ref="A2476:I2476"/>
    <mergeCell ref="AB2479:AE2479"/>
    <mergeCell ref="AB2480:AE2480"/>
    <mergeCell ref="A2086:AB2086"/>
    <mergeCell ref="A1587:AB1587"/>
    <mergeCell ref="A1637:AB1637"/>
    <mergeCell ref="A1638:AB1638"/>
    <mergeCell ref="A1817:AB1817"/>
    <mergeCell ref="S2479:Y2479"/>
    <mergeCell ref="A2470:AB2470"/>
    <mergeCell ref="A2471:AB2471"/>
    <mergeCell ref="A2472:AE2472"/>
    <mergeCell ref="A2223:AB2223"/>
    <mergeCell ref="A2224:AB2224"/>
    <mergeCell ref="A2267:AB2267"/>
    <mergeCell ref="A2268:AB2268"/>
    <mergeCell ref="A2425:AB2425"/>
    <mergeCell ref="A2426:AB2426"/>
    <mergeCell ref="A1946:AB1946"/>
    <mergeCell ref="A1947:AB1947"/>
    <mergeCell ref="A1981:AB1981"/>
    <mergeCell ref="A2384:AB2384"/>
    <mergeCell ref="A1982:AB1982"/>
    <mergeCell ref="AB2481:AE2481"/>
    <mergeCell ref="A1588:AB1588"/>
    <mergeCell ref="W7:X7"/>
    <mergeCell ref="Q7:R7"/>
    <mergeCell ref="A689:AB689"/>
    <mergeCell ref="A476:AB476"/>
    <mergeCell ref="L1244:L1245"/>
    <mergeCell ref="N1244:N1245"/>
    <mergeCell ref="A1649:AB1649"/>
    <mergeCell ref="A1650:AB1650"/>
    <mergeCell ref="A8:A9"/>
    <mergeCell ref="C8:H9"/>
    <mergeCell ref="I8:I9"/>
    <mergeCell ref="A372:AB372"/>
    <mergeCell ref="A733:AB733"/>
    <mergeCell ref="A507:AB507"/>
    <mergeCell ref="A508:AB508"/>
    <mergeCell ref="I37:I39"/>
    <mergeCell ref="Q8:R8"/>
    <mergeCell ref="J8:J9"/>
    <mergeCell ref="K8:L8"/>
    <mergeCell ref="AA8:AB8"/>
    <mergeCell ref="A475:AB475"/>
    <mergeCell ref="I81:I82"/>
    <mergeCell ref="AD1244:AD1245"/>
    <mergeCell ref="A1418:AB1418"/>
    <mergeCell ref="A1419:AB1419"/>
    <mergeCell ref="A1481:AB1481"/>
    <mergeCell ref="A1816:AB1816"/>
    <mergeCell ref="A1911:AB1911"/>
    <mergeCell ref="A1912:AB1912"/>
    <mergeCell ref="A2344:AB2344"/>
    <mergeCell ref="A2135:AB2135"/>
    <mergeCell ref="A2136:AB2136"/>
    <mergeCell ref="A1480:AB1480"/>
    <mergeCell ref="A2087:AB2087"/>
    <mergeCell ref="A1373:AB1373"/>
    <mergeCell ref="A1380:AB1380"/>
    <mergeCell ref="A1381:AB1381"/>
    <mergeCell ref="A1550:AB1550"/>
    <mergeCell ref="AB1244:AB1245"/>
    <mergeCell ref="R1244:R1245"/>
    <mergeCell ref="T1244:T1245"/>
    <mergeCell ref="V1244:V1245"/>
    <mergeCell ref="A1267:AB1267"/>
    <mergeCell ref="A1268:AB1268"/>
    <mergeCell ref="A1333:AB1333"/>
    <mergeCell ref="AE1213:AE1214"/>
    <mergeCell ref="D796:D797"/>
    <mergeCell ref="G796:G797"/>
    <mergeCell ref="E796:E797"/>
    <mergeCell ref="F796:F797"/>
    <mergeCell ref="A799:A800"/>
    <mergeCell ref="B799:B800"/>
    <mergeCell ref="A1078:AB1078"/>
    <mergeCell ref="A1079:AB1079"/>
    <mergeCell ref="AD801:AD802"/>
    <mergeCell ref="AE801:AE802"/>
    <mergeCell ref="C799:C800"/>
    <mergeCell ref="D799:D800"/>
    <mergeCell ref="E799:E800"/>
    <mergeCell ref="F799:F800"/>
    <mergeCell ref="X799:X800"/>
    <mergeCell ref="AD799:AD800"/>
    <mergeCell ref="Y799:Y800"/>
    <mergeCell ref="P799:P800"/>
    <mergeCell ref="Q799:Q800"/>
    <mergeCell ref="AA799:AA800"/>
    <mergeCell ref="AB799:AB800"/>
    <mergeCell ref="AC799:AC800"/>
    <mergeCell ref="U799:U800"/>
    <mergeCell ref="AE786:AE787"/>
    <mergeCell ref="AE650:AE651"/>
    <mergeCell ref="I650:I651"/>
    <mergeCell ref="A107:AB107"/>
    <mergeCell ref="A108:AB108"/>
    <mergeCell ref="A580:AB580"/>
    <mergeCell ref="A581:AB581"/>
    <mergeCell ref="A616:AB616"/>
    <mergeCell ref="A540:AB540"/>
    <mergeCell ref="A631:AB631"/>
    <mergeCell ref="A632:AB632"/>
    <mergeCell ref="H786:H787"/>
    <mergeCell ref="I786:I787"/>
    <mergeCell ref="L786:L787"/>
    <mergeCell ref="A539:AB539"/>
  </mergeCells>
  <printOptions horizontalCentered="1"/>
  <pageMargins left="0" right="14608732.300000001" top="0.35" bottom="0.2" header="0.16" footer="0.14000000000000001"/>
  <pageSetup paperSize="258" scale="44" fitToWidth="0" fitToHeight="0" orientation="landscape" r:id="rId1"/>
</worksheet>
</file>

<file path=xl/worksheets/sheet2.xml><?xml version="1.0" encoding="utf-8"?>
<worksheet xmlns="http://schemas.openxmlformats.org/spreadsheetml/2006/main" xmlns:r="http://schemas.openxmlformats.org/officeDocument/2006/relationships">
  <dimension ref="A1:BN1837"/>
  <sheetViews>
    <sheetView topLeftCell="G10" zoomScale="80" zoomScaleNormal="80" workbookViewId="0">
      <pane ySplit="4" topLeftCell="A1046" activePane="bottomLeft" state="frozen"/>
      <selection activeCell="H10" sqref="H10"/>
      <selection pane="bottomLeft" activeCell="H1124" sqref="H1124"/>
    </sheetView>
  </sheetViews>
  <sheetFormatPr defaultRowHeight="12.75"/>
  <cols>
    <col min="1" max="1" width="5" style="54" customWidth="1"/>
    <col min="2" max="2" width="14.85546875" style="54" customWidth="1"/>
    <col min="3" max="5" width="3.28515625" style="54" customWidth="1"/>
    <col min="6" max="6" width="4" style="54" customWidth="1"/>
    <col min="7" max="7" width="3.42578125" style="54" customWidth="1"/>
    <col min="8" max="8" width="3.7109375" style="54" customWidth="1"/>
    <col min="9" max="9" width="23" style="54" customWidth="1"/>
    <col min="10" max="10" width="15.5703125" style="54" customWidth="1"/>
    <col min="11" max="11" width="8.7109375" style="54" customWidth="1"/>
    <col min="12" max="12" width="17.5703125" style="54" customWidth="1"/>
    <col min="13" max="13" width="9" style="54" customWidth="1"/>
    <col min="14" max="14" width="15.85546875" style="54" customWidth="1"/>
    <col min="15" max="15" width="9.28515625" style="54" customWidth="1"/>
    <col min="16" max="16" width="15.7109375" style="54" customWidth="1"/>
    <col min="17" max="17" width="8" style="54" customWidth="1"/>
    <col min="18" max="18" width="14.42578125" style="54" customWidth="1"/>
    <col min="19" max="19" width="5.28515625" style="54" customWidth="1"/>
    <col min="20" max="20" width="9.42578125" style="54" customWidth="1"/>
    <col min="21" max="21" width="5.28515625" style="54" customWidth="1"/>
    <col min="22" max="22" width="7.7109375" style="54" customWidth="1"/>
    <col min="23" max="23" width="5.28515625" style="54" customWidth="1"/>
    <col min="24" max="24" width="7.7109375" style="54" customWidth="1"/>
    <col min="25" max="25" width="8.85546875" style="149" customWidth="1"/>
    <col min="26" max="26" width="17.5703125" style="54" customWidth="1"/>
    <col min="27" max="27" width="10.140625" style="54" customWidth="1"/>
    <col min="28" max="28" width="15.85546875" style="54" customWidth="1"/>
    <col min="29" max="29" width="8.5703125" style="54" customWidth="1"/>
    <col min="30" max="30" width="9.42578125" style="54" customWidth="1"/>
    <col min="31" max="31" width="14.85546875" style="54" customWidth="1"/>
    <col min="32" max="16384" width="9.140625" style="54"/>
  </cols>
  <sheetData>
    <row r="1" spans="1:31">
      <c r="A1" s="4325" t="s">
        <v>111</v>
      </c>
      <c r="B1" s="4325"/>
      <c r="C1" s="4325"/>
      <c r="D1" s="4325"/>
      <c r="E1" s="4325"/>
      <c r="F1" s="4325"/>
      <c r="G1" s="4325"/>
      <c r="H1" s="4325"/>
      <c r="I1" s="4325"/>
      <c r="J1" s="4325"/>
      <c r="K1" s="4325"/>
      <c r="L1" s="4325"/>
      <c r="M1" s="4325"/>
      <c r="N1" s="4325"/>
      <c r="O1" s="4325"/>
      <c r="P1" s="4325"/>
      <c r="Q1" s="4325"/>
      <c r="R1" s="4325"/>
      <c r="S1" s="4325"/>
      <c r="T1" s="4325"/>
      <c r="U1" s="4325"/>
      <c r="V1" s="4325"/>
      <c r="W1" s="4325"/>
      <c r="X1" s="4325"/>
      <c r="Y1" s="4325"/>
      <c r="Z1" s="4325"/>
      <c r="AA1" s="4325"/>
      <c r="AB1" s="4325"/>
      <c r="AC1" s="4325"/>
      <c r="AD1" s="4325"/>
      <c r="AE1" s="4325"/>
    </row>
    <row r="2" spans="1:31">
      <c r="A2" s="4325" t="s">
        <v>104</v>
      </c>
      <c r="B2" s="4325"/>
      <c r="C2" s="4325"/>
      <c r="D2" s="4325"/>
      <c r="E2" s="4325"/>
      <c r="F2" s="4325"/>
      <c r="G2" s="4325"/>
      <c r="H2" s="4325"/>
      <c r="I2" s="4325"/>
      <c r="J2" s="4325"/>
      <c r="K2" s="4325"/>
      <c r="L2" s="4325"/>
      <c r="M2" s="4325"/>
      <c r="N2" s="4325"/>
      <c r="O2" s="4325"/>
      <c r="P2" s="4325"/>
      <c r="Q2" s="4325"/>
      <c r="R2" s="4325"/>
      <c r="S2" s="4325"/>
      <c r="T2" s="4325"/>
      <c r="U2" s="4325"/>
      <c r="V2" s="4325"/>
      <c r="W2" s="4325"/>
      <c r="X2" s="4325"/>
      <c r="Y2" s="4325"/>
      <c r="Z2" s="4325"/>
      <c r="AA2" s="4325"/>
      <c r="AB2" s="4325"/>
      <c r="AC2" s="4325"/>
      <c r="AD2" s="4325"/>
      <c r="AE2" s="4325"/>
    </row>
    <row r="3" spans="1:31">
      <c r="A3" s="4325" t="s">
        <v>112</v>
      </c>
      <c r="B3" s="4325"/>
      <c r="C3" s="4325"/>
      <c r="D3" s="4325"/>
      <c r="E3" s="4325"/>
      <c r="F3" s="4325"/>
      <c r="G3" s="4325"/>
      <c r="H3" s="4325"/>
      <c r="I3" s="4325"/>
      <c r="J3" s="4325"/>
      <c r="K3" s="4325"/>
      <c r="L3" s="4325"/>
      <c r="M3" s="4325"/>
      <c r="N3" s="4325"/>
      <c r="O3" s="4325"/>
      <c r="P3" s="4325"/>
      <c r="Q3" s="4325"/>
      <c r="R3" s="4325"/>
      <c r="S3" s="4325"/>
      <c r="T3" s="4325"/>
      <c r="U3" s="4325"/>
      <c r="V3" s="4325"/>
      <c r="W3" s="4325"/>
      <c r="X3" s="4325"/>
      <c r="Y3" s="4325"/>
      <c r="Z3" s="4325"/>
      <c r="AA3" s="4325"/>
      <c r="AB3" s="4325"/>
      <c r="AC3" s="4325"/>
      <c r="AD3" s="4325"/>
      <c r="AE3" s="4325"/>
    </row>
    <row r="5" spans="1:31">
      <c r="A5" s="55" t="s">
        <v>58</v>
      </c>
      <c r="B5" s="55"/>
      <c r="C5" s="55"/>
      <c r="D5" s="55"/>
      <c r="E5" s="55"/>
      <c r="F5" s="55"/>
      <c r="G5" s="55"/>
      <c r="H5" s="55"/>
      <c r="I5" s="55"/>
      <c r="J5" s="55"/>
      <c r="K5" s="55"/>
      <c r="L5" s="55"/>
      <c r="M5" s="55"/>
      <c r="N5" s="55"/>
      <c r="O5" s="55"/>
    </row>
    <row r="6" spans="1:31">
      <c r="A6" s="54">
        <v>1</v>
      </c>
    </row>
    <row r="7" spans="1:31">
      <c r="A7" s="54">
        <v>2</v>
      </c>
    </row>
    <row r="8" spans="1:31">
      <c r="A8" s="54">
        <v>3</v>
      </c>
    </row>
    <row r="10" spans="1:31" ht="83.25" customHeight="1">
      <c r="A10" s="4326" t="s">
        <v>1</v>
      </c>
      <c r="B10" s="4326" t="s">
        <v>2</v>
      </c>
      <c r="C10" s="4318" t="s">
        <v>60</v>
      </c>
      <c r="D10" s="4319"/>
      <c r="E10" s="4319"/>
      <c r="F10" s="4319"/>
      <c r="G10" s="4319"/>
      <c r="H10" s="4320"/>
      <c r="I10" s="4321" t="s">
        <v>124</v>
      </c>
      <c r="J10" s="4321" t="s">
        <v>118</v>
      </c>
      <c r="K10" s="4314" t="s">
        <v>121</v>
      </c>
      <c r="L10" s="4315"/>
      <c r="M10" s="4314" t="s">
        <v>127</v>
      </c>
      <c r="N10" s="4315"/>
      <c r="O10" s="4314" t="s">
        <v>119</v>
      </c>
      <c r="P10" s="4315"/>
      <c r="Q10" s="4318" t="s">
        <v>120</v>
      </c>
      <c r="R10" s="4319"/>
      <c r="S10" s="4319"/>
      <c r="T10" s="4319"/>
      <c r="U10" s="4319"/>
      <c r="V10" s="4319"/>
      <c r="W10" s="4319"/>
      <c r="X10" s="4320"/>
      <c r="Y10" s="4314" t="s">
        <v>129</v>
      </c>
      <c r="Z10" s="4315"/>
      <c r="AA10" s="4314" t="s">
        <v>128</v>
      </c>
      <c r="AB10" s="4315"/>
      <c r="AC10" s="4314" t="s">
        <v>125</v>
      </c>
      <c r="AD10" s="4315"/>
      <c r="AE10" s="4321" t="s">
        <v>126</v>
      </c>
    </row>
    <row r="11" spans="1:31" ht="13.5" customHeight="1">
      <c r="A11" s="4327"/>
      <c r="B11" s="4327"/>
      <c r="C11" s="4328"/>
      <c r="D11" s="4329"/>
      <c r="E11" s="4329"/>
      <c r="F11" s="4329"/>
      <c r="G11" s="4329"/>
      <c r="H11" s="4330"/>
      <c r="I11" s="4322"/>
      <c r="J11" s="4322"/>
      <c r="K11" s="4316"/>
      <c r="L11" s="4317"/>
      <c r="M11" s="4316"/>
      <c r="N11" s="4317"/>
      <c r="O11" s="4316"/>
      <c r="P11" s="4317"/>
      <c r="Q11" s="4323" t="s">
        <v>30</v>
      </c>
      <c r="R11" s="4324"/>
      <c r="S11" s="4323" t="s">
        <v>31</v>
      </c>
      <c r="T11" s="4324"/>
      <c r="U11" s="4323" t="s">
        <v>122</v>
      </c>
      <c r="V11" s="4324"/>
      <c r="W11" s="4323" t="s">
        <v>123</v>
      </c>
      <c r="X11" s="4324"/>
      <c r="Y11" s="4316"/>
      <c r="Z11" s="4317"/>
      <c r="AA11" s="4316"/>
      <c r="AB11" s="4317"/>
      <c r="AC11" s="4316"/>
      <c r="AD11" s="4317"/>
      <c r="AE11" s="4322"/>
    </row>
    <row r="12" spans="1:31" s="55" customFormat="1" ht="18" customHeight="1">
      <c r="A12" s="4353">
        <v>1</v>
      </c>
      <c r="B12" s="4353">
        <v>2</v>
      </c>
      <c r="C12" s="4344">
        <v>3</v>
      </c>
      <c r="D12" s="4355"/>
      <c r="E12" s="4355"/>
      <c r="F12" s="4355"/>
      <c r="G12" s="4355"/>
      <c r="H12" s="4345"/>
      <c r="I12" s="4353">
        <v>4</v>
      </c>
      <c r="J12" s="4353">
        <v>5</v>
      </c>
      <c r="K12" s="4344">
        <v>6</v>
      </c>
      <c r="L12" s="4345"/>
      <c r="M12" s="4344">
        <v>7</v>
      </c>
      <c r="N12" s="4345"/>
      <c r="O12" s="4344">
        <v>8</v>
      </c>
      <c r="P12" s="4345"/>
      <c r="Q12" s="4344">
        <v>9</v>
      </c>
      <c r="R12" s="4345"/>
      <c r="S12" s="4344">
        <v>10</v>
      </c>
      <c r="T12" s="4345"/>
      <c r="U12" s="4344">
        <v>11</v>
      </c>
      <c r="V12" s="4345"/>
      <c r="W12" s="4344">
        <v>12</v>
      </c>
      <c r="X12" s="4345"/>
      <c r="Y12" s="4344">
        <v>13</v>
      </c>
      <c r="Z12" s="4345"/>
      <c r="AA12" s="4344" t="s">
        <v>61</v>
      </c>
      <c r="AB12" s="4345"/>
      <c r="AC12" s="4344" t="s">
        <v>62</v>
      </c>
      <c r="AD12" s="4345"/>
      <c r="AE12" s="4346">
        <v>16</v>
      </c>
    </row>
    <row r="13" spans="1:31" s="55" customFormat="1" ht="18.75" customHeight="1">
      <c r="A13" s="4354"/>
      <c r="B13" s="4354"/>
      <c r="C13" s="4356"/>
      <c r="D13" s="4357"/>
      <c r="E13" s="4357"/>
      <c r="F13" s="4357"/>
      <c r="G13" s="4357"/>
      <c r="H13" s="4358"/>
      <c r="I13" s="4354"/>
      <c r="J13" s="4354"/>
      <c r="K13" s="66" t="s">
        <v>51</v>
      </c>
      <c r="L13" s="66" t="s">
        <v>72</v>
      </c>
      <c r="M13" s="66" t="s">
        <v>51</v>
      </c>
      <c r="N13" s="66" t="s">
        <v>72</v>
      </c>
      <c r="O13" s="66" t="s">
        <v>51</v>
      </c>
      <c r="P13" s="66" t="s">
        <v>72</v>
      </c>
      <c r="Q13" s="66" t="s">
        <v>51</v>
      </c>
      <c r="R13" s="66" t="s">
        <v>72</v>
      </c>
      <c r="S13" s="66" t="s">
        <v>51</v>
      </c>
      <c r="T13" s="66" t="s">
        <v>72</v>
      </c>
      <c r="U13" s="66" t="s">
        <v>51</v>
      </c>
      <c r="V13" s="66" t="s">
        <v>72</v>
      </c>
      <c r="W13" s="66" t="s">
        <v>51</v>
      </c>
      <c r="X13" s="66" t="s">
        <v>72</v>
      </c>
      <c r="Y13" s="66" t="s">
        <v>51</v>
      </c>
      <c r="Z13" s="66" t="s">
        <v>72</v>
      </c>
      <c r="AA13" s="66" t="s">
        <v>51</v>
      </c>
      <c r="AB13" s="66" t="s">
        <v>72</v>
      </c>
      <c r="AC13" s="66" t="s">
        <v>51</v>
      </c>
      <c r="AD13" s="66" t="s">
        <v>81</v>
      </c>
      <c r="AE13" s="4347"/>
    </row>
    <row r="14" spans="1:31" s="69" customFormat="1" ht="30" customHeight="1">
      <c r="A14" s="70"/>
      <c r="B14" s="70"/>
      <c r="C14" s="70"/>
      <c r="D14" s="70"/>
      <c r="E14" s="70"/>
      <c r="F14" s="70"/>
      <c r="G14" s="70"/>
      <c r="H14" s="70"/>
      <c r="I14" s="71" t="s">
        <v>113</v>
      </c>
      <c r="J14" s="70"/>
      <c r="K14" s="70"/>
      <c r="L14" s="70"/>
      <c r="M14" s="70"/>
      <c r="N14" s="70"/>
      <c r="O14" s="70"/>
      <c r="P14" s="70"/>
      <c r="Q14" s="70"/>
      <c r="R14" s="70"/>
      <c r="S14" s="70"/>
      <c r="T14" s="70"/>
      <c r="U14" s="70"/>
      <c r="V14" s="70"/>
      <c r="W14" s="70"/>
      <c r="X14" s="70"/>
      <c r="Y14" s="560"/>
      <c r="Z14" s="70"/>
      <c r="AA14" s="70"/>
      <c r="AB14" s="70"/>
      <c r="AC14" s="70"/>
      <c r="AD14" s="70"/>
      <c r="AE14" s="70"/>
    </row>
    <row r="15" spans="1:31" s="69" customFormat="1" ht="38.25" customHeight="1">
      <c r="A15" s="72"/>
      <c r="B15" s="72"/>
      <c r="C15" s="72"/>
      <c r="D15" s="72"/>
      <c r="E15" s="72"/>
      <c r="F15" s="72"/>
      <c r="G15" s="72"/>
      <c r="H15" s="72"/>
      <c r="I15" s="73" t="s">
        <v>114</v>
      </c>
      <c r="J15" s="72"/>
      <c r="K15" s="72"/>
      <c r="L15" s="72"/>
      <c r="M15" s="72"/>
      <c r="N15" s="72"/>
      <c r="O15" s="72"/>
      <c r="P15" s="72"/>
      <c r="Q15" s="72"/>
      <c r="R15" s="72"/>
      <c r="S15" s="72"/>
      <c r="T15" s="72"/>
      <c r="U15" s="72"/>
      <c r="V15" s="72"/>
      <c r="W15" s="72"/>
      <c r="X15" s="72"/>
      <c r="Y15" s="561"/>
      <c r="Z15" s="72"/>
      <c r="AA15" s="72"/>
      <c r="AB15" s="72"/>
      <c r="AC15" s="72"/>
      <c r="AD15" s="72"/>
      <c r="AE15" s="72"/>
    </row>
    <row r="16" spans="1:31" s="69" customFormat="1" ht="19.5" customHeight="1">
      <c r="A16" s="366" t="s">
        <v>30</v>
      </c>
      <c r="B16" s="67"/>
      <c r="C16" s="67"/>
      <c r="D16" s="67"/>
      <c r="E16" s="67"/>
      <c r="F16" s="67"/>
      <c r="G16" s="67"/>
      <c r="H16" s="67"/>
      <c r="I16" s="68" t="s">
        <v>115</v>
      </c>
      <c r="J16" s="67"/>
      <c r="K16" s="67"/>
      <c r="L16" s="67"/>
      <c r="M16" s="67"/>
      <c r="N16" s="67"/>
      <c r="O16" s="67"/>
      <c r="P16" s="67"/>
      <c r="Q16" s="67"/>
      <c r="R16" s="67"/>
      <c r="S16" s="67"/>
      <c r="T16" s="67"/>
      <c r="U16" s="67"/>
      <c r="V16" s="67"/>
      <c r="W16" s="67"/>
      <c r="X16" s="67"/>
      <c r="Y16" s="366"/>
      <c r="Z16" s="67"/>
      <c r="AA16" s="67"/>
      <c r="AB16" s="67"/>
      <c r="AC16" s="67"/>
      <c r="AD16" s="67"/>
      <c r="AE16" s="67"/>
    </row>
    <row r="17" spans="1:31" s="159" customFormat="1" ht="41.25" customHeight="1">
      <c r="A17" s="150">
        <v>1</v>
      </c>
      <c r="B17" s="150"/>
      <c r="C17" s="151" t="s">
        <v>66</v>
      </c>
      <c r="D17" s="151" t="s">
        <v>66</v>
      </c>
      <c r="E17" s="151" t="s">
        <v>66</v>
      </c>
      <c r="F17" s="151" t="s">
        <v>66</v>
      </c>
      <c r="G17" s="151" t="s">
        <v>66</v>
      </c>
      <c r="H17" s="150"/>
      <c r="I17" s="152" t="s">
        <v>221</v>
      </c>
      <c r="J17" s="152"/>
      <c r="K17" s="153">
        <f>O17*6</f>
        <v>97.005988023952085</v>
      </c>
      <c r="L17" s="154">
        <f t="shared" ref="L17:R17" si="0">SUM(L18:L33)</f>
        <v>15672819</v>
      </c>
      <c r="M17" s="153">
        <f>O17*2</f>
        <v>32.335329341317362</v>
      </c>
      <c r="N17" s="154">
        <f t="shared" si="0"/>
        <v>5600401</v>
      </c>
      <c r="O17" s="153">
        <f>189/1169*100</f>
        <v>16.167664670658681</v>
      </c>
      <c r="P17" s="155">
        <f t="shared" si="0"/>
        <v>2573167</v>
      </c>
      <c r="Q17" s="153">
        <f>O17/4</f>
        <v>4.0419161676646702</v>
      </c>
      <c r="R17" s="154">
        <f t="shared" si="0"/>
        <v>474602.25</v>
      </c>
      <c r="S17" s="156"/>
      <c r="T17" s="156"/>
      <c r="U17" s="156"/>
      <c r="V17" s="156"/>
      <c r="W17" s="156"/>
      <c r="X17" s="156"/>
      <c r="Y17" s="562">
        <f>Q17+S17+U17+W17</f>
        <v>4.0419161676646702</v>
      </c>
      <c r="Z17" s="158">
        <f>SUM(Z18:Z33)</f>
        <v>474606.375</v>
      </c>
      <c r="AA17" s="157">
        <f>M17+Y17</f>
        <v>36.377245508982028</v>
      </c>
      <c r="AB17" s="156">
        <f>SUM(AB18:AB33)</f>
        <v>6075007.375</v>
      </c>
      <c r="AC17" s="157">
        <f>(AA17/K17)*100</f>
        <v>37.499999999999993</v>
      </c>
      <c r="AD17" s="157">
        <f t="shared" ref="AD17:AD37" si="1">(AB17/L17)*100</f>
        <v>38.761421126601405</v>
      </c>
      <c r="AE17" s="152" t="s">
        <v>175</v>
      </c>
    </row>
    <row r="18" spans="1:31" s="159" customFormat="1" ht="51.75" customHeight="1">
      <c r="A18" s="160">
        <v>1</v>
      </c>
      <c r="B18" s="161"/>
      <c r="C18" s="162" t="s">
        <v>66</v>
      </c>
      <c r="D18" s="162" t="s">
        <v>66</v>
      </c>
      <c r="E18" s="162" t="s">
        <v>66</v>
      </c>
      <c r="F18" s="162" t="s">
        <v>66</v>
      </c>
      <c r="G18" s="162" t="s">
        <v>66</v>
      </c>
      <c r="H18" s="163" t="s">
        <v>65</v>
      </c>
      <c r="I18" s="164" t="s">
        <v>147</v>
      </c>
      <c r="J18" s="164" t="s">
        <v>229</v>
      </c>
      <c r="K18" s="160">
        <v>72</v>
      </c>
      <c r="L18" s="165">
        <v>657600</v>
      </c>
      <c r="M18" s="160">
        <v>24</v>
      </c>
      <c r="N18" s="166">
        <v>273600</v>
      </c>
      <c r="O18" s="160">
        <v>12</v>
      </c>
      <c r="P18" s="167">
        <v>96000</v>
      </c>
      <c r="Q18" s="160">
        <f>O18/4</f>
        <v>3</v>
      </c>
      <c r="R18" s="165">
        <v>15928</v>
      </c>
      <c r="S18" s="168"/>
      <c r="T18" s="169"/>
      <c r="U18" s="168"/>
      <c r="V18" s="168"/>
      <c r="W18" s="168"/>
      <c r="X18" s="168"/>
      <c r="Y18" s="160">
        <v>0</v>
      </c>
      <c r="Z18" s="165">
        <f>R18+T18+V18+X18</f>
        <v>15928</v>
      </c>
      <c r="AA18" s="168">
        <f>M18+Y18</f>
        <v>24</v>
      </c>
      <c r="AB18" s="165">
        <f>N18+Z18</f>
        <v>289528</v>
      </c>
      <c r="AC18" s="170">
        <f>(AA18/K18)*100</f>
        <v>33.333333333333329</v>
      </c>
      <c r="AD18" s="171">
        <f t="shared" si="1"/>
        <v>44.027980535279802</v>
      </c>
      <c r="AE18" s="161" t="s">
        <v>175</v>
      </c>
    </row>
    <row r="19" spans="1:31" s="159" customFormat="1" ht="41.25" customHeight="1">
      <c r="A19" s="160">
        <v>2</v>
      </c>
      <c r="B19" s="161"/>
      <c r="C19" s="162" t="s">
        <v>66</v>
      </c>
      <c r="D19" s="162" t="s">
        <v>66</v>
      </c>
      <c r="E19" s="162" t="s">
        <v>66</v>
      </c>
      <c r="F19" s="162" t="s">
        <v>66</v>
      </c>
      <c r="G19" s="162" t="s">
        <v>66</v>
      </c>
      <c r="H19" s="162" t="s">
        <v>198</v>
      </c>
      <c r="I19" s="161" t="s">
        <v>230</v>
      </c>
      <c r="J19" s="161" t="s">
        <v>231</v>
      </c>
      <c r="K19" s="172">
        <v>100</v>
      </c>
      <c r="L19" s="173">
        <f>P19*6</f>
        <v>890100</v>
      </c>
      <c r="M19" s="160">
        <v>24</v>
      </c>
      <c r="N19" s="174">
        <f>2*173498</f>
        <v>346996</v>
      </c>
      <c r="O19" s="172">
        <v>12</v>
      </c>
      <c r="P19" s="175">
        <v>148350</v>
      </c>
      <c r="Q19" s="160">
        <f>O19/4</f>
        <v>3</v>
      </c>
      <c r="R19" s="173">
        <f>P19/4</f>
        <v>37087.5</v>
      </c>
      <c r="S19" s="176"/>
      <c r="T19" s="169"/>
      <c r="U19" s="176"/>
      <c r="V19" s="176"/>
      <c r="W19" s="176"/>
      <c r="X19" s="176"/>
      <c r="Y19" s="160">
        <v>1</v>
      </c>
      <c r="Z19" s="165">
        <f t="shared" ref="Z19:Z33" si="2">R19+T19+V19+X19</f>
        <v>37087.5</v>
      </c>
      <c r="AA19" s="168">
        <f t="shared" ref="AA19:AB33" si="3">M19+Y19</f>
        <v>25</v>
      </c>
      <c r="AB19" s="165">
        <f t="shared" si="3"/>
        <v>384083.5</v>
      </c>
      <c r="AC19" s="170">
        <f t="shared" ref="AC19:AC33" si="4">(AA19/K19)*100</f>
        <v>25</v>
      </c>
      <c r="AD19" s="171">
        <f t="shared" si="1"/>
        <v>43.150601056061113</v>
      </c>
      <c r="AE19" s="161" t="s">
        <v>175</v>
      </c>
    </row>
    <row r="20" spans="1:31" s="159" customFormat="1" ht="33.75" customHeight="1">
      <c r="A20" s="160">
        <v>3</v>
      </c>
      <c r="B20" s="161"/>
      <c r="C20" s="162" t="s">
        <v>66</v>
      </c>
      <c r="D20" s="162" t="s">
        <v>66</v>
      </c>
      <c r="E20" s="162" t="s">
        <v>66</v>
      </c>
      <c r="F20" s="162" t="s">
        <v>66</v>
      </c>
      <c r="G20" s="162" t="s">
        <v>66</v>
      </c>
      <c r="H20" s="162" t="s">
        <v>93</v>
      </c>
      <c r="I20" s="161" t="s">
        <v>232</v>
      </c>
      <c r="J20" s="161" t="s">
        <v>233</v>
      </c>
      <c r="K20" s="172">
        <v>100</v>
      </c>
      <c r="L20" s="173">
        <f>P20*6</f>
        <v>193224</v>
      </c>
      <c r="M20" s="160">
        <v>24</v>
      </c>
      <c r="N20" s="174">
        <f>2*32299</f>
        <v>64598</v>
      </c>
      <c r="O20" s="172">
        <v>12</v>
      </c>
      <c r="P20" s="175">
        <v>32204</v>
      </c>
      <c r="Q20" s="160">
        <f t="shared" ref="Q20:R28" si="5">O20/4</f>
        <v>3</v>
      </c>
      <c r="R20" s="173">
        <f t="shared" si="5"/>
        <v>8051</v>
      </c>
      <c r="S20" s="176"/>
      <c r="T20" s="169"/>
      <c r="U20" s="176"/>
      <c r="V20" s="176"/>
      <c r="W20" s="176"/>
      <c r="X20" s="176"/>
      <c r="Y20" s="160">
        <v>2</v>
      </c>
      <c r="Z20" s="165">
        <f t="shared" si="2"/>
        <v>8051</v>
      </c>
      <c r="AA20" s="168">
        <f t="shared" si="3"/>
        <v>26</v>
      </c>
      <c r="AB20" s="165">
        <f t="shared" si="3"/>
        <v>72649</v>
      </c>
      <c r="AC20" s="170">
        <f t="shared" si="4"/>
        <v>26</v>
      </c>
      <c r="AD20" s="171">
        <f t="shared" si="1"/>
        <v>37.598331470210738</v>
      </c>
      <c r="AE20" s="161" t="s">
        <v>175</v>
      </c>
    </row>
    <row r="21" spans="1:31" s="159" customFormat="1" ht="41.25" customHeight="1">
      <c r="A21" s="160">
        <v>4</v>
      </c>
      <c r="B21" s="161"/>
      <c r="C21" s="162" t="s">
        <v>66</v>
      </c>
      <c r="D21" s="162" t="s">
        <v>66</v>
      </c>
      <c r="E21" s="162" t="s">
        <v>66</v>
      </c>
      <c r="F21" s="162" t="s">
        <v>66</v>
      </c>
      <c r="G21" s="162" t="s">
        <v>66</v>
      </c>
      <c r="H21" s="162" t="s">
        <v>202</v>
      </c>
      <c r="I21" s="161" t="s">
        <v>150</v>
      </c>
      <c r="J21" s="161" t="s">
        <v>234</v>
      </c>
      <c r="K21" s="172">
        <v>100</v>
      </c>
      <c r="L21" s="173">
        <f>P21*6</f>
        <v>183258</v>
      </c>
      <c r="M21" s="160">
        <v>24</v>
      </c>
      <c r="N21" s="174">
        <f>2*78000</f>
        <v>156000</v>
      </c>
      <c r="O21" s="172">
        <v>12</v>
      </c>
      <c r="P21" s="175">
        <v>30543</v>
      </c>
      <c r="Q21" s="160">
        <f t="shared" si="5"/>
        <v>3</v>
      </c>
      <c r="R21" s="173">
        <f t="shared" si="5"/>
        <v>7635.75</v>
      </c>
      <c r="S21" s="176"/>
      <c r="T21" s="169"/>
      <c r="U21" s="176"/>
      <c r="V21" s="176"/>
      <c r="W21" s="176"/>
      <c r="X21" s="176"/>
      <c r="Y21" s="160">
        <v>3</v>
      </c>
      <c r="Z21" s="165">
        <f t="shared" si="2"/>
        <v>7635.75</v>
      </c>
      <c r="AA21" s="168">
        <f t="shared" si="3"/>
        <v>27</v>
      </c>
      <c r="AB21" s="165">
        <f t="shared" si="3"/>
        <v>163635.75</v>
      </c>
      <c r="AC21" s="170">
        <f t="shared" si="4"/>
        <v>27</v>
      </c>
      <c r="AD21" s="171">
        <f t="shared" si="1"/>
        <v>89.292554758864554</v>
      </c>
      <c r="AE21" s="161" t="s">
        <v>175</v>
      </c>
    </row>
    <row r="22" spans="1:31" s="159" customFormat="1" ht="56.25" customHeight="1">
      <c r="A22" s="160">
        <v>5</v>
      </c>
      <c r="B22" s="161"/>
      <c r="C22" s="162" t="s">
        <v>66</v>
      </c>
      <c r="D22" s="162" t="s">
        <v>66</v>
      </c>
      <c r="E22" s="162" t="s">
        <v>66</v>
      </c>
      <c r="F22" s="162" t="s">
        <v>66</v>
      </c>
      <c r="G22" s="162" t="s">
        <v>66</v>
      </c>
      <c r="H22" s="162">
        <v>11</v>
      </c>
      <c r="I22" s="161" t="s">
        <v>235</v>
      </c>
      <c r="J22" s="161" t="s">
        <v>236</v>
      </c>
      <c r="K22" s="172">
        <v>100</v>
      </c>
      <c r="L22" s="173">
        <f>P22*6</f>
        <v>350190</v>
      </c>
      <c r="M22" s="160">
        <v>24</v>
      </c>
      <c r="N22" s="174">
        <f>2*133485</f>
        <v>266970</v>
      </c>
      <c r="O22" s="172">
        <v>12</v>
      </c>
      <c r="P22" s="175">
        <v>58365</v>
      </c>
      <c r="Q22" s="160">
        <f t="shared" si="5"/>
        <v>3</v>
      </c>
      <c r="R22" s="173">
        <f t="shared" si="5"/>
        <v>14591.25</v>
      </c>
      <c r="S22" s="176"/>
      <c r="T22" s="169"/>
      <c r="U22" s="176"/>
      <c r="V22" s="176"/>
      <c r="W22" s="176"/>
      <c r="X22" s="176"/>
      <c r="Y22" s="160">
        <v>4</v>
      </c>
      <c r="Z22" s="165">
        <f t="shared" si="2"/>
        <v>14591.25</v>
      </c>
      <c r="AA22" s="168">
        <f t="shared" si="3"/>
        <v>28</v>
      </c>
      <c r="AB22" s="165">
        <f t="shared" si="3"/>
        <v>281561.25</v>
      </c>
      <c r="AC22" s="170">
        <f t="shared" si="4"/>
        <v>28.000000000000004</v>
      </c>
      <c r="AD22" s="171">
        <f t="shared" si="1"/>
        <v>80.402424398183854</v>
      </c>
      <c r="AE22" s="161" t="s">
        <v>175</v>
      </c>
    </row>
    <row r="23" spans="1:31" s="159" customFormat="1" ht="41.25" customHeight="1">
      <c r="A23" s="160">
        <v>6</v>
      </c>
      <c r="B23" s="161"/>
      <c r="C23" s="162" t="s">
        <v>66</v>
      </c>
      <c r="D23" s="162" t="s">
        <v>66</v>
      </c>
      <c r="E23" s="162" t="s">
        <v>66</v>
      </c>
      <c r="F23" s="162" t="s">
        <v>66</v>
      </c>
      <c r="G23" s="162" t="s">
        <v>66</v>
      </c>
      <c r="H23" s="162">
        <v>12</v>
      </c>
      <c r="I23" s="161" t="s">
        <v>152</v>
      </c>
      <c r="J23" s="161" t="s">
        <v>237</v>
      </c>
      <c r="K23" s="172">
        <v>100</v>
      </c>
      <c r="L23" s="173">
        <f>P23*6</f>
        <v>180000</v>
      </c>
      <c r="M23" s="160">
        <v>24</v>
      </c>
      <c r="N23" s="174">
        <f>2*43000</f>
        <v>86000</v>
      </c>
      <c r="O23" s="172">
        <v>12</v>
      </c>
      <c r="P23" s="175">
        <v>30000</v>
      </c>
      <c r="Q23" s="160">
        <f t="shared" si="5"/>
        <v>3</v>
      </c>
      <c r="R23" s="173">
        <f t="shared" si="5"/>
        <v>7500</v>
      </c>
      <c r="S23" s="176"/>
      <c r="T23" s="169"/>
      <c r="U23" s="176"/>
      <c r="V23" s="176"/>
      <c r="W23" s="176"/>
      <c r="X23" s="176"/>
      <c r="Y23" s="160">
        <v>5</v>
      </c>
      <c r="Z23" s="165">
        <f t="shared" si="2"/>
        <v>7500</v>
      </c>
      <c r="AA23" s="168">
        <f t="shared" si="3"/>
        <v>29</v>
      </c>
      <c r="AB23" s="165">
        <f t="shared" si="3"/>
        <v>93500</v>
      </c>
      <c r="AC23" s="170">
        <f t="shared" si="4"/>
        <v>28.999999999999996</v>
      </c>
      <c r="AD23" s="171">
        <f t="shared" si="1"/>
        <v>51.94444444444445</v>
      </c>
      <c r="AE23" s="161" t="s">
        <v>175</v>
      </c>
    </row>
    <row r="24" spans="1:31" s="159" customFormat="1" ht="78.75" customHeight="1">
      <c r="A24" s="160">
        <v>7</v>
      </c>
      <c r="B24" s="161"/>
      <c r="C24" s="162" t="s">
        <v>66</v>
      </c>
      <c r="D24" s="162" t="s">
        <v>66</v>
      </c>
      <c r="E24" s="162" t="s">
        <v>66</v>
      </c>
      <c r="F24" s="162" t="s">
        <v>66</v>
      </c>
      <c r="G24" s="162" t="s">
        <v>66</v>
      </c>
      <c r="H24" s="163">
        <v>13</v>
      </c>
      <c r="I24" s="164" t="s">
        <v>238</v>
      </c>
      <c r="J24" s="161" t="s">
        <v>239</v>
      </c>
      <c r="K24" s="177">
        <v>6</v>
      </c>
      <c r="L24" s="178">
        <v>494150</v>
      </c>
      <c r="M24" s="177">
        <v>2</v>
      </c>
      <c r="N24" s="178">
        <v>314150</v>
      </c>
      <c r="O24" s="177">
        <v>1</v>
      </c>
      <c r="P24" s="179">
        <v>30000</v>
      </c>
      <c r="Q24" s="177">
        <v>0</v>
      </c>
      <c r="R24" s="178">
        <v>0</v>
      </c>
      <c r="S24" s="161"/>
      <c r="T24" s="169"/>
      <c r="U24" s="161"/>
      <c r="V24" s="161"/>
      <c r="W24" s="161"/>
      <c r="X24" s="161"/>
      <c r="Y24" s="160">
        <v>6</v>
      </c>
      <c r="Z24" s="165">
        <f t="shared" si="2"/>
        <v>0</v>
      </c>
      <c r="AA24" s="168">
        <f t="shared" si="3"/>
        <v>8</v>
      </c>
      <c r="AB24" s="165">
        <f t="shared" si="3"/>
        <v>314150</v>
      </c>
      <c r="AC24" s="170">
        <f t="shared" si="4"/>
        <v>133.33333333333331</v>
      </c>
      <c r="AD24" s="171">
        <f t="shared" si="1"/>
        <v>63.573813619346353</v>
      </c>
      <c r="AE24" s="161" t="s">
        <v>175</v>
      </c>
    </row>
    <row r="25" spans="1:31" s="159" customFormat="1" ht="41.25" customHeight="1">
      <c r="A25" s="160">
        <v>8</v>
      </c>
      <c r="B25" s="161"/>
      <c r="C25" s="162" t="s">
        <v>66</v>
      </c>
      <c r="D25" s="162" t="s">
        <v>66</v>
      </c>
      <c r="E25" s="162" t="s">
        <v>66</v>
      </c>
      <c r="F25" s="162" t="s">
        <v>66</v>
      </c>
      <c r="G25" s="162" t="s">
        <v>66</v>
      </c>
      <c r="H25" s="162">
        <v>15</v>
      </c>
      <c r="I25" s="161" t="s">
        <v>240</v>
      </c>
      <c r="J25" s="161" t="s">
        <v>241</v>
      </c>
      <c r="K25" s="172">
        <f>12*6</f>
        <v>72</v>
      </c>
      <c r="L25" s="173">
        <f>P25*6</f>
        <v>83400</v>
      </c>
      <c r="M25" s="172">
        <f>12*2</f>
        <v>24</v>
      </c>
      <c r="N25" s="174">
        <f>2*15000</f>
        <v>30000</v>
      </c>
      <c r="O25" s="172">
        <v>12</v>
      </c>
      <c r="P25" s="175">
        <v>13900</v>
      </c>
      <c r="Q25" s="160">
        <f t="shared" si="5"/>
        <v>3</v>
      </c>
      <c r="R25" s="173">
        <f t="shared" si="5"/>
        <v>3475</v>
      </c>
      <c r="S25" s="161"/>
      <c r="T25" s="169"/>
      <c r="U25" s="161"/>
      <c r="V25" s="161"/>
      <c r="W25" s="161"/>
      <c r="X25" s="161"/>
      <c r="Y25" s="160">
        <v>7</v>
      </c>
      <c r="Z25" s="165">
        <f t="shared" si="2"/>
        <v>3475</v>
      </c>
      <c r="AA25" s="168">
        <f t="shared" si="3"/>
        <v>31</v>
      </c>
      <c r="AB25" s="165">
        <f t="shared" si="3"/>
        <v>33475</v>
      </c>
      <c r="AC25" s="170">
        <f t="shared" si="4"/>
        <v>43.055555555555557</v>
      </c>
      <c r="AD25" s="171">
        <f t="shared" si="1"/>
        <v>40.137889688249402</v>
      </c>
      <c r="AE25" s="161" t="s">
        <v>175</v>
      </c>
    </row>
    <row r="26" spans="1:31" s="159" customFormat="1" ht="41.25" customHeight="1">
      <c r="A26" s="160">
        <v>9</v>
      </c>
      <c r="B26" s="161"/>
      <c r="C26" s="162" t="s">
        <v>66</v>
      </c>
      <c r="D26" s="162" t="s">
        <v>66</v>
      </c>
      <c r="E26" s="162" t="s">
        <v>66</v>
      </c>
      <c r="F26" s="162" t="s">
        <v>66</v>
      </c>
      <c r="G26" s="162" t="s">
        <v>66</v>
      </c>
      <c r="H26" s="162">
        <v>17</v>
      </c>
      <c r="I26" s="161" t="s">
        <v>242</v>
      </c>
      <c r="J26" s="161" t="s">
        <v>243</v>
      </c>
      <c r="K26" s="172">
        <f>12*6</f>
        <v>72</v>
      </c>
      <c r="L26" s="173">
        <f>P26*6</f>
        <v>483510</v>
      </c>
      <c r="M26" s="172">
        <f>12*2</f>
        <v>24</v>
      </c>
      <c r="N26" s="174">
        <f>2*115000</f>
        <v>230000</v>
      </c>
      <c r="O26" s="172">
        <v>12</v>
      </c>
      <c r="P26" s="175">
        <v>80585</v>
      </c>
      <c r="Q26" s="160">
        <f t="shared" si="5"/>
        <v>3</v>
      </c>
      <c r="R26" s="173">
        <f t="shared" si="5"/>
        <v>20146.25</v>
      </c>
      <c r="S26" s="161"/>
      <c r="T26" s="169"/>
      <c r="U26" s="161"/>
      <c r="V26" s="161"/>
      <c r="W26" s="161"/>
      <c r="X26" s="161"/>
      <c r="Y26" s="160">
        <v>8</v>
      </c>
      <c r="Z26" s="165">
        <f t="shared" si="2"/>
        <v>20146.25</v>
      </c>
      <c r="AA26" s="168">
        <f t="shared" si="3"/>
        <v>32</v>
      </c>
      <c r="AB26" s="165">
        <f t="shared" si="3"/>
        <v>250146.25</v>
      </c>
      <c r="AC26" s="170">
        <f t="shared" si="4"/>
        <v>44.444444444444443</v>
      </c>
      <c r="AD26" s="171">
        <f t="shared" si="1"/>
        <v>51.735486339475912</v>
      </c>
      <c r="AE26" s="161" t="s">
        <v>175</v>
      </c>
    </row>
    <row r="27" spans="1:31" s="159" customFormat="1" ht="41.25" customHeight="1">
      <c r="A27" s="160">
        <v>10</v>
      </c>
      <c r="B27" s="161"/>
      <c r="C27" s="162" t="s">
        <v>66</v>
      </c>
      <c r="D27" s="162" t="s">
        <v>66</v>
      </c>
      <c r="E27" s="162" t="s">
        <v>66</v>
      </c>
      <c r="F27" s="162" t="s">
        <v>66</v>
      </c>
      <c r="G27" s="162" t="s">
        <v>66</v>
      </c>
      <c r="H27" s="162">
        <v>18</v>
      </c>
      <c r="I27" s="161" t="s">
        <v>244</v>
      </c>
      <c r="J27" s="161" t="s">
        <v>245</v>
      </c>
      <c r="K27" s="172">
        <v>100</v>
      </c>
      <c r="L27" s="173">
        <f>P27*6</f>
        <v>1212300</v>
      </c>
      <c r="M27" s="172">
        <v>33</v>
      </c>
      <c r="N27" s="174">
        <f>2*219550</f>
        <v>439100</v>
      </c>
      <c r="O27" s="172">
        <f>M27/2</f>
        <v>16.5</v>
      </c>
      <c r="P27" s="175">
        <v>202050</v>
      </c>
      <c r="Q27" s="180">
        <f t="shared" si="5"/>
        <v>4.125</v>
      </c>
      <c r="R27" s="173">
        <f t="shared" si="5"/>
        <v>50512.5</v>
      </c>
      <c r="S27" s="161"/>
      <c r="T27" s="181">
        <f>O27/4</f>
        <v>4.125</v>
      </c>
      <c r="U27" s="161"/>
      <c r="V27" s="161"/>
      <c r="W27" s="161"/>
      <c r="X27" s="161"/>
      <c r="Y27" s="160">
        <v>9</v>
      </c>
      <c r="Z27" s="165">
        <f t="shared" si="2"/>
        <v>50516.625</v>
      </c>
      <c r="AA27" s="168">
        <f t="shared" si="3"/>
        <v>42</v>
      </c>
      <c r="AB27" s="165">
        <f t="shared" si="3"/>
        <v>489616.625</v>
      </c>
      <c r="AC27" s="170">
        <f t="shared" si="4"/>
        <v>42</v>
      </c>
      <c r="AD27" s="171">
        <f t="shared" si="1"/>
        <v>40.38741441887322</v>
      </c>
      <c r="AE27" s="161" t="s">
        <v>175</v>
      </c>
    </row>
    <row r="28" spans="1:31" s="159" customFormat="1" ht="41.25" customHeight="1">
      <c r="A28" s="160">
        <v>11</v>
      </c>
      <c r="B28" s="161"/>
      <c r="C28" s="162" t="s">
        <v>66</v>
      </c>
      <c r="D28" s="162" t="s">
        <v>66</v>
      </c>
      <c r="E28" s="162" t="s">
        <v>66</v>
      </c>
      <c r="F28" s="162" t="s">
        <v>66</v>
      </c>
      <c r="G28" s="162" t="s">
        <v>66</v>
      </c>
      <c r="H28" s="162">
        <v>20</v>
      </c>
      <c r="I28" s="161" t="s">
        <v>246</v>
      </c>
      <c r="J28" s="161" t="s">
        <v>247</v>
      </c>
      <c r="K28" s="182">
        <v>1</v>
      </c>
      <c r="L28" s="173">
        <f>P28*6</f>
        <v>612000</v>
      </c>
      <c r="M28" s="172">
        <v>33</v>
      </c>
      <c r="N28" s="174">
        <f>2*79250</f>
        <v>158500</v>
      </c>
      <c r="O28" s="172">
        <f>M28/2</f>
        <v>16.5</v>
      </c>
      <c r="P28" s="175">
        <v>102000</v>
      </c>
      <c r="Q28" s="180">
        <f t="shared" si="5"/>
        <v>4.125</v>
      </c>
      <c r="R28" s="173">
        <f t="shared" si="5"/>
        <v>25500</v>
      </c>
      <c r="S28" s="183"/>
      <c r="T28" s="184"/>
      <c r="U28" s="184"/>
      <c r="V28" s="184"/>
      <c r="W28" s="184"/>
      <c r="X28" s="183"/>
      <c r="Y28" s="160">
        <v>10</v>
      </c>
      <c r="Z28" s="165">
        <f t="shared" si="2"/>
        <v>25500</v>
      </c>
      <c r="AA28" s="168">
        <f t="shared" si="3"/>
        <v>43</v>
      </c>
      <c r="AB28" s="165">
        <f t="shared" si="3"/>
        <v>184000</v>
      </c>
      <c r="AC28" s="170">
        <f t="shared" si="4"/>
        <v>4300</v>
      </c>
      <c r="AD28" s="171">
        <f t="shared" si="1"/>
        <v>30.065359477124183</v>
      </c>
      <c r="AE28" s="161" t="s">
        <v>175</v>
      </c>
    </row>
    <row r="29" spans="1:31" s="159" customFormat="1" ht="41.25" customHeight="1">
      <c r="A29" s="160">
        <v>12</v>
      </c>
      <c r="B29" s="161"/>
      <c r="C29" s="162" t="s">
        <v>66</v>
      </c>
      <c r="D29" s="162" t="s">
        <v>66</v>
      </c>
      <c r="E29" s="162" t="s">
        <v>66</v>
      </c>
      <c r="F29" s="162" t="s">
        <v>66</v>
      </c>
      <c r="G29" s="162" t="s">
        <v>66</v>
      </c>
      <c r="H29" s="163">
        <v>22</v>
      </c>
      <c r="I29" s="185" t="s">
        <v>168</v>
      </c>
      <c r="J29" s="164" t="s">
        <v>248</v>
      </c>
      <c r="K29" s="160">
        <f>15*6</f>
        <v>90</v>
      </c>
      <c r="L29" s="186">
        <f>6*P29</f>
        <v>462000</v>
      </c>
      <c r="M29" s="163">
        <f>15*3</f>
        <v>45</v>
      </c>
      <c r="N29" s="187">
        <f>2*P29</f>
        <v>154000</v>
      </c>
      <c r="O29" s="160">
        <v>15</v>
      </c>
      <c r="P29" s="167">
        <v>77000</v>
      </c>
      <c r="Q29" s="163">
        <v>7</v>
      </c>
      <c r="R29" s="165">
        <v>0</v>
      </c>
      <c r="S29" s="168"/>
      <c r="T29" s="168"/>
      <c r="U29" s="168"/>
      <c r="V29" s="168"/>
      <c r="W29" s="168"/>
      <c r="X29" s="168"/>
      <c r="Y29" s="160">
        <v>11</v>
      </c>
      <c r="Z29" s="165">
        <f t="shared" si="2"/>
        <v>0</v>
      </c>
      <c r="AA29" s="168">
        <f t="shared" si="3"/>
        <v>56</v>
      </c>
      <c r="AB29" s="165">
        <f t="shared" si="3"/>
        <v>154000</v>
      </c>
      <c r="AC29" s="170">
        <f t="shared" si="4"/>
        <v>62.222222222222221</v>
      </c>
      <c r="AD29" s="171">
        <f t="shared" si="1"/>
        <v>33.333333333333329</v>
      </c>
      <c r="AE29" s="161" t="s">
        <v>175</v>
      </c>
    </row>
    <row r="30" spans="1:31" s="159" customFormat="1" ht="41.25" customHeight="1">
      <c r="A30" s="160">
        <v>13</v>
      </c>
      <c r="B30" s="161"/>
      <c r="C30" s="162" t="s">
        <v>66</v>
      </c>
      <c r="D30" s="162" t="s">
        <v>66</v>
      </c>
      <c r="E30" s="162" t="s">
        <v>66</v>
      </c>
      <c r="F30" s="162" t="s">
        <v>66</v>
      </c>
      <c r="G30" s="162" t="s">
        <v>66</v>
      </c>
      <c r="H30" s="162">
        <v>23</v>
      </c>
      <c r="I30" s="161" t="s">
        <v>249</v>
      </c>
      <c r="J30" s="161" t="s">
        <v>250</v>
      </c>
      <c r="K30" s="172">
        <v>100</v>
      </c>
      <c r="L30" s="173">
        <f>P30*6</f>
        <v>1432200</v>
      </c>
      <c r="M30" s="172">
        <v>33</v>
      </c>
      <c r="N30" s="174">
        <f>2*217800</f>
        <v>435600</v>
      </c>
      <c r="O30" s="172">
        <f>M30/2</f>
        <v>16.5</v>
      </c>
      <c r="P30" s="175">
        <v>238700</v>
      </c>
      <c r="Q30" s="180">
        <f>O30/4</f>
        <v>4.125</v>
      </c>
      <c r="R30" s="173">
        <f>P30/4</f>
        <v>59675</v>
      </c>
      <c r="S30" s="183"/>
      <c r="T30" s="184"/>
      <c r="U30" s="184"/>
      <c r="V30" s="184"/>
      <c r="W30" s="184"/>
      <c r="X30" s="183"/>
      <c r="Y30" s="160">
        <v>12</v>
      </c>
      <c r="Z30" s="165">
        <f t="shared" si="2"/>
        <v>59675</v>
      </c>
      <c r="AA30" s="168">
        <f t="shared" si="3"/>
        <v>45</v>
      </c>
      <c r="AB30" s="165">
        <f t="shared" si="3"/>
        <v>495275</v>
      </c>
      <c r="AC30" s="170">
        <f t="shared" si="4"/>
        <v>45</v>
      </c>
      <c r="AD30" s="171">
        <f t="shared" si="1"/>
        <v>34.581413210445469</v>
      </c>
      <c r="AE30" s="161" t="s">
        <v>175</v>
      </c>
    </row>
    <row r="31" spans="1:31" s="159" customFormat="1" ht="102" customHeight="1">
      <c r="A31" s="160">
        <v>14</v>
      </c>
      <c r="B31" s="161"/>
      <c r="C31" s="163">
        <v>3</v>
      </c>
      <c r="D31" s="163" t="s">
        <v>107</v>
      </c>
      <c r="E31" s="162" t="s">
        <v>65</v>
      </c>
      <c r="F31" s="163" t="s">
        <v>66</v>
      </c>
      <c r="G31" s="163" t="s">
        <v>67</v>
      </c>
      <c r="H31" s="163">
        <v>27</v>
      </c>
      <c r="I31" s="164" t="s">
        <v>251</v>
      </c>
      <c r="J31" s="161" t="s">
        <v>252</v>
      </c>
      <c r="K31" s="177">
        <v>6</v>
      </c>
      <c r="L31" s="188">
        <v>8071387</v>
      </c>
      <c r="M31" s="177">
        <v>2</v>
      </c>
      <c r="N31" s="178">
        <v>2547387</v>
      </c>
      <c r="O31" s="177">
        <v>1</v>
      </c>
      <c r="P31" s="179">
        <v>1381000</v>
      </c>
      <c r="Q31" s="177">
        <v>3</v>
      </c>
      <c r="R31" s="178">
        <v>224500</v>
      </c>
      <c r="S31" s="161"/>
      <c r="T31" s="169"/>
      <c r="U31" s="161"/>
      <c r="V31" s="161"/>
      <c r="W31" s="161"/>
      <c r="X31" s="161"/>
      <c r="Y31" s="160">
        <v>13</v>
      </c>
      <c r="Z31" s="165">
        <f t="shared" si="2"/>
        <v>224500</v>
      </c>
      <c r="AA31" s="168">
        <f t="shared" si="3"/>
        <v>15</v>
      </c>
      <c r="AB31" s="165">
        <f t="shared" si="3"/>
        <v>2771887</v>
      </c>
      <c r="AC31" s="170">
        <f t="shared" si="4"/>
        <v>250</v>
      </c>
      <c r="AD31" s="171">
        <f t="shared" si="1"/>
        <v>34.342139709073543</v>
      </c>
      <c r="AE31" s="161" t="s">
        <v>175</v>
      </c>
    </row>
    <row r="32" spans="1:31" s="159" customFormat="1" ht="66.75" customHeight="1">
      <c r="A32" s="160">
        <v>15</v>
      </c>
      <c r="B32" s="189"/>
      <c r="C32" s="190" t="s">
        <v>66</v>
      </c>
      <c r="D32" s="190" t="s">
        <v>66</v>
      </c>
      <c r="E32" s="190" t="s">
        <v>66</v>
      </c>
      <c r="F32" s="190" t="s">
        <v>66</v>
      </c>
      <c r="G32" s="190" t="s">
        <v>66</v>
      </c>
      <c r="H32" s="191">
        <v>33</v>
      </c>
      <c r="I32" s="189" t="s">
        <v>253</v>
      </c>
      <c r="J32" s="189" t="s">
        <v>254</v>
      </c>
      <c r="K32" s="177">
        <v>50</v>
      </c>
      <c r="L32" s="192">
        <f>37500*5</f>
        <v>187500</v>
      </c>
      <c r="M32" s="177">
        <v>20</v>
      </c>
      <c r="N32" s="192">
        <v>37500</v>
      </c>
      <c r="O32" s="177">
        <v>10</v>
      </c>
      <c r="P32" s="179">
        <v>22470</v>
      </c>
      <c r="Q32" s="177">
        <v>0</v>
      </c>
      <c r="R32" s="192">
        <v>0</v>
      </c>
      <c r="S32" s="189"/>
      <c r="T32" s="193"/>
      <c r="U32" s="189"/>
      <c r="V32" s="189"/>
      <c r="W32" s="189"/>
      <c r="X32" s="189"/>
      <c r="Y32" s="160">
        <v>14</v>
      </c>
      <c r="Z32" s="165">
        <f t="shared" si="2"/>
        <v>0</v>
      </c>
      <c r="AA32" s="168">
        <f t="shared" si="3"/>
        <v>34</v>
      </c>
      <c r="AB32" s="165">
        <f t="shared" si="3"/>
        <v>37500</v>
      </c>
      <c r="AC32" s="170">
        <f t="shared" si="4"/>
        <v>68</v>
      </c>
      <c r="AD32" s="171">
        <f t="shared" si="1"/>
        <v>20</v>
      </c>
      <c r="AE32" s="161" t="s">
        <v>175</v>
      </c>
    </row>
    <row r="33" spans="1:31" s="159" customFormat="1" ht="41.25" customHeight="1">
      <c r="A33" s="160">
        <v>16</v>
      </c>
      <c r="B33" s="161"/>
      <c r="C33" s="162" t="s">
        <v>66</v>
      </c>
      <c r="D33" s="162" t="s">
        <v>66</v>
      </c>
      <c r="E33" s="162" t="s">
        <v>66</v>
      </c>
      <c r="F33" s="162" t="s">
        <v>66</v>
      </c>
      <c r="G33" s="162" t="s">
        <v>66</v>
      </c>
      <c r="H33" s="162">
        <v>37</v>
      </c>
      <c r="I33" s="161" t="s">
        <v>255</v>
      </c>
      <c r="J33" s="161" t="s">
        <v>256</v>
      </c>
      <c r="K33" s="172">
        <v>100</v>
      </c>
      <c r="L33" s="173">
        <f>P33*6</f>
        <v>180000</v>
      </c>
      <c r="M33" s="172">
        <v>33</v>
      </c>
      <c r="N33" s="174">
        <f>2*30000</f>
        <v>60000</v>
      </c>
      <c r="O33" s="172">
        <f>M33/2</f>
        <v>16.5</v>
      </c>
      <c r="P33" s="175">
        <v>30000</v>
      </c>
      <c r="Q33" s="177">
        <v>0</v>
      </c>
      <c r="R33" s="192">
        <v>0</v>
      </c>
      <c r="S33" s="183"/>
      <c r="T33" s="184"/>
      <c r="U33" s="184"/>
      <c r="V33" s="184"/>
      <c r="W33" s="184"/>
      <c r="X33" s="183"/>
      <c r="Y33" s="160">
        <v>15</v>
      </c>
      <c r="Z33" s="165">
        <f t="shared" si="2"/>
        <v>0</v>
      </c>
      <c r="AA33" s="168">
        <f t="shared" si="3"/>
        <v>48</v>
      </c>
      <c r="AB33" s="165">
        <f t="shared" si="3"/>
        <v>60000</v>
      </c>
      <c r="AC33" s="170">
        <f t="shared" si="4"/>
        <v>48</v>
      </c>
      <c r="AD33" s="171">
        <f t="shared" si="1"/>
        <v>33.333333333333329</v>
      </c>
      <c r="AE33" s="161" t="s">
        <v>175</v>
      </c>
    </row>
    <row r="34" spans="1:31" s="159" customFormat="1" ht="41.25" customHeight="1">
      <c r="A34" s="195">
        <v>2</v>
      </c>
      <c r="B34" s="152"/>
      <c r="C34" s="151" t="s">
        <v>66</v>
      </c>
      <c r="D34" s="151" t="s">
        <v>66</v>
      </c>
      <c r="E34" s="151" t="s">
        <v>66</v>
      </c>
      <c r="F34" s="151" t="s">
        <v>66</v>
      </c>
      <c r="G34" s="151" t="s">
        <v>65</v>
      </c>
      <c r="H34" s="196"/>
      <c r="I34" s="197" t="s">
        <v>257</v>
      </c>
      <c r="J34" s="198"/>
      <c r="K34" s="195">
        <v>100</v>
      </c>
      <c r="L34" s="199">
        <f t="shared" ref="L34:R34" si="6">SUM(L35:L37)</f>
        <v>1287624</v>
      </c>
      <c r="M34" s="195">
        <v>33</v>
      </c>
      <c r="N34" s="199">
        <f t="shared" si="6"/>
        <v>399418</v>
      </c>
      <c r="O34" s="195">
        <v>16.5</v>
      </c>
      <c r="P34" s="200">
        <f t="shared" si="6"/>
        <v>214604</v>
      </c>
      <c r="Q34" s="201">
        <v>4</v>
      </c>
      <c r="R34" s="195">
        <f t="shared" si="6"/>
        <v>44901</v>
      </c>
      <c r="S34" s="202"/>
      <c r="T34" s="202"/>
      <c r="U34" s="202"/>
      <c r="V34" s="202"/>
      <c r="W34" s="202"/>
      <c r="X34" s="202"/>
      <c r="Y34" s="150">
        <f>Q34+S34+U34+W34</f>
        <v>4</v>
      </c>
      <c r="Z34" s="158">
        <f>SUM(Z35:Z37)</f>
        <v>44901</v>
      </c>
      <c r="AA34" s="203">
        <f>M34+Y34</f>
        <v>37</v>
      </c>
      <c r="AB34" s="156">
        <f>SUM(AB35:AB37)</f>
        <v>444319</v>
      </c>
      <c r="AC34" s="157">
        <f>(AA34/K34)*100</f>
        <v>37</v>
      </c>
      <c r="AD34" s="157">
        <f t="shared" si="1"/>
        <v>34.506890210185581</v>
      </c>
      <c r="AE34" s="161" t="s">
        <v>175</v>
      </c>
    </row>
    <row r="35" spans="1:31" s="159" customFormat="1" ht="41.25" customHeight="1">
      <c r="A35" s="160">
        <v>1</v>
      </c>
      <c r="B35" s="161"/>
      <c r="C35" s="162" t="s">
        <v>66</v>
      </c>
      <c r="D35" s="162" t="s">
        <v>66</v>
      </c>
      <c r="E35" s="162" t="s">
        <v>66</v>
      </c>
      <c r="F35" s="162" t="s">
        <v>66</v>
      </c>
      <c r="G35" s="162" t="s">
        <v>65</v>
      </c>
      <c r="H35" s="162">
        <v>22</v>
      </c>
      <c r="I35" s="161" t="s">
        <v>258</v>
      </c>
      <c r="J35" s="161" t="s">
        <v>259</v>
      </c>
      <c r="K35" s="172">
        <v>100</v>
      </c>
      <c r="L35" s="173">
        <f>P35*6</f>
        <v>210000</v>
      </c>
      <c r="M35" s="172">
        <v>33</v>
      </c>
      <c r="N35" s="174">
        <f>2*50000</f>
        <v>100000</v>
      </c>
      <c r="O35" s="172">
        <f>M35/2</f>
        <v>16.5</v>
      </c>
      <c r="P35" s="175">
        <v>35000</v>
      </c>
      <c r="Q35" s="204">
        <v>0</v>
      </c>
      <c r="R35" s="173">
        <v>0</v>
      </c>
      <c r="S35" s="183"/>
      <c r="T35" s="184"/>
      <c r="U35" s="184"/>
      <c r="V35" s="184"/>
      <c r="W35" s="184"/>
      <c r="X35" s="183"/>
      <c r="Y35" s="160">
        <v>0</v>
      </c>
      <c r="Z35" s="165">
        <f>R35+T35+V35+X35</f>
        <v>0</v>
      </c>
      <c r="AA35" s="168">
        <f>M35+Y35</f>
        <v>33</v>
      </c>
      <c r="AB35" s="165">
        <f>N35+Z35</f>
        <v>100000</v>
      </c>
      <c r="AC35" s="170">
        <f>(AA35/K35)*100</f>
        <v>33</v>
      </c>
      <c r="AD35" s="171">
        <f t="shared" si="1"/>
        <v>47.619047619047613</v>
      </c>
      <c r="AE35" s="161" t="s">
        <v>175</v>
      </c>
    </row>
    <row r="36" spans="1:31" s="159" customFormat="1" ht="41.25" customHeight="1">
      <c r="A36" s="160">
        <v>2</v>
      </c>
      <c r="B36" s="161"/>
      <c r="C36" s="162" t="s">
        <v>66</v>
      </c>
      <c r="D36" s="162" t="s">
        <v>66</v>
      </c>
      <c r="E36" s="162" t="s">
        <v>66</v>
      </c>
      <c r="F36" s="162" t="s">
        <v>66</v>
      </c>
      <c r="G36" s="162" t="s">
        <v>65</v>
      </c>
      <c r="H36" s="162">
        <v>24</v>
      </c>
      <c r="I36" s="161" t="s">
        <v>260</v>
      </c>
      <c r="J36" s="161" t="s">
        <v>261</v>
      </c>
      <c r="K36" s="172">
        <v>100</v>
      </c>
      <c r="L36" s="173">
        <f>P36*6</f>
        <v>825624</v>
      </c>
      <c r="M36" s="172">
        <v>33</v>
      </c>
      <c r="N36" s="174">
        <f>2*107709</f>
        <v>215418</v>
      </c>
      <c r="O36" s="172">
        <f>M36/2</f>
        <v>16.5</v>
      </c>
      <c r="P36" s="175">
        <v>137604</v>
      </c>
      <c r="Q36" s="180">
        <f>O36/4</f>
        <v>4.125</v>
      </c>
      <c r="R36" s="173">
        <f>P36/4</f>
        <v>34401</v>
      </c>
      <c r="S36" s="183"/>
      <c r="T36" s="183"/>
      <c r="U36" s="183"/>
      <c r="V36" s="183"/>
      <c r="W36" s="183"/>
      <c r="X36" s="183"/>
      <c r="Y36" s="160">
        <v>1</v>
      </c>
      <c r="Z36" s="165">
        <f>R36+T36+V36+X36</f>
        <v>34401</v>
      </c>
      <c r="AA36" s="168">
        <f>M36+Y36</f>
        <v>34</v>
      </c>
      <c r="AB36" s="165">
        <f>N36+Z36</f>
        <v>249819</v>
      </c>
      <c r="AC36" s="170">
        <f>(AA36/K36)*100</f>
        <v>34</v>
      </c>
      <c r="AD36" s="171">
        <f t="shared" si="1"/>
        <v>30.258204703351648</v>
      </c>
      <c r="AE36" s="161" t="s">
        <v>175</v>
      </c>
    </row>
    <row r="37" spans="1:31" s="159" customFormat="1" ht="41.25" customHeight="1">
      <c r="A37" s="160">
        <v>3</v>
      </c>
      <c r="B37" s="161"/>
      <c r="C37" s="162" t="s">
        <v>66</v>
      </c>
      <c r="D37" s="162" t="s">
        <v>66</v>
      </c>
      <c r="E37" s="162" t="s">
        <v>66</v>
      </c>
      <c r="F37" s="162" t="s">
        <v>66</v>
      </c>
      <c r="G37" s="162" t="s">
        <v>65</v>
      </c>
      <c r="H37" s="162">
        <v>30</v>
      </c>
      <c r="I37" s="161" t="s">
        <v>262</v>
      </c>
      <c r="J37" s="161" t="s">
        <v>263</v>
      </c>
      <c r="K37" s="172">
        <v>100</v>
      </c>
      <c r="L37" s="173">
        <f>P37*6</f>
        <v>252000</v>
      </c>
      <c r="M37" s="172">
        <v>33</v>
      </c>
      <c r="N37" s="174">
        <f>2*42000</f>
        <v>84000</v>
      </c>
      <c r="O37" s="172">
        <f>M37/2</f>
        <v>16.5</v>
      </c>
      <c r="P37" s="175">
        <v>42000</v>
      </c>
      <c r="Q37" s="180">
        <f>O37/4</f>
        <v>4.125</v>
      </c>
      <c r="R37" s="173">
        <f>P37/4</f>
        <v>10500</v>
      </c>
      <c r="S37" s="183"/>
      <c r="T37" s="183"/>
      <c r="U37" s="183"/>
      <c r="V37" s="183"/>
      <c r="W37" s="183"/>
      <c r="X37" s="183"/>
      <c r="Y37" s="160">
        <v>2</v>
      </c>
      <c r="Z37" s="165">
        <f>R37+T37+V37+X37</f>
        <v>10500</v>
      </c>
      <c r="AA37" s="168">
        <f>M37+Y37</f>
        <v>35</v>
      </c>
      <c r="AB37" s="165">
        <f>N37+Z37</f>
        <v>94500</v>
      </c>
      <c r="AC37" s="170">
        <f>(AA37/K37)*100</f>
        <v>35</v>
      </c>
      <c r="AD37" s="171">
        <f t="shared" si="1"/>
        <v>37.5</v>
      </c>
      <c r="AE37" s="161" t="s">
        <v>175</v>
      </c>
    </row>
    <row r="38" spans="1:31" s="159" customFormat="1" ht="9.75" customHeight="1">
      <c r="A38" s="205"/>
      <c r="B38" s="206"/>
      <c r="C38" s="206"/>
      <c r="D38" s="206"/>
      <c r="E38" s="206"/>
      <c r="F38" s="206"/>
      <c r="G38" s="206"/>
      <c r="H38" s="206"/>
      <c r="I38" s="207"/>
      <c r="J38" s="207"/>
      <c r="K38" s="208"/>
      <c r="L38" s="194"/>
      <c r="M38" s="209">
        <f>K39/6</f>
        <v>16.666666666666668</v>
      </c>
      <c r="N38" s="210"/>
      <c r="O38" s="209"/>
      <c r="P38" s="210"/>
      <c r="Q38" s="211">
        <f>O39/4</f>
        <v>4.166666666666667</v>
      </c>
      <c r="R38" s="194"/>
      <c r="S38" s="208"/>
      <c r="T38" s="194"/>
      <c r="U38" s="208"/>
      <c r="V38" s="194"/>
      <c r="W38" s="208"/>
      <c r="X38" s="194"/>
      <c r="Y38" s="212"/>
      <c r="Z38" s="194"/>
      <c r="AA38" s="208"/>
      <c r="AB38" s="194"/>
      <c r="AC38" s="194"/>
      <c r="AD38" s="194"/>
      <c r="AE38" s="213"/>
    </row>
    <row r="39" spans="1:31" s="159" customFormat="1" ht="41.25" customHeight="1">
      <c r="A39" s="214">
        <v>3</v>
      </c>
      <c r="B39" s="152"/>
      <c r="C39" s="151" t="s">
        <v>66</v>
      </c>
      <c r="D39" s="151" t="s">
        <v>66</v>
      </c>
      <c r="E39" s="151" t="s">
        <v>66</v>
      </c>
      <c r="F39" s="151" t="s">
        <v>66</v>
      </c>
      <c r="G39" s="151" t="s">
        <v>161</v>
      </c>
      <c r="H39" s="150"/>
      <c r="I39" s="152" t="s">
        <v>264</v>
      </c>
      <c r="J39" s="152"/>
      <c r="K39" s="214">
        <v>100</v>
      </c>
      <c r="L39" s="215">
        <f t="shared" ref="L39:R39" si="7">SUM(L40:L42)</f>
        <v>1641303</v>
      </c>
      <c r="M39" s="216">
        <f>O39*2</f>
        <v>33.333333333333336</v>
      </c>
      <c r="N39" s="217">
        <f t="shared" si="7"/>
        <v>546499</v>
      </c>
      <c r="O39" s="216">
        <f>M38</f>
        <v>16.666666666666668</v>
      </c>
      <c r="P39" s="217">
        <f t="shared" si="7"/>
        <v>273598</v>
      </c>
      <c r="Q39" s="216">
        <f>O39/3</f>
        <v>5.5555555555555562</v>
      </c>
      <c r="R39" s="217">
        <f t="shared" si="7"/>
        <v>59102</v>
      </c>
      <c r="S39" s="152"/>
      <c r="T39" s="152"/>
      <c r="U39" s="152"/>
      <c r="V39" s="152"/>
      <c r="W39" s="152"/>
      <c r="X39" s="152"/>
      <c r="Y39" s="218">
        <f>Q39+S39+U39+W39</f>
        <v>5.5555555555555562</v>
      </c>
      <c r="Z39" s="219">
        <f>SUM(Z40:Z42)</f>
        <v>59102</v>
      </c>
      <c r="AA39" s="220">
        <f>M39+Y39</f>
        <v>38.888888888888893</v>
      </c>
      <c r="AB39" s="221">
        <f>SUM(AB40:AB42)</f>
        <v>605601</v>
      </c>
      <c r="AC39" s="222">
        <f t="shared" ref="AC39:AD42" si="8">(AA39/K39)*100</f>
        <v>38.888888888888893</v>
      </c>
      <c r="AD39" s="222">
        <f t="shared" si="8"/>
        <v>36.897574670856024</v>
      </c>
      <c r="AE39" s="161" t="s">
        <v>175</v>
      </c>
    </row>
    <row r="40" spans="1:31" s="159" customFormat="1" ht="41.25" customHeight="1">
      <c r="A40" s="177">
        <v>1</v>
      </c>
      <c r="B40" s="161"/>
      <c r="C40" s="163"/>
      <c r="D40" s="163"/>
      <c r="E40" s="162"/>
      <c r="F40" s="163"/>
      <c r="G40" s="163"/>
      <c r="H40" s="163"/>
      <c r="I40" s="185" t="s">
        <v>209</v>
      </c>
      <c r="J40" s="161" t="s">
        <v>265</v>
      </c>
      <c r="K40" s="177">
        <v>1</v>
      </c>
      <c r="L40" s="178">
        <f>6*P40</f>
        <v>300000</v>
      </c>
      <c r="M40" s="177">
        <v>1</v>
      </c>
      <c r="N40" s="178">
        <f>2*P40</f>
        <v>100000</v>
      </c>
      <c r="O40" s="177">
        <v>1</v>
      </c>
      <c r="P40" s="179">
        <v>50000</v>
      </c>
      <c r="Q40" s="177">
        <v>0</v>
      </c>
      <c r="R40" s="178">
        <v>0</v>
      </c>
      <c r="S40" s="161"/>
      <c r="T40" s="161"/>
      <c r="U40" s="161"/>
      <c r="V40" s="161"/>
      <c r="W40" s="161"/>
      <c r="X40" s="161"/>
      <c r="Y40" s="223">
        <f t="shared" ref="Y40:Z42" si="9">Q40+S40+U40+W40</f>
        <v>0</v>
      </c>
      <c r="Z40" s="224">
        <f t="shared" si="9"/>
        <v>0</v>
      </c>
      <c r="AA40" s="225">
        <f>M40+Y40</f>
        <v>1</v>
      </c>
      <c r="AB40" s="226">
        <f>N40+Z40</f>
        <v>100000</v>
      </c>
      <c r="AC40" s="227">
        <f t="shared" si="8"/>
        <v>100</v>
      </c>
      <c r="AD40" s="227">
        <f t="shared" si="8"/>
        <v>33.333333333333329</v>
      </c>
      <c r="AE40" s="161" t="s">
        <v>175</v>
      </c>
    </row>
    <row r="41" spans="1:31" s="159" customFormat="1" ht="41.25" customHeight="1">
      <c r="A41" s="177">
        <v>2</v>
      </c>
      <c r="B41" s="161"/>
      <c r="C41" s="162" t="s">
        <v>66</v>
      </c>
      <c r="D41" s="162" t="s">
        <v>66</v>
      </c>
      <c r="E41" s="162" t="s">
        <v>66</v>
      </c>
      <c r="F41" s="162" t="s">
        <v>66</v>
      </c>
      <c r="G41" s="162" t="s">
        <v>161</v>
      </c>
      <c r="H41" s="163" t="s">
        <v>196</v>
      </c>
      <c r="I41" s="185" t="s">
        <v>266</v>
      </c>
      <c r="J41" s="161" t="s">
        <v>267</v>
      </c>
      <c r="K41" s="160">
        <f>150*6</f>
        <v>900</v>
      </c>
      <c r="L41" s="165">
        <f>74631+(5*74916)</f>
        <v>449211</v>
      </c>
      <c r="M41" s="163">
        <v>300</v>
      </c>
      <c r="N41" s="228">
        <f>74631+74916</f>
        <v>149547</v>
      </c>
      <c r="O41" s="160">
        <v>150</v>
      </c>
      <c r="P41" s="229">
        <v>74916</v>
      </c>
      <c r="Q41" s="163">
        <v>150</v>
      </c>
      <c r="R41" s="230">
        <v>59102</v>
      </c>
      <c r="S41" s="168"/>
      <c r="T41" s="169"/>
      <c r="U41" s="168"/>
      <c r="V41" s="168"/>
      <c r="W41" s="168"/>
      <c r="X41" s="168"/>
      <c r="Y41" s="223">
        <f t="shared" si="9"/>
        <v>150</v>
      </c>
      <c r="Z41" s="224">
        <f t="shared" si="9"/>
        <v>59102</v>
      </c>
      <c r="AA41" s="225">
        <f>M41+Y41</f>
        <v>450</v>
      </c>
      <c r="AB41" s="226">
        <f>N41+Z41</f>
        <v>208649</v>
      </c>
      <c r="AC41" s="227">
        <f t="shared" si="8"/>
        <v>50</v>
      </c>
      <c r="AD41" s="227">
        <f t="shared" si="8"/>
        <v>46.44788306608698</v>
      </c>
      <c r="AE41" s="161" t="s">
        <v>175</v>
      </c>
    </row>
    <row r="42" spans="1:31" s="159" customFormat="1" ht="41.25" customHeight="1">
      <c r="A42" s="177">
        <v>3</v>
      </c>
      <c r="B42" s="161"/>
      <c r="C42" s="162" t="s">
        <v>66</v>
      </c>
      <c r="D42" s="162" t="s">
        <v>66</v>
      </c>
      <c r="E42" s="162" t="s">
        <v>66</v>
      </c>
      <c r="F42" s="162" t="s">
        <v>66</v>
      </c>
      <c r="G42" s="162" t="s">
        <v>161</v>
      </c>
      <c r="H42" s="162">
        <v>14</v>
      </c>
      <c r="I42" s="161" t="s">
        <v>268</v>
      </c>
      <c r="J42" s="161" t="s">
        <v>269</v>
      </c>
      <c r="K42" s="177">
        <v>1</v>
      </c>
      <c r="L42" s="173">
        <f>P42*6</f>
        <v>892092</v>
      </c>
      <c r="M42" s="177">
        <v>1</v>
      </c>
      <c r="N42" s="174">
        <f>2*148476</f>
        <v>296952</v>
      </c>
      <c r="O42" s="177">
        <v>1</v>
      </c>
      <c r="P42" s="175">
        <v>148682</v>
      </c>
      <c r="Q42" s="177">
        <v>0</v>
      </c>
      <c r="R42" s="173">
        <v>0</v>
      </c>
      <c r="S42" s="183"/>
      <c r="T42" s="183"/>
      <c r="U42" s="183"/>
      <c r="V42" s="183"/>
      <c r="W42" s="183"/>
      <c r="X42" s="183"/>
      <c r="Y42" s="223">
        <f t="shared" si="9"/>
        <v>0</v>
      </c>
      <c r="Z42" s="224">
        <f t="shared" si="9"/>
        <v>0</v>
      </c>
      <c r="AA42" s="225">
        <f>M42+Y42</f>
        <v>1</v>
      </c>
      <c r="AB42" s="226">
        <f>N42+Z42</f>
        <v>296952</v>
      </c>
      <c r="AC42" s="227">
        <f t="shared" si="8"/>
        <v>100</v>
      </c>
      <c r="AD42" s="227">
        <f t="shared" si="8"/>
        <v>33.287149755854777</v>
      </c>
      <c r="AE42" s="161" t="s">
        <v>175</v>
      </c>
    </row>
    <row r="43" spans="1:31" s="159" customFormat="1" ht="10.5" customHeight="1">
      <c r="A43" s="205"/>
      <c r="B43" s="206"/>
      <c r="C43" s="206"/>
      <c r="D43" s="206"/>
      <c r="E43" s="206"/>
      <c r="F43" s="206"/>
      <c r="G43" s="206"/>
      <c r="H43" s="206"/>
      <c r="I43" s="207"/>
      <c r="J43" s="207"/>
      <c r="K43" s="208"/>
      <c r="L43" s="231"/>
      <c r="M43" s="232"/>
      <c r="N43" s="231"/>
      <c r="O43" s="208"/>
      <c r="P43" s="194"/>
      <c r="Q43" s="208"/>
      <c r="R43" s="194"/>
      <c r="S43" s="208"/>
      <c r="T43" s="194"/>
      <c r="U43" s="208"/>
      <c r="V43" s="194"/>
      <c r="W43" s="208"/>
      <c r="X43" s="194"/>
      <c r="Y43" s="212"/>
      <c r="Z43" s="194"/>
      <c r="AA43" s="208"/>
      <c r="AB43" s="194"/>
      <c r="AC43" s="194"/>
      <c r="AD43" s="194"/>
      <c r="AE43" s="213"/>
    </row>
    <row r="44" spans="1:31" s="353" customFormat="1" ht="26.25" customHeight="1">
      <c r="A44" s="343">
        <v>4</v>
      </c>
      <c r="B44" s="343"/>
      <c r="C44" s="342" t="s">
        <v>146</v>
      </c>
      <c r="D44" s="342" t="s">
        <v>66</v>
      </c>
      <c r="E44" s="342" t="s">
        <v>66</v>
      </c>
      <c r="F44" s="342" t="s">
        <v>66</v>
      </c>
      <c r="G44" s="342" t="s">
        <v>166</v>
      </c>
      <c r="H44" s="343"/>
      <c r="I44" s="4348" t="s">
        <v>270</v>
      </c>
      <c r="J44" s="344" t="s">
        <v>271</v>
      </c>
      <c r="K44" s="345">
        <f>115-114.22</f>
        <v>0.78000000000000114</v>
      </c>
      <c r="L44" s="346">
        <f>SUM(L48:L72)</f>
        <v>111287938</v>
      </c>
      <c r="M44" s="347">
        <f>N43*2</f>
        <v>0</v>
      </c>
      <c r="N44" s="348">
        <f>SUM(N48:N72)</f>
        <v>19692321</v>
      </c>
      <c r="O44" s="347">
        <f>N43</f>
        <v>0</v>
      </c>
      <c r="P44" s="348">
        <f>SUM(P48:P1070)</f>
        <v>556678346777.23047</v>
      </c>
      <c r="Q44" s="349">
        <f>O44/4</f>
        <v>0</v>
      </c>
      <c r="R44" s="350">
        <f>SUM(R48:R1070)</f>
        <v>32737744163.162563</v>
      </c>
      <c r="S44" s="341"/>
      <c r="T44" s="350"/>
      <c r="U44" s="341"/>
      <c r="V44" s="350"/>
      <c r="W44" s="341"/>
      <c r="X44" s="350"/>
      <c r="Y44" s="351">
        <f>Q44+S44+U44+W44</f>
        <v>0</v>
      </c>
      <c r="Z44" s="350">
        <f>SUM(Z48:Z72)</f>
        <v>409489</v>
      </c>
      <c r="AA44" s="341">
        <f>M44+Y44</f>
        <v>0</v>
      </c>
      <c r="AB44" s="348">
        <f>SUM(AB48:AB72)</f>
        <v>20101810</v>
      </c>
      <c r="AC44" s="352">
        <f>(AA44/K44)*100</f>
        <v>0</v>
      </c>
      <c r="AD44" s="352">
        <f>(AB44/L44)*100</f>
        <v>18.062882969401407</v>
      </c>
      <c r="AE44" s="344" t="s">
        <v>175</v>
      </c>
    </row>
    <row r="45" spans="1:31" s="353" customFormat="1" ht="25.5">
      <c r="A45" s="355"/>
      <c r="B45" s="355"/>
      <c r="C45" s="354"/>
      <c r="D45" s="354"/>
      <c r="E45" s="354"/>
      <c r="F45" s="354"/>
      <c r="G45" s="354"/>
      <c r="H45" s="355"/>
      <c r="I45" s="4349"/>
      <c r="J45" s="344" t="s">
        <v>272</v>
      </c>
      <c r="K45" s="345">
        <f>99.9-99.12</f>
        <v>0.78000000000000114</v>
      </c>
      <c r="L45" s="346"/>
      <c r="M45" s="347">
        <v>0.26</v>
      </c>
      <c r="N45" s="356"/>
      <c r="O45" s="347">
        <v>0.13</v>
      </c>
      <c r="P45" s="348"/>
      <c r="Q45" s="349">
        <f>O45/4</f>
        <v>3.2500000000000001E-2</v>
      </c>
      <c r="R45" s="350"/>
      <c r="S45" s="341"/>
      <c r="T45" s="357"/>
      <c r="U45" s="343"/>
      <c r="V45" s="357"/>
      <c r="W45" s="343"/>
      <c r="X45" s="357"/>
      <c r="Y45" s="351"/>
      <c r="Z45" s="357"/>
      <c r="AA45" s="343"/>
      <c r="AB45" s="358"/>
      <c r="AC45" s="359"/>
      <c r="AD45" s="359"/>
      <c r="AE45" s="360"/>
    </row>
    <row r="46" spans="1:31" s="353" customFormat="1" ht="25.5">
      <c r="A46" s="355"/>
      <c r="B46" s="355"/>
      <c r="C46" s="354"/>
      <c r="D46" s="354"/>
      <c r="E46" s="354"/>
      <c r="F46" s="354"/>
      <c r="G46" s="354"/>
      <c r="H46" s="355"/>
      <c r="I46" s="4349"/>
      <c r="J46" s="344" t="s">
        <v>273</v>
      </c>
      <c r="K46" s="345">
        <f>105.77-101.61</f>
        <v>4.1599999999999966</v>
      </c>
      <c r="L46" s="346"/>
      <c r="M46" s="361">
        <f>M43*2</f>
        <v>0</v>
      </c>
      <c r="N46" s="348"/>
      <c r="O46" s="362">
        <f>M43</f>
        <v>0</v>
      </c>
      <c r="P46" s="348"/>
      <c r="Q46" s="349">
        <f>O46/4</f>
        <v>0</v>
      </c>
      <c r="R46" s="350"/>
      <c r="S46" s="341"/>
      <c r="T46" s="357"/>
      <c r="U46" s="343"/>
      <c r="V46" s="357"/>
      <c r="W46" s="343"/>
      <c r="X46" s="357"/>
      <c r="Y46" s="351"/>
      <c r="Z46" s="357"/>
      <c r="AA46" s="343"/>
      <c r="AB46" s="358"/>
      <c r="AC46" s="359"/>
      <c r="AD46" s="359"/>
      <c r="AE46" s="360"/>
    </row>
    <row r="47" spans="1:31" s="353" customFormat="1" ht="38.25">
      <c r="A47" s="364"/>
      <c r="B47" s="364"/>
      <c r="C47" s="363"/>
      <c r="D47" s="363"/>
      <c r="E47" s="363"/>
      <c r="F47" s="363"/>
      <c r="G47" s="363"/>
      <c r="H47" s="364"/>
      <c r="I47" s="365"/>
      <c r="J47" s="344" t="s">
        <v>274</v>
      </c>
      <c r="K47" s="345">
        <f>90.72-89.9</f>
        <v>0.81999999999999318</v>
      </c>
      <c r="L47" s="346"/>
      <c r="M47" s="361">
        <f>L43*2</f>
        <v>0</v>
      </c>
      <c r="N47" s="348"/>
      <c r="O47" s="362">
        <f>L43</f>
        <v>0</v>
      </c>
      <c r="P47" s="348"/>
      <c r="Q47" s="349">
        <f>O47/4</f>
        <v>0</v>
      </c>
      <c r="R47" s="350"/>
      <c r="S47" s="341"/>
      <c r="T47" s="357"/>
      <c r="U47" s="343"/>
      <c r="V47" s="357"/>
      <c r="W47" s="343"/>
      <c r="X47" s="357"/>
      <c r="Y47" s="351"/>
      <c r="Z47" s="357"/>
      <c r="AA47" s="343"/>
      <c r="AB47" s="358"/>
      <c r="AC47" s="359"/>
      <c r="AD47" s="359"/>
      <c r="AE47" s="360"/>
    </row>
    <row r="48" spans="1:31" s="244" customFormat="1" ht="36" customHeight="1">
      <c r="A48" s="225">
        <v>1</v>
      </c>
      <c r="B48" s="233"/>
      <c r="C48" s="234" t="s">
        <v>146</v>
      </c>
      <c r="D48" s="234" t="s">
        <v>66</v>
      </c>
      <c r="E48" s="234" t="s">
        <v>66</v>
      </c>
      <c r="F48" s="234" t="s">
        <v>66</v>
      </c>
      <c r="G48" s="234" t="s">
        <v>166</v>
      </c>
      <c r="H48" s="234" t="s">
        <v>201</v>
      </c>
      <c r="I48" s="235" t="s">
        <v>275</v>
      </c>
      <c r="J48" s="233" t="s">
        <v>276</v>
      </c>
      <c r="K48" s="236">
        <v>1</v>
      </c>
      <c r="L48" s="237">
        <v>1000000</v>
      </c>
      <c r="M48" s="238">
        <v>0</v>
      </c>
      <c r="N48" s="239">
        <v>0</v>
      </c>
      <c r="O48" s="236">
        <v>1</v>
      </c>
      <c r="P48" s="240">
        <v>75000</v>
      </c>
      <c r="Q48" s="238">
        <v>1</v>
      </c>
      <c r="R48" s="237">
        <v>0</v>
      </c>
      <c r="S48" s="236"/>
      <c r="T48" s="241"/>
      <c r="U48" s="225"/>
      <c r="V48" s="241"/>
      <c r="W48" s="225"/>
      <c r="X48" s="241"/>
      <c r="Y48" s="218">
        <f t="shared" ref="Y48:Z72" si="10">Q48+S48+U48+W48</f>
        <v>1</v>
      </c>
      <c r="Z48" s="242">
        <f>R48+T48+V48+X48</f>
        <v>0</v>
      </c>
      <c r="AA48" s="225">
        <f>M48+Y48</f>
        <v>1</v>
      </c>
      <c r="AB48" s="226">
        <f>N48+Z48</f>
        <v>0</v>
      </c>
      <c r="AC48" s="227">
        <f>(AA48/K48)*100</f>
        <v>100</v>
      </c>
      <c r="AD48" s="227">
        <f>(AB48/L48)*100</f>
        <v>0</v>
      </c>
      <c r="AE48" s="243" t="s">
        <v>175</v>
      </c>
    </row>
    <row r="49" spans="1:34" s="255" customFormat="1" ht="63" customHeight="1">
      <c r="A49" s="245">
        <v>2</v>
      </c>
      <c r="B49" s="246"/>
      <c r="C49" s="247">
        <v>1</v>
      </c>
      <c r="D49" s="247" t="s">
        <v>66</v>
      </c>
      <c r="E49" s="247" t="s">
        <v>66</v>
      </c>
      <c r="F49" s="247" t="s">
        <v>66</v>
      </c>
      <c r="G49" s="247">
        <v>16</v>
      </c>
      <c r="H49" s="247" t="s">
        <v>277</v>
      </c>
      <c r="I49" s="246" t="s">
        <v>278</v>
      </c>
      <c r="J49" s="246" t="s">
        <v>279</v>
      </c>
      <c r="K49" s="248">
        <f>6*O49</f>
        <v>288</v>
      </c>
      <c r="L49" s="224">
        <f>6*P49</f>
        <v>37774200</v>
      </c>
      <c r="M49" s="247">
        <v>22</v>
      </c>
      <c r="N49" s="249">
        <f>3767000</f>
        <v>3767000</v>
      </c>
      <c r="O49" s="248">
        <v>48</v>
      </c>
      <c r="P49" s="250">
        <v>6295700</v>
      </c>
      <c r="Q49" s="247">
        <v>1</v>
      </c>
      <c r="R49" s="224">
        <v>3266</v>
      </c>
      <c r="S49" s="251"/>
      <c r="T49" s="252"/>
      <c r="U49" s="245"/>
      <c r="V49" s="252"/>
      <c r="W49" s="245"/>
      <c r="X49" s="252"/>
      <c r="Y49" s="218">
        <f t="shared" si="10"/>
        <v>1</v>
      </c>
      <c r="Z49" s="240">
        <f>R49+T49+V49+X49</f>
        <v>3266</v>
      </c>
      <c r="AA49" s="225">
        <f t="shared" ref="AA49:AB64" si="11">M49+Y49</f>
        <v>23</v>
      </c>
      <c r="AB49" s="226">
        <f t="shared" si="11"/>
        <v>3770266</v>
      </c>
      <c r="AC49" s="253">
        <f>(AA49/K49)*100</f>
        <v>7.9861111111111107</v>
      </c>
      <c r="AD49" s="253">
        <f>(AB49/L49)*100</f>
        <v>9.9810611475557387</v>
      </c>
      <c r="AE49" s="243" t="s">
        <v>175</v>
      </c>
      <c r="AF49" s="254"/>
    </row>
    <row r="50" spans="1:34" s="244" customFormat="1" ht="42.75" customHeight="1">
      <c r="A50" s="225">
        <v>3</v>
      </c>
      <c r="B50" s="233"/>
      <c r="C50" s="247">
        <v>1</v>
      </c>
      <c r="D50" s="247" t="s">
        <v>66</v>
      </c>
      <c r="E50" s="247" t="s">
        <v>66</v>
      </c>
      <c r="F50" s="247" t="s">
        <v>66</v>
      </c>
      <c r="G50" s="247">
        <v>16</v>
      </c>
      <c r="H50" s="247">
        <v>101</v>
      </c>
      <c r="I50" s="235" t="s">
        <v>280</v>
      </c>
      <c r="J50" s="233" t="s">
        <v>281</v>
      </c>
      <c r="K50" s="245">
        <v>32</v>
      </c>
      <c r="L50" s="256">
        <v>1942500</v>
      </c>
      <c r="M50" s="245">
        <v>7</v>
      </c>
      <c r="N50" s="256">
        <v>498962</v>
      </c>
      <c r="O50" s="245">
        <v>10</v>
      </c>
      <c r="P50" s="256">
        <v>647500</v>
      </c>
      <c r="Q50" s="245">
        <v>1</v>
      </c>
      <c r="R50" s="256">
        <v>52580</v>
      </c>
      <c r="S50" s="245"/>
      <c r="T50" s="240"/>
      <c r="U50" s="245"/>
      <c r="V50" s="252"/>
      <c r="W50" s="245"/>
      <c r="X50" s="252"/>
      <c r="Y50" s="218">
        <f t="shared" si="10"/>
        <v>1</v>
      </c>
      <c r="Z50" s="240">
        <f t="shared" si="10"/>
        <v>52580</v>
      </c>
      <c r="AA50" s="236">
        <f t="shared" si="11"/>
        <v>8</v>
      </c>
      <c r="AB50" s="237">
        <f t="shared" si="11"/>
        <v>551542</v>
      </c>
      <c r="AC50" s="253">
        <f t="shared" ref="AC50:AD65" si="12">(AA50/K50)*100</f>
        <v>25</v>
      </c>
      <c r="AD50" s="253">
        <f t="shared" si="12"/>
        <v>28.393410553410554</v>
      </c>
      <c r="AE50" s="233" t="s">
        <v>175</v>
      </c>
      <c r="AF50" s="257"/>
    </row>
    <row r="51" spans="1:34" s="244" customFormat="1" ht="44.25" customHeight="1">
      <c r="A51" s="245">
        <v>4</v>
      </c>
      <c r="B51" s="233"/>
      <c r="C51" s="258" t="s">
        <v>66</v>
      </c>
      <c r="D51" s="259" t="s">
        <v>66</v>
      </c>
      <c r="E51" s="259" t="s">
        <v>66</v>
      </c>
      <c r="F51" s="259" t="s">
        <v>66</v>
      </c>
      <c r="G51" s="259">
        <v>16</v>
      </c>
      <c r="H51" s="259" t="s">
        <v>282</v>
      </c>
      <c r="I51" s="235" t="s">
        <v>283</v>
      </c>
      <c r="J51" s="233" t="s">
        <v>284</v>
      </c>
      <c r="K51" s="245">
        <v>6</v>
      </c>
      <c r="L51" s="256">
        <f>6*P51</f>
        <v>1129950</v>
      </c>
      <c r="M51" s="245">
        <v>2</v>
      </c>
      <c r="N51" s="249">
        <f>2*P51</f>
        <v>376650</v>
      </c>
      <c r="O51" s="251">
        <v>1</v>
      </c>
      <c r="P51" s="249">
        <v>188325</v>
      </c>
      <c r="Q51" s="260">
        <v>0.1</v>
      </c>
      <c r="R51" s="249">
        <v>3266</v>
      </c>
      <c r="S51" s="251"/>
      <c r="T51" s="250"/>
      <c r="U51" s="251"/>
      <c r="V51" s="261"/>
      <c r="W51" s="251"/>
      <c r="X51" s="261"/>
      <c r="Y51" s="262">
        <f t="shared" si="10"/>
        <v>0.1</v>
      </c>
      <c r="Z51" s="250">
        <f t="shared" si="10"/>
        <v>3266</v>
      </c>
      <c r="AA51" s="263">
        <f t="shared" si="11"/>
        <v>2.1</v>
      </c>
      <c r="AB51" s="264">
        <f t="shared" si="11"/>
        <v>379916</v>
      </c>
      <c r="AC51" s="265">
        <f t="shared" si="12"/>
        <v>35</v>
      </c>
      <c r="AD51" s="265">
        <f t="shared" si="12"/>
        <v>33.622372671357134</v>
      </c>
      <c r="AE51" s="266" t="s">
        <v>175</v>
      </c>
    </row>
    <row r="52" spans="1:34" s="244" customFormat="1" ht="37.5" customHeight="1">
      <c r="A52" s="225">
        <v>5</v>
      </c>
      <c r="B52" s="233"/>
      <c r="C52" s="238" t="s">
        <v>66</v>
      </c>
      <c r="D52" s="238" t="s">
        <v>66</v>
      </c>
      <c r="E52" s="238" t="s">
        <v>66</v>
      </c>
      <c r="F52" s="238" t="s">
        <v>66</v>
      </c>
      <c r="G52" s="238" t="s">
        <v>166</v>
      </c>
      <c r="H52" s="247" t="s">
        <v>285</v>
      </c>
      <c r="I52" s="246" t="s">
        <v>286</v>
      </c>
      <c r="J52" s="233" t="s">
        <v>287</v>
      </c>
      <c r="K52" s="248">
        <f>4*4</f>
        <v>16</v>
      </c>
      <c r="L52" s="224">
        <f>4*40000</f>
        <v>160000</v>
      </c>
      <c r="M52" s="247">
        <v>0</v>
      </c>
      <c r="N52" s="267">
        <v>0</v>
      </c>
      <c r="O52" s="248">
        <v>4</v>
      </c>
      <c r="P52" s="268">
        <v>40000</v>
      </c>
      <c r="Q52" s="247">
        <v>1</v>
      </c>
      <c r="R52" s="268">
        <f>505+700</f>
        <v>1205</v>
      </c>
      <c r="S52" s="245"/>
      <c r="T52" s="240"/>
      <c r="U52" s="245"/>
      <c r="V52" s="252"/>
      <c r="W52" s="245"/>
      <c r="X52" s="252"/>
      <c r="Y52" s="218">
        <f t="shared" si="10"/>
        <v>1</v>
      </c>
      <c r="Z52" s="240">
        <f t="shared" si="10"/>
        <v>1205</v>
      </c>
      <c r="AA52" s="225">
        <f t="shared" si="11"/>
        <v>1</v>
      </c>
      <c r="AB52" s="226">
        <f t="shared" si="11"/>
        <v>1205</v>
      </c>
      <c r="AC52" s="253">
        <f t="shared" si="12"/>
        <v>6.25</v>
      </c>
      <c r="AD52" s="253">
        <f t="shared" si="12"/>
        <v>0.75312499999999993</v>
      </c>
      <c r="AE52" s="243" t="s">
        <v>175</v>
      </c>
    </row>
    <row r="53" spans="1:34" s="244" customFormat="1" ht="33.75" customHeight="1">
      <c r="A53" s="245">
        <v>6</v>
      </c>
      <c r="B53" s="233"/>
      <c r="C53" s="247">
        <v>1</v>
      </c>
      <c r="D53" s="247" t="s">
        <v>66</v>
      </c>
      <c r="E53" s="247" t="s">
        <v>66</v>
      </c>
      <c r="F53" s="247" t="s">
        <v>66</v>
      </c>
      <c r="G53" s="247" t="s">
        <v>166</v>
      </c>
      <c r="H53" s="247" t="s">
        <v>288</v>
      </c>
      <c r="I53" s="233" t="s">
        <v>289</v>
      </c>
      <c r="J53" s="233" t="s">
        <v>289</v>
      </c>
      <c r="K53" s="245">
        <f>6*O53</f>
        <v>102</v>
      </c>
      <c r="L53" s="256">
        <f>6*P53</f>
        <v>4500000</v>
      </c>
      <c r="M53" s="251">
        <v>17</v>
      </c>
      <c r="N53" s="249">
        <v>1467355</v>
      </c>
      <c r="O53" s="245">
        <v>17</v>
      </c>
      <c r="P53" s="256">
        <v>750000</v>
      </c>
      <c r="Q53" s="245">
        <v>0</v>
      </c>
      <c r="R53" s="256">
        <v>0</v>
      </c>
      <c r="S53" s="245"/>
      <c r="T53" s="240"/>
      <c r="U53" s="245"/>
      <c r="V53" s="252"/>
      <c r="W53" s="245"/>
      <c r="X53" s="252"/>
      <c r="Y53" s="218">
        <f t="shared" si="10"/>
        <v>0</v>
      </c>
      <c r="Z53" s="240">
        <f t="shared" si="10"/>
        <v>0</v>
      </c>
      <c r="AA53" s="225">
        <f t="shared" si="11"/>
        <v>17</v>
      </c>
      <c r="AB53" s="226">
        <f t="shared" si="11"/>
        <v>1467355</v>
      </c>
      <c r="AC53" s="253">
        <f t="shared" si="12"/>
        <v>16.666666666666664</v>
      </c>
      <c r="AD53" s="253">
        <f t="shared" si="12"/>
        <v>32.607888888888887</v>
      </c>
      <c r="AE53" s="243" t="s">
        <v>175</v>
      </c>
    </row>
    <row r="54" spans="1:34" s="244" customFormat="1" ht="44.25" customHeight="1">
      <c r="A54" s="225">
        <v>7</v>
      </c>
      <c r="B54" s="233"/>
      <c r="C54" s="247">
        <v>1</v>
      </c>
      <c r="D54" s="247" t="s">
        <v>66</v>
      </c>
      <c r="E54" s="247" t="s">
        <v>66</v>
      </c>
      <c r="F54" s="247" t="s">
        <v>66</v>
      </c>
      <c r="G54" s="247">
        <v>16</v>
      </c>
      <c r="H54" s="247" t="s">
        <v>290</v>
      </c>
      <c r="I54" s="233" t="s">
        <v>291</v>
      </c>
      <c r="J54" s="233" t="s">
        <v>292</v>
      </c>
      <c r="K54" s="245">
        <f>6*O54</f>
        <v>6</v>
      </c>
      <c r="L54" s="269">
        <f>6*P54</f>
        <v>471216</v>
      </c>
      <c r="M54" s="245">
        <v>1</v>
      </c>
      <c r="N54" s="269">
        <v>0</v>
      </c>
      <c r="O54" s="245">
        <v>1</v>
      </c>
      <c r="P54" s="256">
        <f>78536</f>
        <v>78536</v>
      </c>
      <c r="Q54" s="245">
        <v>0</v>
      </c>
      <c r="R54" s="269">
        <v>0</v>
      </c>
      <c r="S54" s="245"/>
      <c r="T54" s="240"/>
      <c r="U54" s="245"/>
      <c r="V54" s="252"/>
      <c r="W54" s="245"/>
      <c r="X54" s="252"/>
      <c r="Y54" s="218">
        <f t="shared" si="10"/>
        <v>0</v>
      </c>
      <c r="Z54" s="240">
        <f t="shared" si="10"/>
        <v>0</v>
      </c>
      <c r="AA54" s="225">
        <f t="shared" si="11"/>
        <v>1</v>
      </c>
      <c r="AB54" s="226">
        <f t="shared" si="11"/>
        <v>0</v>
      </c>
      <c r="AC54" s="253">
        <f t="shared" si="12"/>
        <v>16.666666666666664</v>
      </c>
      <c r="AD54" s="253">
        <f t="shared" si="12"/>
        <v>0</v>
      </c>
      <c r="AE54" s="243" t="s">
        <v>175</v>
      </c>
    </row>
    <row r="55" spans="1:34" s="244" customFormat="1" ht="56.25" customHeight="1">
      <c r="A55" s="245">
        <v>8</v>
      </c>
      <c r="B55" s="233"/>
      <c r="C55" s="247" t="s">
        <v>66</v>
      </c>
      <c r="D55" s="247" t="s">
        <v>66</v>
      </c>
      <c r="E55" s="238" t="s">
        <v>66</v>
      </c>
      <c r="F55" s="247" t="s">
        <v>66</v>
      </c>
      <c r="G55" s="247">
        <v>16</v>
      </c>
      <c r="H55" s="247" t="s">
        <v>293</v>
      </c>
      <c r="I55" s="270" t="s">
        <v>294</v>
      </c>
      <c r="J55" s="271" t="s">
        <v>295</v>
      </c>
      <c r="K55" s="248">
        <v>6</v>
      </c>
      <c r="L55" s="224">
        <f>(4*700000)+(480000*2)</f>
        <v>3760000</v>
      </c>
      <c r="M55" s="247">
        <v>2</v>
      </c>
      <c r="N55" s="272">
        <f>2*480000</f>
        <v>960000</v>
      </c>
      <c r="O55" s="248">
        <v>1</v>
      </c>
      <c r="P55" s="250">
        <f>O55*700000</f>
        <v>700000</v>
      </c>
      <c r="Q55" s="247">
        <v>1</v>
      </c>
      <c r="R55" s="224">
        <v>119161</v>
      </c>
      <c r="S55" s="245"/>
      <c r="T55" s="240"/>
      <c r="U55" s="245"/>
      <c r="V55" s="252"/>
      <c r="W55" s="245"/>
      <c r="X55" s="252"/>
      <c r="Y55" s="218">
        <f t="shared" si="10"/>
        <v>1</v>
      </c>
      <c r="Z55" s="240">
        <f t="shared" si="10"/>
        <v>119161</v>
      </c>
      <c r="AA55" s="225">
        <f t="shared" si="11"/>
        <v>3</v>
      </c>
      <c r="AB55" s="226">
        <f t="shared" si="11"/>
        <v>1079161</v>
      </c>
      <c r="AC55" s="253">
        <f t="shared" si="12"/>
        <v>50</v>
      </c>
      <c r="AD55" s="253">
        <f t="shared" si="12"/>
        <v>28.701090425531916</v>
      </c>
      <c r="AE55" s="243" t="s">
        <v>175</v>
      </c>
    </row>
    <row r="56" spans="1:34" s="244" customFormat="1" ht="63.75">
      <c r="A56" s="225">
        <v>9</v>
      </c>
      <c r="B56" s="233"/>
      <c r="C56" s="259" t="s">
        <v>146</v>
      </c>
      <c r="D56" s="259" t="s">
        <v>66</v>
      </c>
      <c r="E56" s="234" t="s">
        <v>66</v>
      </c>
      <c r="F56" s="259" t="s">
        <v>66</v>
      </c>
      <c r="G56" s="259" t="s">
        <v>166</v>
      </c>
      <c r="H56" s="259" t="s">
        <v>296</v>
      </c>
      <c r="I56" s="235" t="s">
        <v>297</v>
      </c>
      <c r="J56" s="246" t="s">
        <v>298</v>
      </c>
      <c r="K56" s="248">
        <v>1</v>
      </c>
      <c r="L56" s="224">
        <v>9000000</v>
      </c>
      <c r="M56" s="247">
        <v>1</v>
      </c>
      <c r="N56" s="272">
        <v>532800</v>
      </c>
      <c r="O56" s="248">
        <v>1</v>
      </c>
      <c r="P56" s="250">
        <v>1500000</v>
      </c>
      <c r="Q56" s="247">
        <v>1</v>
      </c>
      <c r="R56" s="224">
        <v>2100</v>
      </c>
      <c r="S56" s="245"/>
      <c r="T56" s="240"/>
      <c r="U56" s="245"/>
      <c r="V56" s="252"/>
      <c r="W56" s="245"/>
      <c r="X56" s="252"/>
      <c r="Y56" s="218">
        <f t="shared" si="10"/>
        <v>1</v>
      </c>
      <c r="Z56" s="240">
        <f t="shared" si="10"/>
        <v>2100</v>
      </c>
      <c r="AA56" s="225">
        <f t="shared" si="11"/>
        <v>2</v>
      </c>
      <c r="AB56" s="226">
        <f t="shared" si="11"/>
        <v>534900</v>
      </c>
      <c r="AC56" s="253">
        <f t="shared" si="12"/>
        <v>200</v>
      </c>
      <c r="AD56" s="253">
        <f t="shared" si="12"/>
        <v>5.9433333333333334</v>
      </c>
      <c r="AE56" s="243" t="s">
        <v>175</v>
      </c>
    </row>
    <row r="57" spans="1:34" s="244" customFormat="1" ht="62.25" customHeight="1">
      <c r="A57" s="225">
        <v>10</v>
      </c>
      <c r="B57" s="233"/>
      <c r="C57" s="247">
        <v>1</v>
      </c>
      <c r="D57" s="247" t="s">
        <v>66</v>
      </c>
      <c r="E57" s="247" t="s">
        <v>66</v>
      </c>
      <c r="F57" s="247" t="s">
        <v>66</v>
      </c>
      <c r="G57" s="247">
        <v>16</v>
      </c>
      <c r="H57" s="247" t="s">
        <v>299</v>
      </c>
      <c r="I57" s="233" t="s">
        <v>300</v>
      </c>
      <c r="J57" s="233" t="s">
        <v>301</v>
      </c>
      <c r="K57" s="245">
        <f>6*O57</f>
        <v>24</v>
      </c>
      <c r="L57" s="256">
        <f>6*P57</f>
        <v>3231270</v>
      </c>
      <c r="M57" s="245">
        <v>0</v>
      </c>
      <c r="N57" s="256">
        <v>0</v>
      </c>
      <c r="O57" s="245">
        <v>4</v>
      </c>
      <c r="P57" s="256">
        <f>538545</f>
        <v>538545</v>
      </c>
      <c r="Q57" s="245">
        <v>0</v>
      </c>
      <c r="R57" s="256">
        <v>0</v>
      </c>
      <c r="S57" s="245"/>
      <c r="T57" s="240"/>
      <c r="U57" s="245"/>
      <c r="V57" s="252"/>
      <c r="W57" s="245"/>
      <c r="X57" s="252"/>
      <c r="Y57" s="218">
        <f t="shared" si="10"/>
        <v>0</v>
      </c>
      <c r="Z57" s="240">
        <f t="shared" si="10"/>
        <v>0</v>
      </c>
      <c r="AA57" s="225">
        <f t="shared" si="11"/>
        <v>0</v>
      </c>
      <c r="AB57" s="226">
        <f t="shared" si="11"/>
        <v>0</v>
      </c>
      <c r="AC57" s="253">
        <f t="shared" si="12"/>
        <v>0</v>
      </c>
      <c r="AD57" s="253">
        <f t="shared" si="12"/>
        <v>0</v>
      </c>
      <c r="AE57" s="243" t="s">
        <v>175</v>
      </c>
    </row>
    <row r="58" spans="1:34" s="244" customFormat="1" ht="63" customHeight="1">
      <c r="A58" s="245">
        <v>11</v>
      </c>
      <c r="B58" s="233"/>
      <c r="C58" s="259" t="s">
        <v>146</v>
      </c>
      <c r="D58" s="259" t="s">
        <v>66</v>
      </c>
      <c r="E58" s="234" t="s">
        <v>66</v>
      </c>
      <c r="F58" s="259" t="s">
        <v>66</v>
      </c>
      <c r="G58" s="259" t="s">
        <v>166</v>
      </c>
      <c r="H58" s="259" t="s">
        <v>302</v>
      </c>
      <c r="I58" s="246" t="s">
        <v>303</v>
      </c>
      <c r="J58" s="246" t="s">
        <v>304</v>
      </c>
      <c r="K58" s="248">
        <v>7</v>
      </c>
      <c r="L58" s="224">
        <v>25000000</v>
      </c>
      <c r="M58" s="247">
        <v>5</v>
      </c>
      <c r="N58" s="272">
        <v>6500000</v>
      </c>
      <c r="O58" s="248">
        <v>6</v>
      </c>
      <c r="P58" s="250">
        <v>6338000</v>
      </c>
      <c r="Q58" s="247">
        <v>1</v>
      </c>
      <c r="R58" s="224">
        <v>7220</v>
      </c>
      <c r="S58" s="245"/>
      <c r="T58" s="240"/>
      <c r="U58" s="245"/>
      <c r="V58" s="252"/>
      <c r="W58" s="245"/>
      <c r="X58" s="252"/>
      <c r="Y58" s="218">
        <f t="shared" si="10"/>
        <v>1</v>
      </c>
      <c r="Z58" s="240">
        <f t="shared" si="10"/>
        <v>7220</v>
      </c>
      <c r="AA58" s="236">
        <f t="shared" si="11"/>
        <v>6</v>
      </c>
      <c r="AB58" s="237">
        <f t="shared" si="11"/>
        <v>6507220</v>
      </c>
      <c r="AC58" s="253">
        <f t="shared" si="12"/>
        <v>85.714285714285708</v>
      </c>
      <c r="AD58" s="253">
        <f t="shared" si="12"/>
        <v>26.028879999999997</v>
      </c>
      <c r="AE58" s="233" t="s">
        <v>175</v>
      </c>
    </row>
    <row r="59" spans="1:34" s="244" customFormat="1" ht="57.75" customHeight="1">
      <c r="A59" s="225">
        <v>12</v>
      </c>
      <c r="B59" s="233"/>
      <c r="C59" s="234" t="s">
        <v>146</v>
      </c>
      <c r="D59" s="234" t="s">
        <v>66</v>
      </c>
      <c r="E59" s="234" t="s">
        <v>66</v>
      </c>
      <c r="F59" s="234" t="s">
        <v>66</v>
      </c>
      <c r="G59" s="234" t="s">
        <v>166</v>
      </c>
      <c r="H59" s="234" t="s">
        <v>305</v>
      </c>
      <c r="I59" s="233" t="s">
        <v>306</v>
      </c>
      <c r="J59" s="233" t="s">
        <v>307</v>
      </c>
      <c r="K59" s="245">
        <v>1</v>
      </c>
      <c r="L59" s="256">
        <f>4*175000</f>
        <v>700000</v>
      </c>
      <c r="M59" s="245">
        <v>0</v>
      </c>
      <c r="N59" s="256">
        <v>0</v>
      </c>
      <c r="O59" s="245">
        <v>1</v>
      </c>
      <c r="P59" s="256">
        <v>158000</v>
      </c>
      <c r="Q59" s="245">
        <v>1</v>
      </c>
      <c r="R59" s="256">
        <v>0</v>
      </c>
      <c r="S59" s="245"/>
      <c r="T59" s="240"/>
      <c r="U59" s="245"/>
      <c r="V59" s="252"/>
      <c r="W59" s="245"/>
      <c r="X59" s="252"/>
      <c r="Y59" s="218">
        <f t="shared" si="10"/>
        <v>1</v>
      </c>
      <c r="Z59" s="240">
        <f t="shared" si="10"/>
        <v>0</v>
      </c>
      <c r="AA59" s="225">
        <f t="shared" si="11"/>
        <v>1</v>
      </c>
      <c r="AB59" s="226">
        <f t="shared" si="11"/>
        <v>0</v>
      </c>
      <c r="AC59" s="253">
        <f t="shared" si="12"/>
        <v>100</v>
      </c>
      <c r="AD59" s="253">
        <f t="shared" si="12"/>
        <v>0</v>
      </c>
      <c r="AE59" s="243" t="s">
        <v>175</v>
      </c>
    </row>
    <row r="60" spans="1:34" s="244" customFormat="1" ht="44.25" customHeight="1">
      <c r="A60" s="245">
        <v>13</v>
      </c>
      <c r="B60" s="233"/>
      <c r="C60" s="247">
        <v>1</v>
      </c>
      <c r="D60" s="247" t="s">
        <v>66</v>
      </c>
      <c r="E60" s="247" t="s">
        <v>66</v>
      </c>
      <c r="F60" s="247" t="s">
        <v>66</v>
      </c>
      <c r="G60" s="247" t="s">
        <v>166</v>
      </c>
      <c r="H60" s="247" t="s">
        <v>167</v>
      </c>
      <c r="I60" s="233" t="s">
        <v>308</v>
      </c>
      <c r="J60" s="233" t="s">
        <v>309</v>
      </c>
      <c r="K60" s="245">
        <f>6*O60</f>
        <v>18</v>
      </c>
      <c r="L60" s="256">
        <f>6*P60</f>
        <v>750000</v>
      </c>
      <c r="M60" s="245">
        <v>0</v>
      </c>
      <c r="N60" s="256">
        <v>0</v>
      </c>
      <c r="O60" s="245">
        <v>3</v>
      </c>
      <c r="P60" s="256">
        <f>125000</f>
        <v>125000</v>
      </c>
      <c r="Q60" s="245">
        <v>0</v>
      </c>
      <c r="R60" s="256">
        <v>0</v>
      </c>
      <c r="S60" s="245"/>
      <c r="T60" s="240"/>
      <c r="U60" s="245"/>
      <c r="V60" s="252"/>
      <c r="W60" s="245"/>
      <c r="X60" s="252"/>
      <c r="Y60" s="218">
        <f t="shared" si="10"/>
        <v>0</v>
      </c>
      <c r="Z60" s="240">
        <f t="shared" si="10"/>
        <v>0</v>
      </c>
      <c r="AA60" s="225">
        <f t="shared" si="11"/>
        <v>0</v>
      </c>
      <c r="AB60" s="226">
        <f t="shared" si="11"/>
        <v>0</v>
      </c>
      <c r="AC60" s="253">
        <f t="shared" si="12"/>
        <v>0</v>
      </c>
      <c r="AD60" s="253">
        <f t="shared" si="12"/>
        <v>0</v>
      </c>
      <c r="AE60" s="243" t="s">
        <v>175</v>
      </c>
      <c r="AH60" s="244" t="s">
        <v>310</v>
      </c>
    </row>
    <row r="61" spans="1:34" s="244" customFormat="1" ht="45" customHeight="1">
      <c r="A61" s="225">
        <v>14</v>
      </c>
      <c r="B61" s="233"/>
      <c r="C61" s="247">
        <v>1</v>
      </c>
      <c r="D61" s="247" t="s">
        <v>66</v>
      </c>
      <c r="E61" s="247" t="s">
        <v>66</v>
      </c>
      <c r="F61" s="247" t="s">
        <v>66</v>
      </c>
      <c r="G61" s="247" t="s">
        <v>166</v>
      </c>
      <c r="H61" s="247" t="s">
        <v>68</v>
      </c>
      <c r="I61" s="233" t="s">
        <v>311</v>
      </c>
      <c r="J61" s="233" t="s">
        <v>312</v>
      </c>
      <c r="K61" s="245">
        <f>6*O61</f>
        <v>6</v>
      </c>
      <c r="L61" s="256">
        <f>6*P61</f>
        <v>1080000</v>
      </c>
      <c r="M61" s="245">
        <v>0</v>
      </c>
      <c r="N61" s="256">
        <v>0</v>
      </c>
      <c r="O61" s="245">
        <v>1</v>
      </c>
      <c r="P61" s="256">
        <v>180000</v>
      </c>
      <c r="Q61" s="245">
        <v>0</v>
      </c>
      <c r="R61" s="256">
        <v>0</v>
      </c>
      <c r="S61" s="245"/>
      <c r="T61" s="240"/>
      <c r="U61" s="245"/>
      <c r="V61" s="252"/>
      <c r="W61" s="245"/>
      <c r="X61" s="252"/>
      <c r="Y61" s="218">
        <f t="shared" si="10"/>
        <v>0</v>
      </c>
      <c r="Z61" s="240">
        <f t="shared" si="10"/>
        <v>0</v>
      </c>
      <c r="AA61" s="225">
        <f t="shared" si="11"/>
        <v>0</v>
      </c>
      <c r="AB61" s="226">
        <f t="shared" si="11"/>
        <v>0</v>
      </c>
      <c r="AC61" s="253">
        <f t="shared" si="12"/>
        <v>0</v>
      </c>
      <c r="AD61" s="253">
        <f t="shared" si="12"/>
        <v>0</v>
      </c>
      <c r="AE61" s="243" t="s">
        <v>175</v>
      </c>
    </row>
    <row r="62" spans="1:34" s="244" customFormat="1" ht="55.5" customHeight="1">
      <c r="A62" s="245">
        <v>15</v>
      </c>
      <c r="B62" s="233"/>
      <c r="C62" s="247" t="s">
        <v>66</v>
      </c>
      <c r="D62" s="247" t="s">
        <v>66</v>
      </c>
      <c r="E62" s="238" t="s">
        <v>66</v>
      </c>
      <c r="F62" s="247" t="s">
        <v>66</v>
      </c>
      <c r="G62" s="247">
        <v>16</v>
      </c>
      <c r="H62" s="247" t="s">
        <v>313</v>
      </c>
      <c r="I62" s="273" t="s">
        <v>314</v>
      </c>
      <c r="J62" s="271" t="s">
        <v>315</v>
      </c>
      <c r="K62" s="248">
        <v>6</v>
      </c>
      <c r="L62" s="224">
        <f>6*229855</f>
        <v>1379130</v>
      </c>
      <c r="M62" s="247">
        <v>2</v>
      </c>
      <c r="N62" s="272">
        <f>M62*229855</f>
        <v>459710</v>
      </c>
      <c r="O62" s="248">
        <v>1</v>
      </c>
      <c r="P62" s="250">
        <f>O62*229855</f>
        <v>229855</v>
      </c>
      <c r="Q62" s="247">
        <v>0</v>
      </c>
      <c r="R62" s="224"/>
      <c r="S62" s="245"/>
      <c r="T62" s="240"/>
      <c r="U62" s="245"/>
      <c r="V62" s="252"/>
      <c r="W62" s="245"/>
      <c r="X62" s="252"/>
      <c r="Y62" s="218">
        <f t="shared" si="10"/>
        <v>0</v>
      </c>
      <c r="Z62" s="240">
        <f t="shared" si="10"/>
        <v>0</v>
      </c>
      <c r="AA62" s="225">
        <f t="shared" si="11"/>
        <v>2</v>
      </c>
      <c r="AB62" s="226">
        <f t="shared" si="11"/>
        <v>459710</v>
      </c>
      <c r="AC62" s="253">
        <f t="shared" si="12"/>
        <v>33.333333333333329</v>
      </c>
      <c r="AD62" s="253">
        <f t="shared" si="12"/>
        <v>33.333333333333329</v>
      </c>
      <c r="AE62" s="243" t="s">
        <v>175</v>
      </c>
    </row>
    <row r="63" spans="1:34" s="244" customFormat="1" ht="33" customHeight="1">
      <c r="A63" s="225">
        <v>16</v>
      </c>
      <c r="B63" s="233"/>
      <c r="C63" s="247">
        <v>1</v>
      </c>
      <c r="D63" s="247" t="s">
        <v>66</v>
      </c>
      <c r="E63" s="238" t="s">
        <v>66</v>
      </c>
      <c r="F63" s="247" t="s">
        <v>66</v>
      </c>
      <c r="G63" s="247" t="s">
        <v>166</v>
      </c>
      <c r="H63" s="247" t="s">
        <v>316</v>
      </c>
      <c r="I63" s="233" t="s">
        <v>317</v>
      </c>
      <c r="J63" s="246" t="s">
        <v>318</v>
      </c>
      <c r="K63" s="248">
        <v>6</v>
      </c>
      <c r="L63" s="224">
        <f>(P63*6)+(P63*20%)</f>
        <v>1954202.8</v>
      </c>
      <c r="M63" s="248">
        <v>2</v>
      </c>
      <c r="N63" s="224">
        <f>P63*2</f>
        <v>630388</v>
      </c>
      <c r="O63" s="248">
        <v>1</v>
      </c>
      <c r="P63" s="224">
        <v>315194</v>
      </c>
      <c r="Q63" s="247">
        <v>0</v>
      </c>
      <c r="R63" s="224">
        <v>0</v>
      </c>
      <c r="S63" s="245"/>
      <c r="T63" s="240"/>
      <c r="U63" s="245"/>
      <c r="V63" s="252"/>
      <c r="W63" s="245"/>
      <c r="X63" s="252"/>
      <c r="Y63" s="218">
        <f t="shared" si="10"/>
        <v>0</v>
      </c>
      <c r="Z63" s="240">
        <f t="shared" si="10"/>
        <v>0</v>
      </c>
      <c r="AA63" s="225">
        <f t="shared" si="11"/>
        <v>2</v>
      </c>
      <c r="AB63" s="226">
        <f t="shared" si="11"/>
        <v>630388</v>
      </c>
      <c r="AC63" s="253">
        <f t="shared" si="12"/>
        <v>33.333333333333329</v>
      </c>
      <c r="AD63" s="253">
        <f t="shared" si="12"/>
        <v>32.258064516129032</v>
      </c>
      <c r="AE63" s="243" t="s">
        <v>175</v>
      </c>
    </row>
    <row r="64" spans="1:34" s="244" customFormat="1" ht="38.25" customHeight="1">
      <c r="A64" s="245">
        <v>17</v>
      </c>
      <c r="B64" s="233"/>
      <c r="C64" s="247">
        <v>1</v>
      </c>
      <c r="D64" s="247" t="s">
        <v>66</v>
      </c>
      <c r="E64" s="238" t="s">
        <v>66</v>
      </c>
      <c r="F64" s="247" t="s">
        <v>66</v>
      </c>
      <c r="G64" s="247" t="s">
        <v>166</v>
      </c>
      <c r="H64" s="247">
        <v>76</v>
      </c>
      <c r="I64" s="235" t="s">
        <v>319</v>
      </c>
      <c r="J64" s="233" t="s">
        <v>320</v>
      </c>
      <c r="K64" s="245">
        <v>75</v>
      </c>
      <c r="L64" s="256">
        <v>390388</v>
      </c>
      <c r="M64" s="245">
        <v>24</v>
      </c>
      <c r="N64" s="256">
        <v>149963</v>
      </c>
      <c r="O64" s="245">
        <v>25</v>
      </c>
      <c r="P64" s="256">
        <v>130000</v>
      </c>
      <c r="Q64" s="245">
        <v>0</v>
      </c>
      <c r="R64" s="256">
        <v>0</v>
      </c>
      <c r="S64" s="245"/>
      <c r="T64" s="240"/>
      <c r="U64" s="245"/>
      <c r="V64" s="252"/>
      <c r="W64" s="245"/>
      <c r="X64" s="252"/>
      <c r="Y64" s="218">
        <f t="shared" si="10"/>
        <v>0</v>
      </c>
      <c r="Z64" s="240">
        <f t="shared" si="10"/>
        <v>0</v>
      </c>
      <c r="AA64" s="225">
        <f t="shared" si="11"/>
        <v>24</v>
      </c>
      <c r="AB64" s="226">
        <f t="shared" si="11"/>
        <v>149963</v>
      </c>
      <c r="AC64" s="253">
        <f t="shared" si="12"/>
        <v>32</v>
      </c>
      <c r="AD64" s="253">
        <f t="shared" si="12"/>
        <v>38.413834441632424</v>
      </c>
      <c r="AE64" s="243" t="s">
        <v>175</v>
      </c>
    </row>
    <row r="65" spans="1:34" s="244" customFormat="1" ht="49.5" customHeight="1">
      <c r="A65" s="225">
        <v>18</v>
      </c>
      <c r="B65" s="233"/>
      <c r="C65" s="247">
        <v>1</v>
      </c>
      <c r="D65" s="247" t="s">
        <v>66</v>
      </c>
      <c r="E65" s="238" t="s">
        <v>66</v>
      </c>
      <c r="F65" s="247" t="s">
        <v>66</v>
      </c>
      <c r="G65" s="247" t="s">
        <v>166</v>
      </c>
      <c r="H65" s="247" t="s">
        <v>321</v>
      </c>
      <c r="I65" s="233" t="s">
        <v>322</v>
      </c>
      <c r="J65" s="246" t="s">
        <v>323</v>
      </c>
      <c r="K65" s="248">
        <v>1</v>
      </c>
      <c r="L65" s="224">
        <f>(P65*20%)+P65</f>
        <v>1067059.2</v>
      </c>
      <c r="M65" s="247">
        <v>1</v>
      </c>
      <c r="N65" s="274">
        <v>889216</v>
      </c>
      <c r="O65" s="248">
        <v>1</v>
      </c>
      <c r="P65" s="250">
        <f>N65</f>
        <v>889216</v>
      </c>
      <c r="Q65" s="247">
        <v>0</v>
      </c>
      <c r="R65" s="224">
        <v>40460</v>
      </c>
      <c r="S65" s="245"/>
      <c r="T65" s="240"/>
      <c r="U65" s="245"/>
      <c r="V65" s="252"/>
      <c r="W65" s="245"/>
      <c r="X65" s="252"/>
      <c r="Y65" s="218">
        <f t="shared" si="10"/>
        <v>0</v>
      </c>
      <c r="Z65" s="240">
        <f t="shared" si="10"/>
        <v>40460</v>
      </c>
      <c r="AA65" s="225">
        <f t="shared" ref="AA65:AB72" si="13">M65+Y65</f>
        <v>1</v>
      </c>
      <c r="AB65" s="226">
        <f t="shared" si="13"/>
        <v>929676</v>
      </c>
      <c r="AC65" s="253">
        <f t="shared" si="12"/>
        <v>100</v>
      </c>
      <c r="AD65" s="253">
        <f t="shared" si="12"/>
        <v>87.125062976824523</v>
      </c>
      <c r="AE65" s="243" t="s">
        <v>175</v>
      </c>
    </row>
    <row r="66" spans="1:34" s="244" customFormat="1" ht="39" customHeight="1">
      <c r="A66" s="245">
        <v>19</v>
      </c>
      <c r="B66" s="233"/>
      <c r="C66" s="247">
        <v>1</v>
      </c>
      <c r="D66" s="247" t="s">
        <v>66</v>
      </c>
      <c r="E66" s="238" t="s">
        <v>66</v>
      </c>
      <c r="F66" s="247" t="s">
        <v>66</v>
      </c>
      <c r="G66" s="247" t="s">
        <v>166</v>
      </c>
      <c r="H66" s="247" t="s">
        <v>324</v>
      </c>
      <c r="I66" s="233" t="s">
        <v>325</v>
      </c>
      <c r="J66" s="246" t="s">
        <v>326</v>
      </c>
      <c r="K66" s="248">
        <v>6</v>
      </c>
      <c r="L66" s="224">
        <f>(P66*6)+(P66*20%)</f>
        <v>496000</v>
      </c>
      <c r="M66" s="248">
        <v>2</v>
      </c>
      <c r="N66" s="275">
        <f>2*P66</f>
        <v>160000</v>
      </c>
      <c r="O66" s="248">
        <v>1</v>
      </c>
      <c r="P66" s="250">
        <v>80000</v>
      </c>
      <c r="Q66" s="247">
        <v>1</v>
      </c>
      <c r="R66" s="224">
        <v>35453</v>
      </c>
      <c r="S66" s="245"/>
      <c r="T66" s="240"/>
      <c r="U66" s="245"/>
      <c r="V66" s="252"/>
      <c r="W66" s="245"/>
      <c r="X66" s="252"/>
      <c r="Y66" s="218">
        <f t="shared" si="10"/>
        <v>1</v>
      </c>
      <c r="Z66" s="240">
        <f t="shared" si="10"/>
        <v>35453</v>
      </c>
      <c r="AA66" s="225">
        <f t="shared" si="13"/>
        <v>3</v>
      </c>
      <c r="AB66" s="226">
        <f t="shared" si="13"/>
        <v>195453</v>
      </c>
      <c r="AC66" s="253">
        <f t="shared" ref="AC66:AD72" si="14">(AA66/K66)*100</f>
        <v>50</v>
      </c>
      <c r="AD66" s="253">
        <f t="shared" si="14"/>
        <v>39.405846774193549</v>
      </c>
      <c r="AE66" s="243" t="s">
        <v>175</v>
      </c>
    </row>
    <row r="67" spans="1:34" s="244" customFormat="1" ht="40.5" customHeight="1">
      <c r="A67" s="225">
        <v>20</v>
      </c>
      <c r="B67" s="233"/>
      <c r="C67" s="238" t="s">
        <v>66</v>
      </c>
      <c r="D67" s="238" t="s">
        <v>66</v>
      </c>
      <c r="E67" s="238" t="s">
        <v>66</v>
      </c>
      <c r="F67" s="238" t="s">
        <v>66</v>
      </c>
      <c r="G67" s="238" t="s">
        <v>166</v>
      </c>
      <c r="H67" s="247" t="s">
        <v>327</v>
      </c>
      <c r="I67" s="246" t="s">
        <v>328</v>
      </c>
      <c r="J67" s="233" t="s">
        <v>329</v>
      </c>
      <c r="K67" s="248">
        <f>4*4</f>
        <v>16</v>
      </c>
      <c r="L67" s="276">
        <f>4*82400</f>
        <v>329600</v>
      </c>
      <c r="M67" s="247">
        <v>0</v>
      </c>
      <c r="N67" s="277">
        <v>0</v>
      </c>
      <c r="O67" s="248">
        <v>4</v>
      </c>
      <c r="P67" s="268">
        <v>82400</v>
      </c>
      <c r="Q67" s="247">
        <v>1</v>
      </c>
      <c r="R67" s="278">
        <v>14017</v>
      </c>
      <c r="S67" s="279"/>
      <c r="T67" s="280">
        <f>SUM(T68:T68)</f>
        <v>0</v>
      </c>
      <c r="U67" s="279"/>
      <c r="V67" s="279"/>
      <c r="W67" s="279"/>
      <c r="X67" s="279"/>
      <c r="Y67" s="218">
        <f t="shared" si="10"/>
        <v>1</v>
      </c>
      <c r="Z67" s="276">
        <f>R67+T67+V67+X67</f>
        <v>14017</v>
      </c>
      <c r="AA67" s="225">
        <f t="shared" si="13"/>
        <v>1</v>
      </c>
      <c r="AB67" s="226">
        <f t="shared" si="13"/>
        <v>14017</v>
      </c>
      <c r="AC67" s="253">
        <f t="shared" si="14"/>
        <v>6.25</v>
      </c>
      <c r="AD67" s="253">
        <f t="shared" si="14"/>
        <v>4.2527305825242712</v>
      </c>
      <c r="AE67" s="243" t="s">
        <v>175</v>
      </c>
    </row>
    <row r="68" spans="1:34" s="244" customFormat="1" ht="44.25" customHeight="1">
      <c r="A68" s="245">
        <v>21</v>
      </c>
      <c r="B68" s="233"/>
      <c r="C68" s="238" t="s">
        <v>66</v>
      </c>
      <c r="D68" s="238" t="s">
        <v>66</v>
      </c>
      <c r="E68" s="238" t="s">
        <v>66</v>
      </c>
      <c r="F68" s="238" t="s">
        <v>66</v>
      </c>
      <c r="G68" s="238" t="s">
        <v>166</v>
      </c>
      <c r="H68" s="247" t="s">
        <v>68</v>
      </c>
      <c r="I68" s="246" t="s">
        <v>330</v>
      </c>
      <c r="J68" s="246" t="s">
        <v>331</v>
      </c>
      <c r="K68" s="248">
        <f>5*944</f>
        <v>4720</v>
      </c>
      <c r="L68" s="224">
        <f>(4*184258)+199978</f>
        <v>937010</v>
      </c>
      <c r="M68" s="251">
        <v>944</v>
      </c>
      <c r="N68" s="267">
        <v>199978</v>
      </c>
      <c r="O68" s="248">
        <v>944</v>
      </c>
      <c r="P68" s="250">
        <v>184258</v>
      </c>
      <c r="Q68" s="247">
        <v>465</v>
      </c>
      <c r="R68" s="224">
        <f>9252+49149+34410</f>
        <v>92811</v>
      </c>
      <c r="S68" s="245"/>
      <c r="T68" s="240"/>
      <c r="U68" s="245"/>
      <c r="V68" s="252"/>
      <c r="W68" s="245"/>
      <c r="X68" s="252"/>
      <c r="Y68" s="218">
        <f t="shared" si="10"/>
        <v>465</v>
      </c>
      <c r="Z68" s="240">
        <f t="shared" si="10"/>
        <v>92811</v>
      </c>
      <c r="AA68" s="225">
        <f t="shared" si="13"/>
        <v>1409</v>
      </c>
      <c r="AB68" s="226">
        <f t="shared" si="13"/>
        <v>292789</v>
      </c>
      <c r="AC68" s="253">
        <f t="shared" si="14"/>
        <v>29.851694915254239</v>
      </c>
      <c r="AD68" s="253">
        <f t="shared" si="14"/>
        <v>31.247158514850426</v>
      </c>
      <c r="AE68" s="243" t="s">
        <v>175</v>
      </c>
      <c r="AH68" s="255" t="s">
        <v>332</v>
      </c>
    </row>
    <row r="69" spans="1:34" s="244" customFormat="1" ht="36.75" customHeight="1">
      <c r="A69" s="225">
        <v>22</v>
      </c>
      <c r="B69" s="233"/>
      <c r="C69" s="247">
        <v>1</v>
      </c>
      <c r="D69" s="247" t="s">
        <v>66</v>
      </c>
      <c r="E69" s="238" t="s">
        <v>66</v>
      </c>
      <c r="F69" s="247" t="s">
        <v>66</v>
      </c>
      <c r="G69" s="247" t="s">
        <v>166</v>
      </c>
      <c r="H69" s="247" t="s">
        <v>333</v>
      </c>
      <c r="I69" s="233" t="s">
        <v>334</v>
      </c>
      <c r="J69" s="233" t="s">
        <v>335</v>
      </c>
      <c r="K69" s="248">
        <v>6</v>
      </c>
      <c r="L69" s="224">
        <f>(P69*6)+(P69*20%)</f>
        <v>849400</v>
      </c>
      <c r="M69" s="248">
        <v>2</v>
      </c>
      <c r="N69" s="256">
        <f>P69*2</f>
        <v>274000</v>
      </c>
      <c r="O69" s="248">
        <v>1</v>
      </c>
      <c r="P69" s="256">
        <v>137000</v>
      </c>
      <c r="Q69" s="245">
        <v>0</v>
      </c>
      <c r="R69" s="256">
        <v>0</v>
      </c>
      <c r="S69" s="245"/>
      <c r="T69" s="240"/>
      <c r="U69" s="245"/>
      <c r="V69" s="252"/>
      <c r="W69" s="245"/>
      <c r="X69" s="252"/>
      <c r="Y69" s="218">
        <f t="shared" si="10"/>
        <v>0</v>
      </c>
      <c r="Z69" s="240">
        <f t="shared" si="10"/>
        <v>0</v>
      </c>
      <c r="AA69" s="225">
        <f t="shared" si="13"/>
        <v>2</v>
      </c>
      <c r="AB69" s="226">
        <f t="shared" si="13"/>
        <v>274000</v>
      </c>
      <c r="AC69" s="253">
        <f t="shared" si="14"/>
        <v>33.333333333333329</v>
      </c>
      <c r="AD69" s="253">
        <f t="shared" si="14"/>
        <v>32.258064516129032</v>
      </c>
      <c r="AE69" s="243" t="s">
        <v>175</v>
      </c>
    </row>
    <row r="70" spans="1:34" s="244" customFormat="1" ht="39" customHeight="1">
      <c r="A70" s="245">
        <v>23</v>
      </c>
      <c r="B70" s="233"/>
      <c r="C70" s="247">
        <v>1</v>
      </c>
      <c r="D70" s="247" t="s">
        <v>66</v>
      </c>
      <c r="E70" s="247" t="s">
        <v>66</v>
      </c>
      <c r="F70" s="247" t="s">
        <v>66</v>
      </c>
      <c r="G70" s="247">
        <v>16</v>
      </c>
      <c r="H70" s="247" t="s">
        <v>336</v>
      </c>
      <c r="I70" s="233" t="s">
        <v>337</v>
      </c>
      <c r="J70" s="233" t="s">
        <v>337</v>
      </c>
      <c r="K70" s="245">
        <f t="shared" ref="K70:L72" si="15">6*O70</f>
        <v>18</v>
      </c>
      <c r="L70" s="256">
        <f t="shared" si="15"/>
        <v>3240000</v>
      </c>
      <c r="M70" s="245">
        <v>2</v>
      </c>
      <c r="N70" s="256">
        <v>300000</v>
      </c>
      <c r="O70" s="245">
        <v>3</v>
      </c>
      <c r="P70" s="256">
        <f>540000</f>
        <v>540000</v>
      </c>
      <c r="Q70" s="245">
        <v>1</v>
      </c>
      <c r="R70" s="256">
        <f>12600</f>
        <v>12600</v>
      </c>
      <c r="S70" s="245"/>
      <c r="T70" s="240"/>
      <c r="U70" s="245"/>
      <c r="V70" s="252"/>
      <c r="W70" s="245"/>
      <c r="X70" s="252"/>
      <c r="Y70" s="218">
        <f t="shared" si="10"/>
        <v>1</v>
      </c>
      <c r="Z70" s="240">
        <f t="shared" si="10"/>
        <v>12600</v>
      </c>
      <c r="AA70" s="236">
        <f t="shared" si="13"/>
        <v>3</v>
      </c>
      <c r="AB70" s="237">
        <f t="shared" si="13"/>
        <v>312600</v>
      </c>
      <c r="AC70" s="253">
        <f t="shared" si="14"/>
        <v>16.666666666666664</v>
      </c>
      <c r="AD70" s="253">
        <f t="shared" si="14"/>
        <v>9.6481481481481488</v>
      </c>
      <c r="AE70" s="233" t="s">
        <v>175</v>
      </c>
      <c r="AF70" s="281"/>
      <c r="AG70" s="281"/>
    </row>
    <row r="71" spans="1:34" s="244" customFormat="1" ht="36.75" customHeight="1">
      <c r="A71" s="225">
        <v>24</v>
      </c>
      <c r="B71" s="233"/>
      <c r="C71" s="247">
        <v>1</v>
      </c>
      <c r="D71" s="247" t="s">
        <v>66</v>
      </c>
      <c r="E71" s="247" t="s">
        <v>66</v>
      </c>
      <c r="F71" s="247" t="s">
        <v>66</v>
      </c>
      <c r="G71" s="247" t="s">
        <v>166</v>
      </c>
      <c r="H71" s="247" t="s">
        <v>338</v>
      </c>
      <c r="I71" s="233" t="s">
        <v>339</v>
      </c>
      <c r="J71" s="233" t="s">
        <v>339</v>
      </c>
      <c r="K71" s="245">
        <f t="shared" si="15"/>
        <v>138</v>
      </c>
      <c r="L71" s="256">
        <f t="shared" si="15"/>
        <v>4500000</v>
      </c>
      <c r="M71" s="282">
        <v>20</v>
      </c>
      <c r="N71" s="283">
        <v>1726299</v>
      </c>
      <c r="O71" s="245">
        <v>23</v>
      </c>
      <c r="P71" s="256">
        <v>750000</v>
      </c>
      <c r="Q71" s="245">
        <v>0</v>
      </c>
      <c r="R71" s="256">
        <v>0</v>
      </c>
      <c r="S71" s="245"/>
      <c r="T71" s="250"/>
      <c r="U71" s="251"/>
      <c r="V71" s="261"/>
      <c r="W71" s="251"/>
      <c r="X71" s="261"/>
      <c r="Y71" s="262">
        <f t="shared" si="10"/>
        <v>0</v>
      </c>
      <c r="Z71" s="250">
        <f t="shared" si="10"/>
        <v>0</v>
      </c>
      <c r="AA71" s="263">
        <f t="shared" si="13"/>
        <v>20</v>
      </c>
      <c r="AB71" s="264">
        <f t="shared" si="13"/>
        <v>1726299</v>
      </c>
      <c r="AC71" s="265">
        <f t="shared" si="14"/>
        <v>14.492753623188406</v>
      </c>
      <c r="AD71" s="265">
        <f t="shared" si="14"/>
        <v>38.362200000000001</v>
      </c>
      <c r="AE71" s="266" t="s">
        <v>175</v>
      </c>
    </row>
    <row r="72" spans="1:34" s="244" customFormat="1" ht="26.25" customHeight="1">
      <c r="A72" s="225">
        <v>25</v>
      </c>
      <c r="B72" s="233"/>
      <c r="C72" s="247">
        <v>1</v>
      </c>
      <c r="D72" s="247" t="s">
        <v>66</v>
      </c>
      <c r="E72" s="247" t="s">
        <v>66</v>
      </c>
      <c r="F72" s="247" t="s">
        <v>66</v>
      </c>
      <c r="G72" s="247">
        <v>16</v>
      </c>
      <c r="H72" s="247" t="s">
        <v>340</v>
      </c>
      <c r="I72" s="233" t="s">
        <v>341</v>
      </c>
      <c r="J72" s="233" t="s">
        <v>342</v>
      </c>
      <c r="K72" s="245">
        <f t="shared" si="15"/>
        <v>48</v>
      </c>
      <c r="L72" s="256">
        <f t="shared" si="15"/>
        <v>5646012</v>
      </c>
      <c r="M72" s="245">
        <v>5</v>
      </c>
      <c r="N72" s="256">
        <f>150000+150000+125000+175000+200000</f>
        <v>800000</v>
      </c>
      <c r="O72" s="245">
        <v>8</v>
      </c>
      <c r="P72" s="256">
        <f>941002</f>
        <v>941002</v>
      </c>
      <c r="Q72" s="245">
        <v>1</v>
      </c>
      <c r="R72" s="256">
        <f>25350</f>
        <v>25350</v>
      </c>
      <c r="S72" s="245"/>
      <c r="T72" s="240"/>
      <c r="U72" s="245"/>
      <c r="V72" s="252"/>
      <c r="W72" s="245"/>
      <c r="X72" s="252"/>
      <c r="Y72" s="218">
        <f t="shared" si="10"/>
        <v>1</v>
      </c>
      <c r="Z72" s="240">
        <f t="shared" si="10"/>
        <v>25350</v>
      </c>
      <c r="AA72" s="225">
        <f t="shared" si="13"/>
        <v>6</v>
      </c>
      <c r="AB72" s="226">
        <f t="shared" si="13"/>
        <v>825350</v>
      </c>
      <c r="AC72" s="253">
        <f t="shared" si="14"/>
        <v>12.5</v>
      </c>
      <c r="AD72" s="253">
        <f t="shared" si="14"/>
        <v>14.618282780837163</v>
      </c>
      <c r="AE72" s="243" t="s">
        <v>175</v>
      </c>
    </row>
    <row r="73" spans="1:34" s="244" customFormat="1" ht="10.5" customHeight="1">
      <c r="A73" s="4350"/>
      <c r="B73" s="4351"/>
      <c r="C73" s="4351"/>
      <c r="D73" s="4351"/>
      <c r="E73" s="4351"/>
      <c r="F73" s="4351"/>
      <c r="G73" s="4351"/>
      <c r="H73" s="4351"/>
      <c r="I73" s="4351"/>
      <c r="J73" s="4351"/>
      <c r="K73" s="4351"/>
      <c r="L73" s="4351"/>
      <c r="M73" s="4351"/>
      <c r="N73" s="4351"/>
      <c r="O73" s="4351"/>
      <c r="P73" s="4351"/>
      <c r="Q73" s="4351"/>
      <c r="R73" s="4351"/>
      <c r="S73" s="4351"/>
      <c r="T73" s="4351"/>
      <c r="U73" s="4351"/>
      <c r="V73" s="4351"/>
      <c r="W73" s="4351"/>
      <c r="X73" s="4351"/>
      <c r="Y73" s="4351"/>
      <c r="Z73" s="4351"/>
      <c r="AA73" s="4351"/>
      <c r="AB73" s="4351"/>
      <c r="AC73" s="4351"/>
      <c r="AD73" s="4351"/>
      <c r="AE73" s="4352"/>
    </row>
    <row r="74" spans="1:34" s="353" customFormat="1" ht="50.25" customHeight="1">
      <c r="A74" s="341">
        <v>5</v>
      </c>
      <c r="B74" s="344"/>
      <c r="C74" s="367" t="s">
        <v>66</v>
      </c>
      <c r="D74" s="368" t="s">
        <v>146</v>
      </c>
      <c r="E74" s="367" t="s">
        <v>66</v>
      </c>
      <c r="F74" s="367" t="s">
        <v>196</v>
      </c>
      <c r="G74" s="367" t="s">
        <v>155</v>
      </c>
      <c r="H74" s="341"/>
      <c r="I74" s="344" t="s">
        <v>343</v>
      </c>
      <c r="J74" s="344" t="s">
        <v>344</v>
      </c>
      <c r="K74" s="369">
        <f>78.7-62</f>
        <v>16.700000000000003</v>
      </c>
      <c r="L74" s="369">
        <f>SUM(L75:L78)</f>
        <v>2905899</v>
      </c>
      <c r="M74" s="369">
        <f>3+6</f>
        <v>9</v>
      </c>
      <c r="N74" s="369">
        <f>SUM(N75:N78)</f>
        <v>588634</v>
      </c>
      <c r="O74" s="369">
        <f>71-62</f>
        <v>9</v>
      </c>
      <c r="P74" s="370">
        <f>SUM(P75:P78)</f>
        <v>522875</v>
      </c>
      <c r="Q74" s="369">
        <f>9/4</f>
        <v>2.25</v>
      </c>
      <c r="R74" s="369">
        <f>SUM(R75:R78)</f>
        <v>74360</v>
      </c>
      <c r="S74" s="371"/>
      <c r="T74" s="372"/>
      <c r="U74" s="371"/>
      <c r="V74" s="372"/>
      <c r="W74" s="371"/>
      <c r="X74" s="372"/>
      <c r="Y74" s="351">
        <f>Q74+S74+U74+W74</f>
        <v>2.25</v>
      </c>
      <c r="Z74" s="373">
        <f>SUM(Z75:Z78)</f>
        <v>74360</v>
      </c>
      <c r="AA74" s="341">
        <f>M74+Y74</f>
        <v>11.25</v>
      </c>
      <c r="AB74" s="374">
        <f>SUM(AB75:AB78)</f>
        <v>662994</v>
      </c>
      <c r="AC74" s="352">
        <f t="shared" ref="AC74:AD78" si="16">(AA74/K74)*100</f>
        <v>67.365269461077844</v>
      </c>
      <c r="AD74" s="352">
        <f t="shared" si="16"/>
        <v>22.815452292044561</v>
      </c>
      <c r="AE74" s="375" t="s">
        <v>175</v>
      </c>
    </row>
    <row r="75" spans="1:34" s="244" customFormat="1" ht="81.75" customHeight="1">
      <c r="A75" s="236">
        <v>1</v>
      </c>
      <c r="B75" s="233"/>
      <c r="C75" s="238" t="s">
        <v>66</v>
      </c>
      <c r="D75" s="238" t="s">
        <v>146</v>
      </c>
      <c r="E75" s="238" t="s">
        <v>66</v>
      </c>
      <c r="F75" s="238" t="s">
        <v>196</v>
      </c>
      <c r="G75" s="238" t="s">
        <v>155</v>
      </c>
      <c r="H75" s="238" t="s">
        <v>345</v>
      </c>
      <c r="I75" s="233" t="s">
        <v>346</v>
      </c>
      <c r="J75" s="233" t="s">
        <v>431</v>
      </c>
      <c r="K75" s="245">
        <f>105*6</f>
        <v>630</v>
      </c>
      <c r="L75" s="269">
        <f>170824+175000+180000+185000+190000+195000</f>
        <v>1095824</v>
      </c>
      <c r="M75" s="245">
        <f>105*2</f>
        <v>210</v>
      </c>
      <c r="N75" s="269">
        <f>170824+175000</f>
        <v>345824</v>
      </c>
      <c r="O75" s="245">
        <f>105+30+15</f>
        <v>150</v>
      </c>
      <c r="P75" s="256">
        <v>180000</v>
      </c>
      <c r="Q75" s="284">
        <v>105</v>
      </c>
      <c r="R75" s="269">
        <v>45555</v>
      </c>
      <c r="S75" s="245"/>
      <c r="T75" s="252"/>
      <c r="U75" s="245"/>
      <c r="V75" s="252"/>
      <c r="W75" s="245"/>
      <c r="X75" s="252"/>
      <c r="Y75" s="285">
        <f t="shared" ref="Y75:Z78" si="17">Q75+S75+U75+W75</f>
        <v>105</v>
      </c>
      <c r="Z75" s="237">
        <f t="shared" si="17"/>
        <v>45555</v>
      </c>
      <c r="AA75" s="225">
        <f>M75+Y75</f>
        <v>315</v>
      </c>
      <c r="AB75" s="226">
        <f>N75+Z75</f>
        <v>391379</v>
      </c>
      <c r="AC75" s="227">
        <f t="shared" si="16"/>
        <v>50</v>
      </c>
      <c r="AD75" s="227">
        <f t="shared" si="16"/>
        <v>35.715498109185418</v>
      </c>
      <c r="AE75" s="243" t="s">
        <v>175</v>
      </c>
    </row>
    <row r="76" spans="1:34" s="244" customFormat="1" ht="51">
      <c r="A76" s="236">
        <v>2</v>
      </c>
      <c r="B76" s="233" t="s">
        <v>228</v>
      </c>
      <c r="C76" s="247" t="s">
        <v>66</v>
      </c>
      <c r="D76" s="238" t="s">
        <v>146</v>
      </c>
      <c r="E76" s="247" t="s">
        <v>66</v>
      </c>
      <c r="F76" s="247" t="s">
        <v>196</v>
      </c>
      <c r="G76" s="247" t="s">
        <v>155</v>
      </c>
      <c r="H76" s="247" t="s">
        <v>347</v>
      </c>
      <c r="I76" s="233" t="s">
        <v>348</v>
      </c>
      <c r="J76" s="233" t="s">
        <v>430</v>
      </c>
      <c r="K76" s="245">
        <f>275+332+350+350+350</f>
        <v>1657</v>
      </c>
      <c r="L76" s="269">
        <f>150000+200000+250000+250000+250000</f>
        <v>1100000</v>
      </c>
      <c r="M76" s="245">
        <f>275+332</f>
        <v>607</v>
      </c>
      <c r="N76" s="269">
        <f>64810+98000</f>
        <v>162810</v>
      </c>
      <c r="O76" s="245">
        <v>332</v>
      </c>
      <c r="P76" s="256">
        <v>200000</v>
      </c>
      <c r="Q76" s="245">
        <v>0</v>
      </c>
      <c r="R76" s="269">
        <v>0</v>
      </c>
      <c r="S76" s="245"/>
      <c r="T76" s="252"/>
      <c r="U76" s="245"/>
      <c r="V76" s="252"/>
      <c r="W76" s="245"/>
      <c r="X76" s="252"/>
      <c r="Y76" s="223">
        <f t="shared" si="17"/>
        <v>0</v>
      </c>
      <c r="Z76" s="224">
        <f t="shared" si="17"/>
        <v>0</v>
      </c>
      <c r="AA76" s="225">
        <f>M76+Y76</f>
        <v>607</v>
      </c>
      <c r="AB76" s="226">
        <f>N76+Z76</f>
        <v>162810</v>
      </c>
      <c r="AC76" s="227">
        <f t="shared" si="16"/>
        <v>36.63246831623416</v>
      </c>
      <c r="AD76" s="227">
        <f t="shared" si="16"/>
        <v>14.800909090909089</v>
      </c>
      <c r="AE76" s="243" t="s">
        <v>175</v>
      </c>
    </row>
    <row r="77" spans="1:34" s="244" customFormat="1" ht="32.25" customHeight="1">
      <c r="A77" s="236">
        <v>3</v>
      </c>
      <c r="B77" s="233"/>
      <c r="C77" s="247" t="s">
        <v>66</v>
      </c>
      <c r="D77" s="238" t="s">
        <v>146</v>
      </c>
      <c r="E77" s="247" t="s">
        <v>66</v>
      </c>
      <c r="F77" s="247" t="s">
        <v>196</v>
      </c>
      <c r="G77" s="247" t="s">
        <v>155</v>
      </c>
      <c r="H77" s="247" t="s">
        <v>349</v>
      </c>
      <c r="I77" s="233" t="s">
        <v>350</v>
      </c>
      <c r="J77" s="233" t="s">
        <v>432</v>
      </c>
      <c r="K77" s="245">
        <f>15*4</f>
        <v>60</v>
      </c>
      <c r="L77" s="269">
        <f>82400*4</f>
        <v>329600</v>
      </c>
      <c r="M77" s="245">
        <v>0</v>
      </c>
      <c r="N77" s="269">
        <v>0</v>
      </c>
      <c r="O77" s="245">
        <v>15</v>
      </c>
      <c r="P77" s="256">
        <f>82400</f>
        <v>82400</v>
      </c>
      <c r="Q77" s="245">
        <v>0</v>
      </c>
      <c r="R77" s="269">
        <v>0</v>
      </c>
      <c r="S77" s="245"/>
      <c r="T77" s="252"/>
      <c r="U77" s="245"/>
      <c r="V77" s="252"/>
      <c r="W77" s="245"/>
      <c r="X77" s="252"/>
      <c r="Y77" s="223">
        <f t="shared" si="17"/>
        <v>0</v>
      </c>
      <c r="Z77" s="224">
        <f t="shared" si="17"/>
        <v>0</v>
      </c>
      <c r="AA77" s="225">
        <f>M77+Y77</f>
        <v>0</v>
      </c>
      <c r="AB77" s="226">
        <f>N77+Z77</f>
        <v>0</v>
      </c>
      <c r="AC77" s="227">
        <f t="shared" si="16"/>
        <v>0</v>
      </c>
      <c r="AD77" s="227">
        <f t="shared" si="16"/>
        <v>0</v>
      </c>
      <c r="AE77" s="243" t="s">
        <v>175</v>
      </c>
    </row>
    <row r="78" spans="1:34" s="244" customFormat="1" ht="25.5">
      <c r="A78" s="236">
        <v>4</v>
      </c>
      <c r="B78" s="233"/>
      <c r="C78" s="247" t="s">
        <v>66</v>
      </c>
      <c r="D78" s="238" t="s">
        <v>146</v>
      </c>
      <c r="E78" s="247" t="s">
        <v>66</v>
      </c>
      <c r="F78" s="247" t="s">
        <v>196</v>
      </c>
      <c r="G78" s="247" t="s">
        <v>155</v>
      </c>
      <c r="H78" s="247" t="s">
        <v>351</v>
      </c>
      <c r="I78" s="233" t="s">
        <v>352</v>
      </c>
      <c r="J78" s="233" t="s">
        <v>433</v>
      </c>
      <c r="K78" s="245">
        <f>418*5</f>
        <v>2090</v>
      </c>
      <c r="L78" s="269">
        <f>80000+60475+70000+80000+90000</f>
        <v>380475</v>
      </c>
      <c r="M78" s="245">
        <v>418</v>
      </c>
      <c r="N78" s="269">
        <f>80000</f>
        <v>80000</v>
      </c>
      <c r="O78" s="245">
        <v>418</v>
      </c>
      <c r="P78" s="256">
        <v>60475</v>
      </c>
      <c r="Q78" s="245">
        <v>375</v>
      </c>
      <c r="R78" s="269">
        <v>28805</v>
      </c>
      <c r="S78" s="245"/>
      <c r="T78" s="252"/>
      <c r="U78" s="245"/>
      <c r="V78" s="252"/>
      <c r="W78" s="245"/>
      <c r="X78" s="252"/>
      <c r="Y78" s="223">
        <f t="shared" si="17"/>
        <v>375</v>
      </c>
      <c r="Z78" s="224">
        <f t="shared" si="17"/>
        <v>28805</v>
      </c>
      <c r="AA78" s="225">
        <f>M78+Y78</f>
        <v>793</v>
      </c>
      <c r="AB78" s="226">
        <f>N78+Z78</f>
        <v>108805</v>
      </c>
      <c r="AC78" s="227">
        <f t="shared" si="16"/>
        <v>37.942583732057415</v>
      </c>
      <c r="AD78" s="227">
        <f t="shared" si="16"/>
        <v>28.597148301465275</v>
      </c>
      <c r="AE78" s="243" t="s">
        <v>175</v>
      </c>
    </row>
    <row r="79" spans="1:34" s="244" customFormat="1" ht="19.5" customHeight="1">
      <c r="A79" s="4336"/>
      <c r="B79" s="4337"/>
      <c r="C79" s="4337"/>
      <c r="D79" s="4337"/>
      <c r="E79" s="4337"/>
      <c r="F79" s="4337"/>
      <c r="G79" s="4337"/>
      <c r="H79" s="4337"/>
      <c r="I79" s="4337"/>
      <c r="J79" s="4337"/>
      <c r="K79" s="4337"/>
      <c r="L79" s="4337"/>
      <c r="M79" s="4337"/>
      <c r="N79" s="4337"/>
      <c r="O79" s="4337"/>
      <c r="P79" s="4337"/>
      <c r="Q79" s="4337"/>
      <c r="R79" s="4337"/>
      <c r="S79" s="4337"/>
      <c r="T79" s="4337"/>
      <c r="U79" s="4337"/>
      <c r="V79" s="4337"/>
      <c r="W79" s="4337"/>
      <c r="X79" s="4337"/>
      <c r="Y79" s="4337"/>
      <c r="Z79" s="4337"/>
      <c r="AA79" s="4337"/>
      <c r="AB79" s="4337"/>
      <c r="AC79" s="4337"/>
      <c r="AD79" s="4337"/>
      <c r="AE79" s="4338"/>
    </row>
    <row r="80" spans="1:34" s="295" customFormat="1" ht="41.25" customHeight="1">
      <c r="A80" s="220">
        <v>6</v>
      </c>
      <c r="B80" s="286"/>
      <c r="C80" s="287">
        <v>1</v>
      </c>
      <c r="D80" s="288" t="s">
        <v>66</v>
      </c>
      <c r="E80" s="289" t="s">
        <v>66</v>
      </c>
      <c r="F80" s="288" t="s">
        <v>66</v>
      </c>
      <c r="G80" s="288" t="s">
        <v>167</v>
      </c>
      <c r="H80" s="288"/>
      <c r="I80" s="286" t="s">
        <v>353</v>
      </c>
      <c r="J80" s="286" t="s">
        <v>354</v>
      </c>
      <c r="K80" s="290">
        <f>99.1-98.12</f>
        <v>0.97999999999998977</v>
      </c>
      <c r="L80" s="291">
        <f>SUM(L81:L88)</f>
        <v>6347193</v>
      </c>
      <c r="M80" s="290">
        <f>98.3-98.15</f>
        <v>0.14999999999999147</v>
      </c>
      <c r="N80" s="291">
        <f>SUM(N81:N88)</f>
        <v>8757282</v>
      </c>
      <c r="O80" s="290">
        <f>98.5-98.12</f>
        <v>0.37999999999999545</v>
      </c>
      <c r="P80" s="292">
        <f>SUM(P81:P88)</f>
        <v>1301076</v>
      </c>
      <c r="Q80" s="290">
        <f>O80/4</f>
        <v>9.4999999999998863E-2</v>
      </c>
      <c r="R80" s="291">
        <f>SUM(R81:R88)</f>
        <v>215870</v>
      </c>
      <c r="S80" s="293"/>
      <c r="T80" s="294"/>
      <c r="U80" s="293"/>
      <c r="V80" s="294"/>
      <c r="W80" s="293"/>
      <c r="X80" s="294"/>
      <c r="Y80" s="218">
        <f>Q80+S80+U80+W80</f>
        <v>9.4999999999998863E-2</v>
      </c>
      <c r="Z80" s="219">
        <f>SUM(Z81:Z84)</f>
        <v>102805</v>
      </c>
      <c r="AA80" s="220">
        <f>M80+Y80</f>
        <v>0.24499999999999034</v>
      </c>
      <c r="AB80" s="221">
        <f>SUM(AB81:AB84)</f>
        <v>8482486</v>
      </c>
      <c r="AC80" s="222">
        <f t="shared" ref="AC80:AC88" si="18">(AA80/K80)*100</f>
        <v>24.999999999999275</v>
      </c>
      <c r="AD80" s="222">
        <f t="shared" ref="AD80:AD88" si="19">(AB80/L80)*100</f>
        <v>133.64153256407988</v>
      </c>
      <c r="AE80" s="286" t="s">
        <v>175</v>
      </c>
    </row>
    <row r="81" spans="1:31" s="244" customFormat="1" ht="41.25" customHeight="1">
      <c r="A81" s="236">
        <v>1</v>
      </c>
      <c r="B81" s="233"/>
      <c r="C81" s="248">
        <v>1</v>
      </c>
      <c r="D81" s="247" t="s">
        <v>66</v>
      </c>
      <c r="E81" s="238" t="s">
        <v>66</v>
      </c>
      <c r="F81" s="247" t="s">
        <v>66</v>
      </c>
      <c r="G81" s="247" t="s">
        <v>167</v>
      </c>
      <c r="H81" s="247" t="s">
        <v>66</v>
      </c>
      <c r="I81" s="246" t="s">
        <v>355</v>
      </c>
      <c r="J81" s="246" t="s">
        <v>356</v>
      </c>
      <c r="K81" s="248">
        <f>35*6</f>
        <v>210</v>
      </c>
      <c r="L81" s="276">
        <f>50000*6</f>
        <v>300000</v>
      </c>
      <c r="M81" s="248">
        <v>30</v>
      </c>
      <c r="N81" s="296">
        <f>45000</f>
        <v>45000</v>
      </c>
      <c r="O81" s="248">
        <v>40</v>
      </c>
      <c r="P81" s="250">
        <f>66000</f>
        <v>66000</v>
      </c>
      <c r="Q81" s="245">
        <v>0</v>
      </c>
      <c r="R81" s="269">
        <v>0</v>
      </c>
      <c r="S81" s="245"/>
      <c r="T81" s="252"/>
      <c r="U81" s="245"/>
      <c r="V81" s="252"/>
      <c r="W81" s="245"/>
      <c r="X81" s="252"/>
      <c r="Y81" s="223">
        <f t="shared" ref="Y81:Z88" si="20">Q81+S81+U81+W81</f>
        <v>0</v>
      </c>
      <c r="Z81" s="224">
        <f t="shared" si="20"/>
        <v>0</v>
      </c>
      <c r="AA81" s="225">
        <f>M81+Y81</f>
        <v>30</v>
      </c>
      <c r="AB81" s="226">
        <f>N81+Z81</f>
        <v>45000</v>
      </c>
      <c r="AC81" s="227">
        <f t="shared" si="18"/>
        <v>14.285714285714285</v>
      </c>
      <c r="AD81" s="227">
        <f t="shared" si="19"/>
        <v>15</v>
      </c>
      <c r="AE81" s="233" t="s">
        <v>175</v>
      </c>
    </row>
    <row r="82" spans="1:31" s="244" customFormat="1" ht="38.25" customHeight="1">
      <c r="A82" s="236">
        <v>2</v>
      </c>
      <c r="B82" s="233"/>
      <c r="C82" s="248">
        <v>1</v>
      </c>
      <c r="D82" s="247" t="s">
        <v>66</v>
      </c>
      <c r="E82" s="238" t="s">
        <v>66</v>
      </c>
      <c r="F82" s="247" t="s">
        <v>66</v>
      </c>
      <c r="G82" s="247" t="s">
        <v>167</v>
      </c>
      <c r="H82" s="247" t="s">
        <v>357</v>
      </c>
      <c r="I82" s="235" t="s">
        <v>358</v>
      </c>
      <c r="J82" s="246" t="s">
        <v>359</v>
      </c>
      <c r="K82" s="248">
        <f>56*6</f>
        <v>336</v>
      </c>
      <c r="L82" s="276">
        <f>150000*6</f>
        <v>900000</v>
      </c>
      <c r="M82" s="248">
        <v>56</v>
      </c>
      <c r="N82" s="296">
        <f>150000</f>
        <v>150000</v>
      </c>
      <c r="O82" s="248">
        <v>40</v>
      </c>
      <c r="P82" s="250">
        <v>155000</v>
      </c>
      <c r="Q82" s="248">
        <v>40</v>
      </c>
      <c r="R82" s="276">
        <v>42805</v>
      </c>
      <c r="S82" s="245"/>
      <c r="T82" s="252"/>
      <c r="U82" s="245"/>
      <c r="V82" s="252"/>
      <c r="W82" s="245"/>
      <c r="X82" s="252"/>
      <c r="Y82" s="223">
        <f t="shared" si="20"/>
        <v>40</v>
      </c>
      <c r="Z82" s="224">
        <f t="shared" si="20"/>
        <v>42805</v>
      </c>
      <c r="AA82" s="225">
        <f t="shared" ref="AA82:AB85" si="21">M82+Y82</f>
        <v>96</v>
      </c>
      <c r="AB82" s="226">
        <f t="shared" si="21"/>
        <v>192805</v>
      </c>
      <c r="AC82" s="227">
        <f t="shared" si="18"/>
        <v>28.571428571428569</v>
      </c>
      <c r="AD82" s="227">
        <f t="shared" si="19"/>
        <v>21.422777777777778</v>
      </c>
      <c r="AE82" s="233" t="s">
        <v>175</v>
      </c>
    </row>
    <row r="83" spans="1:31" s="244" customFormat="1" ht="38.25" customHeight="1">
      <c r="A83" s="236">
        <v>3</v>
      </c>
      <c r="B83" s="233"/>
      <c r="C83" s="247" t="s">
        <v>66</v>
      </c>
      <c r="D83" s="238" t="s">
        <v>146</v>
      </c>
      <c r="E83" s="247" t="s">
        <v>66</v>
      </c>
      <c r="F83" s="247" t="s">
        <v>196</v>
      </c>
      <c r="G83" s="247" t="s">
        <v>167</v>
      </c>
      <c r="H83" s="247" t="s">
        <v>360</v>
      </c>
      <c r="I83" s="246" t="s">
        <v>361</v>
      </c>
      <c r="J83" s="246" t="s">
        <v>362</v>
      </c>
      <c r="K83" s="248">
        <v>58</v>
      </c>
      <c r="L83" s="276">
        <v>1600936</v>
      </c>
      <c r="M83" s="247">
        <v>29</v>
      </c>
      <c r="N83" s="277">
        <v>8004681</v>
      </c>
      <c r="O83" s="248">
        <v>12</v>
      </c>
      <c r="P83" s="250">
        <v>470000</v>
      </c>
      <c r="Q83" s="247">
        <v>12</v>
      </c>
      <c r="R83" s="276">
        <v>60000</v>
      </c>
      <c r="S83" s="245"/>
      <c r="T83" s="252"/>
      <c r="U83" s="245"/>
      <c r="V83" s="252"/>
      <c r="W83" s="245"/>
      <c r="X83" s="252"/>
      <c r="Y83" s="223">
        <f t="shared" si="20"/>
        <v>12</v>
      </c>
      <c r="Z83" s="224">
        <f t="shared" si="20"/>
        <v>60000</v>
      </c>
      <c r="AA83" s="225">
        <f t="shared" si="21"/>
        <v>41</v>
      </c>
      <c r="AB83" s="226">
        <f t="shared" si="21"/>
        <v>8064681</v>
      </c>
      <c r="AC83" s="227">
        <f t="shared" si="18"/>
        <v>70.689655172413794</v>
      </c>
      <c r="AD83" s="227">
        <f t="shared" si="19"/>
        <v>503.74786999605237</v>
      </c>
      <c r="AE83" s="233" t="s">
        <v>175</v>
      </c>
    </row>
    <row r="84" spans="1:31" s="244" customFormat="1" ht="51.75" customHeight="1">
      <c r="A84" s="236">
        <v>4</v>
      </c>
      <c r="B84" s="233"/>
      <c r="C84" s="248">
        <v>1</v>
      </c>
      <c r="D84" s="247" t="s">
        <v>66</v>
      </c>
      <c r="E84" s="238" t="s">
        <v>66</v>
      </c>
      <c r="F84" s="247" t="s">
        <v>66</v>
      </c>
      <c r="G84" s="247" t="s">
        <v>167</v>
      </c>
      <c r="H84" s="247" t="s">
        <v>363</v>
      </c>
      <c r="I84" s="233" t="s">
        <v>364</v>
      </c>
      <c r="J84" s="233" t="s">
        <v>365</v>
      </c>
      <c r="K84" s="245">
        <v>500</v>
      </c>
      <c r="L84" s="269">
        <f>4*P84</f>
        <v>1048000</v>
      </c>
      <c r="M84" s="245">
        <v>80</v>
      </c>
      <c r="N84" s="269">
        <f>180000</f>
        <v>180000</v>
      </c>
      <c r="O84" s="245">
        <v>200</v>
      </c>
      <c r="P84" s="256">
        <f>262000</f>
        <v>262000</v>
      </c>
      <c r="Q84" s="245">
        <v>0</v>
      </c>
      <c r="R84" s="269">
        <v>0</v>
      </c>
      <c r="S84" s="245"/>
      <c r="T84" s="297"/>
      <c r="U84" s="245"/>
      <c r="V84" s="252"/>
      <c r="W84" s="245"/>
      <c r="X84" s="252"/>
      <c r="Y84" s="223">
        <f t="shared" si="20"/>
        <v>0</v>
      </c>
      <c r="Z84" s="224">
        <f t="shared" si="20"/>
        <v>0</v>
      </c>
      <c r="AA84" s="225">
        <f t="shared" si="21"/>
        <v>80</v>
      </c>
      <c r="AB84" s="226">
        <f t="shared" si="21"/>
        <v>180000</v>
      </c>
      <c r="AC84" s="227">
        <f t="shared" si="18"/>
        <v>16</v>
      </c>
      <c r="AD84" s="227">
        <f t="shared" si="19"/>
        <v>17.175572519083971</v>
      </c>
      <c r="AE84" s="233" t="s">
        <v>175</v>
      </c>
    </row>
    <row r="85" spans="1:31" s="244" customFormat="1" ht="37.5" customHeight="1">
      <c r="A85" s="236">
        <v>5</v>
      </c>
      <c r="B85" s="233"/>
      <c r="C85" s="247" t="s">
        <v>66</v>
      </c>
      <c r="D85" s="238" t="s">
        <v>146</v>
      </c>
      <c r="E85" s="247" t="s">
        <v>66</v>
      </c>
      <c r="F85" s="247" t="s">
        <v>196</v>
      </c>
      <c r="G85" s="247" t="s">
        <v>167</v>
      </c>
      <c r="H85" s="247" t="s">
        <v>178</v>
      </c>
      <c r="I85" s="233" t="s">
        <v>366</v>
      </c>
      <c r="J85" s="233" t="s">
        <v>367</v>
      </c>
      <c r="K85" s="245">
        <v>617</v>
      </c>
      <c r="L85" s="269">
        <v>300000</v>
      </c>
      <c r="M85" s="245">
        <v>166</v>
      </c>
      <c r="N85" s="269">
        <v>54975</v>
      </c>
      <c r="O85" s="245"/>
      <c r="P85" s="256">
        <v>66400</v>
      </c>
      <c r="Q85" s="245">
        <v>0</v>
      </c>
      <c r="R85" s="269">
        <v>0</v>
      </c>
      <c r="S85" s="245"/>
      <c r="T85" s="252"/>
      <c r="U85" s="245"/>
      <c r="V85" s="252"/>
      <c r="W85" s="245"/>
      <c r="X85" s="252"/>
      <c r="Y85" s="223">
        <f t="shared" si="20"/>
        <v>0</v>
      </c>
      <c r="Z85" s="224">
        <f t="shared" si="20"/>
        <v>0</v>
      </c>
      <c r="AA85" s="225">
        <f t="shared" si="21"/>
        <v>166</v>
      </c>
      <c r="AB85" s="226">
        <f t="shared" si="21"/>
        <v>54975</v>
      </c>
      <c r="AC85" s="227">
        <f t="shared" si="18"/>
        <v>26.904376012965965</v>
      </c>
      <c r="AD85" s="227">
        <f t="shared" si="19"/>
        <v>18.324999999999999</v>
      </c>
      <c r="AE85" s="233" t="s">
        <v>175</v>
      </c>
    </row>
    <row r="86" spans="1:31" s="244" customFormat="1" ht="37.5" customHeight="1">
      <c r="A86" s="236">
        <v>6</v>
      </c>
      <c r="B86" s="233"/>
      <c r="C86" s="247" t="s">
        <v>66</v>
      </c>
      <c r="D86" s="238" t="s">
        <v>146</v>
      </c>
      <c r="E86" s="247" t="s">
        <v>66</v>
      </c>
      <c r="F86" s="247" t="s">
        <v>196</v>
      </c>
      <c r="G86" s="247" t="s">
        <v>167</v>
      </c>
      <c r="H86" s="247" t="s">
        <v>368</v>
      </c>
      <c r="I86" s="233" t="s">
        <v>369</v>
      </c>
      <c r="J86" s="233" t="s">
        <v>370</v>
      </c>
      <c r="K86" s="245">
        <v>1097</v>
      </c>
      <c r="L86" s="269">
        <v>350000</v>
      </c>
      <c r="M86" s="245">
        <v>507</v>
      </c>
      <c r="N86" s="269">
        <v>54975</v>
      </c>
      <c r="O86" s="245"/>
      <c r="P86" s="256">
        <v>80000</v>
      </c>
      <c r="Q86" s="245">
        <v>0</v>
      </c>
      <c r="R86" s="269">
        <v>0</v>
      </c>
      <c r="S86" s="236"/>
      <c r="T86" s="252"/>
      <c r="U86" s="245"/>
      <c r="V86" s="252"/>
      <c r="W86" s="245"/>
      <c r="X86" s="252"/>
      <c r="Y86" s="285">
        <f t="shared" si="20"/>
        <v>0</v>
      </c>
      <c r="Z86" s="237">
        <f t="shared" si="20"/>
        <v>0</v>
      </c>
      <c r="AA86" s="236">
        <f t="shared" ref="AA86:AB88" si="22">M86+Y86</f>
        <v>507</v>
      </c>
      <c r="AB86" s="237">
        <f t="shared" si="22"/>
        <v>54975</v>
      </c>
      <c r="AC86" s="298">
        <f t="shared" si="18"/>
        <v>46.216955332725618</v>
      </c>
      <c r="AD86" s="298">
        <f t="shared" si="19"/>
        <v>15.707142857142859</v>
      </c>
      <c r="AE86" s="233" t="s">
        <v>175</v>
      </c>
    </row>
    <row r="87" spans="1:31" s="244" customFormat="1" ht="34.5" customHeight="1">
      <c r="A87" s="236">
        <v>7</v>
      </c>
      <c r="B87" s="233"/>
      <c r="C87" s="248">
        <v>1</v>
      </c>
      <c r="D87" s="247" t="s">
        <v>66</v>
      </c>
      <c r="E87" s="238" t="s">
        <v>66</v>
      </c>
      <c r="F87" s="247" t="s">
        <v>66</v>
      </c>
      <c r="G87" s="247" t="s">
        <v>167</v>
      </c>
      <c r="H87" s="247" t="s">
        <v>160</v>
      </c>
      <c r="I87" s="235" t="s">
        <v>371</v>
      </c>
      <c r="J87" s="246" t="s">
        <v>372</v>
      </c>
      <c r="K87" s="248">
        <f>50*6</f>
        <v>300</v>
      </c>
      <c r="L87" s="276">
        <f>85000*6</f>
        <v>510000</v>
      </c>
      <c r="M87" s="248">
        <v>0</v>
      </c>
      <c r="N87" s="279">
        <v>0</v>
      </c>
      <c r="O87" s="248">
        <v>50</v>
      </c>
      <c r="P87" s="250">
        <f>140000-68724</f>
        <v>71276</v>
      </c>
      <c r="Q87" s="245">
        <v>0</v>
      </c>
      <c r="R87" s="269">
        <v>0</v>
      </c>
      <c r="S87" s="245"/>
      <c r="T87" s="252"/>
      <c r="U87" s="245"/>
      <c r="V87" s="252"/>
      <c r="W87" s="245"/>
      <c r="X87" s="252"/>
      <c r="Y87" s="223">
        <f t="shared" si="20"/>
        <v>0</v>
      </c>
      <c r="Z87" s="224">
        <f t="shared" si="20"/>
        <v>0</v>
      </c>
      <c r="AA87" s="225">
        <f t="shared" si="22"/>
        <v>0</v>
      </c>
      <c r="AB87" s="226">
        <f t="shared" si="22"/>
        <v>0</v>
      </c>
      <c r="AC87" s="227">
        <f t="shared" si="18"/>
        <v>0</v>
      </c>
      <c r="AD87" s="227">
        <f t="shared" si="19"/>
        <v>0</v>
      </c>
      <c r="AE87" s="233" t="s">
        <v>175</v>
      </c>
    </row>
    <row r="88" spans="1:31" s="244" customFormat="1" ht="35.25" customHeight="1">
      <c r="A88" s="236">
        <v>8</v>
      </c>
      <c r="B88" s="233"/>
      <c r="C88" s="247" t="s">
        <v>66</v>
      </c>
      <c r="D88" s="238" t="s">
        <v>146</v>
      </c>
      <c r="E88" s="247" t="s">
        <v>66</v>
      </c>
      <c r="F88" s="247" t="s">
        <v>196</v>
      </c>
      <c r="G88" s="247" t="s">
        <v>167</v>
      </c>
      <c r="H88" s="247" t="s">
        <v>373</v>
      </c>
      <c r="I88" s="233" t="s">
        <v>374</v>
      </c>
      <c r="J88" s="233" t="s">
        <v>375</v>
      </c>
      <c r="K88" s="245">
        <v>648</v>
      </c>
      <c r="L88" s="269">
        <v>1338257</v>
      </c>
      <c r="M88" s="245">
        <v>108</v>
      </c>
      <c r="N88" s="269">
        <v>267651</v>
      </c>
      <c r="O88" s="245">
        <v>108</v>
      </c>
      <c r="P88" s="256">
        <v>130400</v>
      </c>
      <c r="Q88" s="245">
        <v>108</v>
      </c>
      <c r="R88" s="269">
        <v>113065</v>
      </c>
      <c r="S88" s="245"/>
      <c r="T88" s="252"/>
      <c r="U88" s="245"/>
      <c r="V88" s="252"/>
      <c r="W88" s="245"/>
      <c r="X88" s="252"/>
      <c r="Y88" s="223">
        <f t="shared" si="20"/>
        <v>108</v>
      </c>
      <c r="Z88" s="224">
        <f t="shared" si="20"/>
        <v>113065</v>
      </c>
      <c r="AA88" s="236">
        <f t="shared" si="22"/>
        <v>216</v>
      </c>
      <c r="AB88" s="237">
        <f t="shared" si="22"/>
        <v>380716</v>
      </c>
      <c r="AC88" s="298">
        <f t="shared" si="18"/>
        <v>33.333333333333329</v>
      </c>
      <c r="AD88" s="298">
        <f t="shared" si="19"/>
        <v>28.44864626151778</v>
      </c>
      <c r="AE88" s="233" t="s">
        <v>175</v>
      </c>
    </row>
    <row r="89" spans="1:31" s="244" customFormat="1" ht="21" customHeight="1">
      <c r="A89" s="4336"/>
      <c r="B89" s="4337"/>
      <c r="C89" s="4337"/>
      <c r="D89" s="4337"/>
      <c r="E89" s="4337"/>
      <c r="F89" s="4337"/>
      <c r="G89" s="4337"/>
      <c r="H89" s="4337"/>
      <c r="I89" s="4337"/>
      <c r="J89" s="4337"/>
      <c r="K89" s="4337"/>
      <c r="L89" s="4337"/>
      <c r="M89" s="4337"/>
      <c r="N89" s="4337"/>
      <c r="O89" s="4337"/>
      <c r="P89" s="4337"/>
      <c r="Q89" s="4337"/>
      <c r="R89" s="4337"/>
      <c r="S89" s="4337"/>
      <c r="T89" s="4337"/>
      <c r="U89" s="4337"/>
      <c r="V89" s="4337"/>
      <c r="W89" s="4337"/>
      <c r="X89" s="4337"/>
      <c r="Y89" s="4337"/>
      <c r="Z89" s="4337"/>
      <c r="AA89" s="4337"/>
      <c r="AB89" s="4337"/>
      <c r="AC89" s="4337"/>
      <c r="AD89" s="4337"/>
      <c r="AE89" s="4338"/>
    </row>
    <row r="90" spans="1:31" s="244" customFormat="1" ht="38.25">
      <c r="A90" s="305">
        <v>7</v>
      </c>
      <c r="B90" s="243"/>
      <c r="C90" s="305">
        <v>1</v>
      </c>
      <c r="D90" s="299" t="s">
        <v>66</v>
      </c>
      <c r="E90" s="299" t="s">
        <v>66</v>
      </c>
      <c r="F90" s="299" t="s">
        <v>66</v>
      </c>
      <c r="G90" s="299" t="s">
        <v>376</v>
      </c>
      <c r="H90" s="300"/>
      <c r="I90" s="4339" t="s">
        <v>377</v>
      </c>
      <c r="J90" s="301" t="s">
        <v>378</v>
      </c>
      <c r="K90" s="291">
        <f>1955+980</f>
        <v>2935</v>
      </c>
      <c r="L90" s="291">
        <f t="shared" ref="L90:R90" si="23">SUM(L93:L106)</f>
        <v>70291175</v>
      </c>
      <c r="M90" s="291">
        <f>1955+980</f>
        <v>2935</v>
      </c>
      <c r="N90" s="291">
        <f t="shared" si="23"/>
        <v>13078886</v>
      </c>
      <c r="O90" s="291">
        <f>1955+980</f>
        <v>2935</v>
      </c>
      <c r="P90" s="292">
        <f t="shared" si="23"/>
        <v>14293169</v>
      </c>
      <c r="Q90" s="291">
        <f t="shared" si="23"/>
        <v>5</v>
      </c>
      <c r="R90" s="291">
        <f t="shared" si="23"/>
        <v>252069</v>
      </c>
      <c r="S90" s="245"/>
      <c r="T90" s="252"/>
      <c r="U90" s="245"/>
      <c r="V90" s="252"/>
      <c r="W90" s="245"/>
      <c r="X90" s="252"/>
      <c r="Y90" s="218">
        <f>Q90+S90+U90+W90</f>
        <v>5</v>
      </c>
      <c r="Z90" s="219">
        <f>SUM(Z93:Z96)</f>
        <v>102890</v>
      </c>
      <c r="AA90" s="220">
        <f>M90+Y90</f>
        <v>2940</v>
      </c>
      <c r="AB90" s="221">
        <f>SUM(AB93:AB96)</f>
        <v>1661673</v>
      </c>
      <c r="AC90" s="222">
        <f>(AA90/K90)*100</f>
        <v>100.17035775127768</v>
      </c>
      <c r="AD90" s="222">
        <f t="shared" ref="AD90:AD106" si="24">(AB90/L90)*100</f>
        <v>2.3639852371225833</v>
      </c>
      <c r="AE90" s="286" t="s">
        <v>175</v>
      </c>
    </row>
    <row r="91" spans="1:31" s="244" customFormat="1" ht="38.25">
      <c r="A91" s="376"/>
      <c r="B91" s="266"/>
      <c r="C91" s="376"/>
      <c r="D91" s="302"/>
      <c r="E91" s="302"/>
      <c r="F91" s="302"/>
      <c r="G91" s="302"/>
      <c r="H91" s="303"/>
      <c r="I91" s="4340"/>
      <c r="J91" s="301" t="s">
        <v>379</v>
      </c>
      <c r="K91" s="291">
        <f>75+390</f>
        <v>465</v>
      </c>
      <c r="L91" s="291"/>
      <c r="M91" s="291">
        <f>75+390</f>
        <v>465</v>
      </c>
      <c r="N91" s="291"/>
      <c r="O91" s="291">
        <f>75+390</f>
        <v>465</v>
      </c>
      <c r="P91" s="292"/>
      <c r="Q91" s="291"/>
      <c r="R91" s="291"/>
      <c r="S91" s="245"/>
      <c r="T91" s="252"/>
      <c r="U91" s="245"/>
      <c r="V91" s="252"/>
      <c r="W91" s="245"/>
      <c r="X91" s="252"/>
      <c r="Y91" s="262"/>
      <c r="Z91" s="304"/>
      <c r="AA91" s="305"/>
      <c r="AB91" s="306"/>
      <c r="AC91" s="307"/>
      <c r="AD91" s="307"/>
      <c r="AE91" s="286"/>
    </row>
    <row r="92" spans="1:31" s="244" customFormat="1" ht="38.25">
      <c r="A92" s="287"/>
      <c r="B92" s="246"/>
      <c r="C92" s="287"/>
      <c r="D92" s="288"/>
      <c r="E92" s="288"/>
      <c r="F92" s="288"/>
      <c r="G92" s="288"/>
      <c r="H92" s="247"/>
      <c r="I92" s="308"/>
      <c r="J92" s="301" t="s">
        <v>380</v>
      </c>
      <c r="K92" s="291">
        <v>14</v>
      </c>
      <c r="L92" s="291"/>
      <c r="M92" s="291">
        <v>14</v>
      </c>
      <c r="N92" s="291"/>
      <c r="O92" s="291">
        <v>14</v>
      </c>
      <c r="P92" s="292"/>
      <c r="Q92" s="291"/>
      <c r="R92" s="291"/>
      <c r="S92" s="245"/>
      <c r="T92" s="252"/>
      <c r="U92" s="245"/>
      <c r="V92" s="252"/>
      <c r="W92" s="245"/>
      <c r="X92" s="252"/>
      <c r="Y92" s="262"/>
      <c r="Z92" s="304"/>
      <c r="AA92" s="305"/>
      <c r="AB92" s="306"/>
      <c r="AC92" s="307"/>
      <c r="AD92" s="307"/>
      <c r="AE92" s="286"/>
    </row>
    <row r="93" spans="1:31" s="244" customFormat="1" ht="55.5" customHeight="1">
      <c r="A93" s="236">
        <v>1</v>
      </c>
      <c r="B93" s="233"/>
      <c r="C93" s="236">
        <v>1</v>
      </c>
      <c r="D93" s="238" t="s">
        <v>66</v>
      </c>
      <c r="E93" s="238" t="s">
        <v>66</v>
      </c>
      <c r="F93" s="238" t="s">
        <v>66</v>
      </c>
      <c r="G93" s="238" t="s">
        <v>376</v>
      </c>
      <c r="H93" s="238" t="s">
        <v>66</v>
      </c>
      <c r="I93" s="273" t="s">
        <v>381</v>
      </c>
      <c r="J93" s="233" t="s">
        <v>382</v>
      </c>
      <c r="K93" s="236">
        <f>4*6</f>
        <v>24</v>
      </c>
      <c r="L93" s="237">
        <f>90700+141422+(4*189930)</f>
        <v>991842</v>
      </c>
      <c r="M93" s="238">
        <f>2*4</f>
        <v>8</v>
      </c>
      <c r="N93" s="309">
        <f>90700+141422</f>
        <v>232122</v>
      </c>
      <c r="O93" s="236">
        <v>4</v>
      </c>
      <c r="P93" s="240">
        <v>189930</v>
      </c>
      <c r="Q93" s="238">
        <v>1</v>
      </c>
      <c r="R93" s="237">
        <v>14325</v>
      </c>
      <c r="S93" s="236"/>
      <c r="T93" s="240"/>
      <c r="U93" s="236"/>
      <c r="V93" s="310"/>
      <c r="W93" s="236"/>
      <c r="X93" s="310"/>
      <c r="Y93" s="223">
        <f t="shared" ref="Y93:Z106" si="25">Q93+S93+U93+W93</f>
        <v>1</v>
      </c>
      <c r="Z93" s="224">
        <f t="shared" si="25"/>
        <v>14325</v>
      </c>
      <c r="AA93" s="225">
        <f>M93+Y93</f>
        <v>9</v>
      </c>
      <c r="AB93" s="226">
        <f>N93+Z93</f>
        <v>246447</v>
      </c>
      <c r="AC93" s="227">
        <f>(AA93/K93)*100</f>
        <v>37.5</v>
      </c>
      <c r="AD93" s="227">
        <f t="shared" si="24"/>
        <v>24.84740513105918</v>
      </c>
      <c r="AE93" s="233" t="s">
        <v>175</v>
      </c>
    </row>
    <row r="94" spans="1:31" s="244" customFormat="1" ht="40.5" customHeight="1">
      <c r="A94" s="236">
        <v>2</v>
      </c>
      <c r="B94" s="233"/>
      <c r="C94" s="236">
        <v>1</v>
      </c>
      <c r="D94" s="238" t="s">
        <v>66</v>
      </c>
      <c r="E94" s="238" t="s">
        <v>66</v>
      </c>
      <c r="F94" s="238" t="s">
        <v>66</v>
      </c>
      <c r="G94" s="238" t="s">
        <v>376</v>
      </c>
      <c r="H94" s="238" t="s">
        <v>197</v>
      </c>
      <c r="I94" s="273" t="s">
        <v>383</v>
      </c>
      <c r="J94" s="233" t="s">
        <v>384</v>
      </c>
      <c r="K94" s="236">
        <f>2*6</f>
        <v>12</v>
      </c>
      <c r="L94" s="237">
        <f>360223+365000+(4*296996)</f>
        <v>1913207</v>
      </c>
      <c r="M94" s="238">
        <f>2*2</f>
        <v>4</v>
      </c>
      <c r="N94" s="309">
        <f>360223+365000</f>
        <v>725223</v>
      </c>
      <c r="O94" s="236">
        <v>2</v>
      </c>
      <c r="P94" s="240">
        <v>267174</v>
      </c>
      <c r="Q94" s="238">
        <v>0</v>
      </c>
      <c r="R94" s="237">
        <v>0</v>
      </c>
      <c r="S94" s="236"/>
      <c r="T94" s="240"/>
      <c r="U94" s="236"/>
      <c r="V94" s="310"/>
      <c r="W94" s="236"/>
      <c r="X94" s="310"/>
      <c r="Y94" s="223">
        <f t="shared" si="25"/>
        <v>0</v>
      </c>
      <c r="Z94" s="224">
        <f t="shared" si="25"/>
        <v>0</v>
      </c>
      <c r="AA94" s="225">
        <f t="shared" ref="AA94:AB101" si="26">M94+Y94</f>
        <v>4</v>
      </c>
      <c r="AB94" s="226">
        <f t="shared" si="26"/>
        <v>725223</v>
      </c>
      <c r="AC94" s="227">
        <f t="shared" ref="AC94:AC101" si="27">(AA94/K94)*100</f>
        <v>33.333333333333329</v>
      </c>
      <c r="AD94" s="227">
        <f t="shared" si="24"/>
        <v>37.906143977102317</v>
      </c>
      <c r="AE94" s="233" t="s">
        <v>175</v>
      </c>
    </row>
    <row r="95" spans="1:31" s="244" customFormat="1" ht="50.25" customHeight="1">
      <c r="A95" s="236">
        <v>3</v>
      </c>
      <c r="B95" s="233"/>
      <c r="C95" s="236">
        <v>1</v>
      </c>
      <c r="D95" s="238" t="s">
        <v>66</v>
      </c>
      <c r="E95" s="238" t="s">
        <v>66</v>
      </c>
      <c r="F95" s="238" t="s">
        <v>66</v>
      </c>
      <c r="G95" s="238" t="s">
        <v>376</v>
      </c>
      <c r="H95" s="238" t="s">
        <v>93</v>
      </c>
      <c r="I95" s="273" t="s">
        <v>385</v>
      </c>
      <c r="J95" s="233" t="s">
        <v>386</v>
      </c>
      <c r="K95" s="236">
        <f>1+(2*5)</f>
        <v>11</v>
      </c>
      <c r="L95" s="237">
        <f>198838+272600+(4*241810)</f>
        <v>1438678</v>
      </c>
      <c r="M95" s="238">
        <v>3</v>
      </c>
      <c r="N95" s="309">
        <f>198838+272600</f>
        <v>471438</v>
      </c>
      <c r="O95" s="236">
        <v>1</v>
      </c>
      <c r="P95" s="240">
        <v>241810</v>
      </c>
      <c r="Q95" s="238">
        <v>1</v>
      </c>
      <c r="R95" s="237">
        <v>88565</v>
      </c>
      <c r="S95" s="245"/>
      <c r="T95" s="252"/>
      <c r="U95" s="245"/>
      <c r="V95" s="252"/>
      <c r="W95" s="245"/>
      <c r="X95" s="252"/>
      <c r="Y95" s="223">
        <f t="shared" si="25"/>
        <v>1</v>
      </c>
      <c r="Z95" s="224">
        <f t="shared" si="25"/>
        <v>88565</v>
      </c>
      <c r="AA95" s="225">
        <f t="shared" si="26"/>
        <v>4</v>
      </c>
      <c r="AB95" s="226">
        <f t="shared" si="26"/>
        <v>560003</v>
      </c>
      <c r="AC95" s="227">
        <f t="shared" si="27"/>
        <v>36.363636363636367</v>
      </c>
      <c r="AD95" s="227">
        <f t="shared" si="24"/>
        <v>38.924832380838517</v>
      </c>
      <c r="AE95" s="233" t="s">
        <v>175</v>
      </c>
    </row>
    <row r="96" spans="1:31" s="244" customFormat="1" ht="42.75" customHeight="1">
      <c r="A96" s="236">
        <v>4</v>
      </c>
      <c r="B96" s="233"/>
      <c r="C96" s="258" t="s">
        <v>66</v>
      </c>
      <c r="D96" s="258" t="s">
        <v>66</v>
      </c>
      <c r="E96" s="258" t="s">
        <v>66</v>
      </c>
      <c r="F96" s="258" t="s">
        <v>66</v>
      </c>
      <c r="G96" s="258" t="s">
        <v>376</v>
      </c>
      <c r="H96" s="258" t="s">
        <v>201</v>
      </c>
      <c r="I96" s="235" t="s">
        <v>387</v>
      </c>
      <c r="J96" s="233" t="s">
        <v>388</v>
      </c>
      <c r="K96" s="245">
        <v>6</v>
      </c>
      <c r="L96" s="256">
        <f>6*65000</f>
        <v>390000</v>
      </c>
      <c r="M96" s="245">
        <v>2</v>
      </c>
      <c r="N96" s="256">
        <v>130000</v>
      </c>
      <c r="O96" s="245">
        <v>1</v>
      </c>
      <c r="P96" s="256">
        <v>75000</v>
      </c>
      <c r="Q96" s="245">
        <v>0</v>
      </c>
      <c r="R96" s="256">
        <v>0</v>
      </c>
      <c r="S96" s="245"/>
      <c r="T96" s="252"/>
      <c r="U96" s="245"/>
      <c r="V96" s="252"/>
      <c r="W96" s="245"/>
      <c r="X96" s="252"/>
      <c r="Y96" s="223">
        <f t="shared" si="25"/>
        <v>0</v>
      </c>
      <c r="Z96" s="224">
        <f t="shared" si="25"/>
        <v>0</v>
      </c>
      <c r="AA96" s="225">
        <f t="shared" si="26"/>
        <v>2</v>
      </c>
      <c r="AB96" s="226">
        <f t="shared" si="26"/>
        <v>130000</v>
      </c>
      <c r="AC96" s="227">
        <f t="shared" si="27"/>
        <v>33.333333333333329</v>
      </c>
      <c r="AD96" s="227">
        <f t="shared" si="24"/>
        <v>33.333333333333329</v>
      </c>
      <c r="AE96" s="233" t="s">
        <v>175</v>
      </c>
    </row>
    <row r="97" spans="1:31" s="244" customFormat="1" ht="51.75" customHeight="1">
      <c r="A97" s="236">
        <v>5</v>
      </c>
      <c r="B97" s="233"/>
      <c r="C97" s="236">
        <v>1</v>
      </c>
      <c r="D97" s="238" t="s">
        <v>66</v>
      </c>
      <c r="E97" s="238" t="s">
        <v>66</v>
      </c>
      <c r="F97" s="238" t="s">
        <v>66</v>
      </c>
      <c r="G97" s="238" t="s">
        <v>376</v>
      </c>
      <c r="H97" s="238" t="s">
        <v>202</v>
      </c>
      <c r="I97" s="273" t="s">
        <v>389</v>
      </c>
      <c r="J97" s="233" t="s">
        <v>390</v>
      </c>
      <c r="K97" s="236">
        <f>1*6</f>
        <v>6</v>
      </c>
      <c r="L97" s="237">
        <f>226718+415035+(4*267174)</f>
        <v>1710449</v>
      </c>
      <c r="M97" s="238">
        <v>2</v>
      </c>
      <c r="N97" s="309">
        <f>226718+415035</f>
        <v>641753</v>
      </c>
      <c r="O97" s="236">
        <v>1</v>
      </c>
      <c r="P97" s="240">
        <v>267174</v>
      </c>
      <c r="Q97" s="238">
        <v>0</v>
      </c>
      <c r="R97" s="237">
        <v>0</v>
      </c>
      <c r="S97" s="236"/>
      <c r="T97" s="240"/>
      <c r="U97" s="236"/>
      <c r="V97" s="310"/>
      <c r="W97" s="236"/>
      <c r="X97" s="310"/>
      <c r="Y97" s="223">
        <f t="shared" si="25"/>
        <v>0</v>
      </c>
      <c r="Z97" s="224">
        <f t="shared" si="25"/>
        <v>0</v>
      </c>
      <c r="AA97" s="225">
        <f t="shared" si="26"/>
        <v>2</v>
      </c>
      <c r="AB97" s="226">
        <f t="shared" si="26"/>
        <v>641753</v>
      </c>
      <c r="AC97" s="227">
        <f t="shared" si="27"/>
        <v>33.333333333333329</v>
      </c>
      <c r="AD97" s="227">
        <f t="shared" si="24"/>
        <v>37.519563576581355</v>
      </c>
      <c r="AE97" s="233" t="s">
        <v>175</v>
      </c>
    </row>
    <row r="98" spans="1:31" s="244" customFormat="1" ht="52.5" customHeight="1">
      <c r="A98" s="236">
        <v>6</v>
      </c>
      <c r="B98" s="233"/>
      <c r="C98" s="238" t="s">
        <v>66</v>
      </c>
      <c r="D98" s="238" t="s">
        <v>66</v>
      </c>
      <c r="E98" s="238" t="s">
        <v>66</v>
      </c>
      <c r="F98" s="238" t="s">
        <v>66</v>
      </c>
      <c r="G98" s="238" t="s">
        <v>376</v>
      </c>
      <c r="H98" s="238" t="s">
        <v>391</v>
      </c>
      <c r="I98" s="233" t="s">
        <v>392</v>
      </c>
      <c r="J98" s="233" t="s">
        <v>393</v>
      </c>
      <c r="K98" s="236">
        <f>2*6</f>
        <v>12</v>
      </c>
      <c r="L98" s="237">
        <f>254730+222141+(4*100026)</f>
        <v>876975</v>
      </c>
      <c r="M98" s="238">
        <v>4</v>
      </c>
      <c r="N98" s="309">
        <f>254730+222141</f>
        <v>476871</v>
      </c>
      <c r="O98" s="236">
        <v>2</v>
      </c>
      <c r="P98" s="268">
        <v>100026</v>
      </c>
      <c r="Q98" s="238">
        <v>1</v>
      </c>
      <c r="R98" s="268">
        <v>37513</v>
      </c>
      <c r="S98" s="236"/>
      <c r="T98" s="240"/>
      <c r="U98" s="236"/>
      <c r="V98" s="310"/>
      <c r="W98" s="236"/>
      <c r="X98" s="310"/>
      <c r="Y98" s="223">
        <f t="shared" si="25"/>
        <v>1</v>
      </c>
      <c r="Z98" s="224">
        <f t="shared" si="25"/>
        <v>37513</v>
      </c>
      <c r="AA98" s="225">
        <f t="shared" si="26"/>
        <v>5</v>
      </c>
      <c r="AB98" s="226">
        <f t="shared" si="26"/>
        <v>514384</v>
      </c>
      <c r="AC98" s="227">
        <f t="shared" si="27"/>
        <v>41.666666666666671</v>
      </c>
      <c r="AD98" s="227">
        <f t="shared" si="24"/>
        <v>58.654351606374192</v>
      </c>
      <c r="AE98" s="233" t="s">
        <v>175</v>
      </c>
    </row>
    <row r="99" spans="1:31" s="244" customFormat="1" ht="38.25">
      <c r="A99" s="236">
        <v>7</v>
      </c>
      <c r="B99" s="233"/>
      <c r="C99" s="238" t="s">
        <v>66</v>
      </c>
      <c r="D99" s="238" t="s">
        <v>66</v>
      </c>
      <c r="E99" s="238" t="s">
        <v>66</v>
      </c>
      <c r="F99" s="238" t="s">
        <v>66</v>
      </c>
      <c r="G99" s="238" t="s">
        <v>376</v>
      </c>
      <c r="H99" s="238" t="s">
        <v>357</v>
      </c>
      <c r="I99" s="233" t="s">
        <v>394</v>
      </c>
      <c r="J99" s="233" t="s">
        <v>395</v>
      </c>
      <c r="K99" s="236">
        <f>60*6</f>
        <v>360</v>
      </c>
      <c r="L99" s="237">
        <f>148996+140923+(4*130000)</f>
        <v>809919</v>
      </c>
      <c r="M99" s="238">
        <v>120</v>
      </c>
      <c r="N99" s="309">
        <f>148996+140923</f>
        <v>289919</v>
      </c>
      <c r="O99" s="236">
        <v>60</v>
      </c>
      <c r="P99" s="268">
        <v>130000</v>
      </c>
      <c r="Q99" s="238">
        <v>0</v>
      </c>
      <c r="R99" s="268">
        <v>0</v>
      </c>
      <c r="S99" s="236"/>
      <c r="T99" s="240"/>
      <c r="U99" s="236"/>
      <c r="V99" s="310"/>
      <c r="W99" s="236"/>
      <c r="X99" s="310"/>
      <c r="Y99" s="223">
        <f t="shared" si="25"/>
        <v>0</v>
      </c>
      <c r="Z99" s="224">
        <f t="shared" si="25"/>
        <v>0</v>
      </c>
      <c r="AA99" s="225">
        <f t="shared" si="26"/>
        <v>120</v>
      </c>
      <c r="AB99" s="226">
        <f t="shared" si="26"/>
        <v>289919</v>
      </c>
      <c r="AC99" s="227">
        <f t="shared" si="27"/>
        <v>33.333333333333329</v>
      </c>
      <c r="AD99" s="227">
        <f t="shared" si="24"/>
        <v>35.79604874067654</v>
      </c>
      <c r="AE99" s="233" t="s">
        <v>175</v>
      </c>
    </row>
    <row r="100" spans="1:31" s="244" customFormat="1" ht="42.75" customHeight="1">
      <c r="A100" s="236">
        <v>8</v>
      </c>
      <c r="B100" s="233"/>
      <c r="C100" s="236">
        <v>1</v>
      </c>
      <c r="D100" s="238" t="s">
        <v>66</v>
      </c>
      <c r="E100" s="238" t="s">
        <v>66</v>
      </c>
      <c r="F100" s="238" t="s">
        <v>66</v>
      </c>
      <c r="G100" s="238" t="s">
        <v>376</v>
      </c>
      <c r="H100" s="238" t="s">
        <v>396</v>
      </c>
      <c r="I100" s="273" t="s">
        <v>397</v>
      </c>
      <c r="J100" s="233" t="s">
        <v>398</v>
      </c>
      <c r="K100" s="245">
        <f>4*5</f>
        <v>20</v>
      </c>
      <c r="L100" s="256">
        <f>579714+(4*416239)</f>
        <v>2244670</v>
      </c>
      <c r="M100" s="245">
        <f>1*4</f>
        <v>4</v>
      </c>
      <c r="N100" s="256">
        <v>579714</v>
      </c>
      <c r="O100" s="245">
        <v>4</v>
      </c>
      <c r="P100" s="256">
        <v>416239</v>
      </c>
      <c r="Q100" s="245">
        <v>0</v>
      </c>
      <c r="R100" s="256">
        <v>0</v>
      </c>
      <c r="S100" s="245"/>
      <c r="T100" s="240"/>
      <c r="U100" s="245"/>
      <c r="V100" s="252"/>
      <c r="W100" s="245"/>
      <c r="X100" s="252"/>
      <c r="Y100" s="223">
        <f t="shared" si="25"/>
        <v>0</v>
      </c>
      <c r="Z100" s="224">
        <f t="shared" si="25"/>
        <v>0</v>
      </c>
      <c r="AA100" s="225">
        <f t="shared" si="26"/>
        <v>4</v>
      </c>
      <c r="AB100" s="226">
        <f t="shared" si="26"/>
        <v>579714</v>
      </c>
      <c r="AC100" s="227">
        <f t="shared" si="27"/>
        <v>20</v>
      </c>
      <c r="AD100" s="227">
        <f t="shared" si="24"/>
        <v>25.826246174270608</v>
      </c>
      <c r="AE100" s="233" t="s">
        <v>175</v>
      </c>
    </row>
    <row r="101" spans="1:31" s="244" customFormat="1" ht="42.75" customHeight="1">
      <c r="A101" s="236">
        <v>9</v>
      </c>
      <c r="B101" s="243"/>
      <c r="C101" s="225">
        <v>1</v>
      </c>
      <c r="D101" s="300" t="s">
        <v>66</v>
      </c>
      <c r="E101" s="300" t="s">
        <v>66</v>
      </c>
      <c r="F101" s="300" t="s">
        <v>66</v>
      </c>
      <c r="G101" s="300" t="s">
        <v>376</v>
      </c>
      <c r="H101" s="300" t="s">
        <v>399</v>
      </c>
      <c r="I101" s="243" t="s">
        <v>397</v>
      </c>
      <c r="J101" s="243" t="s">
        <v>400</v>
      </c>
      <c r="K101" s="263">
        <f>2*6</f>
        <v>12</v>
      </c>
      <c r="L101" s="311">
        <f>116950+118484+(4*130789)</f>
        <v>758590</v>
      </c>
      <c r="M101" s="303">
        <f>2*2</f>
        <v>4</v>
      </c>
      <c r="N101" s="312">
        <f>116950+118484</f>
        <v>235434</v>
      </c>
      <c r="O101" s="263">
        <v>2</v>
      </c>
      <c r="P101" s="313">
        <v>130789</v>
      </c>
      <c r="Q101" s="300">
        <v>0</v>
      </c>
      <c r="R101" s="314">
        <v>0</v>
      </c>
      <c r="S101" s="245"/>
      <c r="T101" s="240"/>
      <c r="U101" s="245"/>
      <c r="V101" s="252"/>
      <c r="W101" s="245"/>
      <c r="X101" s="252"/>
      <c r="Y101" s="223">
        <f t="shared" si="25"/>
        <v>0</v>
      </c>
      <c r="Z101" s="224">
        <f t="shared" si="25"/>
        <v>0</v>
      </c>
      <c r="AA101" s="225">
        <f t="shared" si="26"/>
        <v>4</v>
      </c>
      <c r="AB101" s="226">
        <f t="shared" si="26"/>
        <v>235434</v>
      </c>
      <c r="AC101" s="227">
        <f t="shared" si="27"/>
        <v>33.333333333333329</v>
      </c>
      <c r="AD101" s="227">
        <f t="shared" si="24"/>
        <v>31.035737354829358</v>
      </c>
      <c r="AE101" s="233" t="s">
        <v>175</v>
      </c>
    </row>
    <row r="102" spans="1:31" s="244" customFormat="1" ht="38.25">
      <c r="A102" s="236">
        <v>10</v>
      </c>
      <c r="B102" s="238"/>
      <c r="C102" s="238" t="s">
        <v>66</v>
      </c>
      <c r="D102" s="238" t="s">
        <v>146</v>
      </c>
      <c r="E102" s="238" t="s">
        <v>66</v>
      </c>
      <c r="F102" s="238" t="s">
        <v>196</v>
      </c>
      <c r="G102" s="238" t="s">
        <v>376</v>
      </c>
      <c r="H102" s="238" t="s">
        <v>401</v>
      </c>
      <c r="I102" s="233" t="s">
        <v>402</v>
      </c>
      <c r="J102" s="233" t="s">
        <v>434</v>
      </c>
      <c r="K102" s="245">
        <f>25*6</f>
        <v>150</v>
      </c>
      <c r="L102" s="269">
        <f>250000+223225+230000+235000+240000</f>
        <v>1178225</v>
      </c>
      <c r="M102" s="245">
        <v>25</v>
      </c>
      <c r="N102" s="269">
        <f>25000</f>
        <v>25000</v>
      </c>
      <c r="O102" s="245">
        <v>25</v>
      </c>
      <c r="P102" s="256">
        <v>223225</v>
      </c>
      <c r="Q102" s="245">
        <v>0</v>
      </c>
      <c r="R102" s="269">
        <v>0</v>
      </c>
      <c r="S102" s="233"/>
      <c r="T102" s="280"/>
      <c r="U102" s="245"/>
      <c r="V102" s="252"/>
      <c r="W102" s="245"/>
      <c r="X102" s="252"/>
      <c r="Y102" s="223">
        <f t="shared" si="25"/>
        <v>0</v>
      </c>
      <c r="Z102" s="224">
        <f t="shared" si="25"/>
        <v>0</v>
      </c>
      <c r="AA102" s="225">
        <f t="shared" ref="AA102:AB106" si="28">M102+Y102</f>
        <v>25</v>
      </c>
      <c r="AB102" s="226">
        <f t="shared" si="28"/>
        <v>25000</v>
      </c>
      <c r="AC102" s="227">
        <f>(AA102/K102)*100</f>
        <v>16.666666666666664</v>
      </c>
      <c r="AD102" s="227">
        <f t="shared" si="24"/>
        <v>2.1218358123448406</v>
      </c>
      <c r="AE102" s="233" t="s">
        <v>175</v>
      </c>
    </row>
    <row r="103" spans="1:31" s="244" customFormat="1" ht="46.5" customHeight="1">
      <c r="A103" s="236">
        <v>11</v>
      </c>
      <c r="B103" s="233"/>
      <c r="C103" s="236">
        <v>1</v>
      </c>
      <c r="D103" s="238" t="s">
        <v>66</v>
      </c>
      <c r="E103" s="238" t="s">
        <v>66</v>
      </c>
      <c r="F103" s="238" t="s">
        <v>66</v>
      </c>
      <c r="G103" s="238" t="s">
        <v>376</v>
      </c>
      <c r="H103" s="238" t="s">
        <v>403</v>
      </c>
      <c r="I103" s="273" t="s">
        <v>404</v>
      </c>
      <c r="J103" s="233" t="s">
        <v>405</v>
      </c>
      <c r="K103" s="236">
        <f>8+9+(4*7)</f>
        <v>45</v>
      </c>
      <c r="L103" s="237">
        <f>400530+(5*433382)</f>
        <v>2567440</v>
      </c>
      <c r="M103" s="238">
        <f>8+9</f>
        <v>17</v>
      </c>
      <c r="N103" s="309">
        <f>400530+433382</f>
        <v>833912</v>
      </c>
      <c r="O103" s="236">
        <v>7</v>
      </c>
      <c r="P103" s="240">
        <v>433382</v>
      </c>
      <c r="Q103" s="238">
        <v>1</v>
      </c>
      <c r="R103" s="237">
        <v>53546</v>
      </c>
      <c r="S103" s="236"/>
      <c r="T103" s="240"/>
      <c r="U103" s="236"/>
      <c r="V103" s="310"/>
      <c r="W103" s="236"/>
      <c r="X103" s="310"/>
      <c r="Y103" s="223">
        <f t="shared" si="25"/>
        <v>1</v>
      </c>
      <c r="Z103" s="224">
        <f t="shared" si="25"/>
        <v>53546</v>
      </c>
      <c r="AA103" s="225">
        <f t="shared" si="28"/>
        <v>18</v>
      </c>
      <c r="AB103" s="226">
        <f t="shared" si="28"/>
        <v>887458</v>
      </c>
      <c r="AC103" s="227">
        <f>(AA103/K103)*100</f>
        <v>40</v>
      </c>
      <c r="AD103" s="227">
        <f t="shared" si="24"/>
        <v>34.565871062225405</v>
      </c>
      <c r="AE103" s="233" t="s">
        <v>175</v>
      </c>
    </row>
    <row r="104" spans="1:31" s="244" customFormat="1" ht="53.25" customHeight="1">
      <c r="A104" s="236">
        <v>12</v>
      </c>
      <c r="B104" s="233"/>
      <c r="C104" s="238" t="s">
        <v>66</v>
      </c>
      <c r="D104" s="238" t="s">
        <v>66</v>
      </c>
      <c r="E104" s="238" t="s">
        <v>66</v>
      </c>
      <c r="F104" s="238" t="s">
        <v>66</v>
      </c>
      <c r="G104" s="238">
        <v>20</v>
      </c>
      <c r="H104" s="238">
        <v>40</v>
      </c>
      <c r="I104" s="315" t="s">
        <v>406</v>
      </c>
      <c r="J104" s="233" t="s">
        <v>407</v>
      </c>
      <c r="K104" s="236">
        <v>4</v>
      </c>
      <c r="L104" s="316">
        <f>4*84220</f>
        <v>336880</v>
      </c>
      <c r="M104" s="238">
        <v>0</v>
      </c>
      <c r="N104" s="256">
        <v>0</v>
      </c>
      <c r="O104" s="236">
        <v>1</v>
      </c>
      <c r="P104" s="317">
        <v>84220</v>
      </c>
      <c r="Q104" s="238">
        <v>1</v>
      </c>
      <c r="R104" s="237">
        <v>58120</v>
      </c>
      <c r="S104" s="236"/>
      <c r="T104" s="240"/>
      <c r="U104" s="236"/>
      <c r="V104" s="310"/>
      <c r="W104" s="236"/>
      <c r="X104" s="310"/>
      <c r="Y104" s="285">
        <f t="shared" si="25"/>
        <v>1</v>
      </c>
      <c r="Z104" s="237">
        <f t="shared" si="25"/>
        <v>58120</v>
      </c>
      <c r="AA104" s="236">
        <f t="shared" si="28"/>
        <v>1</v>
      </c>
      <c r="AB104" s="237">
        <f t="shared" si="28"/>
        <v>58120</v>
      </c>
      <c r="AC104" s="298">
        <f>(AA104/K104)*100</f>
        <v>25</v>
      </c>
      <c r="AD104" s="298">
        <f t="shared" si="24"/>
        <v>17.252434101163619</v>
      </c>
      <c r="AE104" s="233" t="s">
        <v>175</v>
      </c>
    </row>
    <row r="105" spans="1:31" s="244" customFormat="1" ht="39" customHeight="1">
      <c r="A105" s="236">
        <v>13</v>
      </c>
      <c r="B105" s="233"/>
      <c r="C105" s="238" t="s">
        <v>66</v>
      </c>
      <c r="D105" s="238" t="s">
        <v>66</v>
      </c>
      <c r="E105" s="238" t="s">
        <v>66</v>
      </c>
      <c r="F105" s="238" t="s">
        <v>66</v>
      </c>
      <c r="G105" s="238">
        <v>20</v>
      </c>
      <c r="H105" s="238">
        <v>42</v>
      </c>
      <c r="I105" s="318" t="s">
        <v>408</v>
      </c>
      <c r="J105" s="233" t="s">
        <v>409</v>
      </c>
      <c r="K105" s="236">
        <v>2</v>
      </c>
      <c r="L105" s="316">
        <f>K105*150000</f>
        <v>300000</v>
      </c>
      <c r="M105" s="238">
        <v>0</v>
      </c>
      <c r="N105" s="256">
        <v>0</v>
      </c>
      <c r="O105" s="236">
        <v>1</v>
      </c>
      <c r="P105" s="317">
        <v>150000</v>
      </c>
      <c r="Q105" s="238">
        <v>0</v>
      </c>
      <c r="R105" s="256">
        <v>0</v>
      </c>
      <c r="S105" s="236"/>
      <c r="T105" s="240"/>
      <c r="U105" s="236"/>
      <c r="V105" s="310"/>
      <c r="W105" s="236"/>
      <c r="X105" s="310"/>
      <c r="Y105" s="223">
        <f t="shared" si="25"/>
        <v>0</v>
      </c>
      <c r="Z105" s="224">
        <f t="shared" si="25"/>
        <v>0</v>
      </c>
      <c r="AA105" s="225">
        <f t="shared" si="28"/>
        <v>0</v>
      </c>
      <c r="AB105" s="226">
        <f t="shared" si="28"/>
        <v>0</v>
      </c>
      <c r="AC105" s="227">
        <f>(AA105/K105)*100</f>
        <v>0</v>
      </c>
      <c r="AD105" s="227">
        <f t="shared" si="24"/>
        <v>0</v>
      </c>
      <c r="AE105" s="233" t="s">
        <v>175</v>
      </c>
    </row>
    <row r="106" spans="1:31" s="244" customFormat="1" ht="42.75" customHeight="1">
      <c r="A106" s="236">
        <v>14</v>
      </c>
      <c r="B106" s="233"/>
      <c r="C106" s="236">
        <v>1</v>
      </c>
      <c r="D106" s="238" t="s">
        <v>66</v>
      </c>
      <c r="E106" s="238" t="s">
        <v>66</v>
      </c>
      <c r="F106" s="238" t="s">
        <v>66</v>
      </c>
      <c r="G106" s="238" t="s">
        <v>376</v>
      </c>
      <c r="H106" s="238" t="s">
        <v>396</v>
      </c>
      <c r="I106" s="273" t="s">
        <v>410</v>
      </c>
      <c r="J106" s="233" t="s">
        <v>411</v>
      </c>
      <c r="K106" s="245">
        <f>1250+(4*1283)</f>
        <v>6382</v>
      </c>
      <c r="L106" s="256">
        <f>8437500+(4*11584200)</f>
        <v>54774300</v>
      </c>
      <c r="M106" s="245">
        <v>1250</v>
      </c>
      <c r="N106" s="256">
        <v>8437500</v>
      </c>
      <c r="O106" s="245">
        <v>1283</v>
      </c>
      <c r="P106" s="256">
        <v>11584200</v>
      </c>
      <c r="Q106" s="245">
        <v>0</v>
      </c>
      <c r="R106" s="256">
        <v>0</v>
      </c>
      <c r="S106" s="245"/>
      <c r="T106" s="240"/>
      <c r="U106" s="245"/>
      <c r="V106" s="252"/>
      <c r="W106" s="245"/>
      <c r="X106" s="252"/>
      <c r="Y106" s="223">
        <f t="shared" si="25"/>
        <v>0</v>
      </c>
      <c r="Z106" s="224">
        <f t="shared" si="25"/>
        <v>0</v>
      </c>
      <c r="AA106" s="225">
        <f t="shared" si="28"/>
        <v>1250</v>
      </c>
      <c r="AB106" s="226">
        <f t="shared" si="28"/>
        <v>8437500</v>
      </c>
      <c r="AC106" s="227">
        <f>(AA106/K106)*100</f>
        <v>19.586336571607646</v>
      </c>
      <c r="AD106" s="227">
        <f t="shared" si="24"/>
        <v>15.404122006123311</v>
      </c>
      <c r="AE106" s="233" t="s">
        <v>175</v>
      </c>
    </row>
    <row r="107" spans="1:31" s="244" customFormat="1" ht="21" customHeight="1">
      <c r="A107" s="4336" t="s">
        <v>228</v>
      </c>
      <c r="B107" s="4337"/>
      <c r="C107" s="4337"/>
      <c r="D107" s="4337"/>
      <c r="E107" s="4337"/>
      <c r="F107" s="4337"/>
      <c r="G107" s="4337"/>
      <c r="H107" s="4337"/>
      <c r="I107" s="4337"/>
      <c r="J107" s="4337"/>
      <c r="K107" s="4337"/>
      <c r="L107" s="4337"/>
      <c r="M107" s="4337"/>
      <c r="N107" s="4337"/>
      <c r="O107" s="4337"/>
      <c r="P107" s="4337"/>
      <c r="Q107" s="4337"/>
      <c r="R107" s="4337"/>
      <c r="S107" s="4337"/>
      <c r="T107" s="4337"/>
      <c r="U107" s="4337"/>
      <c r="V107" s="4337"/>
      <c r="W107" s="4337"/>
      <c r="X107" s="4337"/>
      <c r="Y107" s="4337"/>
      <c r="Z107" s="4337"/>
      <c r="AA107" s="4337"/>
      <c r="AB107" s="4337"/>
      <c r="AC107" s="4337"/>
      <c r="AD107" s="4337"/>
      <c r="AE107" s="4338"/>
    </row>
    <row r="108" spans="1:31" s="295" customFormat="1" ht="27" customHeight="1">
      <c r="A108" s="305">
        <v>8</v>
      </c>
      <c r="B108" s="377"/>
      <c r="C108" s="319" t="s">
        <v>66</v>
      </c>
      <c r="D108" s="319" t="s">
        <v>66</v>
      </c>
      <c r="E108" s="319" t="s">
        <v>66</v>
      </c>
      <c r="F108" s="319" t="s">
        <v>66</v>
      </c>
      <c r="G108" s="319" t="s">
        <v>163</v>
      </c>
      <c r="H108" s="299"/>
      <c r="I108" s="378" t="s">
        <v>412</v>
      </c>
      <c r="J108" s="286" t="s">
        <v>413</v>
      </c>
      <c r="K108" s="291">
        <v>85</v>
      </c>
      <c r="L108" s="291">
        <f t="shared" ref="L108:R108" si="29">SUM(L110:L115)</f>
        <v>6396656</v>
      </c>
      <c r="M108" s="291">
        <v>70</v>
      </c>
      <c r="N108" s="291">
        <f t="shared" si="29"/>
        <v>1858680</v>
      </c>
      <c r="O108" s="291">
        <v>73.33</v>
      </c>
      <c r="P108" s="292">
        <f t="shared" si="29"/>
        <v>1134494</v>
      </c>
      <c r="Q108" s="291">
        <f t="shared" si="29"/>
        <v>11.5</v>
      </c>
      <c r="R108" s="291">
        <f t="shared" si="29"/>
        <v>90533</v>
      </c>
      <c r="S108" s="293"/>
      <c r="T108" s="294"/>
      <c r="U108" s="293"/>
      <c r="V108" s="294"/>
      <c r="W108" s="293"/>
      <c r="X108" s="294"/>
      <c r="Y108" s="218">
        <f>Q108+S108+U108+W108</f>
        <v>11.5</v>
      </c>
      <c r="Z108" s="219">
        <f>SUM(Z110:Z115)</f>
        <v>90533</v>
      </c>
      <c r="AA108" s="220">
        <f>M108+Y108</f>
        <v>81.5</v>
      </c>
      <c r="AB108" s="221">
        <f>SUM(AB110:AB115)</f>
        <v>1949213</v>
      </c>
      <c r="AC108" s="222">
        <f>(AA108/K108)*100</f>
        <v>95.882352941176478</v>
      </c>
      <c r="AD108" s="222">
        <f t="shared" ref="AD108:AD115" si="30">(AB108/L108)*100</f>
        <v>30.472374940906622</v>
      </c>
      <c r="AE108" s="161" t="s">
        <v>175</v>
      </c>
    </row>
    <row r="109" spans="1:31" s="295" customFormat="1" ht="24" customHeight="1">
      <c r="A109" s="287"/>
      <c r="B109" s="379"/>
      <c r="C109" s="380"/>
      <c r="D109" s="380"/>
      <c r="E109" s="380"/>
      <c r="F109" s="380"/>
      <c r="G109" s="380"/>
      <c r="H109" s="288"/>
      <c r="I109" s="381"/>
      <c r="J109" s="286" t="s">
        <v>414</v>
      </c>
      <c r="K109" s="291">
        <v>85</v>
      </c>
      <c r="L109" s="291"/>
      <c r="M109" s="291">
        <v>40</v>
      </c>
      <c r="N109" s="291"/>
      <c r="O109" s="291">
        <v>44</v>
      </c>
      <c r="P109" s="292"/>
      <c r="Q109" s="291"/>
      <c r="R109" s="291"/>
      <c r="S109" s="293"/>
      <c r="T109" s="294"/>
      <c r="U109" s="293"/>
      <c r="V109" s="294"/>
      <c r="W109" s="293"/>
      <c r="X109" s="294"/>
      <c r="Y109" s="262"/>
      <c r="Z109" s="304"/>
      <c r="AA109" s="305"/>
      <c r="AB109" s="306"/>
      <c r="AC109" s="307"/>
      <c r="AD109" s="307"/>
      <c r="AE109" s="161"/>
    </row>
    <row r="110" spans="1:31" s="244" customFormat="1" ht="54" customHeight="1">
      <c r="A110" s="236">
        <v>1</v>
      </c>
      <c r="B110" s="233"/>
      <c r="C110" s="321" t="s">
        <v>66</v>
      </c>
      <c r="D110" s="321" t="s">
        <v>66</v>
      </c>
      <c r="E110" s="321" t="s">
        <v>66</v>
      </c>
      <c r="F110" s="321" t="s">
        <v>66</v>
      </c>
      <c r="G110" s="321" t="s">
        <v>163</v>
      </c>
      <c r="H110" s="322" t="s">
        <v>198</v>
      </c>
      <c r="I110" s="235" t="s">
        <v>415</v>
      </c>
      <c r="J110" s="233" t="s">
        <v>416</v>
      </c>
      <c r="K110" s="245">
        <v>6</v>
      </c>
      <c r="L110" s="256">
        <f>K110*P110</f>
        <v>452976</v>
      </c>
      <c r="M110" s="245">
        <v>2</v>
      </c>
      <c r="N110" s="256">
        <f>M110*P110</f>
        <v>150992</v>
      </c>
      <c r="O110" s="245">
        <v>1</v>
      </c>
      <c r="P110" s="256">
        <v>75496</v>
      </c>
      <c r="Q110" s="245">
        <f>50%*O110</f>
        <v>0.5</v>
      </c>
      <c r="R110" s="256">
        <v>20000</v>
      </c>
      <c r="S110" s="245"/>
      <c r="T110" s="252"/>
      <c r="U110" s="245"/>
      <c r="V110" s="252"/>
      <c r="W110" s="245"/>
      <c r="X110" s="252"/>
      <c r="Y110" s="223">
        <f t="shared" ref="Y110:Z115" si="31">Q110+S110+U110+W110</f>
        <v>0.5</v>
      </c>
      <c r="Z110" s="224">
        <f t="shared" si="31"/>
        <v>20000</v>
      </c>
      <c r="AA110" s="225">
        <f>M110+Y110</f>
        <v>2.5</v>
      </c>
      <c r="AB110" s="226">
        <f>N110+Z110</f>
        <v>170992</v>
      </c>
      <c r="AC110" s="227">
        <f t="shared" ref="AC110:AC115" si="32">(AA110/K110)*100</f>
        <v>41.666666666666671</v>
      </c>
      <c r="AD110" s="227">
        <f t="shared" si="30"/>
        <v>37.748578291123593</v>
      </c>
      <c r="AE110" s="161" t="s">
        <v>175</v>
      </c>
    </row>
    <row r="111" spans="1:31" s="244" customFormat="1" ht="59.25" customHeight="1">
      <c r="A111" s="236">
        <v>2</v>
      </c>
      <c r="B111" s="233"/>
      <c r="C111" s="321" t="s">
        <v>66</v>
      </c>
      <c r="D111" s="321" t="s">
        <v>66</v>
      </c>
      <c r="E111" s="321" t="s">
        <v>66</v>
      </c>
      <c r="F111" s="321" t="s">
        <v>66</v>
      </c>
      <c r="G111" s="321" t="s">
        <v>163</v>
      </c>
      <c r="H111" s="321" t="s">
        <v>417</v>
      </c>
      <c r="I111" s="323" t="s">
        <v>418</v>
      </c>
      <c r="J111" s="243" t="s">
        <v>419</v>
      </c>
      <c r="K111" s="282">
        <v>422</v>
      </c>
      <c r="L111" s="283">
        <f>6*127258</f>
        <v>763548</v>
      </c>
      <c r="M111" s="282">
        <v>2</v>
      </c>
      <c r="N111" s="283">
        <f>127258*M111</f>
        <v>254516</v>
      </c>
      <c r="O111" s="282">
        <v>1</v>
      </c>
      <c r="P111" s="283">
        <f>127258*O111</f>
        <v>127258</v>
      </c>
      <c r="Q111" s="282">
        <v>0</v>
      </c>
      <c r="R111" s="283">
        <v>0</v>
      </c>
      <c r="S111" s="282"/>
      <c r="T111" s="324"/>
      <c r="U111" s="282"/>
      <c r="V111" s="324"/>
      <c r="W111" s="282"/>
      <c r="X111" s="324"/>
      <c r="Y111" s="223">
        <f t="shared" si="31"/>
        <v>0</v>
      </c>
      <c r="Z111" s="224">
        <f t="shared" si="31"/>
        <v>0</v>
      </c>
      <c r="AA111" s="225">
        <f t="shared" ref="AA111:AB115" si="33">M111+Y111</f>
        <v>2</v>
      </c>
      <c r="AB111" s="226">
        <f t="shared" si="33"/>
        <v>254516</v>
      </c>
      <c r="AC111" s="227">
        <f t="shared" si="32"/>
        <v>0.47393364928909953</v>
      </c>
      <c r="AD111" s="227">
        <f t="shared" si="30"/>
        <v>33.333333333333329</v>
      </c>
      <c r="AE111" s="161" t="s">
        <v>175</v>
      </c>
    </row>
    <row r="112" spans="1:31" s="244" customFormat="1" ht="41.25" customHeight="1">
      <c r="A112" s="236">
        <v>3</v>
      </c>
      <c r="B112" s="233"/>
      <c r="C112" s="258" t="s">
        <v>66</v>
      </c>
      <c r="D112" s="234" t="s">
        <v>66</v>
      </c>
      <c r="E112" s="234" t="s">
        <v>66</v>
      </c>
      <c r="F112" s="234" t="s">
        <v>66</v>
      </c>
      <c r="G112" s="234" t="s">
        <v>163</v>
      </c>
      <c r="H112" s="234" t="s">
        <v>396</v>
      </c>
      <c r="I112" s="233" t="s">
        <v>420</v>
      </c>
      <c r="J112" s="233" t="s">
        <v>421</v>
      </c>
      <c r="K112" s="245">
        <v>6</v>
      </c>
      <c r="L112" s="268">
        <f>6*P112</f>
        <v>3231636</v>
      </c>
      <c r="M112" s="245">
        <v>2</v>
      </c>
      <c r="N112" s="256">
        <f>P112*2</f>
        <v>1077212</v>
      </c>
      <c r="O112" s="245">
        <v>1</v>
      </c>
      <c r="P112" s="256">
        <v>538606</v>
      </c>
      <c r="Q112" s="245">
        <v>0</v>
      </c>
      <c r="R112" s="256">
        <v>50762</v>
      </c>
      <c r="S112" s="245"/>
      <c r="T112" s="252"/>
      <c r="U112" s="245"/>
      <c r="V112" s="252"/>
      <c r="W112" s="245"/>
      <c r="X112" s="252"/>
      <c r="Y112" s="223">
        <f t="shared" si="31"/>
        <v>0</v>
      </c>
      <c r="Z112" s="224">
        <f t="shared" si="31"/>
        <v>50762</v>
      </c>
      <c r="AA112" s="225">
        <f t="shared" si="33"/>
        <v>2</v>
      </c>
      <c r="AB112" s="226">
        <f t="shared" si="33"/>
        <v>1127974</v>
      </c>
      <c r="AC112" s="227">
        <f t="shared" si="32"/>
        <v>33.333333333333329</v>
      </c>
      <c r="AD112" s="227">
        <f t="shared" si="30"/>
        <v>34.904116676506888</v>
      </c>
      <c r="AE112" s="161" t="s">
        <v>175</v>
      </c>
    </row>
    <row r="113" spans="1:31" s="244" customFormat="1" ht="57" customHeight="1">
      <c r="A113" s="236">
        <v>4</v>
      </c>
      <c r="B113" s="233"/>
      <c r="C113" s="259" t="s">
        <v>66</v>
      </c>
      <c r="D113" s="234" t="s">
        <v>66</v>
      </c>
      <c r="E113" s="259" t="s">
        <v>66</v>
      </c>
      <c r="F113" s="259" t="s">
        <v>66</v>
      </c>
      <c r="G113" s="259">
        <v>22</v>
      </c>
      <c r="H113" s="259">
        <v>18</v>
      </c>
      <c r="I113" s="315" t="s">
        <v>422</v>
      </c>
      <c r="J113" s="233" t="s">
        <v>423</v>
      </c>
      <c r="K113" s="245">
        <v>6</v>
      </c>
      <c r="L113" s="325">
        <f>6*187980</f>
        <v>1127880</v>
      </c>
      <c r="M113" s="245">
        <v>2</v>
      </c>
      <c r="N113" s="256">
        <f>2*187980</f>
        <v>375960</v>
      </c>
      <c r="O113" s="245">
        <v>1</v>
      </c>
      <c r="P113" s="325">
        <v>187980</v>
      </c>
      <c r="Q113" s="245">
        <v>1</v>
      </c>
      <c r="R113" s="325">
        <v>19771</v>
      </c>
      <c r="S113" s="245"/>
      <c r="T113" s="326"/>
      <c r="U113" s="245"/>
      <c r="V113" s="252"/>
      <c r="W113" s="245"/>
      <c r="X113" s="252"/>
      <c r="Y113" s="223">
        <f t="shared" si="31"/>
        <v>1</v>
      </c>
      <c r="Z113" s="224">
        <f t="shared" si="31"/>
        <v>19771</v>
      </c>
      <c r="AA113" s="225">
        <f t="shared" si="33"/>
        <v>3</v>
      </c>
      <c r="AB113" s="226">
        <f t="shared" si="33"/>
        <v>395731</v>
      </c>
      <c r="AC113" s="227">
        <f t="shared" si="32"/>
        <v>50</v>
      </c>
      <c r="AD113" s="227">
        <f t="shared" si="30"/>
        <v>35.086268042699572</v>
      </c>
      <c r="AE113" s="161" t="s">
        <v>175</v>
      </c>
    </row>
    <row r="114" spans="1:31" s="244" customFormat="1" ht="59.25" customHeight="1">
      <c r="A114" s="236">
        <v>5</v>
      </c>
      <c r="B114" s="233"/>
      <c r="C114" s="259" t="s">
        <v>66</v>
      </c>
      <c r="D114" s="234" t="s">
        <v>66</v>
      </c>
      <c r="E114" s="259" t="s">
        <v>66</v>
      </c>
      <c r="F114" s="259" t="s">
        <v>66</v>
      </c>
      <c r="G114" s="259">
        <v>22</v>
      </c>
      <c r="H114" s="322" t="s">
        <v>376</v>
      </c>
      <c r="I114" s="235" t="s">
        <v>424</v>
      </c>
      <c r="J114" s="233" t="s">
        <v>425</v>
      </c>
      <c r="K114" s="245">
        <f>348+74</f>
        <v>422</v>
      </c>
      <c r="L114" s="256">
        <f>4*P114</f>
        <v>299984</v>
      </c>
      <c r="M114" s="327">
        <v>40</v>
      </c>
      <c r="N114" s="256">
        <v>0</v>
      </c>
      <c r="O114" s="328">
        <f>10%*K114</f>
        <v>42.2</v>
      </c>
      <c r="P114" s="256">
        <v>74996</v>
      </c>
      <c r="Q114" s="245">
        <v>0</v>
      </c>
      <c r="R114" s="240">
        <f>SUM(T114:T114)</f>
        <v>0</v>
      </c>
      <c r="S114" s="245"/>
      <c r="T114" s="252"/>
      <c r="U114" s="245"/>
      <c r="V114" s="252"/>
      <c r="W114" s="245"/>
      <c r="X114" s="252"/>
      <c r="Y114" s="223">
        <f t="shared" si="31"/>
        <v>0</v>
      </c>
      <c r="Z114" s="224">
        <f t="shared" si="31"/>
        <v>0</v>
      </c>
      <c r="AA114" s="225">
        <f t="shared" si="33"/>
        <v>40</v>
      </c>
      <c r="AB114" s="226">
        <f t="shared" si="33"/>
        <v>0</v>
      </c>
      <c r="AC114" s="227">
        <f t="shared" si="32"/>
        <v>9.4786729857819907</v>
      </c>
      <c r="AD114" s="227">
        <f t="shared" si="30"/>
        <v>0</v>
      </c>
      <c r="AE114" s="161" t="s">
        <v>175</v>
      </c>
    </row>
    <row r="115" spans="1:31" s="244" customFormat="1" ht="42" customHeight="1">
      <c r="A115" s="236">
        <v>6</v>
      </c>
      <c r="B115" s="233"/>
      <c r="C115" s="259" t="s">
        <v>66</v>
      </c>
      <c r="D115" s="234" t="s">
        <v>66</v>
      </c>
      <c r="E115" s="259" t="s">
        <v>66</v>
      </c>
      <c r="F115" s="259" t="s">
        <v>66</v>
      </c>
      <c r="G115" s="259">
        <v>22</v>
      </c>
      <c r="H115" s="322" t="s">
        <v>67</v>
      </c>
      <c r="I115" s="235" t="s">
        <v>426</v>
      </c>
      <c r="J115" s="233" t="s">
        <v>427</v>
      </c>
      <c r="K115" s="245">
        <f>348+74</f>
        <v>422</v>
      </c>
      <c r="L115" s="256">
        <f>4*P115</f>
        <v>520632</v>
      </c>
      <c r="M115" s="245">
        <v>40</v>
      </c>
      <c r="N115" s="256">
        <v>0</v>
      </c>
      <c r="O115" s="328">
        <f>10%*K115</f>
        <v>42.2</v>
      </c>
      <c r="P115" s="256">
        <v>130158</v>
      </c>
      <c r="Q115" s="245">
        <v>10</v>
      </c>
      <c r="R115" s="240">
        <f>SUM(T115:T115)</f>
        <v>0</v>
      </c>
      <c r="S115" s="245"/>
      <c r="T115" s="252"/>
      <c r="U115" s="245"/>
      <c r="V115" s="252"/>
      <c r="W115" s="245"/>
      <c r="X115" s="252"/>
      <c r="Y115" s="223">
        <f t="shared" si="31"/>
        <v>10</v>
      </c>
      <c r="Z115" s="224">
        <f t="shared" si="31"/>
        <v>0</v>
      </c>
      <c r="AA115" s="225">
        <f t="shared" si="33"/>
        <v>50</v>
      </c>
      <c r="AB115" s="226">
        <f t="shared" si="33"/>
        <v>0</v>
      </c>
      <c r="AC115" s="227">
        <f t="shared" si="32"/>
        <v>11.848341232227488</v>
      </c>
      <c r="AD115" s="227">
        <f t="shared" si="30"/>
        <v>0</v>
      </c>
      <c r="AE115" s="161" t="s">
        <v>175</v>
      </c>
    </row>
    <row r="116" spans="1:31" s="244" customFormat="1" ht="17.25" customHeight="1">
      <c r="A116" s="4336"/>
      <c r="B116" s="4337"/>
      <c r="C116" s="4337"/>
      <c r="D116" s="4337"/>
      <c r="E116" s="4337"/>
      <c r="F116" s="4337"/>
      <c r="G116" s="4337"/>
      <c r="H116" s="4337"/>
      <c r="I116" s="4337"/>
      <c r="J116" s="4337"/>
      <c r="K116" s="4337"/>
      <c r="L116" s="4337"/>
      <c r="M116" s="4337"/>
      <c r="N116" s="4337"/>
      <c r="O116" s="4337"/>
      <c r="P116" s="4337"/>
      <c r="Q116" s="4337"/>
      <c r="R116" s="4337"/>
      <c r="S116" s="4337"/>
      <c r="T116" s="4337"/>
      <c r="U116" s="4337"/>
      <c r="V116" s="4337"/>
      <c r="W116" s="4337"/>
      <c r="X116" s="4337"/>
      <c r="Y116" s="4337"/>
      <c r="Z116" s="4337"/>
      <c r="AA116" s="4337"/>
      <c r="AB116" s="4337"/>
      <c r="AC116" s="4337"/>
      <c r="AD116" s="4337"/>
      <c r="AE116" s="4338"/>
    </row>
    <row r="117" spans="1:31" s="69" customFormat="1" ht="21" customHeight="1">
      <c r="A117" s="731">
        <v>2</v>
      </c>
      <c r="B117" s="67"/>
      <c r="C117" s="67"/>
      <c r="D117" s="67"/>
      <c r="E117" s="67"/>
      <c r="F117" s="67"/>
      <c r="G117" s="67"/>
      <c r="H117" s="67"/>
      <c r="I117" s="68" t="s">
        <v>116</v>
      </c>
      <c r="J117" s="67"/>
      <c r="K117" s="67"/>
      <c r="L117" s="67"/>
      <c r="M117" s="67"/>
      <c r="N117" s="67"/>
      <c r="O117" s="67"/>
      <c r="P117" s="67"/>
      <c r="Q117" s="67"/>
      <c r="R117" s="67"/>
      <c r="S117" s="67"/>
      <c r="T117" s="67"/>
      <c r="U117" s="67"/>
      <c r="V117" s="67"/>
      <c r="W117" s="67"/>
      <c r="X117" s="67"/>
      <c r="Y117" s="366"/>
      <c r="Z117" s="67"/>
      <c r="AA117" s="67"/>
      <c r="AB117" s="67"/>
      <c r="AC117" s="67"/>
      <c r="AD117" s="67"/>
      <c r="AE117" s="67"/>
    </row>
    <row r="118" spans="1:31" s="1513" customFormat="1" ht="60" customHeight="1">
      <c r="A118" s="1300"/>
      <c r="B118" s="1300"/>
      <c r="C118" s="1300">
        <v>5</v>
      </c>
      <c r="D118" s="1299" t="s">
        <v>66</v>
      </c>
      <c r="E118" s="1299" t="s">
        <v>66</v>
      </c>
      <c r="F118" s="1300"/>
      <c r="G118" s="1300"/>
      <c r="H118" s="1300"/>
      <c r="I118" s="1515" t="s">
        <v>1662</v>
      </c>
      <c r="J118" s="575" t="s">
        <v>1038</v>
      </c>
      <c r="K118" s="1524">
        <v>1</v>
      </c>
      <c r="L118" s="1525">
        <v>26459369097.600002</v>
      </c>
      <c r="M118" s="1526">
        <v>0.34</v>
      </c>
      <c r="N118" s="1527">
        <f>SUM(N119:N134)</f>
        <v>1988983765</v>
      </c>
      <c r="O118" s="1526">
        <v>0.17</v>
      </c>
      <c r="P118" s="1528">
        <v>2891683156</v>
      </c>
      <c r="Q118" s="1529">
        <f>SUM(Q119:Q134)/16</f>
        <v>2.07E-2</v>
      </c>
      <c r="R118" s="1530">
        <f>SUM(R119:R134)</f>
        <v>151521213</v>
      </c>
      <c r="S118" s="1531">
        <v>0</v>
      </c>
      <c r="T118" s="1530"/>
      <c r="U118" s="1531">
        <v>0</v>
      </c>
      <c r="V118" s="1530">
        <f>SUM(V119:V134)</f>
        <v>0</v>
      </c>
      <c r="W118" s="1531">
        <v>0</v>
      </c>
      <c r="X118" s="1527">
        <f>Z118-V118-T118-R118</f>
        <v>0</v>
      </c>
      <c r="Y118" s="1529">
        <f>Q118+S118+U118+W118</f>
        <v>2.07E-2</v>
      </c>
      <c r="Z118" s="1530">
        <f>SUM(Z119:Z134)</f>
        <v>151521213</v>
      </c>
      <c r="AA118" s="1532">
        <f>Y118+M118</f>
        <v>0.36070000000000002</v>
      </c>
      <c r="AB118" s="1530">
        <f>SUM(AB119:AB135)</f>
        <v>2140504978</v>
      </c>
      <c r="AC118" s="1532">
        <f>(AA118/K118)*100%</f>
        <v>0.36070000000000002</v>
      </c>
      <c r="AD118" s="1532">
        <f>AB118/L118</f>
        <v>8.0897808640273086E-2</v>
      </c>
      <c r="AE118" s="1533" t="s">
        <v>2250</v>
      </c>
    </row>
    <row r="119" spans="1:31" s="1298" customFormat="1" ht="38.25">
      <c r="A119" s="1314"/>
      <c r="B119" s="1314"/>
      <c r="C119" s="1314">
        <v>5</v>
      </c>
      <c r="D119" s="1534" t="s">
        <v>66</v>
      </c>
      <c r="E119" s="1534" t="s">
        <v>66</v>
      </c>
      <c r="F119" s="1314"/>
      <c r="G119" s="1534" t="s">
        <v>65</v>
      </c>
      <c r="H119" s="1534"/>
      <c r="I119" s="1535" t="s">
        <v>195</v>
      </c>
      <c r="J119" s="1380" t="s">
        <v>2251</v>
      </c>
      <c r="K119" s="1318">
        <v>1</v>
      </c>
      <c r="L119" s="1516">
        <v>2851744390.4000001</v>
      </c>
      <c r="M119" s="1318">
        <v>0.34</v>
      </c>
      <c r="N119" s="1311">
        <v>161029021</v>
      </c>
      <c r="O119" s="1318">
        <v>0.17</v>
      </c>
      <c r="P119" s="1311">
        <v>305400000</v>
      </c>
      <c r="Q119" s="1536">
        <v>0.02</v>
      </c>
      <c r="R119" s="1311">
        <v>36829113</v>
      </c>
      <c r="S119" s="1537">
        <v>0</v>
      </c>
      <c r="T119" s="1311">
        <v>0</v>
      </c>
      <c r="U119" s="1537">
        <v>0</v>
      </c>
      <c r="V119" s="1311">
        <v>0</v>
      </c>
      <c r="W119" s="1537">
        <v>0</v>
      </c>
      <c r="X119" s="1311">
        <v>0</v>
      </c>
      <c r="Y119" s="1536">
        <f t="shared" ref="Y119:Y149" si="34">Q119+S119+U119+W119</f>
        <v>0.02</v>
      </c>
      <c r="Z119" s="1538">
        <f>X119+V119+T119+R119</f>
        <v>36829113</v>
      </c>
      <c r="AA119" s="1539">
        <f t="shared" ref="AA119:AB141" si="35">Y119+M119</f>
        <v>0.36000000000000004</v>
      </c>
      <c r="AB119" s="1538">
        <f>Z119+N119</f>
        <v>197858134</v>
      </c>
      <c r="AC119" s="1539">
        <f>(AA119/K119)*100%</f>
        <v>0.36000000000000004</v>
      </c>
      <c r="AD119" s="1540">
        <f>AB119/L119</f>
        <v>6.9381440589858553E-2</v>
      </c>
      <c r="AE119" s="1314"/>
    </row>
    <row r="120" spans="1:31" s="1298" customFormat="1" ht="51">
      <c r="A120" s="1314"/>
      <c r="B120" s="1314"/>
      <c r="C120" s="1314"/>
      <c r="D120" s="1534"/>
      <c r="E120" s="1534"/>
      <c r="F120" s="1314"/>
      <c r="G120" s="1534"/>
      <c r="H120" s="1534"/>
      <c r="I120" s="1535" t="s">
        <v>2252</v>
      </c>
      <c r="J120" s="1541" t="s">
        <v>2253</v>
      </c>
      <c r="K120" s="1318">
        <v>1</v>
      </c>
      <c r="L120" s="1516">
        <v>6281600470.3999996</v>
      </c>
      <c r="M120" s="1318">
        <v>0.34</v>
      </c>
      <c r="N120" s="1311">
        <v>338436050</v>
      </c>
      <c r="O120" s="1318">
        <v>0.17</v>
      </c>
      <c r="P120" s="1311">
        <v>509340384</v>
      </c>
      <c r="Q120" s="1536">
        <v>0.02</v>
      </c>
      <c r="R120" s="1311">
        <v>17589500</v>
      </c>
      <c r="S120" s="1537">
        <v>0</v>
      </c>
      <c r="T120" s="1311">
        <v>0</v>
      </c>
      <c r="U120" s="1537">
        <v>0</v>
      </c>
      <c r="V120" s="1311">
        <v>0</v>
      </c>
      <c r="W120" s="1537">
        <v>0</v>
      </c>
      <c r="X120" s="1311">
        <v>0</v>
      </c>
      <c r="Y120" s="1536">
        <f t="shared" si="34"/>
        <v>0.02</v>
      </c>
      <c r="Z120" s="1538">
        <f>X120+V120+T120+R120</f>
        <v>17589500</v>
      </c>
      <c r="AA120" s="1539">
        <f t="shared" si="35"/>
        <v>0.36000000000000004</v>
      </c>
      <c r="AB120" s="1538">
        <f t="shared" si="35"/>
        <v>356025550</v>
      </c>
      <c r="AC120" s="1539">
        <f t="shared" ref="AC120:AC183" si="36">(AA120/K120)*100%</f>
        <v>0.36000000000000004</v>
      </c>
      <c r="AD120" s="1540">
        <f t="shared" ref="AD120:AD183" si="37">AB120/L120</f>
        <v>5.6677522182070429E-2</v>
      </c>
      <c r="AE120" s="1314"/>
    </row>
    <row r="121" spans="1:31" s="1298" customFormat="1" ht="38.25">
      <c r="A121" s="1314"/>
      <c r="B121" s="1314"/>
      <c r="C121" s="1314">
        <v>5</v>
      </c>
      <c r="D121" s="1534" t="s">
        <v>66</v>
      </c>
      <c r="E121" s="1534" t="s">
        <v>66</v>
      </c>
      <c r="F121" s="1314"/>
      <c r="G121" s="1534" t="s">
        <v>198</v>
      </c>
      <c r="H121" s="1534"/>
      <c r="I121" s="1535" t="s">
        <v>199</v>
      </c>
      <c r="J121" s="1314" t="s">
        <v>2254</v>
      </c>
      <c r="K121" s="1318">
        <v>1</v>
      </c>
      <c r="L121" s="1516">
        <v>2228926080</v>
      </c>
      <c r="M121" s="1318">
        <v>0.34</v>
      </c>
      <c r="N121" s="1311">
        <v>174972534</v>
      </c>
      <c r="O121" s="1318">
        <v>0.17</v>
      </c>
      <c r="P121" s="1311">
        <v>190293522</v>
      </c>
      <c r="Q121" s="1536">
        <v>0.05</v>
      </c>
      <c r="R121" s="1311">
        <v>14447000</v>
      </c>
      <c r="S121" s="1537">
        <v>0</v>
      </c>
      <c r="T121" s="1311">
        <v>0</v>
      </c>
      <c r="U121" s="1537">
        <v>0</v>
      </c>
      <c r="V121" s="1311">
        <v>0</v>
      </c>
      <c r="W121" s="1537">
        <v>0</v>
      </c>
      <c r="X121" s="1311">
        <v>0</v>
      </c>
      <c r="Y121" s="1536">
        <f t="shared" si="34"/>
        <v>0.05</v>
      </c>
      <c r="Z121" s="1538">
        <f t="shared" ref="Z121:Z134" si="38">X121+V121+T121+R121</f>
        <v>14447000</v>
      </c>
      <c r="AA121" s="1539">
        <f t="shared" si="35"/>
        <v>0.39</v>
      </c>
      <c r="AB121" s="1538">
        <f t="shared" si="35"/>
        <v>189419534</v>
      </c>
      <c r="AC121" s="1539">
        <f t="shared" si="36"/>
        <v>0.39</v>
      </c>
      <c r="AD121" s="1540">
        <f t="shared" si="37"/>
        <v>8.4982420771890291E-2</v>
      </c>
      <c r="AE121" s="1314"/>
    </row>
    <row r="122" spans="1:31" s="1298" customFormat="1" ht="32.25" customHeight="1">
      <c r="A122" s="1314"/>
      <c r="B122" s="1314"/>
      <c r="C122" s="1314">
        <v>5</v>
      </c>
      <c r="D122" s="1534" t="s">
        <v>66</v>
      </c>
      <c r="E122" s="1534" t="s">
        <v>66</v>
      </c>
      <c r="F122" s="1314"/>
      <c r="G122" s="1534" t="s">
        <v>93</v>
      </c>
      <c r="H122" s="1534"/>
      <c r="I122" s="1535" t="s">
        <v>200</v>
      </c>
      <c r="J122" s="1380" t="s">
        <v>2255</v>
      </c>
      <c r="K122" s="1318">
        <v>1</v>
      </c>
      <c r="L122" s="1516">
        <v>2622831120</v>
      </c>
      <c r="M122" s="1318">
        <v>0.34</v>
      </c>
      <c r="N122" s="1311">
        <v>398000000</v>
      </c>
      <c r="O122" s="1318">
        <v>0.17</v>
      </c>
      <c r="P122" s="1311">
        <v>458259724</v>
      </c>
      <c r="Q122" s="1536">
        <v>1.2E-2</v>
      </c>
      <c r="R122" s="1311">
        <v>46000000</v>
      </c>
      <c r="S122" s="1537">
        <v>0</v>
      </c>
      <c r="T122" s="1311">
        <v>0</v>
      </c>
      <c r="U122" s="1537">
        <v>0</v>
      </c>
      <c r="V122" s="1311">
        <v>0</v>
      </c>
      <c r="W122" s="1537">
        <v>0</v>
      </c>
      <c r="X122" s="1311">
        <v>0</v>
      </c>
      <c r="Y122" s="1536">
        <f t="shared" si="34"/>
        <v>1.2E-2</v>
      </c>
      <c r="Z122" s="1538">
        <f t="shared" si="38"/>
        <v>46000000</v>
      </c>
      <c r="AA122" s="1539">
        <f t="shared" si="35"/>
        <v>0.35200000000000004</v>
      </c>
      <c r="AB122" s="1538">
        <f t="shared" si="35"/>
        <v>444000000</v>
      </c>
      <c r="AC122" s="1539">
        <f t="shared" si="36"/>
        <v>0.35200000000000004</v>
      </c>
      <c r="AD122" s="1540">
        <f t="shared" si="37"/>
        <v>0.16928272530181052</v>
      </c>
      <c r="AE122" s="1314"/>
    </row>
    <row r="123" spans="1:31" s="1298" customFormat="1" ht="47.25" customHeight="1">
      <c r="A123" s="1314"/>
      <c r="B123" s="1314"/>
      <c r="C123" s="1314"/>
      <c r="D123" s="1534"/>
      <c r="E123" s="1534"/>
      <c r="F123" s="1314"/>
      <c r="G123" s="1534"/>
      <c r="H123" s="1534"/>
      <c r="I123" s="1535" t="s">
        <v>1410</v>
      </c>
      <c r="J123" s="1380" t="s">
        <v>2256</v>
      </c>
      <c r="K123" s="1318">
        <v>1</v>
      </c>
      <c r="L123" s="1516">
        <v>178057888</v>
      </c>
      <c r="M123" s="1318">
        <v>0.34</v>
      </c>
      <c r="N123" s="1311">
        <v>10450000</v>
      </c>
      <c r="O123" s="1318">
        <v>0.17</v>
      </c>
      <c r="P123" s="1311">
        <v>18400000</v>
      </c>
      <c r="Q123" s="1540">
        <v>2.3E-2</v>
      </c>
      <c r="R123" s="1311">
        <v>0</v>
      </c>
      <c r="S123" s="1537">
        <v>0</v>
      </c>
      <c r="T123" s="1311">
        <v>0</v>
      </c>
      <c r="U123" s="1537">
        <v>0</v>
      </c>
      <c r="V123" s="1311">
        <v>0</v>
      </c>
      <c r="W123" s="1537">
        <v>0</v>
      </c>
      <c r="X123" s="1311">
        <v>0</v>
      </c>
      <c r="Y123" s="1536">
        <f t="shared" si="34"/>
        <v>2.3E-2</v>
      </c>
      <c r="Z123" s="1538">
        <f t="shared" si="38"/>
        <v>0</v>
      </c>
      <c r="AA123" s="1539">
        <f t="shared" si="35"/>
        <v>0.36300000000000004</v>
      </c>
      <c r="AB123" s="1538">
        <f t="shared" si="35"/>
        <v>10450000</v>
      </c>
      <c r="AC123" s="1539">
        <f t="shared" si="36"/>
        <v>0.36300000000000004</v>
      </c>
      <c r="AD123" s="1540">
        <f t="shared" si="37"/>
        <v>5.868877878636862E-2</v>
      </c>
      <c r="AE123" s="1314"/>
    </row>
    <row r="124" spans="1:31" s="1298" customFormat="1" ht="37.5" customHeight="1">
      <c r="A124" s="1314"/>
      <c r="B124" s="1314"/>
      <c r="C124" s="1314">
        <v>5</v>
      </c>
      <c r="D124" s="1534" t="s">
        <v>66</v>
      </c>
      <c r="E124" s="1534" t="s">
        <v>66</v>
      </c>
      <c r="F124" s="1314"/>
      <c r="G124" s="1534" t="s">
        <v>202</v>
      </c>
      <c r="H124" s="1534"/>
      <c r="I124" s="1535" t="s">
        <v>203</v>
      </c>
      <c r="J124" s="1380" t="s">
        <v>621</v>
      </c>
      <c r="K124" s="1318">
        <v>1</v>
      </c>
      <c r="L124" s="1516">
        <v>1427473435.2</v>
      </c>
      <c r="M124" s="1318">
        <v>0.34</v>
      </c>
      <c r="N124" s="1311">
        <v>73062000</v>
      </c>
      <c r="O124" s="1318">
        <v>0.17</v>
      </c>
      <c r="P124" s="1311">
        <v>27631620</v>
      </c>
      <c r="Q124" s="1540">
        <v>1.4999999999999999E-2</v>
      </c>
      <c r="R124" s="1314">
        <v>0</v>
      </c>
      <c r="S124" s="1537">
        <v>0</v>
      </c>
      <c r="T124" s="1311">
        <v>0</v>
      </c>
      <c r="U124" s="1537">
        <v>0</v>
      </c>
      <c r="V124" s="1311">
        <v>0</v>
      </c>
      <c r="W124" s="1537">
        <v>0</v>
      </c>
      <c r="X124" s="1311">
        <v>0</v>
      </c>
      <c r="Y124" s="1536">
        <f t="shared" si="34"/>
        <v>1.4999999999999999E-2</v>
      </c>
      <c r="Z124" s="1538">
        <f t="shared" si="38"/>
        <v>0</v>
      </c>
      <c r="AA124" s="1539">
        <f t="shared" si="35"/>
        <v>0.35500000000000004</v>
      </c>
      <c r="AB124" s="1538">
        <f t="shared" si="35"/>
        <v>73062000</v>
      </c>
      <c r="AC124" s="1539">
        <f t="shared" si="36"/>
        <v>0.35500000000000004</v>
      </c>
      <c r="AD124" s="1540">
        <f t="shared" si="37"/>
        <v>5.1182738815565731E-2</v>
      </c>
      <c r="AE124" s="1314"/>
    </row>
    <row r="125" spans="1:31" s="1298" customFormat="1" ht="52.5" customHeight="1">
      <c r="A125" s="1314"/>
      <c r="B125" s="1314"/>
      <c r="C125" s="1314">
        <v>5</v>
      </c>
      <c r="D125" s="1534" t="s">
        <v>66</v>
      </c>
      <c r="E125" s="1534" t="s">
        <v>66</v>
      </c>
      <c r="F125" s="1314"/>
      <c r="G125" s="1534" t="s">
        <v>417</v>
      </c>
      <c r="H125" s="1534"/>
      <c r="I125" s="1535" t="s">
        <v>204</v>
      </c>
      <c r="J125" s="1535" t="s">
        <v>2257</v>
      </c>
      <c r="K125" s="1318">
        <v>1</v>
      </c>
      <c r="L125" s="1516">
        <v>813429920</v>
      </c>
      <c r="M125" s="1318">
        <v>0.34</v>
      </c>
      <c r="N125" s="1311">
        <v>50968650</v>
      </c>
      <c r="O125" s="1318">
        <v>0.17</v>
      </c>
      <c r="P125" s="1311">
        <v>27450685</v>
      </c>
      <c r="Q125" s="1540">
        <v>2.1000000000000001E-2</v>
      </c>
      <c r="R125" s="1314">
        <v>0</v>
      </c>
      <c r="S125" s="1537">
        <v>0</v>
      </c>
      <c r="T125" s="1311">
        <v>0</v>
      </c>
      <c r="U125" s="1537">
        <v>0</v>
      </c>
      <c r="V125" s="1311">
        <v>0</v>
      </c>
      <c r="W125" s="1537">
        <v>0</v>
      </c>
      <c r="X125" s="1311">
        <v>0</v>
      </c>
      <c r="Y125" s="1536">
        <f t="shared" si="34"/>
        <v>2.1000000000000001E-2</v>
      </c>
      <c r="Z125" s="1538">
        <f t="shared" si="38"/>
        <v>0</v>
      </c>
      <c r="AA125" s="1539">
        <f t="shared" si="35"/>
        <v>0.36100000000000004</v>
      </c>
      <c r="AB125" s="1538">
        <f t="shared" si="35"/>
        <v>50968650</v>
      </c>
      <c r="AC125" s="1539">
        <f t="shared" si="36"/>
        <v>0.36100000000000004</v>
      </c>
      <c r="AD125" s="1540">
        <f t="shared" si="37"/>
        <v>6.2658931945852203E-2</v>
      </c>
      <c r="AE125" s="1314"/>
    </row>
    <row r="126" spans="1:31" s="1298" customFormat="1" ht="38.25">
      <c r="A126" s="1314"/>
      <c r="B126" s="1314"/>
      <c r="C126" s="1314">
        <v>5</v>
      </c>
      <c r="D126" s="1534" t="s">
        <v>66</v>
      </c>
      <c r="E126" s="1534" t="s">
        <v>66</v>
      </c>
      <c r="F126" s="1314"/>
      <c r="G126" s="1534" t="s">
        <v>160</v>
      </c>
      <c r="H126" s="1534"/>
      <c r="I126" s="1535" t="s">
        <v>205</v>
      </c>
      <c r="J126" s="1380" t="s">
        <v>2258</v>
      </c>
      <c r="K126" s="1318">
        <v>1</v>
      </c>
      <c r="L126" s="1516">
        <v>1379884582.4000001</v>
      </c>
      <c r="M126" s="1318">
        <v>0.34</v>
      </c>
      <c r="N126" s="1311">
        <v>34782535</v>
      </c>
      <c r="O126" s="1318">
        <v>0.17</v>
      </c>
      <c r="P126" s="1311">
        <v>28641250</v>
      </c>
      <c r="Q126" s="1540">
        <v>2.1000000000000001E-2</v>
      </c>
      <c r="R126" s="1314">
        <v>0</v>
      </c>
      <c r="S126" s="1537">
        <v>0</v>
      </c>
      <c r="T126" s="1311">
        <v>0</v>
      </c>
      <c r="U126" s="1537">
        <v>0</v>
      </c>
      <c r="V126" s="1311">
        <v>0</v>
      </c>
      <c r="W126" s="1537">
        <v>0</v>
      </c>
      <c r="X126" s="1311">
        <v>0</v>
      </c>
      <c r="Y126" s="1536">
        <f t="shared" si="34"/>
        <v>2.1000000000000001E-2</v>
      </c>
      <c r="Z126" s="1538">
        <f t="shared" si="38"/>
        <v>0</v>
      </c>
      <c r="AA126" s="1539">
        <f t="shared" si="35"/>
        <v>0.36100000000000004</v>
      </c>
      <c r="AB126" s="1538">
        <f t="shared" si="35"/>
        <v>34782535</v>
      </c>
      <c r="AC126" s="1539">
        <f t="shared" si="36"/>
        <v>0.36100000000000004</v>
      </c>
      <c r="AD126" s="1540">
        <f t="shared" si="37"/>
        <v>2.5206843705365252E-2</v>
      </c>
      <c r="AE126" s="1314"/>
    </row>
    <row r="127" spans="1:31" s="1298" customFormat="1" ht="25.5">
      <c r="A127" s="1314"/>
      <c r="B127" s="1314"/>
      <c r="C127" s="1314">
        <v>1</v>
      </c>
      <c r="D127" s="1534" t="s">
        <v>66</v>
      </c>
      <c r="E127" s="1534" t="s">
        <v>65</v>
      </c>
      <c r="F127" s="1534" t="s">
        <v>66</v>
      </c>
      <c r="G127" s="1534">
        <v>13</v>
      </c>
      <c r="H127" s="1534"/>
      <c r="I127" s="1535" t="s">
        <v>1674</v>
      </c>
      <c r="J127" s="1380" t="s">
        <v>1675</v>
      </c>
      <c r="K127" s="1318">
        <v>1</v>
      </c>
      <c r="L127" s="1516">
        <v>898808036.79999995</v>
      </c>
      <c r="M127" s="1318">
        <v>0.34</v>
      </c>
      <c r="N127" s="1311">
        <v>309296200</v>
      </c>
      <c r="O127" s="1318">
        <v>0.17</v>
      </c>
      <c r="P127" s="1311">
        <v>103227960</v>
      </c>
      <c r="Q127" s="1542">
        <v>1.84E-2</v>
      </c>
      <c r="R127" s="1311">
        <v>1900000</v>
      </c>
      <c r="S127" s="1537">
        <v>0</v>
      </c>
      <c r="T127" s="1311">
        <v>0</v>
      </c>
      <c r="U127" s="1537">
        <v>0</v>
      </c>
      <c r="V127" s="1311">
        <v>0</v>
      </c>
      <c r="W127" s="1537">
        <v>0</v>
      </c>
      <c r="X127" s="1311">
        <v>0</v>
      </c>
      <c r="Y127" s="1536">
        <f t="shared" si="34"/>
        <v>1.84E-2</v>
      </c>
      <c r="Z127" s="1538">
        <f t="shared" si="38"/>
        <v>1900000</v>
      </c>
      <c r="AA127" s="1539">
        <f t="shared" si="35"/>
        <v>0.35840000000000005</v>
      </c>
      <c r="AB127" s="1538">
        <f t="shared" si="35"/>
        <v>311196200</v>
      </c>
      <c r="AC127" s="1539">
        <f t="shared" si="36"/>
        <v>0.35840000000000005</v>
      </c>
      <c r="AD127" s="1540">
        <f t="shared" si="37"/>
        <v>0.34623210658856896</v>
      </c>
      <c r="AE127" s="1314"/>
    </row>
    <row r="128" spans="1:31" s="1298" customFormat="1" ht="38.25">
      <c r="A128" s="1314"/>
      <c r="B128" s="1314"/>
      <c r="C128" s="1314">
        <v>5</v>
      </c>
      <c r="D128" s="1534" t="s">
        <v>66</v>
      </c>
      <c r="E128" s="1534" t="s">
        <v>66</v>
      </c>
      <c r="F128" s="1314"/>
      <c r="G128" s="1534" t="s">
        <v>155</v>
      </c>
      <c r="H128" s="1534"/>
      <c r="I128" s="1535" t="s">
        <v>533</v>
      </c>
      <c r="J128" s="1380" t="s">
        <v>2259</v>
      </c>
      <c r="K128" s="1318">
        <v>1</v>
      </c>
      <c r="L128" s="1517">
        <v>177289292.80000001</v>
      </c>
      <c r="M128" s="1318">
        <v>0.34</v>
      </c>
      <c r="N128" s="1311">
        <v>11220000</v>
      </c>
      <c r="O128" s="1318">
        <v>0.17</v>
      </c>
      <c r="P128" s="1311">
        <v>13900000</v>
      </c>
      <c r="Q128" s="1543">
        <v>0.04</v>
      </c>
      <c r="R128" s="1311">
        <v>3460000</v>
      </c>
      <c r="S128" s="1537">
        <v>0</v>
      </c>
      <c r="T128" s="1311">
        <v>0</v>
      </c>
      <c r="U128" s="1537">
        <v>0</v>
      </c>
      <c r="V128" s="1311">
        <v>0</v>
      </c>
      <c r="W128" s="1537">
        <v>0</v>
      </c>
      <c r="X128" s="1311">
        <v>0</v>
      </c>
      <c r="Y128" s="1536">
        <f t="shared" si="34"/>
        <v>0.04</v>
      </c>
      <c r="Z128" s="1538">
        <f t="shared" si="38"/>
        <v>3460000</v>
      </c>
      <c r="AA128" s="1539">
        <f t="shared" si="35"/>
        <v>0.38</v>
      </c>
      <c r="AB128" s="1538">
        <f t="shared" si="35"/>
        <v>14680000</v>
      </c>
      <c r="AC128" s="1539">
        <f t="shared" si="36"/>
        <v>0.38</v>
      </c>
      <c r="AD128" s="1540">
        <f t="shared" si="37"/>
        <v>8.2802518799375571E-2</v>
      </c>
      <c r="AE128" s="1314"/>
    </row>
    <row r="129" spans="1:31" s="1298" customFormat="1" ht="63.75">
      <c r="A129" s="1314"/>
      <c r="B129" s="1314"/>
      <c r="C129" s="1314">
        <v>5</v>
      </c>
      <c r="D129" s="1534" t="s">
        <v>66</v>
      </c>
      <c r="E129" s="1534" t="s">
        <v>66</v>
      </c>
      <c r="F129" s="1314"/>
      <c r="G129" s="1534" t="s">
        <v>448</v>
      </c>
      <c r="H129" s="1534"/>
      <c r="I129" s="1535" t="s">
        <v>206</v>
      </c>
      <c r="J129" s="1380" t="s">
        <v>2260</v>
      </c>
      <c r="K129" s="1318">
        <v>1</v>
      </c>
      <c r="L129" s="1516">
        <v>2640636908.8000002</v>
      </c>
      <c r="M129" s="1318">
        <v>0.34</v>
      </c>
      <c r="N129" s="1311">
        <v>93064000</v>
      </c>
      <c r="O129" s="1318">
        <v>0.17</v>
      </c>
      <c r="P129" s="1311">
        <v>102107494</v>
      </c>
      <c r="Q129" s="1542">
        <v>9.7999999999999997E-3</v>
      </c>
      <c r="R129" s="1311">
        <v>996000</v>
      </c>
      <c r="S129" s="1537">
        <v>0</v>
      </c>
      <c r="T129" s="1311">
        <v>0</v>
      </c>
      <c r="U129" s="1537">
        <v>0</v>
      </c>
      <c r="V129" s="1311">
        <v>0</v>
      </c>
      <c r="W129" s="1537">
        <v>0</v>
      </c>
      <c r="X129" s="1311">
        <v>0</v>
      </c>
      <c r="Y129" s="1536">
        <f t="shared" si="34"/>
        <v>9.7999999999999997E-3</v>
      </c>
      <c r="Z129" s="1538">
        <f t="shared" si="38"/>
        <v>996000</v>
      </c>
      <c r="AA129" s="1539">
        <f t="shared" si="35"/>
        <v>0.3498</v>
      </c>
      <c r="AB129" s="1538">
        <f t="shared" si="35"/>
        <v>94060000</v>
      </c>
      <c r="AC129" s="1539">
        <f t="shared" si="36"/>
        <v>0.3498</v>
      </c>
      <c r="AD129" s="1540">
        <f t="shared" si="37"/>
        <v>3.562019438815775E-2</v>
      </c>
      <c r="AE129" s="1314"/>
    </row>
    <row r="130" spans="1:31" s="1298" customFormat="1" ht="38.25">
      <c r="A130" s="1314"/>
      <c r="B130" s="1314"/>
      <c r="C130" s="1314">
        <v>5</v>
      </c>
      <c r="D130" s="1534" t="s">
        <v>66</v>
      </c>
      <c r="E130" s="1534" t="s">
        <v>66</v>
      </c>
      <c r="F130" s="1314"/>
      <c r="G130" s="1534" t="s">
        <v>167</v>
      </c>
      <c r="H130" s="1534"/>
      <c r="I130" s="1535" t="s">
        <v>207</v>
      </c>
      <c r="J130" s="1385" t="s">
        <v>2261</v>
      </c>
      <c r="K130" s="1318">
        <v>1</v>
      </c>
      <c r="L130" s="1516">
        <v>1441116000</v>
      </c>
      <c r="M130" s="1318">
        <v>0.34</v>
      </c>
      <c r="N130" s="1311">
        <v>117909197</v>
      </c>
      <c r="O130" s="1318">
        <v>0.17</v>
      </c>
      <c r="P130" s="1311">
        <v>66100000</v>
      </c>
      <c r="Q130" s="1542">
        <v>3.7999999999999999E-2</v>
      </c>
      <c r="R130" s="1311">
        <v>15554600</v>
      </c>
      <c r="S130" s="1537">
        <v>0</v>
      </c>
      <c r="T130" s="1311">
        <v>0</v>
      </c>
      <c r="U130" s="1537">
        <v>0</v>
      </c>
      <c r="V130" s="1311">
        <v>0</v>
      </c>
      <c r="W130" s="1537">
        <v>0</v>
      </c>
      <c r="X130" s="1311">
        <v>0</v>
      </c>
      <c r="Y130" s="1536">
        <f t="shared" si="34"/>
        <v>3.7999999999999999E-2</v>
      </c>
      <c r="Z130" s="1538">
        <f t="shared" si="38"/>
        <v>15554600</v>
      </c>
      <c r="AA130" s="1539">
        <f t="shared" si="35"/>
        <v>0.378</v>
      </c>
      <c r="AB130" s="1538">
        <f t="shared" si="35"/>
        <v>133463797</v>
      </c>
      <c r="AC130" s="1539">
        <f t="shared" si="36"/>
        <v>0.378</v>
      </c>
      <c r="AD130" s="1540">
        <f t="shared" si="37"/>
        <v>9.2611418511764493E-2</v>
      </c>
      <c r="AE130" s="1314"/>
    </row>
    <row r="131" spans="1:31" s="1298" customFormat="1" ht="25.5">
      <c r="A131" s="1314"/>
      <c r="B131" s="1314"/>
      <c r="C131" s="1314">
        <v>1</v>
      </c>
      <c r="D131" s="1534" t="s">
        <v>66</v>
      </c>
      <c r="E131" s="1534" t="s">
        <v>65</v>
      </c>
      <c r="F131" s="1534" t="s">
        <v>66</v>
      </c>
      <c r="G131" s="1534">
        <v>19</v>
      </c>
      <c r="H131" s="1534"/>
      <c r="I131" s="1535" t="s">
        <v>2262</v>
      </c>
      <c r="J131" s="1380" t="s">
        <v>2263</v>
      </c>
      <c r="K131" s="1318">
        <v>1</v>
      </c>
      <c r="L131" s="1516">
        <v>115289280</v>
      </c>
      <c r="M131" s="1318">
        <v>0.34</v>
      </c>
      <c r="N131" s="1311">
        <v>25000000</v>
      </c>
      <c r="O131" s="1318">
        <v>0.17</v>
      </c>
      <c r="P131" s="1311">
        <v>39000000</v>
      </c>
      <c r="Q131" s="1542">
        <v>2.5000000000000001E-2</v>
      </c>
      <c r="R131" s="1311">
        <v>6000000</v>
      </c>
      <c r="S131" s="1537">
        <v>0</v>
      </c>
      <c r="T131" s="1311">
        <v>0</v>
      </c>
      <c r="U131" s="1537">
        <v>0</v>
      </c>
      <c r="V131" s="1311">
        <v>0</v>
      </c>
      <c r="W131" s="1537">
        <v>0</v>
      </c>
      <c r="X131" s="1311">
        <v>0</v>
      </c>
      <c r="Y131" s="1536">
        <f t="shared" si="34"/>
        <v>2.5000000000000001E-2</v>
      </c>
      <c r="Z131" s="1538">
        <f t="shared" si="38"/>
        <v>6000000</v>
      </c>
      <c r="AA131" s="1539">
        <f t="shared" si="35"/>
        <v>0.36500000000000005</v>
      </c>
      <c r="AB131" s="1538">
        <f t="shared" si="35"/>
        <v>31000000</v>
      </c>
      <c r="AC131" s="1539">
        <f t="shared" si="36"/>
        <v>0.36500000000000005</v>
      </c>
      <c r="AD131" s="1540">
        <f t="shared" si="37"/>
        <v>0.26888883337635555</v>
      </c>
      <c r="AE131" s="1314"/>
    </row>
    <row r="132" spans="1:31" s="1298" customFormat="1" ht="38.25">
      <c r="A132" s="1314"/>
      <c r="B132" s="1314"/>
      <c r="C132" s="1314">
        <v>5</v>
      </c>
      <c r="D132" s="1534" t="s">
        <v>66</v>
      </c>
      <c r="E132" s="1534" t="s">
        <v>65</v>
      </c>
      <c r="F132" s="1534" t="s">
        <v>66</v>
      </c>
      <c r="G132" s="1534" t="s">
        <v>376</v>
      </c>
      <c r="H132" s="1534"/>
      <c r="I132" s="1535" t="s">
        <v>208</v>
      </c>
      <c r="J132" s="1380" t="s">
        <v>2264</v>
      </c>
      <c r="K132" s="1318">
        <v>1</v>
      </c>
      <c r="L132" s="1516">
        <v>1769690448</v>
      </c>
      <c r="M132" s="1318">
        <v>0.34</v>
      </c>
      <c r="N132" s="1311">
        <v>21415000</v>
      </c>
      <c r="O132" s="1318">
        <v>0.17</v>
      </c>
      <c r="P132" s="1311">
        <v>61900000</v>
      </c>
      <c r="Q132" s="1542">
        <v>5.0000000000000001E-3</v>
      </c>
      <c r="R132" s="1311">
        <v>2545000</v>
      </c>
      <c r="S132" s="1537">
        <v>0</v>
      </c>
      <c r="T132" s="1311">
        <v>0</v>
      </c>
      <c r="U132" s="1537">
        <v>0</v>
      </c>
      <c r="V132" s="1311">
        <v>0</v>
      </c>
      <c r="W132" s="1537">
        <v>0</v>
      </c>
      <c r="X132" s="1311">
        <v>0</v>
      </c>
      <c r="Y132" s="1536">
        <f t="shared" si="34"/>
        <v>5.0000000000000001E-3</v>
      </c>
      <c r="Z132" s="1538">
        <f t="shared" si="38"/>
        <v>2545000</v>
      </c>
      <c r="AA132" s="1539">
        <f t="shared" si="35"/>
        <v>0.34500000000000003</v>
      </c>
      <c r="AB132" s="1538">
        <f t="shared" si="35"/>
        <v>23960000</v>
      </c>
      <c r="AC132" s="1539">
        <f t="shared" si="36"/>
        <v>0.34500000000000003</v>
      </c>
      <c r="AD132" s="1540">
        <f t="shared" si="37"/>
        <v>1.3539090990222715E-2</v>
      </c>
      <c r="AE132" s="1314"/>
    </row>
    <row r="133" spans="1:31" s="1298" customFormat="1" ht="25.5">
      <c r="A133" s="1314"/>
      <c r="B133" s="1314"/>
      <c r="C133" s="1314">
        <v>1</v>
      </c>
      <c r="D133" s="1534" t="s">
        <v>66</v>
      </c>
      <c r="E133" s="1534" t="s">
        <v>65</v>
      </c>
      <c r="F133" s="1534" t="s">
        <v>66</v>
      </c>
      <c r="G133" s="1314">
        <v>25</v>
      </c>
      <c r="H133" s="1314"/>
      <c r="I133" s="1535" t="s">
        <v>2265</v>
      </c>
      <c r="J133" s="1380" t="s">
        <v>2266</v>
      </c>
      <c r="K133" s="1318">
        <v>1</v>
      </c>
      <c r="L133" s="1518">
        <v>1246661414.4000001</v>
      </c>
      <c r="M133" s="1318">
        <v>0.34</v>
      </c>
      <c r="N133" s="1311">
        <v>88102799</v>
      </c>
      <c r="O133" s="1318">
        <v>0.17</v>
      </c>
      <c r="P133" s="1311">
        <v>101082004</v>
      </c>
      <c r="Q133" s="1542">
        <v>8.0000000000000002E-3</v>
      </c>
      <c r="R133" s="1311">
        <v>4900000</v>
      </c>
      <c r="S133" s="1537">
        <v>0</v>
      </c>
      <c r="T133" s="1311">
        <v>0</v>
      </c>
      <c r="U133" s="1537">
        <v>0</v>
      </c>
      <c r="V133" s="1311">
        <v>0</v>
      </c>
      <c r="W133" s="1537">
        <v>0</v>
      </c>
      <c r="X133" s="1311">
        <v>0</v>
      </c>
      <c r="Y133" s="1536">
        <f t="shared" si="34"/>
        <v>8.0000000000000002E-3</v>
      </c>
      <c r="Z133" s="1538">
        <f t="shared" si="38"/>
        <v>4900000</v>
      </c>
      <c r="AA133" s="1539">
        <f t="shared" si="35"/>
        <v>0.34800000000000003</v>
      </c>
      <c r="AB133" s="1538">
        <f t="shared" si="35"/>
        <v>93002799</v>
      </c>
      <c r="AC133" s="1539">
        <f t="shared" si="36"/>
        <v>0.34800000000000003</v>
      </c>
      <c r="AD133" s="1540">
        <f t="shared" si="37"/>
        <v>7.4601489968116871E-2</v>
      </c>
      <c r="AE133" s="1314"/>
    </row>
    <row r="134" spans="1:31" s="1298" customFormat="1" ht="51">
      <c r="A134" s="1314"/>
      <c r="B134" s="1314"/>
      <c r="C134" s="1314">
        <v>1</v>
      </c>
      <c r="D134" s="1534" t="s">
        <v>66</v>
      </c>
      <c r="E134" s="1534" t="s">
        <v>65</v>
      </c>
      <c r="F134" s="1534" t="s">
        <v>66</v>
      </c>
      <c r="G134" s="1314">
        <v>22</v>
      </c>
      <c r="H134" s="1314"/>
      <c r="I134" s="1535" t="s">
        <v>168</v>
      </c>
      <c r="J134" s="1385" t="s">
        <v>2267</v>
      </c>
      <c r="K134" s="1318">
        <v>1</v>
      </c>
      <c r="L134" s="1516">
        <v>1626091244.8</v>
      </c>
      <c r="M134" s="1318">
        <v>0.34</v>
      </c>
      <c r="N134" s="1311">
        <v>81275779</v>
      </c>
      <c r="O134" s="1318">
        <v>0.17</v>
      </c>
      <c r="P134" s="1311">
        <v>50805577</v>
      </c>
      <c r="Q134" s="1542">
        <v>5.0000000000000001E-3</v>
      </c>
      <c r="R134" s="1311">
        <v>1300000</v>
      </c>
      <c r="S134" s="1537">
        <v>0</v>
      </c>
      <c r="T134" s="1311">
        <v>0</v>
      </c>
      <c r="U134" s="1537">
        <v>0</v>
      </c>
      <c r="V134" s="1311">
        <v>0</v>
      </c>
      <c r="W134" s="1537">
        <v>0</v>
      </c>
      <c r="X134" s="1311">
        <v>0</v>
      </c>
      <c r="Y134" s="1536">
        <f t="shared" si="34"/>
        <v>5.0000000000000001E-3</v>
      </c>
      <c r="Z134" s="1538">
        <f t="shared" si="38"/>
        <v>1300000</v>
      </c>
      <c r="AA134" s="1539">
        <f t="shared" si="35"/>
        <v>0.34500000000000003</v>
      </c>
      <c r="AB134" s="1538">
        <f t="shared" si="35"/>
        <v>82575779</v>
      </c>
      <c r="AC134" s="1539">
        <f t="shared" si="36"/>
        <v>0.34500000000000003</v>
      </c>
      <c r="AD134" s="1540">
        <f t="shared" si="37"/>
        <v>5.0781762256002033E-2</v>
      </c>
      <c r="AE134" s="1314"/>
    </row>
    <row r="135" spans="1:31" s="1298" customFormat="1" ht="14.25">
      <c r="A135" s="1314"/>
      <c r="B135" s="1314"/>
      <c r="C135" s="1314"/>
      <c r="D135" s="1314"/>
      <c r="E135" s="1314"/>
      <c r="F135" s="1314"/>
      <c r="G135" s="1314"/>
      <c r="H135" s="1314"/>
      <c r="I135" s="1535"/>
      <c r="J135" s="1314"/>
      <c r="K135" s="1314"/>
      <c r="L135" s="1314"/>
      <c r="M135" s="1314"/>
      <c r="N135" s="1314"/>
      <c r="O135" s="1314"/>
      <c r="P135" s="1314"/>
      <c r="Q135" s="1314"/>
      <c r="R135" s="1314"/>
      <c r="S135" s="1314"/>
      <c r="T135" s="1311"/>
      <c r="U135" s="1314"/>
      <c r="V135" s="1314"/>
      <c r="W135" s="1314"/>
      <c r="X135" s="1311"/>
      <c r="Y135" s="1536"/>
      <c r="Z135" s="1530"/>
      <c r="AA135" s="1539"/>
      <c r="AB135" s="1538"/>
      <c r="AC135" s="1539"/>
      <c r="AD135" s="1540"/>
      <c r="AE135" s="1314"/>
    </row>
    <row r="136" spans="1:31" s="1298" customFormat="1" ht="43.5" customHeight="1">
      <c r="A136" s="1314"/>
      <c r="B136" s="1300" t="s">
        <v>2268</v>
      </c>
      <c r="C136" s="1314">
        <v>1</v>
      </c>
      <c r="D136" s="1534" t="s">
        <v>66</v>
      </c>
      <c r="E136" s="1534" t="s">
        <v>65</v>
      </c>
      <c r="F136" s="1534" t="s">
        <v>65</v>
      </c>
      <c r="G136" s="1314"/>
      <c r="H136" s="1314"/>
      <c r="I136" s="1544" t="s">
        <v>257</v>
      </c>
      <c r="J136" s="1314" t="s">
        <v>2269</v>
      </c>
      <c r="K136" s="1318">
        <v>1</v>
      </c>
      <c r="L136" s="1519">
        <v>610000000</v>
      </c>
      <c r="M136" s="1545">
        <v>0.34</v>
      </c>
      <c r="N136" s="1530">
        <f>N137</f>
        <v>88782000</v>
      </c>
      <c r="O136" s="1304">
        <v>0.17</v>
      </c>
      <c r="P136" s="1530">
        <f>P137</f>
        <v>50000000</v>
      </c>
      <c r="Q136" s="1529">
        <f>Q137</f>
        <v>2.5000000000000001E-2</v>
      </c>
      <c r="R136" s="1300">
        <v>0</v>
      </c>
      <c r="S136" s="1300">
        <v>0</v>
      </c>
      <c r="T136" s="1527">
        <f>SUM(T137)</f>
        <v>0</v>
      </c>
      <c r="U136" s="1300">
        <f>U137</f>
        <v>0</v>
      </c>
      <c r="V136" s="1530">
        <f>V137</f>
        <v>0</v>
      </c>
      <c r="W136" s="1300">
        <f>SUM(W137)</f>
        <v>0</v>
      </c>
      <c r="X136" s="1527">
        <f>SUM(X137)</f>
        <v>0</v>
      </c>
      <c r="Y136" s="1529">
        <f t="shared" si="34"/>
        <v>2.5000000000000001E-2</v>
      </c>
      <c r="Z136" s="1530">
        <f>Z137</f>
        <v>0</v>
      </c>
      <c r="AA136" s="1546">
        <f t="shared" si="35"/>
        <v>0.36500000000000005</v>
      </c>
      <c r="AB136" s="1530">
        <f>Z136+N136</f>
        <v>88782000</v>
      </c>
      <c r="AC136" s="1546">
        <f t="shared" si="36"/>
        <v>0.36500000000000005</v>
      </c>
      <c r="AD136" s="1532">
        <f t="shared" si="37"/>
        <v>0.14554426229508197</v>
      </c>
      <c r="AE136" s="1547"/>
    </row>
    <row r="137" spans="1:31" s="1298" customFormat="1" ht="38.25">
      <c r="A137" s="1314"/>
      <c r="B137" s="1314"/>
      <c r="C137" s="1314">
        <v>1</v>
      </c>
      <c r="D137" s="1534" t="s">
        <v>66</v>
      </c>
      <c r="E137" s="1534" t="s">
        <v>65</v>
      </c>
      <c r="F137" s="1534" t="s">
        <v>65</v>
      </c>
      <c r="G137" s="1314">
        <v>22</v>
      </c>
      <c r="H137" s="1314"/>
      <c r="I137" s="1535" t="s">
        <v>2270</v>
      </c>
      <c r="J137" s="1314" t="s">
        <v>2271</v>
      </c>
      <c r="K137" s="1318">
        <v>1</v>
      </c>
      <c r="L137" s="1519">
        <v>610000000</v>
      </c>
      <c r="M137" s="1548">
        <v>0.34</v>
      </c>
      <c r="N137" s="1311">
        <v>88782000</v>
      </c>
      <c r="O137" s="1548">
        <v>0.17</v>
      </c>
      <c r="P137" s="1311">
        <v>50000000</v>
      </c>
      <c r="Q137" s="1540">
        <v>2.5000000000000001E-2</v>
      </c>
      <c r="R137" s="1314">
        <v>0</v>
      </c>
      <c r="S137" s="1314">
        <v>0</v>
      </c>
      <c r="T137" s="1311">
        <v>0</v>
      </c>
      <c r="U137" s="1314">
        <v>0</v>
      </c>
      <c r="V137" s="1311">
        <v>0</v>
      </c>
      <c r="W137" s="1314">
        <v>0</v>
      </c>
      <c r="X137" s="1311">
        <v>0</v>
      </c>
      <c r="Y137" s="1536">
        <f t="shared" si="34"/>
        <v>2.5000000000000001E-2</v>
      </c>
      <c r="Z137" s="1538">
        <f>X137+V137+T137+R137</f>
        <v>0</v>
      </c>
      <c r="AA137" s="1539">
        <f>Y137+M137</f>
        <v>0.36500000000000005</v>
      </c>
      <c r="AB137" s="1538">
        <f>Z137+N137</f>
        <v>88782000</v>
      </c>
      <c r="AC137" s="1539">
        <f t="shared" si="36"/>
        <v>0.36500000000000005</v>
      </c>
      <c r="AD137" s="1540">
        <f t="shared" si="37"/>
        <v>0.14554426229508197</v>
      </c>
      <c r="AE137" s="1547"/>
    </row>
    <row r="138" spans="1:31" s="1298" customFormat="1" ht="14.25">
      <c r="A138" s="1314"/>
      <c r="B138" s="1314"/>
      <c r="C138" s="1314"/>
      <c r="D138" s="1314"/>
      <c r="E138" s="1314"/>
      <c r="F138" s="1314"/>
      <c r="G138" s="1314"/>
      <c r="H138" s="1314"/>
      <c r="I138" s="1535"/>
      <c r="J138" s="1314"/>
      <c r="K138" s="1314"/>
      <c r="L138" s="1547"/>
      <c r="M138" s="1549"/>
      <c r="N138" s="1314"/>
      <c r="O138" s="1549"/>
      <c r="P138" s="1314"/>
      <c r="Q138" s="1314"/>
      <c r="R138" s="1314"/>
      <c r="S138" s="1314">
        <v>0</v>
      </c>
      <c r="T138" s="1311"/>
      <c r="U138" s="1314"/>
      <c r="V138" s="1314"/>
      <c r="W138" s="1314"/>
      <c r="X138" s="1311"/>
      <c r="Y138" s="1536"/>
      <c r="Z138" s="1530"/>
      <c r="AA138" s="1539"/>
      <c r="AB138" s="1550"/>
      <c r="AC138" s="1539"/>
      <c r="AD138" s="1540"/>
      <c r="AE138" s="1547"/>
    </row>
    <row r="139" spans="1:31" s="1513" customFormat="1" ht="49.5" customHeight="1">
      <c r="A139" s="1300"/>
      <c r="B139" s="1300" t="s">
        <v>2268</v>
      </c>
      <c r="C139" s="1300">
        <v>5</v>
      </c>
      <c r="D139" s="1299" t="s">
        <v>66</v>
      </c>
      <c r="E139" s="1299" t="s">
        <v>161</v>
      </c>
      <c r="F139" s="1300"/>
      <c r="G139" s="1300"/>
      <c r="H139" s="1300"/>
      <c r="I139" s="1515" t="s">
        <v>1713</v>
      </c>
      <c r="J139" s="575" t="s">
        <v>1714</v>
      </c>
      <c r="K139" s="1524">
        <v>1</v>
      </c>
      <c r="L139" s="1525">
        <v>1025000000</v>
      </c>
      <c r="M139" s="1526">
        <v>0.34</v>
      </c>
      <c r="N139" s="1528">
        <v>26880000</v>
      </c>
      <c r="O139" s="1526">
        <v>0.17</v>
      </c>
      <c r="P139" s="1551">
        <f>P140+P141</f>
        <v>70965920</v>
      </c>
      <c r="Q139" s="1529">
        <f>Q141</f>
        <v>2E-3</v>
      </c>
      <c r="R139" s="1530">
        <f>SUM(R140:R141)</f>
        <v>1102000</v>
      </c>
      <c r="S139" s="1300">
        <v>0</v>
      </c>
      <c r="T139" s="1527">
        <f>T140</f>
        <v>0</v>
      </c>
      <c r="U139" s="1300">
        <f>U140</f>
        <v>0</v>
      </c>
      <c r="V139" s="1530">
        <f>V140</f>
        <v>0</v>
      </c>
      <c r="W139" s="1300">
        <f>W140</f>
        <v>0</v>
      </c>
      <c r="X139" s="1527">
        <f>X140</f>
        <v>0</v>
      </c>
      <c r="Y139" s="1529">
        <f t="shared" si="34"/>
        <v>2E-3</v>
      </c>
      <c r="Z139" s="1530">
        <f>Z140</f>
        <v>0</v>
      </c>
      <c r="AA139" s="1546">
        <f t="shared" si="35"/>
        <v>0.34200000000000003</v>
      </c>
      <c r="AB139" s="1530">
        <f>Z139+R139</f>
        <v>1102000</v>
      </c>
      <c r="AC139" s="1546">
        <f t="shared" si="36"/>
        <v>0.34200000000000003</v>
      </c>
      <c r="AD139" s="1532">
        <f t="shared" si="37"/>
        <v>1.0751219512195123E-3</v>
      </c>
      <c r="AE139" s="1533" t="s">
        <v>2272</v>
      </c>
    </row>
    <row r="140" spans="1:31" s="1298" customFormat="1" ht="51">
      <c r="A140" s="1314"/>
      <c r="B140" s="1314"/>
      <c r="C140" s="1314">
        <v>5</v>
      </c>
      <c r="D140" s="1534" t="s">
        <v>66</v>
      </c>
      <c r="E140" s="1534" t="s">
        <v>161</v>
      </c>
      <c r="F140" s="1314"/>
      <c r="G140" s="1534" t="s">
        <v>66</v>
      </c>
      <c r="H140" s="1534"/>
      <c r="I140" s="1535" t="s">
        <v>1224</v>
      </c>
      <c r="J140" s="1314" t="s">
        <v>2273</v>
      </c>
      <c r="K140" s="1318">
        <v>1</v>
      </c>
      <c r="L140" s="1311">
        <v>420000000</v>
      </c>
      <c r="M140" s="1552">
        <v>0.34</v>
      </c>
      <c r="N140" s="1553">
        <v>26880000</v>
      </c>
      <c r="O140" s="1540"/>
      <c r="P140" s="1311">
        <v>0</v>
      </c>
      <c r="Q140" s="1314">
        <v>0</v>
      </c>
      <c r="R140" s="1311">
        <v>0</v>
      </c>
      <c r="S140" s="1314">
        <v>0</v>
      </c>
      <c r="T140" s="1311">
        <v>0</v>
      </c>
      <c r="U140" s="1314">
        <v>0</v>
      </c>
      <c r="V140" s="1311">
        <v>0</v>
      </c>
      <c r="W140" s="1314">
        <v>0</v>
      </c>
      <c r="X140" s="1311">
        <v>0</v>
      </c>
      <c r="Y140" s="1536">
        <f t="shared" si="34"/>
        <v>0</v>
      </c>
      <c r="Z140" s="1538">
        <f>X140+V140+T140+R140</f>
        <v>0</v>
      </c>
      <c r="AA140" s="1539">
        <f t="shared" si="35"/>
        <v>0.34</v>
      </c>
      <c r="AB140" s="1538">
        <f>Z140+N140</f>
        <v>26880000</v>
      </c>
      <c r="AC140" s="1539">
        <f t="shared" si="36"/>
        <v>0.34</v>
      </c>
      <c r="AD140" s="1540">
        <f t="shared" si="37"/>
        <v>6.4000000000000001E-2</v>
      </c>
      <c r="AE140" s="1314"/>
    </row>
    <row r="141" spans="1:31" s="1298" customFormat="1" ht="63.75">
      <c r="A141" s="1314"/>
      <c r="B141" s="1314"/>
      <c r="C141" s="1314">
        <v>1</v>
      </c>
      <c r="D141" s="1534" t="s">
        <v>66</v>
      </c>
      <c r="E141" s="1534" t="s">
        <v>65</v>
      </c>
      <c r="F141" s="1534" t="s">
        <v>161</v>
      </c>
      <c r="G141" s="1534">
        <v>44</v>
      </c>
      <c r="H141" s="1534"/>
      <c r="I141" s="1535" t="s">
        <v>2274</v>
      </c>
      <c r="J141" s="1314" t="s">
        <v>2275</v>
      </c>
      <c r="K141" s="1318">
        <v>1</v>
      </c>
      <c r="L141" s="1311">
        <v>605000000</v>
      </c>
      <c r="M141" s="1539">
        <v>0</v>
      </c>
      <c r="N141" s="1311">
        <v>0</v>
      </c>
      <c r="O141" s="1318">
        <v>0.17</v>
      </c>
      <c r="P141" s="1311">
        <v>70965920</v>
      </c>
      <c r="Q141" s="1536">
        <v>2E-3</v>
      </c>
      <c r="R141" s="1311">
        <v>1102000</v>
      </c>
      <c r="S141" s="1314"/>
      <c r="T141" s="1311"/>
      <c r="U141" s="1314"/>
      <c r="V141" s="1311"/>
      <c r="W141" s="1314"/>
      <c r="X141" s="1311"/>
      <c r="Y141" s="1536">
        <f t="shared" si="34"/>
        <v>2E-3</v>
      </c>
      <c r="Z141" s="1538"/>
      <c r="AA141" s="1539">
        <f t="shared" si="35"/>
        <v>2E-3</v>
      </c>
      <c r="AB141" s="1538">
        <f>Z141+N141</f>
        <v>0</v>
      </c>
      <c r="AC141" s="1539">
        <f t="shared" si="36"/>
        <v>2E-3</v>
      </c>
      <c r="AD141" s="1540">
        <f t="shared" si="37"/>
        <v>0</v>
      </c>
      <c r="AE141" s="1314"/>
    </row>
    <row r="142" spans="1:31" s="1298" customFormat="1" ht="15" thickBot="1">
      <c r="A142" s="1314"/>
      <c r="B142" s="1314"/>
      <c r="C142" s="1314"/>
      <c r="D142" s="1314"/>
      <c r="E142" s="1314"/>
      <c r="F142" s="1314"/>
      <c r="G142" s="1314"/>
      <c r="H142" s="1314"/>
      <c r="I142" s="1535"/>
      <c r="J142" s="1314"/>
      <c r="K142" s="1314"/>
      <c r="L142" s="1314"/>
      <c r="M142" s="1314"/>
      <c r="N142" s="1314"/>
      <c r="O142" s="1314"/>
      <c r="P142" s="1314"/>
      <c r="Q142" s="1314"/>
      <c r="R142" s="1314"/>
      <c r="S142" s="1314"/>
      <c r="T142" s="1311"/>
      <c r="U142" s="1314"/>
      <c r="V142" s="1314"/>
      <c r="W142" s="1314"/>
      <c r="X142" s="1311"/>
      <c r="Y142" s="1536"/>
      <c r="Z142" s="1530"/>
      <c r="AA142" s="1539"/>
      <c r="AB142" s="1538"/>
      <c r="AC142" s="1539"/>
      <c r="AD142" s="1540"/>
      <c r="AE142" s="1314"/>
    </row>
    <row r="143" spans="1:31" s="1297" customFormat="1" ht="63.75" customHeight="1" thickBot="1">
      <c r="A143" s="1299" t="s">
        <v>196</v>
      </c>
      <c r="B143" s="4341" t="s">
        <v>2268</v>
      </c>
      <c r="C143" s="1300">
        <v>1</v>
      </c>
      <c r="D143" s="1299" t="s">
        <v>66</v>
      </c>
      <c r="E143" s="1299" t="s">
        <v>65</v>
      </c>
      <c r="F143" s="1299" t="s">
        <v>155</v>
      </c>
      <c r="G143" s="1300"/>
      <c r="H143" s="1300"/>
      <c r="I143" s="1554" t="s">
        <v>2276</v>
      </c>
      <c r="J143" s="1555" t="s">
        <v>2277</v>
      </c>
      <c r="K143" s="1556">
        <v>0.95</v>
      </c>
      <c r="L143" s="1557">
        <v>35672637500</v>
      </c>
      <c r="M143" s="1520">
        <f>SUM(M144:M147)/4</f>
        <v>0.30416666666666664</v>
      </c>
      <c r="N143" s="1558">
        <v>4207055720</v>
      </c>
      <c r="O143" s="1559">
        <v>0.16</v>
      </c>
      <c r="P143" s="1558">
        <v>1048655009</v>
      </c>
      <c r="Q143" s="1560">
        <f>SUM(Q144:Q147)/4</f>
        <v>1.0500000000000001E-2</v>
      </c>
      <c r="R143" s="1561">
        <f>R145</f>
        <v>7795250</v>
      </c>
      <c r="S143" s="1562">
        <v>0</v>
      </c>
      <c r="T143" s="1561">
        <f>SUM(T144:T147)</f>
        <v>0</v>
      </c>
      <c r="U143" s="1562">
        <v>0</v>
      </c>
      <c r="V143" s="1563">
        <f>SUM(V144:V147)</f>
        <v>0</v>
      </c>
      <c r="W143" s="1562">
        <v>0</v>
      </c>
      <c r="X143" s="1561">
        <f>SUM(X144:X147)</f>
        <v>0</v>
      </c>
      <c r="Y143" s="1564">
        <f t="shared" si="34"/>
        <v>1.0500000000000001E-2</v>
      </c>
      <c r="Z143" s="1563">
        <f>SUM(Z144:Z147)</f>
        <v>13375050</v>
      </c>
      <c r="AA143" s="1565">
        <f>Y143+M143</f>
        <v>0.31466666666666665</v>
      </c>
      <c r="AB143" s="1563">
        <f>Z143+N143</f>
        <v>4220430770</v>
      </c>
      <c r="AC143" s="1566">
        <f t="shared" si="36"/>
        <v>0.33122807017543859</v>
      </c>
      <c r="AD143" s="1560">
        <f t="shared" si="37"/>
        <v>0.11831002880008522</v>
      </c>
      <c r="AE143" s="1567" t="s">
        <v>2272</v>
      </c>
    </row>
    <row r="144" spans="1:31" s="1298" customFormat="1" ht="46.5" customHeight="1">
      <c r="A144" s="1314"/>
      <c r="B144" s="4342"/>
      <c r="C144" s="1314">
        <v>1</v>
      </c>
      <c r="D144" s="1534" t="s">
        <v>66</v>
      </c>
      <c r="E144" s="1534" t="s">
        <v>65</v>
      </c>
      <c r="F144" s="1534" t="s">
        <v>155</v>
      </c>
      <c r="G144" s="1534" t="s">
        <v>66</v>
      </c>
      <c r="H144" s="1534"/>
      <c r="I144" s="1568" t="s">
        <v>2278</v>
      </c>
      <c r="J144" s="786" t="s">
        <v>2279</v>
      </c>
      <c r="K144" s="1521">
        <v>0.95</v>
      </c>
      <c r="L144" s="1569">
        <v>32991000000</v>
      </c>
      <c r="M144" s="1570">
        <f>(K144/6)*2</f>
        <v>0.31666666666666665</v>
      </c>
      <c r="N144" s="1569">
        <v>3866872870</v>
      </c>
      <c r="O144" s="1521">
        <v>0.16</v>
      </c>
      <c r="P144" s="1569">
        <v>4252349000</v>
      </c>
      <c r="Q144" s="1571">
        <v>2.1000000000000001E-2</v>
      </c>
      <c r="R144" s="1572">
        <v>0</v>
      </c>
      <c r="S144" s="1537">
        <v>0</v>
      </c>
      <c r="T144" s="1311">
        <v>0</v>
      </c>
      <c r="U144" s="1537">
        <v>0</v>
      </c>
      <c r="V144" s="1311">
        <v>0</v>
      </c>
      <c r="W144" s="1537">
        <v>0</v>
      </c>
      <c r="X144" s="1311">
        <v>0</v>
      </c>
      <c r="Y144" s="1536">
        <f t="shared" si="34"/>
        <v>2.1000000000000001E-2</v>
      </c>
      <c r="Z144" s="1538">
        <f>X144+V144+T144+R144</f>
        <v>0</v>
      </c>
      <c r="AA144" s="1539">
        <f t="shared" ref="AA144:AB158" si="39">Y144+M144</f>
        <v>0.33766666666666667</v>
      </c>
      <c r="AB144" s="1538">
        <f>Z144+N144</f>
        <v>3866872870</v>
      </c>
      <c r="AC144" s="1573">
        <f t="shared" si="36"/>
        <v>0.35543859649122811</v>
      </c>
      <c r="AD144" s="1574">
        <f>AB144/L144</f>
        <v>0.11720993210269467</v>
      </c>
      <c r="AE144" s="1314"/>
    </row>
    <row r="145" spans="1:31" s="1298" customFormat="1" ht="48" customHeight="1">
      <c r="A145" s="1314"/>
      <c r="B145" s="4342"/>
      <c r="C145" s="1314">
        <v>1</v>
      </c>
      <c r="D145" s="1534" t="s">
        <v>66</v>
      </c>
      <c r="E145" s="1534" t="s">
        <v>65</v>
      </c>
      <c r="F145" s="1314">
        <v>15</v>
      </c>
      <c r="G145" s="1534" t="s">
        <v>65</v>
      </c>
      <c r="H145" s="1534"/>
      <c r="I145" s="1568" t="s">
        <v>2280</v>
      </c>
      <c r="J145" s="786" t="s">
        <v>2281</v>
      </c>
      <c r="K145" s="1521">
        <v>0.9</v>
      </c>
      <c r="L145" s="1569">
        <v>2186637500</v>
      </c>
      <c r="M145" s="1570">
        <f t="shared" ref="M145:M202" si="40">(K145/6)*2</f>
        <v>0.3</v>
      </c>
      <c r="N145" s="1569">
        <v>260755750</v>
      </c>
      <c r="O145" s="1521">
        <v>0.15</v>
      </c>
      <c r="P145" s="1569">
        <v>238809892</v>
      </c>
      <c r="Q145" s="1571">
        <v>4.0000000000000001E-3</v>
      </c>
      <c r="R145" s="1575">
        <v>7795250</v>
      </c>
      <c r="S145" s="1314">
        <v>0</v>
      </c>
      <c r="T145" s="1311">
        <v>0</v>
      </c>
      <c r="U145" s="1314">
        <v>0</v>
      </c>
      <c r="V145" s="1311">
        <v>0</v>
      </c>
      <c r="W145" s="1314">
        <v>0</v>
      </c>
      <c r="X145" s="1311">
        <v>0</v>
      </c>
      <c r="Y145" s="1576">
        <f t="shared" si="34"/>
        <v>4.0000000000000001E-3</v>
      </c>
      <c r="Z145" s="1538">
        <f>X145+V145+T145+R145</f>
        <v>7795250</v>
      </c>
      <c r="AA145" s="1539">
        <f t="shared" si="39"/>
        <v>0.30399999999999999</v>
      </c>
      <c r="AB145" s="1538">
        <f>Z145+N145</f>
        <v>268551000</v>
      </c>
      <c r="AC145" s="1573">
        <f t="shared" si="36"/>
        <v>0.33777777777777779</v>
      </c>
      <c r="AD145" s="1574">
        <f t="shared" si="37"/>
        <v>0.12281459546907066</v>
      </c>
      <c r="AE145" s="1314"/>
    </row>
    <row r="146" spans="1:31" s="1298" customFormat="1" ht="48" customHeight="1">
      <c r="A146" s="1314"/>
      <c r="B146" s="4343"/>
      <c r="C146" s="1314">
        <v>1</v>
      </c>
      <c r="D146" s="1534" t="s">
        <v>66</v>
      </c>
      <c r="E146" s="1534" t="s">
        <v>65</v>
      </c>
      <c r="F146" s="1314">
        <v>15</v>
      </c>
      <c r="G146" s="1534" t="s">
        <v>198</v>
      </c>
      <c r="H146" s="1534"/>
      <c r="I146" s="1568" t="s">
        <v>2282</v>
      </c>
      <c r="J146" s="786" t="s">
        <v>2283</v>
      </c>
      <c r="K146" s="1521">
        <v>1</v>
      </c>
      <c r="L146" s="1569">
        <v>495000000</v>
      </c>
      <c r="M146" s="1570">
        <f t="shared" si="40"/>
        <v>0.33333333333333331</v>
      </c>
      <c r="N146" s="1569">
        <v>41149850</v>
      </c>
      <c r="O146" s="1521">
        <v>0.17</v>
      </c>
      <c r="P146" s="1569">
        <v>38697150</v>
      </c>
      <c r="Q146" s="1577">
        <v>5.0000000000000001E-3</v>
      </c>
      <c r="R146" s="1578">
        <v>600000</v>
      </c>
      <c r="S146" s="1314">
        <v>0</v>
      </c>
      <c r="T146" s="1311">
        <v>0</v>
      </c>
      <c r="U146" s="1314">
        <v>0</v>
      </c>
      <c r="V146" s="1311">
        <v>0</v>
      </c>
      <c r="W146" s="1314">
        <v>0</v>
      </c>
      <c r="X146" s="1311">
        <v>0</v>
      </c>
      <c r="Y146" s="1576">
        <f t="shared" si="34"/>
        <v>5.0000000000000001E-3</v>
      </c>
      <c r="Z146" s="1538">
        <f>X146+V146+T146+R146</f>
        <v>600000</v>
      </c>
      <c r="AA146" s="1539">
        <f t="shared" si="39"/>
        <v>0.33833333333333332</v>
      </c>
      <c r="AB146" s="1538">
        <f>Z146+N146</f>
        <v>41749850</v>
      </c>
      <c r="AC146" s="1573">
        <f t="shared" si="36"/>
        <v>0.33833333333333332</v>
      </c>
      <c r="AD146" s="1574">
        <f t="shared" si="37"/>
        <v>8.4343131313131314E-2</v>
      </c>
      <c r="AE146" s="1314"/>
    </row>
    <row r="147" spans="1:31" s="1298" customFormat="1" ht="38.25">
      <c r="A147" s="1314"/>
      <c r="B147" s="1314"/>
      <c r="C147" s="1314">
        <v>1</v>
      </c>
      <c r="D147" s="1534" t="s">
        <v>66</v>
      </c>
      <c r="E147" s="1534" t="s">
        <v>65</v>
      </c>
      <c r="F147" s="1314">
        <v>15</v>
      </c>
      <c r="G147" s="1534" t="s">
        <v>417</v>
      </c>
      <c r="H147" s="1534"/>
      <c r="I147" s="1568" t="s">
        <v>2284</v>
      </c>
      <c r="J147" s="786" t="s">
        <v>2285</v>
      </c>
      <c r="K147" s="1521">
        <v>0.8</v>
      </c>
      <c r="L147" s="1569">
        <v>1040000000</v>
      </c>
      <c r="M147" s="1570">
        <f t="shared" si="40"/>
        <v>0.26666666666666666</v>
      </c>
      <c r="N147" s="1569">
        <v>38277250</v>
      </c>
      <c r="O147" s="1521">
        <v>0.13</v>
      </c>
      <c r="P147" s="1569">
        <v>38000000</v>
      </c>
      <c r="Q147" s="1571">
        <v>1.2E-2</v>
      </c>
      <c r="R147" s="1575">
        <v>4979800</v>
      </c>
      <c r="S147" s="1314">
        <v>0</v>
      </c>
      <c r="T147" s="1311">
        <v>0</v>
      </c>
      <c r="U147" s="1314">
        <v>0</v>
      </c>
      <c r="V147" s="1311">
        <v>0</v>
      </c>
      <c r="W147" s="1314">
        <v>0</v>
      </c>
      <c r="X147" s="1311">
        <v>0</v>
      </c>
      <c r="Y147" s="1576">
        <f t="shared" si="34"/>
        <v>1.2E-2</v>
      </c>
      <c r="Z147" s="1538">
        <f>X147+V147+T147+R147</f>
        <v>4979800</v>
      </c>
      <c r="AA147" s="1539">
        <f t="shared" si="39"/>
        <v>0.27866666666666667</v>
      </c>
      <c r="AB147" s="1538">
        <f>Z147+N147</f>
        <v>43257050</v>
      </c>
      <c r="AC147" s="1573">
        <f t="shared" si="36"/>
        <v>0.34833333333333333</v>
      </c>
      <c r="AD147" s="1574">
        <f t="shared" si="37"/>
        <v>4.1593317307692307E-2</v>
      </c>
      <c r="AE147" s="1314"/>
    </row>
    <row r="148" spans="1:31" s="1298" customFormat="1" ht="14.25">
      <c r="A148" s="1314"/>
      <c r="B148" s="1314"/>
      <c r="C148" s="1314"/>
      <c r="D148" s="1314"/>
      <c r="E148" s="1314"/>
      <c r="F148" s="1314"/>
      <c r="G148" s="1314"/>
      <c r="H148" s="1314"/>
      <c r="I148" s="1579"/>
      <c r="J148" s="786"/>
      <c r="K148" s="786"/>
      <c r="L148" s="786"/>
      <c r="M148" s="1570"/>
      <c r="N148" s="786"/>
      <c r="O148" s="786"/>
      <c r="P148" s="786"/>
      <c r="Q148" s="1314"/>
      <c r="R148" s="1314"/>
      <c r="S148" s="1314"/>
      <c r="T148" s="1314"/>
      <c r="U148" s="1314"/>
      <c r="V148" s="1314"/>
      <c r="W148" s="1314"/>
      <c r="X148" s="1311"/>
      <c r="Y148" s="1576"/>
      <c r="Z148" s="1530"/>
      <c r="AA148" s="1539"/>
      <c r="AB148" s="1550"/>
      <c r="AC148" s="1580"/>
      <c r="AD148" s="1574"/>
      <c r="AE148" s="1314"/>
    </row>
    <row r="149" spans="1:31" s="1297" customFormat="1" ht="59.25" customHeight="1">
      <c r="A149" s="1300"/>
      <c r="B149" s="1300" t="s">
        <v>2286</v>
      </c>
      <c r="C149" s="1300">
        <v>1</v>
      </c>
      <c r="D149" s="1299" t="s">
        <v>66</v>
      </c>
      <c r="E149" s="1299" t="s">
        <v>65</v>
      </c>
      <c r="F149" s="1299" t="s">
        <v>166</v>
      </c>
      <c r="G149" s="1300"/>
      <c r="H149" s="1300"/>
      <c r="I149" s="1554" t="s">
        <v>2287</v>
      </c>
      <c r="J149" s="1581" t="s">
        <v>2288</v>
      </c>
      <c r="K149" s="1556">
        <v>0.95</v>
      </c>
      <c r="L149" s="1557">
        <v>28845135000</v>
      </c>
      <c r="M149" s="1582">
        <f t="shared" si="40"/>
        <v>0.31666666666666665</v>
      </c>
      <c r="N149" s="1583">
        <v>6500154822</v>
      </c>
      <c r="O149" s="1584">
        <v>0.16</v>
      </c>
      <c r="P149" s="1583">
        <v>101177923</v>
      </c>
      <c r="Q149" s="1560">
        <f>SUM(Q150:Q154)/4</f>
        <v>2.375E-2</v>
      </c>
      <c r="R149" s="1585">
        <f>SUM(R150:R154)</f>
        <v>80064800</v>
      </c>
      <c r="S149" s="1586">
        <v>0</v>
      </c>
      <c r="T149" s="1587">
        <f>SUM(T150:T154)</f>
        <v>0</v>
      </c>
      <c r="U149" s="1586">
        <v>0</v>
      </c>
      <c r="V149" s="1585">
        <f>SUM(V150:V154)</f>
        <v>0</v>
      </c>
      <c r="W149" s="1586">
        <v>0</v>
      </c>
      <c r="X149" s="1587">
        <v>0</v>
      </c>
      <c r="Y149" s="1588">
        <f t="shared" si="34"/>
        <v>2.375E-2</v>
      </c>
      <c r="Z149" s="1585">
        <f>X149</f>
        <v>0</v>
      </c>
      <c r="AA149" s="1565">
        <f t="shared" si="39"/>
        <v>0.34041666666666665</v>
      </c>
      <c r="AB149" s="1585">
        <f>N149+Z149</f>
        <v>6500154822</v>
      </c>
      <c r="AC149" s="1566">
        <f t="shared" si="36"/>
        <v>0.35833333333333334</v>
      </c>
      <c r="AD149" s="1560">
        <f t="shared" si="37"/>
        <v>0.22534665974002202</v>
      </c>
      <c r="AE149" s="1300" t="s">
        <v>2272</v>
      </c>
    </row>
    <row r="150" spans="1:31" s="1298" customFormat="1" ht="102.75" customHeight="1">
      <c r="A150" s="1314"/>
      <c r="B150" s="1314"/>
      <c r="C150" s="1314">
        <v>1</v>
      </c>
      <c r="D150" s="1534" t="s">
        <v>66</v>
      </c>
      <c r="E150" s="1534" t="s">
        <v>65</v>
      </c>
      <c r="F150" s="1314">
        <v>16</v>
      </c>
      <c r="G150" s="1534" t="s">
        <v>65</v>
      </c>
      <c r="H150" s="1534"/>
      <c r="I150" s="1568" t="s">
        <v>2289</v>
      </c>
      <c r="J150" s="786" t="s">
        <v>2290</v>
      </c>
      <c r="K150" s="1521">
        <v>0.95</v>
      </c>
      <c r="L150" s="1569">
        <v>1537500000</v>
      </c>
      <c r="M150" s="1570">
        <f t="shared" si="40"/>
        <v>0.31666666666666665</v>
      </c>
      <c r="N150" s="1569">
        <v>125121972</v>
      </c>
      <c r="O150" s="1589">
        <v>0.16</v>
      </c>
      <c r="P150" s="1569">
        <v>182652500</v>
      </c>
      <c r="Q150" s="1540">
        <v>3.2000000000000001E-2</v>
      </c>
      <c r="R150" s="1311">
        <v>6626600</v>
      </c>
      <c r="S150" s="1534">
        <v>0</v>
      </c>
      <c r="T150" s="1311">
        <v>0</v>
      </c>
      <c r="U150" s="1314">
        <v>0</v>
      </c>
      <c r="V150" s="1311">
        <v>0</v>
      </c>
      <c r="W150" s="1314">
        <v>0</v>
      </c>
      <c r="X150" s="1311">
        <v>0</v>
      </c>
      <c r="Y150" s="1590">
        <f>W150+U150+S150+Q150</f>
        <v>3.2000000000000001E-2</v>
      </c>
      <c r="Z150" s="1538">
        <f>X150+V150+T150+R150</f>
        <v>6626600</v>
      </c>
      <c r="AA150" s="1591">
        <f t="shared" si="39"/>
        <v>0.34866666666666668</v>
      </c>
      <c r="AB150" s="1538">
        <f t="shared" si="39"/>
        <v>131748572</v>
      </c>
      <c r="AC150" s="1573">
        <f t="shared" si="36"/>
        <v>0.36701754385964913</v>
      </c>
      <c r="AD150" s="1574">
        <f t="shared" si="37"/>
        <v>8.5690128130081297E-2</v>
      </c>
      <c r="AE150" s="1314"/>
    </row>
    <row r="151" spans="1:31" s="1298" customFormat="1" ht="136.5" customHeight="1">
      <c r="A151" s="1314"/>
      <c r="B151" s="1314"/>
      <c r="C151" s="1314">
        <v>1</v>
      </c>
      <c r="D151" s="1534" t="s">
        <v>66</v>
      </c>
      <c r="E151" s="1534" t="s">
        <v>65</v>
      </c>
      <c r="F151" s="1314">
        <v>16</v>
      </c>
      <c r="G151" s="1534" t="s">
        <v>201</v>
      </c>
      <c r="H151" s="1534"/>
      <c r="I151" s="1568" t="s">
        <v>2291</v>
      </c>
      <c r="J151" s="786" t="s">
        <v>2292</v>
      </c>
      <c r="K151" s="1521">
        <v>0.95</v>
      </c>
      <c r="L151" s="1569">
        <v>4817385000</v>
      </c>
      <c r="M151" s="1570">
        <f t="shared" si="40"/>
        <v>0.31666666666666665</v>
      </c>
      <c r="N151" s="1569">
        <v>743873200</v>
      </c>
      <c r="O151" s="1589">
        <v>0.16</v>
      </c>
      <c r="P151" s="1569">
        <v>1714157217</v>
      </c>
      <c r="Q151" s="1540">
        <v>2.5000000000000001E-2</v>
      </c>
      <c r="R151" s="1311">
        <v>69748000</v>
      </c>
      <c r="S151" s="1537">
        <v>0</v>
      </c>
      <c r="T151" s="1311">
        <v>0</v>
      </c>
      <c r="U151" s="1537">
        <v>0</v>
      </c>
      <c r="V151" s="1311">
        <v>0</v>
      </c>
      <c r="W151" s="1537">
        <v>0</v>
      </c>
      <c r="X151" s="1311">
        <v>0</v>
      </c>
      <c r="Y151" s="1573">
        <f t="shared" ref="Y151:Z154" si="41">W151+U151+S151+Q151</f>
        <v>2.5000000000000001E-2</v>
      </c>
      <c r="Z151" s="1538">
        <f t="shared" si="41"/>
        <v>69748000</v>
      </c>
      <c r="AA151" s="1591">
        <f t="shared" si="39"/>
        <v>0.34166666666666667</v>
      </c>
      <c r="AB151" s="1538">
        <f t="shared" si="39"/>
        <v>813621200</v>
      </c>
      <c r="AC151" s="1573">
        <f t="shared" si="36"/>
        <v>0.35964912280701755</v>
      </c>
      <c r="AD151" s="1574">
        <f t="shared" si="37"/>
        <v>0.16889270838847217</v>
      </c>
      <c r="AE151" s="1314"/>
    </row>
    <row r="152" spans="1:31" s="1298" customFormat="1" ht="45.75" customHeight="1">
      <c r="A152" s="1314"/>
      <c r="B152" s="1314"/>
      <c r="C152" s="1314">
        <v>1</v>
      </c>
      <c r="D152" s="1534" t="s">
        <v>66</v>
      </c>
      <c r="E152" s="1534" t="s">
        <v>65</v>
      </c>
      <c r="F152" s="1314">
        <v>16</v>
      </c>
      <c r="G152" s="1534" t="s">
        <v>515</v>
      </c>
      <c r="H152" s="1534"/>
      <c r="I152" s="1568" t="s">
        <v>2293</v>
      </c>
      <c r="J152" s="786" t="s">
        <v>2294</v>
      </c>
      <c r="K152" s="1521">
        <v>0.95</v>
      </c>
      <c r="L152" s="1569">
        <v>21750000000</v>
      </c>
      <c r="M152" s="1570">
        <f t="shared" si="40"/>
        <v>0.31666666666666665</v>
      </c>
      <c r="N152" s="1569">
        <v>5562727550</v>
      </c>
      <c r="O152" s="1589">
        <v>0.16</v>
      </c>
      <c r="P152" s="1569">
        <v>11288225000</v>
      </c>
      <c r="Q152" s="1540">
        <v>5.0000000000000001E-3</v>
      </c>
      <c r="R152" s="1314">
        <v>0</v>
      </c>
      <c r="S152" s="1314">
        <v>0</v>
      </c>
      <c r="T152" s="1311">
        <v>0</v>
      </c>
      <c r="U152" s="1314">
        <v>0</v>
      </c>
      <c r="V152" s="1311">
        <v>0</v>
      </c>
      <c r="W152" s="1314">
        <v>0</v>
      </c>
      <c r="X152" s="1311">
        <v>0</v>
      </c>
      <c r="Y152" s="1590">
        <f t="shared" si="41"/>
        <v>5.0000000000000001E-3</v>
      </c>
      <c r="Z152" s="1538">
        <f t="shared" si="41"/>
        <v>0</v>
      </c>
      <c r="AA152" s="1591">
        <f t="shared" si="39"/>
        <v>0.32166666666666666</v>
      </c>
      <c r="AB152" s="1538">
        <f t="shared" si="39"/>
        <v>5562727550</v>
      </c>
      <c r="AC152" s="1573">
        <f t="shared" si="36"/>
        <v>0.33859649122807017</v>
      </c>
      <c r="AD152" s="1574">
        <f t="shared" si="37"/>
        <v>0.25575758850574715</v>
      </c>
      <c r="AE152" s="1314"/>
    </row>
    <row r="153" spans="1:31" s="1298" customFormat="1" ht="59.25" customHeight="1">
      <c r="A153" s="1314"/>
      <c r="B153" s="1314"/>
      <c r="C153" s="1314">
        <v>1</v>
      </c>
      <c r="D153" s="1534" t="s">
        <v>66</v>
      </c>
      <c r="E153" s="1534" t="s">
        <v>65</v>
      </c>
      <c r="F153" s="1314">
        <v>16</v>
      </c>
      <c r="G153" s="1534">
        <v>34</v>
      </c>
      <c r="H153" s="1534"/>
      <c r="I153" s="1568" t="s">
        <v>2295</v>
      </c>
      <c r="J153" s="786" t="s">
        <v>2296</v>
      </c>
      <c r="K153" s="1521">
        <v>0.95</v>
      </c>
      <c r="L153" s="1522">
        <v>470000000</v>
      </c>
      <c r="M153" s="1570">
        <f t="shared" si="40"/>
        <v>0.31666666666666665</v>
      </c>
      <c r="N153" s="1592">
        <v>51355550</v>
      </c>
      <c r="O153" s="1589">
        <v>0.16</v>
      </c>
      <c r="P153" s="1569">
        <v>44644179</v>
      </c>
      <c r="Q153" s="1593">
        <v>1.2E-2</v>
      </c>
      <c r="R153" s="1569">
        <v>3038200</v>
      </c>
      <c r="S153" s="1594">
        <v>0</v>
      </c>
      <c r="T153" s="1569">
        <v>0</v>
      </c>
      <c r="U153" s="1594">
        <v>0</v>
      </c>
      <c r="V153" s="1569">
        <v>0</v>
      </c>
      <c r="W153" s="1594">
        <v>0</v>
      </c>
      <c r="X153" s="1569">
        <v>0</v>
      </c>
      <c r="Y153" s="1590">
        <f t="shared" si="41"/>
        <v>1.2E-2</v>
      </c>
      <c r="Z153" s="1538">
        <f t="shared" si="41"/>
        <v>3038200</v>
      </c>
      <c r="AA153" s="1591">
        <f t="shared" si="39"/>
        <v>0.32866666666666666</v>
      </c>
      <c r="AB153" s="1595">
        <f t="shared" si="39"/>
        <v>54393750</v>
      </c>
      <c r="AC153" s="1573">
        <f t="shared" si="36"/>
        <v>0.34596491228070175</v>
      </c>
      <c r="AD153" s="1574">
        <f t="shared" si="37"/>
        <v>0.1157313829787234</v>
      </c>
      <c r="AE153" s="786"/>
    </row>
    <row r="154" spans="1:31" s="1298" customFormat="1" ht="53.25" customHeight="1" thickBot="1">
      <c r="A154" s="1314"/>
      <c r="B154" s="1314"/>
      <c r="C154" s="1314">
        <v>1</v>
      </c>
      <c r="D154" s="1534" t="s">
        <v>66</v>
      </c>
      <c r="E154" s="1534" t="s">
        <v>65</v>
      </c>
      <c r="F154" s="1314">
        <v>16</v>
      </c>
      <c r="G154" s="1534">
        <v>35</v>
      </c>
      <c r="H154" s="1534"/>
      <c r="I154" s="1568" t="s">
        <v>2297</v>
      </c>
      <c r="J154" s="786" t="s">
        <v>2298</v>
      </c>
      <c r="K154" s="1521">
        <v>0.95</v>
      </c>
      <c r="L154" s="1522">
        <v>270250000</v>
      </c>
      <c r="M154" s="1570">
        <f t="shared" si="40"/>
        <v>0.31666666666666665</v>
      </c>
      <c r="N154" s="1592">
        <v>17076550</v>
      </c>
      <c r="O154" s="1589">
        <v>0.16</v>
      </c>
      <c r="P154" s="1569">
        <v>41274200</v>
      </c>
      <c r="Q154" s="1593">
        <v>2.1000000000000001E-2</v>
      </c>
      <c r="R154" s="1569">
        <v>652000</v>
      </c>
      <c r="S154" s="1594">
        <v>0</v>
      </c>
      <c r="T154" s="1569">
        <v>0</v>
      </c>
      <c r="U154" s="1594">
        <v>0</v>
      </c>
      <c r="V154" s="1569">
        <v>0</v>
      </c>
      <c r="W154" s="1594">
        <v>0</v>
      </c>
      <c r="X154" s="1569">
        <v>0</v>
      </c>
      <c r="Y154" s="1590">
        <f t="shared" si="41"/>
        <v>2.1000000000000001E-2</v>
      </c>
      <c r="Z154" s="1538">
        <v>17076550</v>
      </c>
      <c r="AA154" s="1591">
        <f t="shared" si="39"/>
        <v>0.33766666666666667</v>
      </c>
      <c r="AB154" s="1595">
        <f t="shared" si="39"/>
        <v>34153100</v>
      </c>
      <c r="AC154" s="1573">
        <f t="shared" si="36"/>
        <v>0.35543859649122811</v>
      </c>
      <c r="AD154" s="1574">
        <f t="shared" si="37"/>
        <v>0.1263759481961147</v>
      </c>
      <c r="AE154" s="1595"/>
    </row>
    <row r="155" spans="1:31" s="1297" customFormat="1" ht="60" customHeight="1" thickBot="1">
      <c r="A155" s="1300"/>
      <c r="B155" s="1300" t="s">
        <v>2299</v>
      </c>
      <c r="C155" s="1300">
        <v>1</v>
      </c>
      <c r="D155" s="1299" t="s">
        <v>66</v>
      </c>
      <c r="E155" s="1299" t="s">
        <v>65</v>
      </c>
      <c r="F155" s="1299" t="s">
        <v>357</v>
      </c>
      <c r="G155" s="1300"/>
      <c r="H155" s="1300"/>
      <c r="I155" s="1554" t="s">
        <v>2300</v>
      </c>
      <c r="J155" s="1596" t="s">
        <v>2301</v>
      </c>
      <c r="K155" s="1597">
        <f>SUM(K156:K160)/4</f>
        <v>1</v>
      </c>
      <c r="L155" s="1598">
        <v>9800000000</v>
      </c>
      <c r="M155" s="1582">
        <f t="shared" si="40"/>
        <v>0.33333333333333331</v>
      </c>
      <c r="N155" s="1583">
        <f>SUM(N156:N160)</f>
        <v>568646293</v>
      </c>
      <c r="O155" s="1599">
        <v>0.17</v>
      </c>
      <c r="P155" s="1583">
        <v>227966920</v>
      </c>
      <c r="Q155" s="1588">
        <f>SUM(Q156:Q160)/4</f>
        <v>1.3749999999999998E-2</v>
      </c>
      <c r="R155" s="1585">
        <f>SUM(R156:R160)</f>
        <v>30185300</v>
      </c>
      <c r="S155" s="1586">
        <v>0</v>
      </c>
      <c r="T155" s="1587">
        <f>SUM(T156:T160)</f>
        <v>0</v>
      </c>
      <c r="U155" s="1586">
        <v>0</v>
      </c>
      <c r="V155" s="1585">
        <f>SUM(V156:V160)</f>
        <v>0</v>
      </c>
      <c r="W155" s="1586">
        <v>0</v>
      </c>
      <c r="X155" s="1587">
        <f>SUM(X156:X160)</f>
        <v>0</v>
      </c>
      <c r="Y155" s="1588">
        <f>W155+U155+S155+Q155</f>
        <v>1.3749999999999998E-2</v>
      </c>
      <c r="Z155" s="1585">
        <f>SUM(Z156:Z160)</f>
        <v>30185300</v>
      </c>
      <c r="AA155" s="1600">
        <f>Y155+M155</f>
        <v>0.3470833333333333</v>
      </c>
      <c r="AB155" s="1585">
        <f t="shared" si="39"/>
        <v>598831593</v>
      </c>
      <c r="AC155" s="1565">
        <f t="shared" si="36"/>
        <v>0.3470833333333333</v>
      </c>
      <c r="AD155" s="1560">
        <f t="shared" si="37"/>
        <v>6.1105264591836732E-2</v>
      </c>
      <c r="AE155" s="1601" t="s">
        <v>2272</v>
      </c>
    </row>
    <row r="156" spans="1:31" s="1298" customFormat="1" ht="48.75" customHeight="1">
      <c r="A156" s="1314"/>
      <c r="B156" s="1314"/>
      <c r="C156" s="1314">
        <v>1</v>
      </c>
      <c r="D156" s="1534" t="s">
        <v>66</v>
      </c>
      <c r="E156" s="1534" t="s">
        <v>65</v>
      </c>
      <c r="F156" s="1314">
        <v>19</v>
      </c>
      <c r="G156" s="1534" t="s">
        <v>66</v>
      </c>
      <c r="H156" s="1534"/>
      <c r="I156" s="1602" t="s">
        <v>2302</v>
      </c>
      <c r="J156" s="786" t="s">
        <v>2303</v>
      </c>
      <c r="K156" s="1521">
        <v>1</v>
      </c>
      <c r="L156" s="1569">
        <v>2295000000</v>
      </c>
      <c r="M156" s="1570">
        <f t="shared" si="40"/>
        <v>0.33333333333333331</v>
      </c>
      <c r="N156" s="1569">
        <v>156892800</v>
      </c>
      <c r="O156" s="1603">
        <v>0.17</v>
      </c>
      <c r="P156" s="1569">
        <v>183789402</v>
      </c>
      <c r="Q156" s="1540">
        <v>1.4999999999999999E-2</v>
      </c>
      <c r="R156" s="1311">
        <v>13582400</v>
      </c>
      <c r="S156" s="1314">
        <v>0</v>
      </c>
      <c r="T156" s="1311">
        <v>0</v>
      </c>
      <c r="U156" s="1537">
        <v>0</v>
      </c>
      <c r="V156" s="1311">
        <v>0</v>
      </c>
      <c r="W156" s="1537">
        <v>0</v>
      </c>
      <c r="X156" s="1311">
        <v>0</v>
      </c>
      <c r="Y156" s="1540">
        <f>W156+U156+S156+Q156</f>
        <v>1.4999999999999999E-2</v>
      </c>
      <c r="Z156" s="1538">
        <f>X156+V156+T156+R156</f>
        <v>13582400</v>
      </c>
      <c r="AA156" s="1539">
        <f>Y156+M156</f>
        <v>0.34833333333333333</v>
      </c>
      <c r="AB156" s="1538">
        <f t="shared" si="39"/>
        <v>170475200</v>
      </c>
      <c r="AC156" s="1591">
        <f t="shared" si="36"/>
        <v>0.34833333333333333</v>
      </c>
      <c r="AD156" s="1574">
        <f t="shared" si="37"/>
        <v>7.4281132897603491E-2</v>
      </c>
      <c r="AE156" s="1314"/>
    </row>
    <row r="157" spans="1:31" s="1298" customFormat="1" ht="37.5" customHeight="1">
      <c r="A157" s="1314"/>
      <c r="B157" s="1314"/>
      <c r="C157" s="1314">
        <v>1</v>
      </c>
      <c r="D157" s="1534" t="s">
        <v>66</v>
      </c>
      <c r="E157" s="1534" t="s">
        <v>65</v>
      </c>
      <c r="F157" s="1314">
        <v>19</v>
      </c>
      <c r="G157" s="1534" t="s">
        <v>197</v>
      </c>
      <c r="H157" s="1534"/>
      <c r="I157" s="1568" t="s">
        <v>2304</v>
      </c>
      <c r="J157" s="786" t="s">
        <v>2305</v>
      </c>
      <c r="K157" s="1521">
        <v>1</v>
      </c>
      <c r="L157" s="1569">
        <v>2020000000</v>
      </c>
      <c r="M157" s="1570">
        <f t="shared" si="40"/>
        <v>0.33333333333333331</v>
      </c>
      <c r="N157" s="1569">
        <v>177333050</v>
      </c>
      <c r="O157" s="1603">
        <v>0.17</v>
      </c>
      <c r="P157" s="1569">
        <v>132783626</v>
      </c>
      <c r="Q157" s="1540">
        <v>1.2999999999999999E-2</v>
      </c>
      <c r="R157" s="1311">
        <v>5497700</v>
      </c>
      <c r="S157" s="1314">
        <v>0</v>
      </c>
      <c r="T157" s="1311">
        <v>0</v>
      </c>
      <c r="U157" s="1314">
        <v>0</v>
      </c>
      <c r="V157" s="1311">
        <v>0</v>
      </c>
      <c r="W157" s="1314">
        <v>0</v>
      </c>
      <c r="X157" s="1311">
        <v>0</v>
      </c>
      <c r="Y157" s="1540">
        <f t="shared" ref="Y157:Z160" si="42">W157+U157+S157+Q157</f>
        <v>1.2999999999999999E-2</v>
      </c>
      <c r="Z157" s="1538">
        <f t="shared" si="42"/>
        <v>5497700</v>
      </c>
      <c r="AA157" s="1539">
        <f>Y157+M157</f>
        <v>0.34633333333333333</v>
      </c>
      <c r="AB157" s="1538">
        <f t="shared" si="39"/>
        <v>182830750</v>
      </c>
      <c r="AC157" s="1591">
        <f t="shared" si="36"/>
        <v>0.34633333333333333</v>
      </c>
      <c r="AD157" s="1574">
        <f t="shared" si="37"/>
        <v>9.051027227722773E-2</v>
      </c>
      <c r="AE157" s="1314"/>
    </row>
    <row r="158" spans="1:31" s="1298" customFormat="1" ht="30" customHeight="1">
      <c r="A158" s="1314"/>
      <c r="B158" s="1314"/>
      <c r="C158" s="1314">
        <v>1</v>
      </c>
      <c r="D158" s="1534" t="s">
        <v>66</v>
      </c>
      <c r="E158" s="1534" t="s">
        <v>65</v>
      </c>
      <c r="F158" s="1314">
        <v>19</v>
      </c>
      <c r="G158" s="1534" t="s">
        <v>198</v>
      </c>
      <c r="H158" s="1534"/>
      <c r="I158" s="1568" t="s">
        <v>2306</v>
      </c>
      <c r="J158" s="1604" t="s">
        <v>2307</v>
      </c>
      <c r="K158" s="1521">
        <v>1</v>
      </c>
      <c r="L158" s="1569">
        <v>710000000</v>
      </c>
      <c r="M158" s="1570">
        <f t="shared" si="40"/>
        <v>0.33333333333333331</v>
      </c>
      <c r="N158" s="1569">
        <v>138379050</v>
      </c>
      <c r="O158" s="1603">
        <v>0.17</v>
      </c>
      <c r="P158" s="1569">
        <v>99195000</v>
      </c>
      <c r="Q158" s="1540">
        <v>2.1999999999999999E-2</v>
      </c>
      <c r="R158" s="1311">
        <v>11105200</v>
      </c>
      <c r="S158" s="1314">
        <v>0</v>
      </c>
      <c r="T158" s="1311">
        <v>0</v>
      </c>
      <c r="U158" s="1537">
        <v>0</v>
      </c>
      <c r="V158" s="1311">
        <v>0</v>
      </c>
      <c r="W158" s="1537">
        <v>0</v>
      </c>
      <c r="X158" s="1311">
        <v>0</v>
      </c>
      <c r="Y158" s="1540">
        <f t="shared" si="42"/>
        <v>2.1999999999999999E-2</v>
      </c>
      <c r="Z158" s="1538">
        <f t="shared" si="42"/>
        <v>11105200</v>
      </c>
      <c r="AA158" s="1539">
        <f>Y158+M158</f>
        <v>0.35533333333333333</v>
      </c>
      <c r="AB158" s="1538">
        <f t="shared" si="39"/>
        <v>149484250</v>
      </c>
      <c r="AC158" s="1591">
        <f t="shared" si="36"/>
        <v>0.35533333333333333</v>
      </c>
      <c r="AD158" s="1574">
        <f t="shared" si="37"/>
        <v>0.21054119718309861</v>
      </c>
      <c r="AE158" s="1314"/>
    </row>
    <row r="159" spans="1:31" s="1298" customFormat="1" ht="42.75" customHeight="1">
      <c r="A159" s="1314"/>
      <c r="B159" s="1314"/>
      <c r="C159" s="1314"/>
      <c r="D159" s="1534"/>
      <c r="E159" s="1534"/>
      <c r="F159" s="1314"/>
      <c r="G159" s="1534"/>
      <c r="H159" s="1534"/>
      <c r="I159" s="1568"/>
      <c r="J159" s="1604" t="s">
        <v>2308</v>
      </c>
      <c r="K159" s="786"/>
      <c r="L159" s="1569"/>
      <c r="M159" s="1570"/>
      <c r="N159" s="1569"/>
      <c r="O159" s="1603"/>
      <c r="P159" s="1569"/>
      <c r="Q159" s="1540"/>
      <c r="R159" s="1311"/>
      <c r="S159" s="1314"/>
      <c r="T159" s="1311"/>
      <c r="U159" s="1537"/>
      <c r="V159" s="1311"/>
      <c r="W159" s="1537"/>
      <c r="X159" s="1311"/>
      <c r="Y159" s="1540"/>
      <c r="Z159" s="1538"/>
      <c r="AA159" s="1539"/>
      <c r="AB159" s="1538"/>
      <c r="AC159" s="1591"/>
      <c r="AD159" s="1574"/>
      <c r="AE159" s="1314"/>
    </row>
    <row r="160" spans="1:31" s="1298" customFormat="1" ht="73.5" customHeight="1" thickBot="1">
      <c r="A160" s="1314"/>
      <c r="B160" s="1314"/>
      <c r="C160" s="1314">
        <v>1</v>
      </c>
      <c r="D160" s="1534" t="s">
        <v>66</v>
      </c>
      <c r="E160" s="1534" t="s">
        <v>65</v>
      </c>
      <c r="F160" s="1314">
        <v>19</v>
      </c>
      <c r="G160" s="1534" t="s">
        <v>93</v>
      </c>
      <c r="H160" s="1534"/>
      <c r="I160" s="1568" t="s">
        <v>2309</v>
      </c>
      <c r="J160" s="786" t="s">
        <v>2310</v>
      </c>
      <c r="K160" s="1521">
        <v>1</v>
      </c>
      <c r="L160" s="1569">
        <v>4775000000</v>
      </c>
      <c r="M160" s="1570">
        <f t="shared" si="40"/>
        <v>0.33333333333333331</v>
      </c>
      <c r="N160" s="1569">
        <v>96041393</v>
      </c>
      <c r="O160" s="1605">
        <v>0.17</v>
      </c>
      <c r="P160" s="1569">
        <v>132841817</v>
      </c>
      <c r="Q160" s="1540">
        <v>5.0000000000000001E-3</v>
      </c>
      <c r="R160" s="1311">
        <v>0</v>
      </c>
      <c r="S160" s="1314">
        <v>0</v>
      </c>
      <c r="T160" s="1311">
        <v>0</v>
      </c>
      <c r="U160" s="1314">
        <v>0</v>
      </c>
      <c r="V160" s="1311">
        <v>0</v>
      </c>
      <c r="W160" s="1314">
        <v>0</v>
      </c>
      <c r="X160" s="1311">
        <v>0</v>
      </c>
      <c r="Y160" s="1540">
        <f t="shared" si="42"/>
        <v>5.0000000000000001E-3</v>
      </c>
      <c r="Z160" s="1538">
        <f t="shared" si="42"/>
        <v>0</v>
      </c>
      <c r="AA160" s="1539">
        <f t="shared" ref="AA160:AB164" si="43">Y160+M160</f>
        <v>0.33833333333333332</v>
      </c>
      <c r="AB160" s="1538">
        <f t="shared" si="43"/>
        <v>96041393</v>
      </c>
      <c r="AC160" s="1591">
        <f t="shared" si="36"/>
        <v>0.33833333333333332</v>
      </c>
      <c r="AD160" s="1574">
        <f t="shared" si="37"/>
        <v>2.0113380732984291E-2</v>
      </c>
      <c r="AE160" s="1314"/>
    </row>
    <row r="161" spans="1:31" s="1297" customFormat="1" ht="54" customHeight="1" thickBot="1">
      <c r="A161" s="1300"/>
      <c r="B161" s="1300" t="s">
        <v>2311</v>
      </c>
      <c r="C161" s="1300">
        <v>1</v>
      </c>
      <c r="D161" s="1299" t="s">
        <v>66</v>
      </c>
      <c r="E161" s="1299" t="s">
        <v>65</v>
      </c>
      <c r="F161" s="1299" t="s">
        <v>376</v>
      </c>
      <c r="G161" s="1300"/>
      <c r="H161" s="1300"/>
      <c r="I161" s="1554" t="s">
        <v>2312</v>
      </c>
      <c r="J161" s="1555" t="s">
        <v>2313</v>
      </c>
      <c r="K161" s="1597">
        <v>1</v>
      </c>
      <c r="L161" s="1606">
        <v>2207259000</v>
      </c>
      <c r="M161" s="1582">
        <f t="shared" si="40"/>
        <v>0.33333333333333331</v>
      </c>
      <c r="N161" s="1558">
        <v>292015450</v>
      </c>
      <c r="O161" s="1603">
        <v>0.17</v>
      </c>
      <c r="P161" s="1607" t="s">
        <v>2314</v>
      </c>
      <c r="Q161" s="1608">
        <f>SUM(Q162:Q164)/3</f>
        <v>3.5999999999999997E-2</v>
      </c>
      <c r="R161" s="1609">
        <f>SUM(R162:R164)</f>
        <v>67155000</v>
      </c>
      <c r="S161" s="1610">
        <v>0</v>
      </c>
      <c r="T161" s="1611">
        <f>SUM(T162:T164)</f>
        <v>0</v>
      </c>
      <c r="U161" s="1586">
        <v>0</v>
      </c>
      <c r="V161" s="1585">
        <f>SUM(V162:V164)</f>
        <v>0</v>
      </c>
      <c r="W161" s="1586">
        <v>0</v>
      </c>
      <c r="X161" s="1587">
        <f>SUM(X162:X164)</f>
        <v>0</v>
      </c>
      <c r="Y161" s="1588">
        <f>W161+U161+S161+Q161</f>
        <v>3.5999999999999997E-2</v>
      </c>
      <c r="Z161" s="1585">
        <f>SUM(Z162:Z164)</f>
        <v>67155000</v>
      </c>
      <c r="AA161" s="1600">
        <f t="shared" si="43"/>
        <v>0.36933333333333329</v>
      </c>
      <c r="AB161" s="1585">
        <f t="shared" si="43"/>
        <v>359170450</v>
      </c>
      <c r="AC161" s="1565">
        <f t="shared" si="36"/>
        <v>0.36933333333333329</v>
      </c>
      <c r="AD161" s="1560">
        <f t="shared" si="37"/>
        <v>0.1627223855469612</v>
      </c>
      <c r="AE161" s="1612" t="s">
        <v>2272</v>
      </c>
    </row>
    <row r="162" spans="1:31" s="1298" customFormat="1" ht="72" customHeight="1">
      <c r="A162" s="1314"/>
      <c r="B162" s="1314"/>
      <c r="C162" s="1314">
        <v>1</v>
      </c>
      <c r="D162" s="1534" t="s">
        <v>66</v>
      </c>
      <c r="E162" s="1534" t="s">
        <v>65</v>
      </c>
      <c r="F162" s="1534" t="s">
        <v>376</v>
      </c>
      <c r="G162" s="1534" t="s">
        <v>65</v>
      </c>
      <c r="H162" s="1534"/>
      <c r="I162" s="1568" t="s">
        <v>2315</v>
      </c>
      <c r="J162" s="786" t="s">
        <v>2316</v>
      </c>
      <c r="K162" s="1521">
        <v>1</v>
      </c>
      <c r="L162" s="1569">
        <v>756100000</v>
      </c>
      <c r="M162" s="1570">
        <f t="shared" si="40"/>
        <v>0.33333333333333331</v>
      </c>
      <c r="N162" s="1569">
        <v>115425000</v>
      </c>
      <c r="O162" s="1521">
        <v>0.17</v>
      </c>
      <c r="P162" s="1569">
        <v>431052365</v>
      </c>
      <c r="Q162" s="1540">
        <v>0.04</v>
      </c>
      <c r="R162" s="1311">
        <v>4215000</v>
      </c>
      <c r="S162" s="1314">
        <v>0</v>
      </c>
      <c r="T162" s="1311">
        <v>0</v>
      </c>
      <c r="U162" s="1314">
        <v>0</v>
      </c>
      <c r="V162" s="1311">
        <v>0</v>
      </c>
      <c r="W162" s="1314">
        <v>0</v>
      </c>
      <c r="X162" s="1311">
        <v>0</v>
      </c>
      <c r="Y162" s="1540">
        <f>W162+U162+S162+Q162</f>
        <v>0.04</v>
      </c>
      <c r="Z162" s="1538">
        <f>X162+V162+T162+R162</f>
        <v>4215000</v>
      </c>
      <c r="AA162" s="1539">
        <f t="shared" si="43"/>
        <v>0.37333333333333329</v>
      </c>
      <c r="AB162" s="1538">
        <f t="shared" si="43"/>
        <v>119640000</v>
      </c>
      <c r="AC162" s="1591">
        <f t="shared" si="36"/>
        <v>0.37333333333333329</v>
      </c>
      <c r="AD162" s="1574">
        <f t="shared" si="37"/>
        <v>0.15823303795794208</v>
      </c>
      <c r="AE162" s="1314"/>
    </row>
    <row r="163" spans="1:31" s="1298" customFormat="1" ht="43.5" customHeight="1">
      <c r="A163" s="1314"/>
      <c r="B163" s="1314"/>
      <c r="C163" s="1314">
        <v>1</v>
      </c>
      <c r="D163" s="1534" t="s">
        <v>66</v>
      </c>
      <c r="E163" s="1534" t="s">
        <v>65</v>
      </c>
      <c r="F163" s="1534" t="s">
        <v>376</v>
      </c>
      <c r="G163" s="1534" t="s">
        <v>93</v>
      </c>
      <c r="H163" s="1534"/>
      <c r="I163" s="1568" t="s">
        <v>2317</v>
      </c>
      <c r="J163" s="786" t="s">
        <v>2318</v>
      </c>
      <c r="K163" s="1521">
        <v>0.9</v>
      </c>
      <c r="L163" s="1522">
        <v>724452000</v>
      </c>
      <c r="M163" s="1570">
        <f t="shared" si="40"/>
        <v>0.3</v>
      </c>
      <c r="N163" s="1569">
        <v>71383750</v>
      </c>
      <c r="O163" s="1521">
        <v>0.15</v>
      </c>
      <c r="P163" s="1569">
        <v>182403327</v>
      </c>
      <c r="Q163" s="1536">
        <v>0.05</v>
      </c>
      <c r="R163" s="1311">
        <v>60440000</v>
      </c>
      <c r="S163" s="1314">
        <v>0</v>
      </c>
      <c r="T163" s="1311">
        <v>0</v>
      </c>
      <c r="U163" s="1314">
        <v>0</v>
      </c>
      <c r="V163" s="1311">
        <v>0</v>
      </c>
      <c r="W163" s="1314">
        <v>0</v>
      </c>
      <c r="X163" s="1311">
        <v>0</v>
      </c>
      <c r="Y163" s="1540">
        <f>W163+U163+S163+Q163</f>
        <v>0.05</v>
      </c>
      <c r="Z163" s="1538">
        <f>X163+V163+T163+R163</f>
        <v>60440000</v>
      </c>
      <c r="AA163" s="1539">
        <f t="shared" si="43"/>
        <v>0.35</v>
      </c>
      <c r="AB163" s="1538">
        <f t="shared" si="43"/>
        <v>131823750</v>
      </c>
      <c r="AC163" s="1591">
        <f t="shared" si="36"/>
        <v>0.38888888888888884</v>
      </c>
      <c r="AD163" s="1574">
        <f t="shared" si="37"/>
        <v>0.1819634013019496</v>
      </c>
      <c r="AE163" s="1314"/>
    </row>
    <row r="164" spans="1:31" s="1298" customFormat="1" ht="38.25">
      <c r="A164" s="1314"/>
      <c r="B164" s="1314"/>
      <c r="C164" s="1314">
        <v>1</v>
      </c>
      <c r="D164" s="1534" t="s">
        <v>66</v>
      </c>
      <c r="E164" s="1534" t="s">
        <v>65</v>
      </c>
      <c r="F164" s="1534" t="s">
        <v>376</v>
      </c>
      <c r="G164" s="1534" t="s">
        <v>201</v>
      </c>
      <c r="H164" s="1534"/>
      <c r="I164" s="1568" t="s">
        <v>2319</v>
      </c>
      <c r="J164" s="786" t="s">
        <v>2320</v>
      </c>
      <c r="K164" s="1521">
        <v>0.95</v>
      </c>
      <c r="L164" s="1569">
        <v>726707000</v>
      </c>
      <c r="M164" s="1570">
        <f t="shared" si="40"/>
        <v>0.31666666666666665</v>
      </c>
      <c r="N164" s="1569">
        <v>105206700</v>
      </c>
      <c r="O164" s="1613">
        <v>0.158</v>
      </c>
      <c r="P164" s="1569">
        <v>111358522</v>
      </c>
      <c r="Q164" s="1536">
        <v>1.7999999999999999E-2</v>
      </c>
      <c r="R164" s="1311">
        <v>2500000</v>
      </c>
      <c r="S164" s="1314">
        <v>0</v>
      </c>
      <c r="T164" s="1311">
        <v>0</v>
      </c>
      <c r="U164" s="1314">
        <v>0</v>
      </c>
      <c r="V164" s="1311">
        <v>0</v>
      </c>
      <c r="W164" s="1314">
        <v>0</v>
      </c>
      <c r="X164" s="1311">
        <v>0</v>
      </c>
      <c r="Y164" s="1540">
        <f>W164+U164+S164+Q164</f>
        <v>1.7999999999999999E-2</v>
      </c>
      <c r="Z164" s="1538">
        <f>X164+V164+T164+R164</f>
        <v>2500000</v>
      </c>
      <c r="AA164" s="1539">
        <f t="shared" si="43"/>
        <v>0.33466666666666667</v>
      </c>
      <c r="AB164" s="1538">
        <f t="shared" si="43"/>
        <v>107706700</v>
      </c>
      <c r="AC164" s="1591">
        <f t="shared" si="36"/>
        <v>0.35228070175438597</v>
      </c>
      <c r="AD164" s="1574">
        <f t="shared" si="37"/>
        <v>0.14821200291176498</v>
      </c>
      <c r="AE164" s="1314"/>
    </row>
    <row r="165" spans="1:31" s="1298" customFormat="1" ht="14.25">
      <c r="A165" s="1314"/>
      <c r="B165" s="1314"/>
      <c r="C165" s="1314"/>
      <c r="D165" s="1314"/>
      <c r="E165" s="1314"/>
      <c r="F165" s="1314"/>
      <c r="G165" s="1314"/>
      <c r="H165" s="1314"/>
      <c r="I165" s="1579"/>
      <c r="J165" s="1614"/>
      <c r="K165" s="786"/>
      <c r="L165" s="786"/>
      <c r="M165" s="1570">
        <f t="shared" si="40"/>
        <v>0</v>
      </c>
      <c r="N165" s="786"/>
      <c r="O165" s="786"/>
      <c r="P165" s="786"/>
      <c r="Q165" s="1314"/>
      <c r="R165" s="1314"/>
      <c r="S165" s="1314"/>
      <c r="T165" s="1314"/>
      <c r="U165" s="1314"/>
      <c r="V165" s="1314"/>
      <c r="W165" s="1314"/>
      <c r="X165" s="1311"/>
      <c r="Y165" s="1540"/>
      <c r="Z165" s="1550"/>
      <c r="AA165" s="1539"/>
      <c r="AB165" s="1538"/>
      <c r="AC165" s="1615"/>
      <c r="AD165" s="1574"/>
      <c r="AE165" s="1314"/>
    </row>
    <row r="166" spans="1:31" s="1297" customFormat="1" ht="60.75" customHeight="1">
      <c r="A166" s="1300"/>
      <c r="B166" s="1300" t="s">
        <v>2299</v>
      </c>
      <c r="C166" s="1300">
        <v>1</v>
      </c>
      <c r="D166" s="1299" t="s">
        <v>66</v>
      </c>
      <c r="E166" s="1299" t="s">
        <v>65</v>
      </c>
      <c r="F166" s="1299" t="s">
        <v>67</v>
      </c>
      <c r="G166" s="1300"/>
      <c r="H166" s="1300"/>
      <c r="I166" s="1554" t="s">
        <v>2321</v>
      </c>
      <c r="J166" s="1616" t="s">
        <v>2322</v>
      </c>
      <c r="K166" s="1556">
        <v>1</v>
      </c>
      <c r="L166" s="1557">
        <v>7067548100</v>
      </c>
      <c r="M166" s="1617">
        <f t="shared" si="40"/>
        <v>0.33333333333333331</v>
      </c>
      <c r="N166" s="1583">
        <v>761992008</v>
      </c>
      <c r="O166" s="1618">
        <f>M166/2</f>
        <v>0.16666666666666666</v>
      </c>
      <c r="P166" s="1607" t="s">
        <v>2323</v>
      </c>
      <c r="Q166" s="1588">
        <f>SUM(Q167:Q175)/7</f>
        <v>3.6285714285714289E-2</v>
      </c>
      <c r="R166" s="1587">
        <f>SUM(R167:R175)</f>
        <v>19261125</v>
      </c>
      <c r="S166" s="1586">
        <v>0</v>
      </c>
      <c r="T166" s="1587">
        <f>SUM(T167:T173)</f>
        <v>0</v>
      </c>
      <c r="U166" s="1586">
        <v>0</v>
      </c>
      <c r="V166" s="1585">
        <f>SUM(V167:V173)</f>
        <v>0</v>
      </c>
      <c r="W166" s="1586">
        <v>0</v>
      </c>
      <c r="X166" s="1587">
        <f>SUM(X167:X173)</f>
        <v>0</v>
      </c>
      <c r="Y166" s="1588">
        <f>W166+U166+S166+Q166</f>
        <v>3.6285714285714289E-2</v>
      </c>
      <c r="Z166" s="1585">
        <f>SUM(Z167:Z173)</f>
        <v>16422125</v>
      </c>
      <c r="AA166" s="1600">
        <f>Y166+M166</f>
        <v>0.36961904761904762</v>
      </c>
      <c r="AB166" s="1585">
        <f t="shared" ref="AB166:AB175" si="44">Z166+N166</f>
        <v>778414133</v>
      </c>
      <c r="AC166" s="1565">
        <f t="shared" si="36"/>
        <v>0.36961904761904762</v>
      </c>
      <c r="AD166" s="1560">
        <f t="shared" si="37"/>
        <v>0.11013920556126106</v>
      </c>
      <c r="AE166" s="1612" t="s">
        <v>2272</v>
      </c>
    </row>
    <row r="167" spans="1:31" s="1298" customFormat="1" ht="51.75" customHeight="1">
      <c r="A167" s="1314"/>
      <c r="B167" s="1314"/>
      <c r="C167" s="1314">
        <v>1</v>
      </c>
      <c r="D167" s="1534" t="s">
        <v>66</v>
      </c>
      <c r="E167" s="1534" t="s">
        <v>65</v>
      </c>
      <c r="F167" s="1534" t="s">
        <v>67</v>
      </c>
      <c r="G167" s="1534" t="s">
        <v>66</v>
      </c>
      <c r="H167" s="1534"/>
      <c r="I167" s="1568" t="s">
        <v>2324</v>
      </c>
      <c r="J167" s="1619" t="s">
        <v>2325</v>
      </c>
      <c r="K167" s="1521">
        <v>0.97</v>
      </c>
      <c r="L167" s="1522">
        <v>2098352500</v>
      </c>
      <c r="M167" s="1570">
        <f t="shared" si="40"/>
        <v>0.32333333333333331</v>
      </c>
      <c r="N167" s="1569">
        <v>422605586</v>
      </c>
      <c r="O167" s="1620">
        <f t="shared" ref="O167:O183" si="45">M167/2</f>
        <v>0.16166666666666665</v>
      </c>
      <c r="P167" s="1569">
        <v>459436316</v>
      </c>
      <c r="Q167" s="1540">
        <v>4.1000000000000002E-2</v>
      </c>
      <c r="R167" s="1311">
        <v>4702000</v>
      </c>
      <c r="S167" s="1314">
        <v>0</v>
      </c>
      <c r="T167" s="1311">
        <v>0</v>
      </c>
      <c r="U167" s="1314">
        <v>0</v>
      </c>
      <c r="V167" s="1311">
        <v>0</v>
      </c>
      <c r="W167" s="1314">
        <v>0</v>
      </c>
      <c r="X167" s="1311">
        <v>0</v>
      </c>
      <c r="Y167" s="1540">
        <f>W167+U167+S167+Q167</f>
        <v>4.1000000000000002E-2</v>
      </c>
      <c r="Z167" s="1538">
        <f>X167+V167+T167+R167</f>
        <v>4702000</v>
      </c>
      <c r="AA167" s="1539">
        <f t="shared" ref="AA167:AB216" si="46">Y167+M167</f>
        <v>0.36433333333333329</v>
      </c>
      <c r="AB167" s="1538">
        <f t="shared" si="44"/>
        <v>427307586</v>
      </c>
      <c r="AC167" s="1591">
        <f t="shared" si="36"/>
        <v>0.37560137457044668</v>
      </c>
      <c r="AD167" s="1574">
        <f t="shared" si="37"/>
        <v>0.20363956294283253</v>
      </c>
      <c r="AE167" s="1314"/>
    </row>
    <row r="168" spans="1:31" s="1298" customFormat="1" ht="48" customHeight="1">
      <c r="A168" s="1314"/>
      <c r="B168" s="1314"/>
      <c r="C168" s="1314">
        <v>1</v>
      </c>
      <c r="D168" s="1534" t="s">
        <v>66</v>
      </c>
      <c r="E168" s="1534" t="s">
        <v>65</v>
      </c>
      <c r="F168" s="1534" t="s">
        <v>67</v>
      </c>
      <c r="G168" s="1534" t="s">
        <v>93</v>
      </c>
      <c r="H168" s="1534"/>
      <c r="I168" s="1568" t="s">
        <v>2326</v>
      </c>
      <c r="J168" s="786" t="s">
        <v>2327</v>
      </c>
      <c r="K168" s="1521">
        <v>0.85</v>
      </c>
      <c r="L168" s="1569">
        <v>504948000</v>
      </c>
      <c r="M168" s="1570">
        <f t="shared" si="40"/>
        <v>0.28333333333333333</v>
      </c>
      <c r="N168" s="1569">
        <v>36850060</v>
      </c>
      <c r="O168" s="1620">
        <f t="shared" si="45"/>
        <v>0.14166666666666666</v>
      </c>
      <c r="P168" s="1569">
        <v>43019960</v>
      </c>
      <c r="Q168" s="1540">
        <v>4.2000000000000003E-2</v>
      </c>
      <c r="R168" s="1311">
        <v>3018000</v>
      </c>
      <c r="S168" s="1314">
        <v>0</v>
      </c>
      <c r="T168" s="1311"/>
      <c r="U168" s="1314">
        <v>0</v>
      </c>
      <c r="V168" s="1311">
        <v>0</v>
      </c>
      <c r="W168" s="1314">
        <v>0</v>
      </c>
      <c r="X168" s="1311">
        <v>0</v>
      </c>
      <c r="Y168" s="1540">
        <f t="shared" ref="Y168:Z175" si="47">W168+U168+S168+Q168</f>
        <v>4.2000000000000003E-2</v>
      </c>
      <c r="Z168" s="1538">
        <f t="shared" si="47"/>
        <v>3018000</v>
      </c>
      <c r="AA168" s="1539">
        <f t="shared" si="46"/>
        <v>0.32533333333333331</v>
      </c>
      <c r="AB168" s="1538">
        <f t="shared" si="44"/>
        <v>39868060</v>
      </c>
      <c r="AC168" s="1591">
        <f t="shared" si="36"/>
        <v>0.38274509803921569</v>
      </c>
      <c r="AD168" s="1574">
        <f t="shared" si="37"/>
        <v>7.8954783462851619E-2</v>
      </c>
      <c r="AE168" s="1314"/>
    </row>
    <row r="169" spans="1:31" s="1298" customFormat="1" ht="38.25">
      <c r="A169" s="1314"/>
      <c r="B169" s="1314"/>
      <c r="C169" s="1314">
        <v>1</v>
      </c>
      <c r="D169" s="1534" t="s">
        <v>66</v>
      </c>
      <c r="E169" s="1534" t="s">
        <v>65</v>
      </c>
      <c r="F169" s="1534" t="s">
        <v>67</v>
      </c>
      <c r="G169" s="1534" t="s">
        <v>201</v>
      </c>
      <c r="H169" s="1534"/>
      <c r="I169" s="1568" t="s">
        <v>2328</v>
      </c>
      <c r="J169" s="1604" t="s">
        <v>2329</v>
      </c>
      <c r="K169" s="1521">
        <v>1</v>
      </c>
      <c r="L169" s="1522">
        <v>448869500</v>
      </c>
      <c r="M169" s="1570">
        <f t="shared" si="40"/>
        <v>0.33333333333333331</v>
      </c>
      <c r="N169" s="1569">
        <v>22881700</v>
      </c>
      <c r="O169" s="1620">
        <f t="shared" si="45"/>
        <v>0.16666666666666666</v>
      </c>
      <c r="P169" s="1569">
        <v>28353434</v>
      </c>
      <c r="Q169" s="1540">
        <v>3.4000000000000002E-2</v>
      </c>
      <c r="R169" s="1311">
        <v>1524000</v>
      </c>
      <c r="S169" s="1314">
        <v>0</v>
      </c>
      <c r="T169" s="1311">
        <v>0</v>
      </c>
      <c r="U169" s="1314">
        <v>0</v>
      </c>
      <c r="V169" s="1311">
        <v>0</v>
      </c>
      <c r="W169" s="1314">
        <v>0</v>
      </c>
      <c r="X169" s="1311">
        <v>0</v>
      </c>
      <c r="Y169" s="1540">
        <f t="shared" si="47"/>
        <v>3.4000000000000002E-2</v>
      </c>
      <c r="Z169" s="1538">
        <f t="shared" si="47"/>
        <v>1524000</v>
      </c>
      <c r="AA169" s="1539">
        <f t="shared" si="46"/>
        <v>0.36733333333333329</v>
      </c>
      <c r="AB169" s="1538">
        <f t="shared" si="44"/>
        <v>24405700</v>
      </c>
      <c r="AC169" s="1591">
        <f t="shared" si="36"/>
        <v>0.36733333333333329</v>
      </c>
      <c r="AD169" s="1574">
        <f t="shared" si="37"/>
        <v>5.4371482134562499E-2</v>
      </c>
      <c r="AE169" s="1314"/>
    </row>
    <row r="170" spans="1:31" s="1298" customFormat="1" ht="51">
      <c r="A170" s="1314"/>
      <c r="B170" s="1314"/>
      <c r="C170" s="1314"/>
      <c r="D170" s="1534"/>
      <c r="E170" s="1534"/>
      <c r="F170" s="1534"/>
      <c r="G170" s="1534"/>
      <c r="H170" s="1534"/>
      <c r="I170" s="1568"/>
      <c r="J170" s="1604" t="s">
        <v>2330</v>
      </c>
      <c r="K170" s="786"/>
      <c r="L170" s="1592"/>
      <c r="M170" s="1570"/>
      <c r="N170" s="1569"/>
      <c r="O170" s="1620"/>
      <c r="P170" s="1569"/>
      <c r="Q170" s="1540"/>
      <c r="R170" s="1311"/>
      <c r="S170" s="1314"/>
      <c r="T170" s="1311"/>
      <c r="U170" s="1314"/>
      <c r="V170" s="1311"/>
      <c r="W170" s="1314"/>
      <c r="X170" s="1311"/>
      <c r="Y170" s="1540"/>
      <c r="Z170" s="1538"/>
      <c r="AA170" s="1539"/>
      <c r="AB170" s="1538"/>
      <c r="AC170" s="1615"/>
      <c r="AD170" s="1574"/>
      <c r="AE170" s="1314"/>
    </row>
    <row r="171" spans="1:31" s="1298" customFormat="1" ht="43.5" customHeight="1">
      <c r="A171" s="1314"/>
      <c r="B171" s="1314"/>
      <c r="C171" s="1314">
        <v>1</v>
      </c>
      <c r="D171" s="1534" t="s">
        <v>66</v>
      </c>
      <c r="E171" s="1534" t="s">
        <v>65</v>
      </c>
      <c r="F171" s="1534" t="s">
        <v>67</v>
      </c>
      <c r="G171" s="1534" t="s">
        <v>202</v>
      </c>
      <c r="H171" s="1534"/>
      <c r="I171" s="1568" t="s">
        <v>2331</v>
      </c>
      <c r="J171" s="1604" t="s">
        <v>2332</v>
      </c>
      <c r="K171" s="1521">
        <v>0.85</v>
      </c>
      <c r="L171" s="1522">
        <v>1227135200</v>
      </c>
      <c r="M171" s="1570">
        <f t="shared" si="40"/>
        <v>0.28333333333333333</v>
      </c>
      <c r="N171" s="1569">
        <v>113720236</v>
      </c>
      <c r="O171" s="1620">
        <f t="shared" si="45"/>
        <v>0.14166666666666666</v>
      </c>
      <c r="P171" s="1569">
        <v>116335379</v>
      </c>
      <c r="Q171" s="1540">
        <v>3.1E-2</v>
      </c>
      <c r="R171" s="1314">
        <v>0</v>
      </c>
      <c r="S171" s="1314">
        <v>0</v>
      </c>
      <c r="T171" s="1311">
        <v>0</v>
      </c>
      <c r="U171" s="1314">
        <v>0</v>
      </c>
      <c r="V171" s="1311">
        <v>0</v>
      </c>
      <c r="W171" s="1314">
        <v>0</v>
      </c>
      <c r="X171" s="1311">
        <v>0</v>
      </c>
      <c r="Y171" s="1540">
        <f t="shared" si="47"/>
        <v>3.1E-2</v>
      </c>
      <c r="Z171" s="1538">
        <f t="shared" si="47"/>
        <v>0</v>
      </c>
      <c r="AA171" s="1539">
        <f t="shared" si="46"/>
        <v>0.31433333333333335</v>
      </c>
      <c r="AB171" s="1538">
        <f t="shared" si="44"/>
        <v>113720236</v>
      </c>
      <c r="AC171" s="1591">
        <f t="shared" si="36"/>
        <v>0.36980392156862746</v>
      </c>
      <c r="AD171" s="1574">
        <f t="shared" si="37"/>
        <v>9.2671317716254906E-2</v>
      </c>
      <c r="AE171" s="1314"/>
    </row>
    <row r="172" spans="1:31" s="1298" customFormat="1" ht="43.5" customHeight="1">
      <c r="A172" s="1314"/>
      <c r="B172" s="1314"/>
      <c r="C172" s="1314"/>
      <c r="D172" s="1534"/>
      <c r="E172" s="1534"/>
      <c r="F172" s="1534"/>
      <c r="G172" s="1534"/>
      <c r="H172" s="1534"/>
      <c r="I172" s="1568"/>
      <c r="J172" s="1604" t="s">
        <v>2333</v>
      </c>
      <c r="K172" s="786"/>
      <c r="L172" s="1592"/>
      <c r="M172" s="1570"/>
      <c r="N172" s="1569"/>
      <c r="O172" s="1620"/>
      <c r="P172" s="1569"/>
      <c r="Q172" s="1314"/>
      <c r="R172" s="1314"/>
      <c r="S172" s="1314"/>
      <c r="T172" s="1311"/>
      <c r="U172" s="1314"/>
      <c r="V172" s="1311"/>
      <c r="W172" s="1314"/>
      <c r="X172" s="1311"/>
      <c r="Y172" s="1540"/>
      <c r="Z172" s="1538"/>
      <c r="AA172" s="1539"/>
      <c r="AB172" s="1538"/>
      <c r="AC172" s="1615"/>
      <c r="AD172" s="1574"/>
      <c r="AE172" s="1314"/>
    </row>
    <row r="173" spans="1:31" s="1298" customFormat="1" ht="48" customHeight="1">
      <c r="A173" s="1314"/>
      <c r="B173" s="1314"/>
      <c r="C173" s="1314">
        <v>1</v>
      </c>
      <c r="D173" s="1534" t="s">
        <v>66</v>
      </c>
      <c r="E173" s="1534" t="s">
        <v>65</v>
      </c>
      <c r="F173" s="1534" t="s">
        <v>67</v>
      </c>
      <c r="G173" s="1534" t="s">
        <v>417</v>
      </c>
      <c r="H173" s="1534"/>
      <c r="I173" s="1568" t="s">
        <v>2334</v>
      </c>
      <c r="J173" s="786" t="s">
        <v>2335</v>
      </c>
      <c r="K173" s="1521">
        <v>0.89</v>
      </c>
      <c r="L173" s="1569">
        <v>812478900</v>
      </c>
      <c r="M173" s="1570">
        <f t="shared" si="40"/>
        <v>0.29666666666666669</v>
      </c>
      <c r="N173" s="1569">
        <v>165934426</v>
      </c>
      <c r="O173" s="1620">
        <f t="shared" si="45"/>
        <v>0.14833333333333334</v>
      </c>
      <c r="P173" s="1569">
        <v>249971767</v>
      </c>
      <c r="Q173" s="1540">
        <v>3.2000000000000001E-2</v>
      </c>
      <c r="R173" s="1311">
        <v>7178125</v>
      </c>
      <c r="S173" s="1314">
        <v>0</v>
      </c>
      <c r="T173" s="1311">
        <v>0</v>
      </c>
      <c r="U173" s="1314">
        <v>0</v>
      </c>
      <c r="V173" s="1311">
        <v>0</v>
      </c>
      <c r="W173" s="1314">
        <v>0</v>
      </c>
      <c r="X173" s="1311">
        <v>0</v>
      </c>
      <c r="Y173" s="1540">
        <f t="shared" si="47"/>
        <v>3.2000000000000001E-2</v>
      </c>
      <c r="Z173" s="1538">
        <f t="shared" si="47"/>
        <v>7178125</v>
      </c>
      <c r="AA173" s="1621"/>
      <c r="AB173" s="1538">
        <f t="shared" si="44"/>
        <v>173112551</v>
      </c>
      <c r="AC173" s="1591">
        <f t="shared" si="36"/>
        <v>0</v>
      </c>
      <c r="AD173" s="1574">
        <f t="shared" si="37"/>
        <v>0.21306713442035233</v>
      </c>
      <c r="AE173" s="1314"/>
    </row>
    <row r="174" spans="1:31" s="1298" customFormat="1" ht="48" customHeight="1">
      <c r="A174" s="1314"/>
      <c r="B174" s="1314"/>
      <c r="C174" s="1314">
        <v>1</v>
      </c>
      <c r="D174" s="1534" t="s">
        <v>66</v>
      </c>
      <c r="E174" s="1534" t="s">
        <v>65</v>
      </c>
      <c r="F174" s="1534">
        <v>21</v>
      </c>
      <c r="G174" s="1534">
        <v>12</v>
      </c>
      <c r="H174" s="1534"/>
      <c r="I174" s="1568" t="s">
        <v>2336</v>
      </c>
      <c r="J174" s="1385" t="s">
        <v>2337</v>
      </c>
      <c r="K174" s="1521">
        <v>0.9</v>
      </c>
      <c r="L174" s="1569">
        <v>1032245000</v>
      </c>
      <c r="M174" s="1570">
        <f t="shared" si="40"/>
        <v>0.3</v>
      </c>
      <c r="N174" s="1569">
        <v>0</v>
      </c>
      <c r="O174" s="1620">
        <f t="shared" si="45"/>
        <v>0.15</v>
      </c>
      <c r="P174" s="1569">
        <v>35280582</v>
      </c>
      <c r="Q174" s="1540">
        <v>4.2000000000000003E-2</v>
      </c>
      <c r="R174" s="1311">
        <v>1574000</v>
      </c>
      <c r="S174" s="1314"/>
      <c r="T174" s="1311"/>
      <c r="U174" s="1314"/>
      <c r="V174" s="1311"/>
      <c r="W174" s="1314"/>
      <c r="X174" s="1311"/>
      <c r="Y174" s="1540">
        <f t="shared" si="47"/>
        <v>4.2000000000000003E-2</v>
      </c>
      <c r="Z174" s="1538">
        <f t="shared" si="47"/>
        <v>1574000</v>
      </c>
      <c r="AA174" s="1539">
        <f>Y173+M173</f>
        <v>0.32866666666666666</v>
      </c>
      <c r="AB174" s="1538">
        <f t="shared" si="44"/>
        <v>1574000</v>
      </c>
      <c r="AC174" s="1591">
        <f t="shared" si="36"/>
        <v>0.36518518518518517</v>
      </c>
      <c r="AD174" s="1574">
        <f t="shared" si="37"/>
        <v>1.5248317986524516E-3</v>
      </c>
      <c r="AE174" s="1314"/>
    </row>
    <row r="175" spans="1:31" s="1298" customFormat="1" ht="48" customHeight="1" thickBot="1">
      <c r="A175" s="1314"/>
      <c r="B175" s="1314"/>
      <c r="C175" s="1314">
        <v>1</v>
      </c>
      <c r="D175" s="1534" t="s">
        <v>66</v>
      </c>
      <c r="E175" s="1534" t="s">
        <v>65</v>
      </c>
      <c r="F175" s="1534">
        <v>21</v>
      </c>
      <c r="G175" s="1534">
        <v>13</v>
      </c>
      <c r="H175" s="1534"/>
      <c r="I175" s="1568" t="s">
        <v>2338</v>
      </c>
      <c r="J175" s="1385" t="s">
        <v>2339</v>
      </c>
      <c r="K175" s="1521">
        <v>0.9</v>
      </c>
      <c r="L175" s="1569">
        <v>943519000</v>
      </c>
      <c r="M175" s="1570">
        <f t="shared" si="40"/>
        <v>0.3</v>
      </c>
      <c r="N175" s="1569">
        <v>0</v>
      </c>
      <c r="O175" s="1620">
        <f t="shared" si="45"/>
        <v>0.15</v>
      </c>
      <c r="P175" s="1569">
        <v>36271241</v>
      </c>
      <c r="Q175" s="1540">
        <v>3.2000000000000001E-2</v>
      </c>
      <c r="R175" s="1311">
        <v>1265000</v>
      </c>
      <c r="S175" s="1314"/>
      <c r="T175" s="1311"/>
      <c r="U175" s="1314"/>
      <c r="V175" s="1311"/>
      <c r="W175" s="1314"/>
      <c r="X175" s="1311"/>
      <c r="Y175" s="1540">
        <f t="shared" si="47"/>
        <v>3.2000000000000001E-2</v>
      </c>
      <c r="Z175" s="1538">
        <f t="shared" si="47"/>
        <v>1265000</v>
      </c>
      <c r="AA175" s="1539">
        <f>Y174+M174</f>
        <v>0.34199999999999997</v>
      </c>
      <c r="AB175" s="1538">
        <f t="shared" si="44"/>
        <v>1265000</v>
      </c>
      <c r="AC175" s="1591">
        <f t="shared" si="36"/>
        <v>0.37999999999999995</v>
      </c>
      <c r="AD175" s="1574">
        <f t="shared" si="37"/>
        <v>1.34072551798109E-3</v>
      </c>
      <c r="AE175" s="1314"/>
    </row>
    <row r="176" spans="1:31" s="1297" customFormat="1" ht="60" customHeight="1" thickBot="1">
      <c r="A176" s="1300"/>
      <c r="B176" s="1622" t="s">
        <v>2311</v>
      </c>
      <c r="C176" s="1300">
        <v>1</v>
      </c>
      <c r="D176" s="1299" t="s">
        <v>66</v>
      </c>
      <c r="E176" s="1299" t="s">
        <v>65</v>
      </c>
      <c r="F176" s="1299" t="s">
        <v>163</v>
      </c>
      <c r="G176" s="1300"/>
      <c r="H176" s="1300"/>
      <c r="I176" s="1554" t="s">
        <v>2340</v>
      </c>
      <c r="J176" s="1555" t="s">
        <v>2341</v>
      </c>
      <c r="K176" s="1556">
        <f>SUM(K177:K183)/7</f>
        <v>0.98142857142857143</v>
      </c>
      <c r="L176" s="1557">
        <v>10450960000</v>
      </c>
      <c r="M176" s="1617">
        <f t="shared" si="40"/>
        <v>0.32714285714285712</v>
      </c>
      <c r="N176" s="1583">
        <f>SUM(N177:N183)</f>
        <v>577449879</v>
      </c>
      <c r="O176" s="1618">
        <f t="shared" si="45"/>
        <v>0.16357142857142856</v>
      </c>
      <c r="P176" s="1583">
        <v>120294440</v>
      </c>
      <c r="Q176" s="1588">
        <f>SUM(Q177:Q183)/7</f>
        <v>1.7142857142857144E-2</v>
      </c>
      <c r="R176" s="1587">
        <f>SUM(R177:R183)</f>
        <v>49471100</v>
      </c>
      <c r="S176" s="1623">
        <v>0</v>
      </c>
      <c r="T176" s="1587">
        <f>SUM(T177:T182)</f>
        <v>0</v>
      </c>
      <c r="U176" s="1623">
        <v>0</v>
      </c>
      <c r="V176" s="1585">
        <f>SUM(V177:V182)</f>
        <v>0</v>
      </c>
      <c r="W176" s="1623">
        <v>0</v>
      </c>
      <c r="X176" s="1587">
        <f>SUM(X177:X182)</f>
        <v>0</v>
      </c>
      <c r="Y176" s="1588">
        <f>W176+U176+S176+Q176</f>
        <v>1.7142857142857144E-2</v>
      </c>
      <c r="Z176" s="1585">
        <f>SUM(Z177:Z182)</f>
        <v>42625100</v>
      </c>
      <c r="AA176" s="1600">
        <f t="shared" si="46"/>
        <v>0.34428571428571425</v>
      </c>
      <c r="AB176" s="1585">
        <f t="shared" si="46"/>
        <v>620074979</v>
      </c>
      <c r="AC176" s="1615">
        <f t="shared" si="36"/>
        <v>0.35080058224163024</v>
      </c>
      <c r="AD176" s="1624">
        <f t="shared" si="37"/>
        <v>5.9331867981506005E-2</v>
      </c>
      <c r="AE176" s="1612" t="s">
        <v>2272</v>
      </c>
    </row>
    <row r="177" spans="1:31" s="1298" customFormat="1" ht="30" customHeight="1">
      <c r="A177" s="1314"/>
      <c r="B177" s="1314"/>
      <c r="C177" s="1314">
        <v>1</v>
      </c>
      <c r="D177" s="1534" t="s">
        <v>66</v>
      </c>
      <c r="E177" s="1534" t="s">
        <v>65</v>
      </c>
      <c r="F177" s="1534" t="s">
        <v>163</v>
      </c>
      <c r="G177" s="1534" t="s">
        <v>66</v>
      </c>
      <c r="H177" s="1534"/>
      <c r="I177" s="1568" t="s">
        <v>2342</v>
      </c>
      <c r="J177" s="786" t="s">
        <v>2343</v>
      </c>
      <c r="K177" s="1521">
        <v>0.98</v>
      </c>
      <c r="L177" s="1569">
        <v>1875000000</v>
      </c>
      <c r="M177" s="1570">
        <f t="shared" si="40"/>
        <v>0.32666666666666666</v>
      </c>
      <c r="N177" s="1569">
        <v>159828000</v>
      </c>
      <c r="O177" s="1620">
        <f t="shared" si="45"/>
        <v>0.16333333333333333</v>
      </c>
      <c r="P177" s="1569">
        <v>259322423</v>
      </c>
      <c r="Q177" s="1540">
        <v>1.2E-2</v>
      </c>
      <c r="R177" s="1538">
        <v>0</v>
      </c>
      <c r="S177" s="1314">
        <v>0</v>
      </c>
      <c r="T177" s="1311">
        <v>0</v>
      </c>
      <c r="U177" s="1314">
        <v>0</v>
      </c>
      <c r="V177" s="1311">
        <v>0</v>
      </c>
      <c r="W177" s="1314">
        <v>0</v>
      </c>
      <c r="X177" s="1311">
        <v>0</v>
      </c>
      <c r="Y177" s="1540">
        <f>W177+U177+S177+Q177</f>
        <v>1.2E-2</v>
      </c>
      <c r="Z177" s="1538">
        <f>X177+V177+T177+R177</f>
        <v>0</v>
      </c>
      <c r="AA177" s="1539">
        <f t="shared" si="46"/>
        <v>0.33866666666666667</v>
      </c>
      <c r="AB177" s="1538">
        <f t="shared" si="46"/>
        <v>159828000</v>
      </c>
      <c r="AC177" s="1591">
        <f t="shared" si="36"/>
        <v>0.34557823129251702</v>
      </c>
      <c r="AD177" s="1574">
        <f t="shared" si="37"/>
        <v>8.5241600000000001E-2</v>
      </c>
      <c r="AE177" s="1314"/>
    </row>
    <row r="178" spans="1:31" s="1298" customFormat="1" ht="43.5" customHeight="1">
      <c r="A178" s="1314"/>
      <c r="B178" s="1314"/>
      <c r="C178" s="1314">
        <v>1</v>
      </c>
      <c r="D178" s="1534" t="s">
        <v>66</v>
      </c>
      <c r="E178" s="1534" t="s">
        <v>65</v>
      </c>
      <c r="F178" s="1534" t="s">
        <v>163</v>
      </c>
      <c r="G178" s="1534" t="s">
        <v>161</v>
      </c>
      <c r="H178" s="1534"/>
      <c r="I178" s="1568" t="s">
        <v>2344</v>
      </c>
      <c r="J178" s="786" t="s">
        <v>2345</v>
      </c>
      <c r="K178" s="1521">
        <v>0.98</v>
      </c>
      <c r="L178" s="1569">
        <v>1850000000</v>
      </c>
      <c r="M178" s="1570">
        <f t="shared" si="40"/>
        <v>0.32666666666666666</v>
      </c>
      <c r="N178" s="1569">
        <v>127722364</v>
      </c>
      <c r="O178" s="1620">
        <f t="shared" si="45"/>
        <v>0.16333333333333333</v>
      </c>
      <c r="P178" s="1569">
        <v>167466565</v>
      </c>
      <c r="Q178" s="1540">
        <v>2.5000000000000001E-2</v>
      </c>
      <c r="R178" s="1311">
        <v>17249400</v>
      </c>
      <c r="S178" s="1625">
        <v>0</v>
      </c>
      <c r="T178" s="1311">
        <v>0</v>
      </c>
      <c r="U178" s="1537">
        <v>0</v>
      </c>
      <c r="V178" s="1311">
        <v>0</v>
      </c>
      <c r="W178" s="1537">
        <v>0</v>
      </c>
      <c r="X178" s="1311">
        <v>0</v>
      </c>
      <c r="Y178" s="1540">
        <f t="shared" ref="Y178:Z189" si="48">W178+U178+S178+Q178</f>
        <v>2.5000000000000001E-2</v>
      </c>
      <c r="Z178" s="1538">
        <f t="shared" si="48"/>
        <v>17249400</v>
      </c>
      <c r="AA178" s="1539">
        <f t="shared" si="46"/>
        <v>0.35166666666666668</v>
      </c>
      <c r="AB178" s="1538">
        <f t="shared" si="46"/>
        <v>144971764</v>
      </c>
      <c r="AC178" s="1591">
        <f t="shared" si="36"/>
        <v>0.358843537414966</v>
      </c>
      <c r="AD178" s="1574">
        <f t="shared" si="37"/>
        <v>7.8363115675675679E-2</v>
      </c>
      <c r="AE178" s="1314"/>
    </row>
    <row r="179" spans="1:31" s="1298" customFormat="1" ht="31.5" customHeight="1">
      <c r="A179" s="1314"/>
      <c r="B179" s="1314"/>
      <c r="C179" s="1314">
        <v>1</v>
      </c>
      <c r="D179" s="1534" t="s">
        <v>66</v>
      </c>
      <c r="E179" s="1534" t="s">
        <v>65</v>
      </c>
      <c r="F179" s="1534" t="s">
        <v>163</v>
      </c>
      <c r="G179" s="1534" t="s">
        <v>197</v>
      </c>
      <c r="H179" s="1534"/>
      <c r="I179" s="1568" t="s">
        <v>2346</v>
      </c>
      <c r="J179" s="786" t="s">
        <v>2347</v>
      </c>
      <c r="K179" s="1521">
        <v>0.98</v>
      </c>
      <c r="L179" s="1569">
        <v>2295000000</v>
      </c>
      <c r="M179" s="1570">
        <f t="shared" si="40"/>
        <v>0.32666666666666666</v>
      </c>
      <c r="N179" s="1569">
        <v>24368400</v>
      </c>
      <c r="O179" s="1620">
        <f t="shared" si="45"/>
        <v>0.16333333333333333</v>
      </c>
      <c r="P179" s="1569">
        <v>54539451</v>
      </c>
      <c r="Q179" s="1540">
        <v>2.1000000000000001E-2</v>
      </c>
      <c r="R179" s="1311">
        <v>615000</v>
      </c>
      <c r="S179" s="1314">
        <v>0</v>
      </c>
      <c r="T179" s="1311">
        <v>0</v>
      </c>
      <c r="U179" s="1314">
        <v>0</v>
      </c>
      <c r="V179" s="1311">
        <v>0</v>
      </c>
      <c r="W179" s="1314">
        <v>0</v>
      </c>
      <c r="X179" s="1311">
        <v>0</v>
      </c>
      <c r="Y179" s="1540">
        <f t="shared" si="48"/>
        <v>2.1000000000000001E-2</v>
      </c>
      <c r="Z179" s="1538">
        <f t="shared" si="48"/>
        <v>615000</v>
      </c>
      <c r="AA179" s="1539">
        <f t="shared" si="46"/>
        <v>0.34766666666666668</v>
      </c>
      <c r="AB179" s="1538">
        <f t="shared" si="46"/>
        <v>24983400</v>
      </c>
      <c r="AC179" s="1591">
        <f t="shared" si="36"/>
        <v>0.35476190476190478</v>
      </c>
      <c r="AD179" s="1574">
        <f t="shared" si="37"/>
        <v>1.0886013071895425E-2</v>
      </c>
      <c r="AE179" s="1314"/>
    </row>
    <row r="180" spans="1:31" s="1298" customFormat="1" ht="44.25" customHeight="1">
      <c r="A180" s="1314"/>
      <c r="B180" s="1314"/>
      <c r="C180" s="1314">
        <v>1</v>
      </c>
      <c r="D180" s="1534" t="s">
        <v>66</v>
      </c>
      <c r="E180" s="1534" t="s">
        <v>65</v>
      </c>
      <c r="F180" s="1534" t="s">
        <v>163</v>
      </c>
      <c r="G180" s="1534" t="s">
        <v>93</v>
      </c>
      <c r="H180" s="1534"/>
      <c r="I180" s="1568" t="s">
        <v>2348</v>
      </c>
      <c r="J180" s="786" t="s">
        <v>2345</v>
      </c>
      <c r="K180" s="1521">
        <v>0.98</v>
      </c>
      <c r="L180" s="1569">
        <v>2560960000</v>
      </c>
      <c r="M180" s="1570">
        <f t="shared" si="40"/>
        <v>0.32666666666666666</v>
      </c>
      <c r="N180" s="1569">
        <v>128061415</v>
      </c>
      <c r="O180" s="1620">
        <f t="shared" si="45"/>
        <v>0.16333333333333333</v>
      </c>
      <c r="P180" s="1569">
        <v>175577115</v>
      </c>
      <c r="Q180" s="1540">
        <v>1.2E-2</v>
      </c>
      <c r="R180" s="1311">
        <v>11044700</v>
      </c>
      <c r="S180" s="1314">
        <v>0</v>
      </c>
      <c r="T180" s="1311">
        <v>0</v>
      </c>
      <c r="U180" s="1314">
        <v>0</v>
      </c>
      <c r="V180" s="1311">
        <v>0</v>
      </c>
      <c r="W180" s="1314">
        <v>0</v>
      </c>
      <c r="X180" s="1311">
        <v>0</v>
      </c>
      <c r="Y180" s="1540">
        <f t="shared" si="48"/>
        <v>1.2E-2</v>
      </c>
      <c r="Z180" s="1538">
        <f t="shared" si="48"/>
        <v>11044700</v>
      </c>
      <c r="AA180" s="1539">
        <f t="shared" si="46"/>
        <v>0.33866666666666667</v>
      </c>
      <c r="AB180" s="1538">
        <f t="shared" si="46"/>
        <v>139106115</v>
      </c>
      <c r="AC180" s="1591">
        <f t="shared" si="36"/>
        <v>0.34557823129251702</v>
      </c>
      <c r="AD180" s="1574">
        <f t="shared" si="37"/>
        <v>5.4317956938023243E-2</v>
      </c>
      <c r="AE180" s="1314"/>
    </row>
    <row r="181" spans="1:31" s="1298" customFormat="1" ht="63.75">
      <c r="A181" s="1314"/>
      <c r="B181" s="1314"/>
      <c r="C181" s="1314">
        <v>1</v>
      </c>
      <c r="D181" s="1534" t="s">
        <v>66</v>
      </c>
      <c r="E181" s="1534" t="s">
        <v>65</v>
      </c>
      <c r="F181" s="1534" t="s">
        <v>163</v>
      </c>
      <c r="G181" s="1534" t="s">
        <v>201</v>
      </c>
      <c r="H181" s="1534"/>
      <c r="I181" s="1568" t="s">
        <v>2349</v>
      </c>
      <c r="J181" s="786" t="s">
        <v>2350</v>
      </c>
      <c r="K181" s="1521">
        <v>1</v>
      </c>
      <c r="L181" s="1569">
        <v>570000000</v>
      </c>
      <c r="M181" s="1570">
        <f t="shared" si="40"/>
        <v>0.33333333333333331</v>
      </c>
      <c r="N181" s="1569">
        <v>62793500</v>
      </c>
      <c r="O181" s="1620">
        <f t="shared" si="45"/>
        <v>0.16666666666666666</v>
      </c>
      <c r="P181" s="1569">
        <v>95056696</v>
      </c>
      <c r="Q181" s="1540">
        <v>1.4E-2</v>
      </c>
      <c r="R181" s="1311">
        <v>7760000</v>
      </c>
      <c r="S181" s="1314">
        <v>0</v>
      </c>
      <c r="T181" s="1311">
        <v>0</v>
      </c>
      <c r="U181" s="1314">
        <v>0</v>
      </c>
      <c r="V181" s="1311">
        <v>0</v>
      </c>
      <c r="W181" s="1314">
        <v>0</v>
      </c>
      <c r="X181" s="1311">
        <v>0</v>
      </c>
      <c r="Y181" s="1540">
        <f t="shared" si="48"/>
        <v>1.4E-2</v>
      </c>
      <c r="Z181" s="1538">
        <f t="shared" si="48"/>
        <v>7760000</v>
      </c>
      <c r="AA181" s="1539">
        <f t="shared" si="46"/>
        <v>0.34733333333333333</v>
      </c>
      <c r="AB181" s="1538">
        <f t="shared" si="46"/>
        <v>70553500</v>
      </c>
      <c r="AC181" s="1591">
        <f t="shared" si="36"/>
        <v>0.34733333333333333</v>
      </c>
      <c r="AD181" s="1574">
        <f t="shared" si="37"/>
        <v>0.1237780701754386</v>
      </c>
      <c r="AE181" s="1314"/>
    </row>
    <row r="182" spans="1:31" s="1298" customFormat="1" ht="63.75">
      <c r="A182" s="1314"/>
      <c r="B182" s="1314"/>
      <c r="C182" s="1314">
        <v>1</v>
      </c>
      <c r="D182" s="1534" t="s">
        <v>66</v>
      </c>
      <c r="E182" s="1534" t="s">
        <v>65</v>
      </c>
      <c r="F182" s="1534" t="s">
        <v>163</v>
      </c>
      <c r="G182" s="1534" t="s">
        <v>155</v>
      </c>
      <c r="H182" s="1534"/>
      <c r="I182" s="1568" t="s">
        <v>2351</v>
      </c>
      <c r="J182" s="786" t="s">
        <v>2352</v>
      </c>
      <c r="K182" s="1521">
        <v>0.95</v>
      </c>
      <c r="L182" s="1569">
        <v>725000000</v>
      </c>
      <c r="M182" s="1570">
        <f t="shared" si="40"/>
        <v>0.31666666666666665</v>
      </c>
      <c r="N182" s="1569">
        <v>74676200</v>
      </c>
      <c r="O182" s="1620">
        <f t="shared" si="45"/>
        <v>0.15833333333333333</v>
      </c>
      <c r="P182" s="1569">
        <v>83838651</v>
      </c>
      <c r="Q182" s="1540">
        <v>1.2999999999999999E-2</v>
      </c>
      <c r="R182" s="1311">
        <v>5956000</v>
      </c>
      <c r="S182" s="1314">
        <v>0</v>
      </c>
      <c r="T182" s="1311">
        <v>0</v>
      </c>
      <c r="U182" s="1314">
        <v>0</v>
      </c>
      <c r="V182" s="1311">
        <v>0</v>
      </c>
      <c r="W182" s="1314">
        <v>0</v>
      </c>
      <c r="X182" s="1311">
        <v>0</v>
      </c>
      <c r="Y182" s="1540">
        <f t="shared" si="48"/>
        <v>1.2999999999999999E-2</v>
      </c>
      <c r="Z182" s="1538">
        <f t="shared" si="48"/>
        <v>5956000</v>
      </c>
      <c r="AA182" s="1539">
        <f t="shared" si="46"/>
        <v>0.32966666666666666</v>
      </c>
      <c r="AB182" s="1538">
        <f t="shared" si="46"/>
        <v>80632200</v>
      </c>
      <c r="AC182" s="1591">
        <f t="shared" si="36"/>
        <v>0.34701754385964911</v>
      </c>
      <c r="AD182" s="1574">
        <f t="shared" si="37"/>
        <v>0.11121682758620689</v>
      </c>
      <c r="AE182" s="1314"/>
    </row>
    <row r="183" spans="1:31" s="1298" customFormat="1" ht="89.25">
      <c r="A183" s="1314"/>
      <c r="B183" s="1314"/>
      <c r="C183" s="1314">
        <v>1</v>
      </c>
      <c r="D183" s="1534" t="s">
        <v>66</v>
      </c>
      <c r="E183" s="1534" t="s">
        <v>65</v>
      </c>
      <c r="F183" s="1534">
        <v>22</v>
      </c>
      <c r="G183" s="1534">
        <v>13</v>
      </c>
      <c r="H183" s="1534"/>
      <c r="I183" s="1568" t="s">
        <v>2353</v>
      </c>
      <c r="J183" s="1523" t="s">
        <v>2354</v>
      </c>
      <c r="K183" s="1521">
        <v>1</v>
      </c>
      <c r="L183" s="1569">
        <v>575000000</v>
      </c>
      <c r="M183" s="1570">
        <f t="shared" si="40"/>
        <v>0.33333333333333331</v>
      </c>
      <c r="N183" s="1569">
        <v>0</v>
      </c>
      <c r="O183" s="1620">
        <f t="shared" si="45"/>
        <v>0.16666666666666666</v>
      </c>
      <c r="P183" s="1569">
        <v>66569211</v>
      </c>
      <c r="Q183" s="1540">
        <v>2.3E-2</v>
      </c>
      <c r="R183" s="1311">
        <v>6846000</v>
      </c>
      <c r="S183" s="1314"/>
      <c r="T183" s="1311"/>
      <c r="U183" s="1314"/>
      <c r="V183" s="1311"/>
      <c r="W183" s="1314"/>
      <c r="X183" s="1311"/>
      <c r="Y183" s="1540">
        <f t="shared" si="48"/>
        <v>2.3E-2</v>
      </c>
      <c r="Z183" s="1538">
        <f t="shared" si="48"/>
        <v>6846000</v>
      </c>
      <c r="AA183" s="1539"/>
      <c r="AB183" s="1538"/>
      <c r="AC183" s="1591">
        <f t="shared" si="36"/>
        <v>0</v>
      </c>
      <c r="AD183" s="1574">
        <f t="shared" si="37"/>
        <v>0</v>
      </c>
      <c r="AE183" s="1549"/>
    </row>
    <row r="184" spans="1:31" s="1297" customFormat="1" ht="48" customHeight="1">
      <c r="A184" s="1300"/>
      <c r="B184" s="1314" t="s">
        <v>2268</v>
      </c>
      <c r="C184" s="1300">
        <v>1</v>
      </c>
      <c r="D184" s="1299" t="s">
        <v>66</v>
      </c>
      <c r="E184" s="1299" t="s">
        <v>65</v>
      </c>
      <c r="F184" s="1299" t="s">
        <v>360</v>
      </c>
      <c r="G184" s="1300"/>
      <c r="H184" s="1300"/>
      <c r="I184" s="1554" t="s">
        <v>2355</v>
      </c>
      <c r="J184" s="1626" t="s">
        <v>2356</v>
      </c>
      <c r="K184" s="1597">
        <v>1</v>
      </c>
      <c r="L184" s="1598">
        <v>14783911700</v>
      </c>
      <c r="M184" s="1627">
        <f t="shared" si="40"/>
        <v>0.33333333333333331</v>
      </c>
      <c r="N184" s="1583">
        <v>1499238280</v>
      </c>
      <c r="O184" s="1599">
        <f>M184/2</f>
        <v>0.16666666666666666</v>
      </c>
      <c r="P184" s="1607" t="s">
        <v>2357</v>
      </c>
      <c r="Q184" s="1564">
        <v>3.8699999999999998E-2</v>
      </c>
      <c r="R184" s="1585">
        <f>SUM(R185:R189)</f>
        <v>88610116</v>
      </c>
      <c r="S184" s="1586">
        <v>0</v>
      </c>
      <c r="T184" s="1587">
        <f>SUM(T185:T189)</f>
        <v>0</v>
      </c>
      <c r="U184" s="1586">
        <v>0</v>
      </c>
      <c r="V184" s="1585">
        <f>SUM(V185:V189)</f>
        <v>0</v>
      </c>
      <c r="W184" s="1586">
        <v>0</v>
      </c>
      <c r="X184" s="1527">
        <f>SUM(X185:X189)</f>
        <v>0</v>
      </c>
      <c r="Y184" s="1532">
        <f t="shared" si="48"/>
        <v>3.8699999999999998E-2</v>
      </c>
      <c r="Z184" s="1530">
        <f>SUM(Z185:Z189)</f>
        <v>88610116</v>
      </c>
      <c r="AA184" s="1546">
        <f t="shared" si="46"/>
        <v>0.37203333333333333</v>
      </c>
      <c r="AB184" s="1530">
        <f t="shared" si="46"/>
        <v>1587848396</v>
      </c>
      <c r="AC184" s="1628">
        <f t="shared" ref="AC184:AC216" si="49">(AA184/K184)*100%</f>
        <v>0.37203333333333333</v>
      </c>
      <c r="AD184" s="1629">
        <f t="shared" ref="AD184:AD216" si="50">AB184/L184</f>
        <v>0.107403806801687</v>
      </c>
      <c r="AE184" s="1612" t="s">
        <v>2272</v>
      </c>
    </row>
    <row r="185" spans="1:31" s="1298" customFormat="1" ht="73.5" customHeight="1">
      <c r="A185" s="1314"/>
      <c r="B185" s="1314"/>
      <c r="C185" s="1314">
        <v>1</v>
      </c>
      <c r="D185" s="1534" t="s">
        <v>66</v>
      </c>
      <c r="E185" s="1534" t="s">
        <v>65</v>
      </c>
      <c r="F185" s="1534" t="s">
        <v>360</v>
      </c>
      <c r="G185" s="1534" t="s">
        <v>198</v>
      </c>
      <c r="H185" s="1534"/>
      <c r="I185" s="1568" t="s">
        <v>2358</v>
      </c>
      <c r="J185" s="786" t="s">
        <v>2359</v>
      </c>
      <c r="K185" s="1521">
        <v>1</v>
      </c>
      <c r="L185" s="1569">
        <v>3919555000</v>
      </c>
      <c r="M185" s="1570">
        <f t="shared" si="40"/>
        <v>0.33333333333333331</v>
      </c>
      <c r="N185" s="1569">
        <v>450762438</v>
      </c>
      <c r="O185" s="1605">
        <f t="shared" ref="O185:O196" si="51">M185/2</f>
        <v>0.16666666666666666</v>
      </c>
      <c r="P185" s="1569">
        <v>519246807</v>
      </c>
      <c r="Q185" s="1536">
        <v>3.7999999999999999E-2</v>
      </c>
      <c r="R185" s="1311">
        <v>19733200</v>
      </c>
      <c r="S185" s="1314">
        <v>0</v>
      </c>
      <c r="T185" s="1311">
        <v>0</v>
      </c>
      <c r="U185" s="1314">
        <v>0</v>
      </c>
      <c r="V185" s="1311">
        <v>0</v>
      </c>
      <c r="W185" s="1314">
        <v>0</v>
      </c>
      <c r="X185" s="1311">
        <v>0</v>
      </c>
      <c r="Y185" s="1540">
        <f t="shared" si="48"/>
        <v>3.7999999999999999E-2</v>
      </c>
      <c r="Z185" s="1538">
        <f>X185+V185+T185+R185</f>
        <v>19733200</v>
      </c>
      <c r="AA185" s="1539">
        <f t="shared" si="46"/>
        <v>0.37133333333333329</v>
      </c>
      <c r="AB185" s="1538">
        <f t="shared" si="46"/>
        <v>470495638</v>
      </c>
      <c r="AC185" s="1591">
        <f t="shared" si="49"/>
        <v>0.37133333333333329</v>
      </c>
      <c r="AD185" s="1574">
        <f t="shared" si="50"/>
        <v>0.12003802421448354</v>
      </c>
      <c r="AE185" s="1314"/>
    </row>
    <row r="186" spans="1:31" s="1298" customFormat="1" ht="38.25">
      <c r="A186" s="1314"/>
      <c r="B186" s="1314"/>
      <c r="C186" s="1314">
        <v>1</v>
      </c>
      <c r="D186" s="1534" t="s">
        <v>66</v>
      </c>
      <c r="E186" s="1534" t="s">
        <v>65</v>
      </c>
      <c r="F186" s="1534" t="s">
        <v>360</v>
      </c>
      <c r="G186" s="1534" t="s">
        <v>93</v>
      </c>
      <c r="H186" s="1534"/>
      <c r="I186" s="1568" t="s">
        <v>2360</v>
      </c>
      <c r="J186" s="786" t="s">
        <v>2361</v>
      </c>
      <c r="K186" s="1521">
        <v>1</v>
      </c>
      <c r="L186" s="1569">
        <v>485000000</v>
      </c>
      <c r="M186" s="1570">
        <f t="shared" si="40"/>
        <v>0.33333333333333331</v>
      </c>
      <c r="N186" s="1569">
        <v>55314008</v>
      </c>
      <c r="O186" s="1605">
        <f t="shared" si="51"/>
        <v>0.16666666666666666</v>
      </c>
      <c r="P186" s="1569">
        <v>40091304</v>
      </c>
      <c r="Q186" s="1536">
        <v>4.5400000000000003E-2</v>
      </c>
      <c r="R186" s="1311">
        <v>1819200</v>
      </c>
      <c r="S186" s="1314">
        <v>0</v>
      </c>
      <c r="T186" s="1311">
        <v>0</v>
      </c>
      <c r="U186" s="1314">
        <v>0</v>
      </c>
      <c r="V186" s="1311">
        <v>0</v>
      </c>
      <c r="W186" s="1314">
        <v>0</v>
      </c>
      <c r="X186" s="1311">
        <v>0</v>
      </c>
      <c r="Y186" s="1540">
        <f t="shared" si="48"/>
        <v>4.5400000000000003E-2</v>
      </c>
      <c r="Z186" s="1538">
        <f t="shared" si="48"/>
        <v>1819200</v>
      </c>
      <c r="AA186" s="1539">
        <f t="shared" si="46"/>
        <v>0.37873333333333331</v>
      </c>
      <c r="AB186" s="1538">
        <f t="shared" si="46"/>
        <v>57133208</v>
      </c>
      <c r="AC186" s="1591">
        <f t="shared" si="49"/>
        <v>0.37873333333333331</v>
      </c>
      <c r="AD186" s="1574">
        <f t="shared" si="50"/>
        <v>0.11780042886597938</v>
      </c>
      <c r="AE186" s="1314"/>
    </row>
    <row r="187" spans="1:31" s="1298" customFormat="1" ht="76.5">
      <c r="A187" s="1314"/>
      <c r="B187" s="1314"/>
      <c r="C187" s="1314">
        <v>1</v>
      </c>
      <c r="D187" s="1534" t="s">
        <v>66</v>
      </c>
      <c r="E187" s="1534" t="s">
        <v>65</v>
      </c>
      <c r="F187" s="1534" t="s">
        <v>360</v>
      </c>
      <c r="G187" s="1534" t="s">
        <v>201</v>
      </c>
      <c r="H187" s="1534"/>
      <c r="I187" s="1568" t="s">
        <v>2362</v>
      </c>
      <c r="J187" s="786" t="s">
        <v>2363</v>
      </c>
      <c r="K187" s="1521">
        <v>0.95</v>
      </c>
      <c r="L187" s="1569">
        <v>757321500</v>
      </c>
      <c r="M187" s="1570">
        <f t="shared" si="40"/>
        <v>0.31666666666666665</v>
      </c>
      <c r="N187" s="1569">
        <v>65831950</v>
      </c>
      <c r="O187" s="1605">
        <f t="shared" si="51"/>
        <v>0.15833333333333333</v>
      </c>
      <c r="P187" s="1569">
        <v>71402500</v>
      </c>
      <c r="Q187" s="1536">
        <v>5.0999999999999997E-2</v>
      </c>
      <c r="R187" s="1311">
        <v>3643100</v>
      </c>
      <c r="S187" s="1314">
        <v>0</v>
      </c>
      <c r="T187" s="1311">
        <v>0</v>
      </c>
      <c r="U187" s="1314">
        <v>0</v>
      </c>
      <c r="V187" s="1311">
        <v>0</v>
      </c>
      <c r="W187" s="1314">
        <v>0</v>
      </c>
      <c r="X187" s="1311">
        <v>0</v>
      </c>
      <c r="Y187" s="1540">
        <f t="shared" si="48"/>
        <v>5.0999999999999997E-2</v>
      </c>
      <c r="Z187" s="1538">
        <f t="shared" si="48"/>
        <v>3643100</v>
      </c>
      <c r="AA187" s="1539">
        <f t="shared" si="46"/>
        <v>0.36766666666666664</v>
      </c>
      <c r="AB187" s="1538">
        <f t="shared" si="46"/>
        <v>69475050</v>
      </c>
      <c r="AC187" s="1591">
        <f t="shared" si="49"/>
        <v>0.38701754385964909</v>
      </c>
      <c r="AD187" s="1574">
        <f t="shared" si="50"/>
        <v>9.1737855058914866E-2</v>
      </c>
      <c r="AE187" s="1314"/>
    </row>
    <row r="188" spans="1:31" s="1298" customFormat="1" ht="51">
      <c r="A188" s="1314"/>
      <c r="B188" s="1314"/>
      <c r="C188" s="1314">
        <v>1</v>
      </c>
      <c r="D188" s="1534" t="s">
        <v>66</v>
      </c>
      <c r="E188" s="1534" t="s">
        <v>65</v>
      </c>
      <c r="F188" s="1534" t="s">
        <v>360</v>
      </c>
      <c r="G188" s="1534" t="s">
        <v>202</v>
      </c>
      <c r="H188" s="1534"/>
      <c r="I188" s="1568" t="s">
        <v>2364</v>
      </c>
      <c r="J188" s="786" t="s">
        <v>2365</v>
      </c>
      <c r="K188" s="1521">
        <v>1</v>
      </c>
      <c r="L188" s="1569">
        <v>595000000</v>
      </c>
      <c r="M188" s="1570">
        <f t="shared" si="40"/>
        <v>0.33333333333333331</v>
      </c>
      <c r="N188" s="1569">
        <v>41456000</v>
      </c>
      <c r="O188" s="1605">
        <f t="shared" si="51"/>
        <v>0.16666666666666666</v>
      </c>
      <c r="P188" s="1569">
        <v>32178203</v>
      </c>
      <c r="Q188" s="1536">
        <v>0.1024</v>
      </c>
      <c r="R188" s="1311">
        <v>3294000</v>
      </c>
      <c r="S188" s="1314">
        <v>0</v>
      </c>
      <c r="T188" s="1311">
        <v>0</v>
      </c>
      <c r="U188" s="1314">
        <v>0</v>
      </c>
      <c r="V188" s="1311">
        <v>0</v>
      </c>
      <c r="W188" s="1314">
        <v>0</v>
      </c>
      <c r="X188" s="1311">
        <v>0</v>
      </c>
      <c r="Y188" s="1540">
        <f t="shared" si="48"/>
        <v>0.1024</v>
      </c>
      <c r="Z188" s="1538">
        <f t="shared" si="48"/>
        <v>3294000</v>
      </c>
      <c r="AA188" s="1539">
        <f t="shared" si="46"/>
        <v>0.43573333333333331</v>
      </c>
      <c r="AB188" s="1538">
        <f t="shared" si="46"/>
        <v>44750000</v>
      </c>
      <c r="AC188" s="1591">
        <f t="shared" si="49"/>
        <v>0.43573333333333331</v>
      </c>
      <c r="AD188" s="1574">
        <f t="shared" si="50"/>
        <v>7.5210084033613442E-2</v>
      </c>
      <c r="AE188" s="1314"/>
    </row>
    <row r="189" spans="1:31" s="1298" customFormat="1" ht="39" thickBot="1">
      <c r="A189" s="1314"/>
      <c r="B189" s="1314"/>
      <c r="C189" s="1314">
        <v>1</v>
      </c>
      <c r="D189" s="1534" t="s">
        <v>66</v>
      </c>
      <c r="E189" s="1534" t="s">
        <v>65</v>
      </c>
      <c r="F189" s="1534" t="s">
        <v>360</v>
      </c>
      <c r="G189" s="1534" t="s">
        <v>417</v>
      </c>
      <c r="H189" s="1534"/>
      <c r="I189" s="1568" t="s">
        <v>2366</v>
      </c>
      <c r="J189" s="786" t="s">
        <v>2367</v>
      </c>
      <c r="K189" s="1521">
        <v>1</v>
      </c>
      <c r="L189" s="1592">
        <v>6027035200</v>
      </c>
      <c r="M189" s="1570">
        <f t="shared" si="40"/>
        <v>0.33333333333333331</v>
      </c>
      <c r="N189" s="1569">
        <v>885873884</v>
      </c>
      <c r="O189" s="1605">
        <f t="shared" si="51"/>
        <v>0.16666666666666666</v>
      </c>
      <c r="P189" s="1569">
        <v>1624000000</v>
      </c>
      <c r="Q189" s="1536">
        <v>3.6999999999999998E-2</v>
      </c>
      <c r="R189" s="1311">
        <v>60120616</v>
      </c>
      <c r="S189" s="1314">
        <v>0</v>
      </c>
      <c r="T189" s="1311">
        <v>0</v>
      </c>
      <c r="U189" s="1314">
        <v>0</v>
      </c>
      <c r="V189" s="1311">
        <v>0</v>
      </c>
      <c r="W189" s="1314">
        <v>0</v>
      </c>
      <c r="X189" s="1311">
        <v>0</v>
      </c>
      <c r="Y189" s="1540">
        <f t="shared" si="48"/>
        <v>3.6999999999999998E-2</v>
      </c>
      <c r="Z189" s="1538">
        <f t="shared" si="48"/>
        <v>60120616</v>
      </c>
      <c r="AA189" s="1539">
        <f t="shared" si="46"/>
        <v>0.37033333333333329</v>
      </c>
      <c r="AB189" s="1538">
        <f t="shared" si="46"/>
        <v>945994500</v>
      </c>
      <c r="AC189" s="1591">
        <f t="shared" si="49"/>
        <v>0.37033333333333329</v>
      </c>
      <c r="AD189" s="1574">
        <f t="shared" si="50"/>
        <v>0.15695851585535786</v>
      </c>
      <c r="AE189" s="1314"/>
    </row>
    <row r="190" spans="1:31" s="1297" customFormat="1" ht="76.5" customHeight="1" thickBot="1">
      <c r="A190" s="1300"/>
      <c r="B190" s="1314" t="s">
        <v>2268</v>
      </c>
      <c r="C190" s="1300">
        <v>1</v>
      </c>
      <c r="D190" s="1299" t="s">
        <v>66</v>
      </c>
      <c r="E190" s="1299" t="s">
        <v>65</v>
      </c>
      <c r="F190" s="1299" t="s">
        <v>515</v>
      </c>
      <c r="G190" s="1300"/>
      <c r="H190" s="1300"/>
      <c r="I190" s="1554" t="s">
        <v>2368</v>
      </c>
      <c r="J190" s="1555" t="s">
        <v>2369</v>
      </c>
      <c r="K190" s="1630">
        <v>1</v>
      </c>
      <c r="L190" s="1598">
        <v>107046500000</v>
      </c>
      <c r="M190" s="1617">
        <f t="shared" si="40"/>
        <v>0.33333333333333331</v>
      </c>
      <c r="N190" s="1583">
        <v>10009119676</v>
      </c>
      <c r="O190" s="1603">
        <f t="shared" si="51"/>
        <v>0.16666666666666666</v>
      </c>
      <c r="P190" s="1583">
        <v>2380837644</v>
      </c>
      <c r="Q190" s="1588">
        <f>SUM(Q191:Q194)/4</f>
        <v>1.2750000000000001E-2</v>
      </c>
      <c r="R190" s="1587">
        <f>SUM(R191:R197)</f>
        <v>25362900</v>
      </c>
      <c r="S190" s="1586">
        <v>0</v>
      </c>
      <c r="T190" s="1587">
        <f>SUM(T191:T197)</f>
        <v>0</v>
      </c>
      <c r="U190" s="1586">
        <v>0</v>
      </c>
      <c r="V190" s="1587">
        <f>SUM(V191:V197)</f>
        <v>0</v>
      </c>
      <c r="W190" s="1586">
        <v>0</v>
      </c>
      <c r="X190" s="1587">
        <f>SUM(X191:X197)</f>
        <v>0</v>
      </c>
      <c r="Y190" s="1588">
        <f>W190+U190+S190+Q190</f>
        <v>1.2750000000000001E-2</v>
      </c>
      <c r="Z190" s="1585">
        <f>SUM(Z191:Z197)</f>
        <v>25362900</v>
      </c>
      <c r="AA190" s="1600">
        <f t="shared" si="46"/>
        <v>0.3460833333333333</v>
      </c>
      <c r="AB190" s="1585">
        <f t="shared" si="46"/>
        <v>10034482576</v>
      </c>
      <c r="AC190" s="1565">
        <f t="shared" si="49"/>
        <v>0.3460833333333333</v>
      </c>
      <c r="AD190" s="1560">
        <f t="shared" si="50"/>
        <v>9.3739473742719279E-2</v>
      </c>
      <c r="AE190" s="1612" t="s">
        <v>2272</v>
      </c>
    </row>
    <row r="191" spans="1:31" s="1298" customFormat="1" ht="39" customHeight="1">
      <c r="A191" s="1314"/>
      <c r="B191" s="1314"/>
      <c r="C191" s="1314">
        <v>1</v>
      </c>
      <c r="D191" s="1534" t="s">
        <v>66</v>
      </c>
      <c r="E191" s="1534" t="s">
        <v>65</v>
      </c>
      <c r="F191" s="1534" t="s">
        <v>515</v>
      </c>
      <c r="G191" s="1534" t="s">
        <v>95</v>
      </c>
      <c r="H191" s="1534"/>
      <c r="I191" s="1568" t="s">
        <v>2370</v>
      </c>
      <c r="J191" s="786" t="s">
        <v>2371</v>
      </c>
      <c r="K191" s="1521">
        <v>1</v>
      </c>
      <c r="L191" s="1569">
        <v>4000000000</v>
      </c>
      <c r="M191" s="1570">
        <f t="shared" si="40"/>
        <v>0.33333333333333331</v>
      </c>
      <c r="N191" s="1569">
        <v>806600750</v>
      </c>
      <c r="O191" s="1605">
        <f t="shared" si="51"/>
        <v>0.16666666666666666</v>
      </c>
      <c r="P191" s="1569">
        <v>0</v>
      </c>
      <c r="Q191" s="1540">
        <v>1.2999999999999999E-2</v>
      </c>
      <c r="R191" s="1314">
        <v>0</v>
      </c>
      <c r="S191" s="1314">
        <v>0</v>
      </c>
      <c r="T191" s="1311">
        <v>0</v>
      </c>
      <c r="U191" s="1314">
        <v>0</v>
      </c>
      <c r="V191" s="1314"/>
      <c r="W191" s="1314">
        <v>0</v>
      </c>
      <c r="X191" s="1311">
        <v>0</v>
      </c>
      <c r="Y191" s="1540">
        <f>W191+U191+S191+Q191</f>
        <v>1.2999999999999999E-2</v>
      </c>
      <c r="Z191" s="1538">
        <f>X191+V191+T191+R191</f>
        <v>0</v>
      </c>
      <c r="AA191" s="1539">
        <f t="shared" si="46"/>
        <v>0.34633333333333333</v>
      </c>
      <c r="AB191" s="1538">
        <f t="shared" si="46"/>
        <v>806600750</v>
      </c>
      <c r="AC191" s="1591">
        <f t="shared" si="49"/>
        <v>0.34633333333333333</v>
      </c>
      <c r="AD191" s="1574">
        <f t="shared" si="50"/>
        <v>0.20165018749999999</v>
      </c>
      <c r="AE191" s="1314"/>
    </row>
    <row r="192" spans="1:31" s="1298" customFormat="1" ht="41.25" customHeight="1">
      <c r="A192" s="1314"/>
      <c r="B192" s="1314"/>
      <c r="C192" s="1314">
        <v>1</v>
      </c>
      <c r="D192" s="1534" t="s">
        <v>66</v>
      </c>
      <c r="E192" s="1534" t="s">
        <v>65</v>
      </c>
      <c r="F192" s="1534" t="s">
        <v>515</v>
      </c>
      <c r="G192" s="1534" t="s">
        <v>197</v>
      </c>
      <c r="H192" s="1534"/>
      <c r="I192" s="1568" t="s">
        <v>2372</v>
      </c>
      <c r="J192" s="786" t="s">
        <v>2373</v>
      </c>
      <c r="K192" s="1521">
        <v>1</v>
      </c>
      <c r="L192" s="1569">
        <v>30346500000</v>
      </c>
      <c r="M192" s="1570">
        <f t="shared" si="40"/>
        <v>0.33333333333333331</v>
      </c>
      <c r="N192" s="1569">
        <v>1230110000</v>
      </c>
      <c r="O192" s="1605">
        <f t="shared" si="51"/>
        <v>0.16666666666666666</v>
      </c>
      <c r="P192" s="1569">
        <v>6810266000</v>
      </c>
      <c r="Q192" s="1536">
        <v>1.2E-2</v>
      </c>
      <c r="R192" s="1314">
        <v>0</v>
      </c>
      <c r="S192" s="1314">
        <v>0</v>
      </c>
      <c r="T192" s="1311">
        <v>0</v>
      </c>
      <c r="U192" s="1314">
        <v>0</v>
      </c>
      <c r="V192" s="1311">
        <v>0</v>
      </c>
      <c r="W192" s="1314">
        <v>0</v>
      </c>
      <c r="X192" s="1311">
        <v>0</v>
      </c>
      <c r="Y192" s="1540">
        <f t="shared" ref="Y192:Z197" si="52">W192+U192+S192+Q192</f>
        <v>1.2E-2</v>
      </c>
      <c r="Z192" s="1538">
        <f t="shared" si="52"/>
        <v>0</v>
      </c>
      <c r="AA192" s="1539">
        <f t="shared" si="46"/>
        <v>0.34533333333333333</v>
      </c>
      <c r="AB192" s="1538">
        <f t="shared" si="46"/>
        <v>1230110000</v>
      </c>
      <c r="AC192" s="1591">
        <f t="shared" si="49"/>
        <v>0.34533333333333333</v>
      </c>
      <c r="AD192" s="1574">
        <f t="shared" si="50"/>
        <v>4.0535481851284333E-2</v>
      </c>
      <c r="AE192" s="1314"/>
    </row>
    <row r="193" spans="1:31" s="1298" customFormat="1" ht="67.5" customHeight="1">
      <c r="A193" s="1314"/>
      <c r="B193" s="1314"/>
      <c r="C193" s="1314">
        <v>1</v>
      </c>
      <c r="D193" s="1534" t="s">
        <v>66</v>
      </c>
      <c r="E193" s="1534" t="s">
        <v>65</v>
      </c>
      <c r="F193" s="1534" t="s">
        <v>515</v>
      </c>
      <c r="G193" s="1534" t="s">
        <v>391</v>
      </c>
      <c r="H193" s="1534"/>
      <c r="I193" s="1568" t="s">
        <v>2374</v>
      </c>
      <c r="J193" s="786" t="s">
        <v>2375</v>
      </c>
      <c r="K193" s="1521">
        <v>1</v>
      </c>
      <c r="L193" s="1569">
        <v>34000000000</v>
      </c>
      <c r="M193" s="1570">
        <f t="shared" si="40"/>
        <v>0.33333333333333331</v>
      </c>
      <c r="N193" s="1569">
        <v>4517922476</v>
      </c>
      <c r="O193" s="1605">
        <f t="shared" si="51"/>
        <v>0.16666666666666666</v>
      </c>
      <c r="P193" s="1569">
        <v>1583042185</v>
      </c>
      <c r="Q193" s="1540">
        <v>3.0000000000000001E-3</v>
      </c>
      <c r="R193" s="1311">
        <v>4960000</v>
      </c>
      <c r="S193" s="1314">
        <v>0</v>
      </c>
      <c r="T193" s="1311">
        <v>0</v>
      </c>
      <c r="U193" s="1314">
        <v>0</v>
      </c>
      <c r="V193" s="1311">
        <v>0</v>
      </c>
      <c r="W193" s="1314">
        <v>0</v>
      </c>
      <c r="X193" s="1311">
        <v>0</v>
      </c>
      <c r="Y193" s="1540">
        <f t="shared" si="52"/>
        <v>3.0000000000000001E-3</v>
      </c>
      <c r="Z193" s="1538">
        <f t="shared" si="52"/>
        <v>4960000</v>
      </c>
      <c r="AA193" s="1539">
        <f t="shared" si="46"/>
        <v>0.33633333333333332</v>
      </c>
      <c r="AB193" s="1538">
        <f t="shared" si="46"/>
        <v>4522882476</v>
      </c>
      <c r="AC193" s="1591">
        <f t="shared" si="49"/>
        <v>0.33633333333333332</v>
      </c>
      <c r="AD193" s="1574">
        <f t="shared" si="50"/>
        <v>0.13302595517647059</v>
      </c>
      <c r="AE193" s="1314"/>
    </row>
    <row r="194" spans="1:31" s="1298" customFormat="1" ht="49.5" customHeight="1">
      <c r="A194" s="1314"/>
      <c r="B194" s="1314"/>
      <c r="C194" s="1314">
        <v>1</v>
      </c>
      <c r="D194" s="1534" t="s">
        <v>66</v>
      </c>
      <c r="E194" s="1534" t="s">
        <v>65</v>
      </c>
      <c r="F194" s="1534" t="s">
        <v>515</v>
      </c>
      <c r="G194" s="1534" t="s">
        <v>459</v>
      </c>
      <c r="H194" s="1534"/>
      <c r="I194" s="1568" t="s">
        <v>2376</v>
      </c>
      <c r="J194" s="786" t="s">
        <v>2373</v>
      </c>
      <c r="K194" s="1521">
        <v>1</v>
      </c>
      <c r="L194" s="1569">
        <v>4150000000</v>
      </c>
      <c r="M194" s="1570">
        <f t="shared" si="40"/>
        <v>0.33333333333333331</v>
      </c>
      <c r="N194" s="1569">
        <v>461938750</v>
      </c>
      <c r="O194" s="1605">
        <f t="shared" si="51"/>
        <v>0.16666666666666666</v>
      </c>
      <c r="P194" s="1569">
        <v>287956502</v>
      </c>
      <c r="Q194" s="1540">
        <v>2.3E-2</v>
      </c>
      <c r="R194" s="1311">
        <v>20402900</v>
      </c>
      <c r="S194" s="1314">
        <v>0</v>
      </c>
      <c r="T194" s="1311">
        <v>0</v>
      </c>
      <c r="U194" s="1314">
        <v>0</v>
      </c>
      <c r="V194" s="1311">
        <v>0</v>
      </c>
      <c r="W194" s="1314">
        <v>0</v>
      </c>
      <c r="X194" s="1311">
        <v>0</v>
      </c>
      <c r="Y194" s="1540">
        <f t="shared" si="52"/>
        <v>2.3E-2</v>
      </c>
      <c r="Z194" s="1538">
        <f t="shared" si="52"/>
        <v>20402900</v>
      </c>
      <c r="AA194" s="1539">
        <f t="shared" si="46"/>
        <v>0.35633333333333334</v>
      </c>
      <c r="AB194" s="1538">
        <f t="shared" si="46"/>
        <v>482341650</v>
      </c>
      <c r="AC194" s="1591">
        <f t="shared" si="49"/>
        <v>0.35633333333333334</v>
      </c>
      <c r="AD194" s="1574">
        <f t="shared" si="50"/>
        <v>0.11622690361445784</v>
      </c>
      <c r="AE194" s="1314"/>
    </row>
    <row r="195" spans="1:31" s="1298" customFormat="1" ht="93" customHeight="1">
      <c r="A195" s="1314"/>
      <c r="B195" s="1314"/>
      <c r="C195" s="1314">
        <v>1</v>
      </c>
      <c r="D195" s="1534" t="s">
        <v>66</v>
      </c>
      <c r="E195" s="1534" t="s">
        <v>65</v>
      </c>
      <c r="F195" s="1534" t="s">
        <v>515</v>
      </c>
      <c r="G195" s="1534" t="s">
        <v>363</v>
      </c>
      <c r="H195" s="1534"/>
      <c r="I195" s="1568" t="s">
        <v>2377</v>
      </c>
      <c r="J195" s="786" t="s">
        <v>2378</v>
      </c>
      <c r="K195" s="1521">
        <v>1</v>
      </c>
      <c r="L195" s="1569">
        <v>9850000000</v>
      </c>
      <c r="M195" s="1570">
        <f t="shared" si="40"/>
        <v>0.33333333333333331</v>
      </c>
      <c r="N195" s="1569">
        <v>1251868700</v>
      </c>
      <c r="O195" s="1605">
        <f t="shared" si="51"/>
        <v>0.16666666666666666</v>
      </c>
      <c r="P195" s="1569">
        <v>2728247343</v>
      </c>
      <c r="Q195" s="1536">
        <v>1.4999999999999999E-2</v>
      </c>
      <c r="R195" s="1311">
        <v>0</v>
      </c>
      <c r="S195" s="1314">
        <v>0</v>
      </c>
      <c r="T195" s="1311">
        <v>0</v>
      </c>
      <c r="U195" s="1314">
        <v>0</v>
      </c>
      <c r="V195" s="1311">
        <v>0</v>
      </c>
      <c r="W195" s="1314">
        <v>0</v>
      </c>
      <c r="X195" s="1311">
        <v>0</v>
      </c>
      <c r="Y195" s="1540">
        <f t="shared" si="52"/>
        <v>1.4999999999999999E-2</v>
      </c>
      <c r="Z195" s="1538">
        <f t="shared" si="52"/>
        <v>0</v>
      </c>
      <c r="AA195" s="1539">
        <f t="shared" si="46"/>
        <v>0.34833333333333333</v>
      </c>
      <c r="AB195" s="1538">
        <f t="shared" si="46"/>
        <v>1251868700</v>
      </c>
      <c r="AC195" s="1591">
        <f t="shared" si="49"/>
        <v>0.34833333333333333</v>
      </c>
      <c r="AD195" s="1574">
        <f t="shared" si="50"/>
        <v>0.127093269035533</v>
      </c>
      <c r="AE195" s="1314"/>
    </row>
    <row r="196" spans="1:31" s="1298" customFormat="1" ht="54" customHeight="1">
      <c r="A196" s="1314"/>
      <c r="B196" s="1314"/>
      <c r="C196" s="1314">
        <v>1</v>
      </c>
      <c r="D196" s="1534" t="s">
        <v>66</v>
      </c>
      <c r="E196" s="1534" t="s">
        <v>65</v>
      </c>
      <c r="F196" s="1534" t="s">
        <v>515</v>
      </c>
      <c r="G196" s="1534" t="s">
        <v>373</v>
      </c>
      <c r="H196" s="1534"/>
      <c r="I196" s="1568" t="s">
        <v>2379</v>
      </c>
      <c r="J196" s="786" t="s">
        <v>2380</v>
      </c>
      <c r="K196" s="1521">
        <v>1</v>
      </c>
      <c r="L196" s="1569">
        <v>7400000000</v>
      </c>
      <c r="M196" s="1570">
        <f t="shared" si="40"/>
        <v>0.33333333333333331</v>
      </c>
      <c r="N196" s="1569">
        <v>679375000</v>
      </c>
      <c r="O196" s="1605">
        <f t="shared" si="51"/>
        <v>0.16666666666666666</v>
      </c>
      <c r="P196" s="1569">
        <v>833000000</v>
      </c>
      <c r="Q196" s="1536">
        <v>1.4999999999999999E-2</v>
      </c>
      <c r="R196" s="1314">
        <v>0</v>
      </c>
      <c r="S196" s="1314">
        <v>0</v>
      </c>
      <c r="T196" s="1311">
        <v>0</v>
      </c>
      <c r="U196" s="1314">
        <v>0</v>
      </c>
      <c r="V196" s="1314">
        <v>0</v>
      </c>
      <c r="W196" s="1314">
        <v>0</v>
      </c>
      <c r="X196" s="1311">
        <v>0</v>
      </c>
      <c r="Y196" s="1540">
        <f t="shared" si="52"/>
        <v>1.4999999999999999E-2</v>
      </c>
      <c r="Z196" s="1538">
        <f t="shared" si="52"/>
        <v>0</v>
      </c>
      <c r="AA196" s="1539">
        <f t="shared" si="46"/>
        <v>0.34833333333333333</v>
      </c>
      <c r="AB196" s="1538">
        <f t="shared" si="46"/>
        <v>679375000</v>
      </c>
      <c r="AC196" s="1591">
        <f t="shared" si="49"/>
        <v>0.34833333333333333</v>
      </c>
      <c r="AD196" s="1574">
        <f t="shared" si="50"/>
        <v>9.1807432432432431E-2</v>
      </c>
      <c r="AE196" s="1314"/>
    </row>
    <row r="197" spans="1:31" s="1298" customFormat="1" ht="51">
      <c r="A197" s="1314"/>
      <c r="B197" s="1314"/>
      <c r="C197" s="1314">
        <v>1</v>
      </c>
      <c r="D197" s="1534" t="s">
        <v>66</v>
      </c>
      <c r="E197" s="1534" t="s">
        <v>65</v>
      </c>
      <c r="F197" s="1534" t="s">
        <v>515</v>
      </c>
      <c r="G197" s="1534" t="s">
        <v>2381</v>
      </c>
      <c r="H197" s="1534"/>
      <c r="I197" s="1568" t="s">
        <v>2382</v>
      </c>
      <c r="J197" s="786" t="s">
        <v>2380</v>
      </c>
      <c r="K197" s="1521">
        <v>1</v>
      </c>
      <c r="L197" s="1569">
        <v>13800000000</v>
      </c>
      <c r="M197" s="1570">
        <f t="shared" si="40"/>
        <v>0.33333333333333331</v>
      </c>
      <c r="N197" s="1569">
        <v>1061304000</v>
      </c>
      <c r="O197" s="786"/>
      <c r="P197" s="1569">
        <v>0</v>
      </c>
      <c r="Q197" s="1314">
        <v>0</v>
      </c>
      <c r="R197" s="1314">
        <v>0</v>
      </c>
      <c r="S197" s="1314">
        <v>0</v>
      </c>
      <c r="T197" s="1311">
        <v>0</v>
      </c>
      <c r="U197" s="1314">
        <v>0</v>
      </c>
      <c r="V197" s="1314">
        <v>0</v>
      </c>
      <c r="W197" s="1314">
        <v>0</v>
      </c>
      <c r="X197" s="1311">
        <v>0</v>
      </c>
      <c r="Y197" s="1540">
        <f t="shared" si="52"/>
        <v>0</v>
      </c>
      <c r="Z197" s="1538">
        <f t="shared" si="52"/>
        <v>0</v>
      </c>
      <c r="AA197" s="1539">
        <f t="shared" si="46"/>
        <v>0.33333333333333331</v>
      </c>
      <c r="AB197" s="1538">
        <f t="shared" si="46"/>
        <v>1061304000</v>
      </c>
      <c r="AC197" s="1591">
        <f t="shared" si="49"/>
        <v>0.33333333333333331</v>
      </c>
      <c r="AD197" s="1574">
        <f t="shared" si="50"/>
        <v>7.6906086956521735E-2</v>
      </c>
      <c r="AE197" s="1314"/>
    </row>
    <row r="198" spans="1:31" s="1513" customFormat="1" ht="54" customHeight="1">
      <c r="A198" s="1300"/>
      <c r="B198" s="1300" t="s">
        <v>2268</v>
      </c>
      <c r="C198" s="1300">
        <v>1</v>
      </c>
      <c r="D198" s="1299" t="s">
        <v>66</v>
      </c>
      <c r="E198" s="1299" t="s">
        <v>65</v>
      </c>
      <c r="F198" s="1299" t="s">
        <v>178</v>
      </c>
      <c r="G198" s="1300"/>
      <c r="H198" s="1300"/>
      <c r="I198" s="1554" t="s">
        <v>2383</v>
      </c>
      <c r="J198" s="1631" t="s">
        <v>2384</v>
      </c>
      <c r="K198" s="1632">
        <v>1</v>
      </c>
      <c r="L198" s="1633">
        <v>180684091900</v>
      </c>
      <c r="M198" s="1634">
        <f t="shared" si="40"/>
        <v>0.33333333333333331</v>
      </c>
      <c r="N198" s="1635">
        <f>SUM(N199:N202)</f>
        <v>27794258803</v>
      </c>
      <c r="O198" s="1636">
        <v>0.16600000000000001</v>
      </c>
      <c r="P198" s="1637">
        <v>2152422484</v>
      </c>
      <c r="Q198" s="1532">
        <f>SUM(Q199:Q202)/4</f>
        <v>2.0900000000000002E-2</v>
      </c>
      <c r="R198" s="1530">
        <f>SUM(R199:R202)</f>
        <v>31308800</v>
      </c>
      <c r="S198" s="1300">
        <v>0</v>
      </c>
      <c r="T198" s="1527">
        <f>SUM(T199:T202)</f>
        <v>0</v>
      </c>
      <c r="U198" s="1531">
        <v>0</v>
      </c>
      <c r="V198" s="1527">
        <v>0</v>
      </c>
      <c r="W198" s="1300">
        <v>0</v>
      </c>
      <c r="X198" s="1527">
        <v>0</v>
      </c>
      <c r="Y198" s="1532">
        <f>W198+U198+S198+Q198</f>
        <v>2.0900000000000002E-2</v>
      </c>
      <c r="Z198" s="1530">
        <f>SUM(Z199:Z202)</f>
        <v>31308800</v>
      </c>
      <c r="AA198" s="1546">
        <f t="shared" si="46"/>
        <v>0.35423333333333329</v>
      </c>
      <c r="AB198" s="1530">
        <f t="shared" si="46"/>
        <v>27825567603</v>
      </c>
      <c r="AC198" s="1628">
        <f t="shared" si="49"/>
        <v>0.35423333333333329</v>
      </c>
      <c r="AD198" s="1629">
        <f t="shared" si="50"/>
        <v>0.15400120348392443</v>
      </c>
      <c r="AE198" s="1533" t="s">
        <v>2272</v>
      </c>
    </row>
    <row r="199" spans="1:31" s="1298" customFormat="1" ht="51">
      <c r="A199" s="1314"/>
      <c r="B199" s="1314"/>
      <c r="C199" s="1314">
        <v>1</v>
      </c>
      <c r="D199" s="1534" t="s">
        <v>66</v>
      </c>
      <c r="E199" s="1534" t="s">
        <v>65</v>
      </c>
      <c r="F199" s="1534" t="s">
        <v>178</v>
      </c>
      <c r="G199" s="1534" t="s">
        <v>66</v>
      </c>
      <c r="H199" s="1534"/>
      <c r="I199" s="1568" t="s">
        <v>2385</v>
      </c>
      <c r="J199" s="1619" t="s">
        <v>2386</v>
      </c>
      <c r="K199" s="1521">
        <v>1</v>
      </c>
      <c r="L199" s="1569">
        <v>38975000000</v>
      </c>
      <c r="M199" s="1570">
        <f t="shared" si="40"/>
        <v>0.33333333333333331</v>
      </c>
      <c r="N199" s="1569">
        <v>5976329650</v>
      </c>
      <c r="O199" s="1638">
        <v>0.16600000000000001</v>
      </c>
      <c r="P199" s="1569">
        <v>6239263375</v>
      </c>
      <c r="Q199" s="1540">
        <v>2.3E-2</v>
      </c>
      <c r="R199" s="1311">
        <v>9022000</v>
      </c>
      <c r="S199" s="1314">
        <v>0</v>
      </c>
      <c r="T199" s="1311">
        <v>0</v>
      </c>
      <c r="U199" s="1314">
        <v>0</v>
      </c>
      <c r="V199" s="1311">
        <v>0</v>
      </c>
      <c r="W199" s="1314">
        <v>0</v>
      </c>
      <c r="X199" s="1311">
        <v>0</v>
      </c>
      <c r="Y199" s="1540">
        <f>W199+U199+S199+Q199</f>
        <v>2.3E-2</v>
      </c>
      <c r="Z199" s="1538">
        <f>X199+V199+T199+R199</f>
        <v>9022000</v>
      </c>
      <c r="AA199" s="1539">
        <f t="shared" si="46"/>
        <v>0.35633333333333334</v>
      </c>
      <c r="AB199" s="1538">
        <f t="shared" si="46"/>
        <v>5985351650</v>
      </c>
      <c r="AC199" s="1591">
        <f t="shared" si="49"/>
        <v>0.35633333333333334</v>
      </c>
      <c r="AD199" s="1574">
        <f t="shared" si="50"/>
        <v>0.15356899679281591</v>
      </c>
      <c r="AE199" s="1314"/>
    </row>
    <row r="200" spans="1:31" s="1298" customFormat="1" ht="51">
      <c r="A200" s="1314"/>
      <c r="B200" s="1314"/>
      <c r="C200" s="1314">
        <v>1</v>
      </c>
      <c r="D200" s="1534" t="s">
        <v>66</v>
      </c>
      <c r="E200" s="1534" t="s">
        <v>65</v>
      </c>
      <c r="F200" s="1314">
        <v>28</v>
      </c>
      <c r="G200" s="1534" t="s">
        <v>201</v>
      </c>
      <c r="H200" s="1534"/>
      <c r="I200" s="1568" t="s">
        <v>2387</v>
      </c>
      <c r="J200" s="786" t="s">
        <v>2388</v>
      </c>
      <c r="K200" s="1521">
        <v>0.9</v>
      </c>
      <c r="L200" s="1569">
        <v>4029091900</v>
      </c>
      <c r="M200" s="1570">
        <f t="shared" si="40"/>
        <v>0.3</v>
      </c>
      <c r="N200" s="1569">
        <v>542088528</v>
      </c>
      <c r="O200" s="1570">
        <f>K200/6</f>
        <v>0.15</v>
      </c>
      <c r="P200" s="1569">
        <v>1029807668</v>
      </c>
      <c r="Q200" s="1540">
        <v>2.1600000000000001E-2</v>
      </c>
      <c r="R200" s="1311">
        <v>22286800</v>
      </c>
      <c r="S200" s="1314">
        <v>0</v>
      </c>
      <c r="T200" s="1311">
        <v>0</v>
      </c>
      <c r="U200" s="1314">
        <v>0</v>
      </c>
      <c r="V200" s="1311">
        <v>0</v>
      </c>
      <c r="W200" s="1314">
        <v>0</v>
      </c>
      <c r="X200" s="1311">
        <v>0</v>
      </c>
      <c r="Y200" s="1540">
        <f t="shared" ref="Y200:Z202" si="53">W200+U200+S200+Q200</f>
        <v>2.1600000000000001E-2</v>
      </c>
      <c r="Z200" s="1538">
        <f t="shared" si="53"/>
        <v>22286800</v>
      </c>
      <c r="AA200" s="1539">
        <f t="shared" si="46"/>
        <v>0.3216</v>
      </c>
      <c r="AB200" s="1538">
        <f t="shared" si="46"/>
        <v>564375328</v>
      </c>
      <c r="AC200" s="1591">
        <f t="shared" si="49"/>
        <v>0.35733333333333334</v>
      </c>
      <c r="AD200" s="1574">
        <f t="shared" si="50"/>
        <v>0.14007506952124871</v>
      </c>
      <c r="AE200" s="1314"/>
    </row>
    <row r="201" spans="1:31" s="1298" customFormat="1" ht="51">
      <c r="A201" s="1314"/>
      <c r="B201" s="1314"/>
      <c r="C201" s="1314">
        <v>1</v>
      </c>
      <c r="D201" s="1534" t="s">
        <v>66</v>
      </c>
      <c r="E201" s="1534" t="s">
        <v>65</v>
      </c>
      <c r="F201" s="1314">
        <v>28</v>
      </c>
      <c r="G201" s="1534" t="s">
        <v>417</v>
      </c>
      <c r="H201" s="1534"/>
      <c r="I201" s="1568" t="s">
        <v>2389</v>
      </c>
      <c r="J201" s="786" t="s">
        <v>2388</v>
      </c>
      <c r="K201" s="1521">
        <v>1</v>
      </c>
      <c r="L201" s="1569">
        <v>123500000000</v>
      </c>
      <c r="M201" s="1570">
        <f t="shared" si="40"/>
        <v>0.33333333333333331</v>
      </c>
      <c r="N201" s="1569">
        <v>20165085838</v>
      </c>
      <c r="O201" s="1593">
        <f>K201/6</f>
        <v>0.16666666666666666</v>
      </c>
      <c r="P201" s="1569">
        <v>17500000000</v>
      </c>
      <c r="Q201" s="1540">
        <v>1.4999999999999999E-2</v>
      </c>
      <c r="R201" s="1538">
        <v>0</v>
      </c>
      <c r="S201" s="1314">
        <v>0</v>
      </c>
      <c r="T201" s="1311">
        <v>0</v>
      </c>
      <c r="U201" s="1314">
        <v>0</v>
      </c>
      <c r="V201" s="1311">
        <v>0</v>
      </c>
      <c r="W201" s="1314">
        <v>0</v>
      </c>
      <c r="X201" s="1311">
        <v>0</v>
      </c>
      <c r="Y201" s="1540">
        <f t="shared" si="53"/>
        <v>1.4999999999999999E-2</v>
      </c>
      <c r="Z201" s="1538">
        <f t="shared" si="53"/>
        <v>0</v>
      </c>
      <c r="AA201" s="1539">
        <f t="shared" si="46"/>
        <v>0.34833333333333333</v>
      </c>
      <c r="AB201" s="1538">
        <f t="shared" si="46"/>
        <v>20165085838</v>
      </c>
      <c r="AC201" s="1591">
        <f t="shared" si="49"/>
        <v>0.34833333333333333</v>
      </c>
      <c r="AD201" s="1574">
        <f t="shared" si="50"/>
        <v>0.16328004727125506</v>
      </c>
      <c r="AE201" s="1314"/>
    </row>
    <row r="202" spans="1:31" s="1298" customFormat="1" ht="51.75" thickBot="1">
      <c r="A202" s="1314"/>
      <c r="B202" s="1314"/>
      <c r="C202" s="1314">
        <v>1</v>
      </c>
      <c r="D202" s="1534" t="s">
        <v>66</v>
      </c>
      <c r="E202" s="1534" t="s">
        <v>65</v>
      </c>
      <c r="F202" s="1314">
        <v>28</v>
      </c>
      <c r="G202" s="1534" t="s">
        <v>160</v>
      </c>
      <c r="H202" s="1534"/>
      <c r="I202" s="1568" t="s">
        <v>2390</v>
      </c>
      <c r="J202" s="786" t="s">
        <v>2388</v>
      </c>
      <c r="K202" s="1521">
        <v>0.9</v>
      </c>
      <c r="L202" s="1569">
        <v>13580000000</v>
      </c>
      <c r="M202" s="1570">
        <f t="shared" si="40"/>
        <v>0.3</v>
      </c>
      <c r="N202" s="1569">
        <v>1110754787</v>
      </c>
      <c r="O202" s="1639">
        <f>K202/6</f>
        <v>0.15</v>
      </c>
      <c r="P202" s="1569">
        <v>1550000000</v>
      </c>
      <c r="Q202" s="1536">
        <v>2.4E-2</v>
      </c>
      <c r="R202" s="1538">
        <v>0</v>
      </c>
      <c r="S202" s="1314">
        <v>0</v>
      </c>
      <c r="T202" s="1311">
        <v>0</v>
      </c>
      <c r="U202" s="1314">
        <v>0</v>
      </c>
      <c r="V202" s="1311">
        <v>0</v>
      </c>
      <c r="W202" s="1314">
        <v>0</v>
      </c>
      <c r="X202" s="1311">
        <v>0</v>
      </c>
      <c r="Y202" s="1540">
        <f t="shared" si="53"/>
        <v>2.4E-2</v>
      </c>
      <c r="Z202" s="1538">
        <f t="shared" si="53"/>
        <v>0</v>
      </c>
      <c r="AA202" s="1539">
        <f t="shared" si="46"/>
        <v>0.32400000000000001</v>
      </c>
      <c r="AB202" s="1538">
        <f t="shared" si="46"/>
        <v>1110754787</v>
      </c>
      <c r="AC202" s="1591">
        <f t="shared" si="49"/>
        <v>0.36</v>
      </c>
      <c r="AD202" s="1574">
        <f t="shared" si="50"/>
        <v>8.1793430559646538E-2</v>
      </c>
      <c r="AE202" s="1314"/>
    </row>
    <row r="203" spans="1:31" s="1513" customFormat="1" ht="52.5" customHeight="1" thickBot="1">
      <c r="A203" s="1300"/>
      <c r="B203" s="1300" t="s">
        <v>2391</v>
      </c>
      <c r="C203" s="1300">
        <v>1</v>
      </c>
      <c r="D203" s="1299" t="s">
        <v>66</v>
      </c>
      <c r="E203" s="1299" t="s">
        <v>65</v>
      </c>
      <c r="F203" s="1300">
        <v>30</v>
      </c>
      <c r="G203" s="1300"/>
      <c r="H203" s="1300"/>
      <c r="I203" s="1640" t="s">
        <v>2392</v>
      </c>
      <c r="J203" s="1555" t="s">
        <v>2393</v>
      </c>
      <c r="K203" s="1632">
        <f t="shared" ref="K203:V203" si="54">K204</f>
        <v>0.8</v>
      </c>
      <c r="L203" s="1641">
        <f t="shared" si="54"/>
        <v>535000000</v>
      </c>
      <c r="M203" s="1636">
        <f t="shared" si="54"/>
        <v>0.26666666666666666</v>
      </c>
      <c r="N203" s="1642">
        <f t="shared" si="54"/>
        <v>42569250</v>
      </c>
      <c r="O203" s="1643">
        <f t="shared" si="54"/>
        <v>0.13333333333333333</v>
      </c>
      <c r="P203" s="1644">
        <f t="shared" si="54"/>
        <v>175619042</v>
      </c>
      <c r="Q203" s="1532">
        <f t="shared" si="54"/>
        <v>1.4999999999999999E-2</v>
      </c>
      <c r="R203" s="1530">
        <f t="shared" si="54"/>
        <v>800000</v>
      </c>
      <c r="S203" s="1300">
        <v>0</v>
      </c>
      <c r="T203" s="1530">
        <f t="shared" si="54"/>
        <v>0</v>
      </c>
      <c r="U203" s="1300">
        <f t="shared" si="54"/>
        <v>0</v>
      </c>
      <c r="V203" s="1530">
        <f t="shared" si="54"/>
        <v>0</v>
      </c>
      <c r="W203" s="1300">
        <v>0</v>
      </c>
      <c r="X203" s="1527">
        <f>X204</f>
        <v>0</v>
      </c>
      <c r="Y203" s="1532">
        <f>Y204</f>
        <v>1.4999999999999999E-2</v>
      </c>
      <c r="Z203" s="1530">
        <f>Z204</f>
        <v>800000</v>
      </c>
      <c r="AA203" s="1546">
        <f t="shared" si="46"/>
        <v>0.28166666666666668</v>
      </c>
      <c r="AB203" s="1530">
        <f t="shared" si="46"/>
        <v>43369250</v>
      </c>
      <c r="AC203" s="1628">
        <f t="shared" si="49"/>
        <v>0.3520833333333333</v>
      </c>
      <c r="AD203" s="1629">
        <f t="shared" si="50"/>
        <v>8.1064018691588788E-2</v>
      </c>
      <c r="AE203" s="1533" t="s">
        <v>2272</v>
      </c>
    </row>
    <row r="204" spans="1:31" s="1298" customFormat="1" ht="48" customHeight="1">
      <c r="A204" s="1314"/>
      <c r="B204" s="1314"/>
      <c r="C204" s="1314">
        <v>1</v>
      </c>
      <c r="D204" s="1534" t="s">
        <v>66</v>
      </c>
      <c r="E204" s="1534" t="s">
        <v>65</v>
      </c>
      <c r="F204" s="1534" t="s">
        <v>373</v>
      </c>
      <c r="G204" s="1534" t="s">
        <v>66</v>
      </c>
      <c r="H204" s="1534"/>
      <c r="I204" s="1568" t="s">
        <v>2394</v>
      </c>
      <c r="J204" s="1645" t="s">
        <v>2393</v>
      </c>
      <c r="K204" s="1521">
        <v>0.8</v>
      </c>
      <c r="L204" s="1569">
        <v>535000000</v>
      </c>
      <c r="M204" s="1593">
        <f>(K204/6)*2</f>
        <v>0.26666666666666666</v>
      </c>
      <c r="N204" s="1569">
        <v>42569250</v>
      </c>
      <c r="O204" s="1593">
        <f>M204/2</f>
        <v>0.13333333333333333</v>
      </c>
      <c r="P204" s="1569">
        <v>175619042</v>
      </c>
      <c r="Q204" s="1540">
        <v>1.4999999999999999E-2</v>
      </c>
      <c r="R204" s="1311">
        <v>800000</v>
      </c>
      <c r="S204" s="1314">
        <v>0</v>
      </c>
      <c r="T204" s="1311">
        <v>0</v>
      </c>
      <c r="U204" s="1314">
        <v>0</v>
      </c>
      <c r="V204" s="1311">
        <v>0</v>
      </c>
      <c r="W204" s="1314">
        <v>0</v>
      </c>
      <c r="X204" s="1311">
        <v>0</v>
      </c>
      <c r="Y204" s="1540">
        <f>W204+U204+S204+Q204</f>
        <v>1.4999999999999999E-2</v>
      </c>
      <c r="Z204" s="1538">
        <f>X204+V204+T204+R204</f>
        <v>800000</v>
      </c>
      <c r="AA204" s="1539">
        <f t="shared" si="46"/>
        <v>0.28166666666666668</v>
      </c>
      <c r="AB204" s="1538">
        <f t="shared" si="46"/>
        <v>43369250</v>
      </c>
      <c r="AC204" s="1591">
        <f t="shared" si="49"/>
        <v>0.3520833333333333</v>
      </c>
      <c r="AD204" s="1574">
        <f t="shared" si="50"/>
        <v>8.1064018691588788E-2</v>
      </c>
      <c r="AE204" s="1314"/>
    </row>
    <row r="205" spans="1:31" s="1297" customFormat="1" ht="38.25" customHeight="1">
      <c r="A205" s="1300"/>
      <c r="B205" s="1300" t="s">
        <v>2391</v>
      </c>
      <c r="C205" s="1300">
        <v>1</v>
      </c>
      <c r="D205" s="1299" t="s">
        <v>66</v>
      </c>
      <c r="E205" s="1299" t="s">
        <v>65</v>
      </c>
      <c r="F205" s="1299" t="s">
        <v>401</v>
      </c>
      <c r="G205" s="1300"/>
      <c r="H205" s="1300"/>
      <c r="I205" s="1554" t="s">
        <v>2395</v>
      </c>
      <c r="J205" s="1626" t="s">
        <v>2396</v>
      </c>
      <c r="K205" s="1646">
        <f>SUM(K206:K208)/3</f>
        <v>0.91666666666666663</v>
      </c>
      <c r="L205" s="1598">
        <v>21607915700</v>
      </c>
      <c r="M205" s="1599">
        <f>SUM(M206:M208)/3</f>
        <v>0.30555555555555558</v>
      </c>
      <c r="N205" s="1558">
        <f>SUM(N206:N208)</f>
        <v>452445365</v>
      </c>
      <c r="O205" s="1599">
        <f>SUM(O206:O208)/3</f>
        <v>0.15277777777777779</v>
      </c>
      <c r="P205" s="1647">
        <f>SUM(P206:P208)</f>
        <v>3258002611</v>
      </c>
      <c r="Q205" s="1648">
        <v>3.5999999999999997E-2</v>
      </c>
      <c r="R205" s="1609">
        <f>SUM(R206:R208)</f>
        <v>12770000</v>
      </c>
      <c r="S205" s="1610">
        <v>0</v>
      </c>
      <c r="T205" s="1611">
        <f>SUM(T206:T208)</f>
        <v>0</v>
      </c>
      <c r="U205" s="1610">
        <v>0</v>
      </c>
      <c r="V205" s="1609">
        <f>SUM(V206:V208)</f>
        <v>0</v>
      </c>
      <c r="W205" s="1610">
        <v>0</v>
      </c>
      <c r="X205" s="1587">
        <f>SUM(X206:X208)</f>
        <v>0</v>
      </c>
      <c r="Y205" s="1588">
        <f>W205+U205+S205+Q205</f>
        <v>3.5999999999999997E-2</v>
      </c>
      <c r="Z205" s="1585">
        <f>SUM(Z206:Z208)</f>
        <v>12770000</v>
      </c>
      <c r="AA205" s="1600">
        <f t="shared" si="46"/>
        <v>0.34155555555555556</v>
      </c>
      <c r="AB205" s="1585">
        <f t="shared" si="46"/>
        <v>465215365</v>
      </c>
      <c r="AC205" s="1565">
        <f t="shared" si="49"/>
        <v>0.37260606060606061</v>
      </c>
      <c r="AD205" s="1560">
        <f t="shared" si="50"/>
        <v>2.152985838425869E-2</v>
      </c>
      <c r="AE205" s="1612" t="s">
        <v>2272</v>
      </c>
    </row>
    <row r="206" spans="1:31" s="1298" customFormat="1" ht="39.75" customHeight="1">
      <c r="A206" s="1314"/>
      <c r="B206" s="1314"/>
      <c r="C206" s="1314">
        <v>1</v>
      </c>
      <c r="D206" s="1534" t="s">
        <v>66</v>
      </c>
      <c r="E206" s="1534" t="s">
        <v>95</v>
      </c>
      <c r="F206" s="1534" t="s">
        <v>401</v>
      </c>
      <c r="G206" s="1534" t="s">
        <v>95</v>
      </c>
      <c r="H206" s="1534"/>
      <c r="I206" s="1568" t="s">
        <v>2397</v>
      </c>
      <c r="J206" s="1626" t="s">
        <v>2398</v>
      </c>
      <c r="K206" s="1521">
        <v>0.9</v>
      </c>
      <c r="L206" s="1569">
        <v>3587915700</v>
      </c>
      <c r="M206" s="1570">
        <f>(K206/6)*2</f>
        <v>0.3</v>
      </c>
      <c r="N206" s="1569">
        <v>339707787</v>
      </c>
      <c r="O206" s="1570">
        <f>M206/2</f>
        <v>0.15</v>
      </c>
      <c r="P206" s="1569">
        <v>126036522</v>
      </c>
      <c r="Q206" s="1536">
        <v>3.5999999999999997E-2</v>
      </c>
      <c r="R206" s="1311">
        <v>3525000</v>
      </c>
      <c r="S206" s="1314">
        <v>0</v>
      </c>
      <c r="T206" s="1311">
        <v>0</v>
      </c>
      <c r="U206" s="1314">
        <v>0</v>
      </c>
      <c r="V206" s="1311">
        <v>0</v>
      </c>
      <c r="W206" s="1314">
        <v>0</v>
      </c>
      <c r="X206" s="1311">
        <v>0</v>
      </c>
      <c r="Y206" s="1540">
        <f>W206+U206+S206+Q206</f>
        <v>3.5999999999999997E-2</v>
      </c>
      <c r="Z206" s="1538">
        <f>X206+V206+T206+R206</f>
        <v>3525000</v>
      </c>
      <c r="AA206" s="1539">
        <f t="shared" si="46"/>
        <v>0.33599999999999997</v>
      </c>
      <c r="AB206" s="1538">
        <f t="shared" si="46"/>
        <v>343232787</v>
      </c>
      <c r="AC206" s="1591">
        <f t="shared" si="49"/>
        <v>0.37333333333333329</v>
      </c>
      <c r="AD206" s="1574">
        <f t="shared" si="50"/>
        <v>9.5663559486640112E-2</v>
      </c>
      <c r="AE206" s="1314"/>
    </row>
    <row r="207" spans="1:31" s="1298" customFormat="1" ht="107.25" customHeight="1">
      <c r="A207" s="1314"/>
      <c r="B207" s="1314"/>
      <c r="C207" s="1314">
        <v>1</v>
      </c>
      <c r="D207" s="1534" t="s">
        <v>66</v>
      </c>
      <c r="E207" s="1534" t="s">
        <v>95</v>
      </c>
      <c r="F207" s="1534" t="s">
        <v>401</v>
      </c>
      <c r="G207" s="1534" t="s">
        <v>161</v>
      </c>
      <c r="H207" s="1534"/>
      <c r="I207" s="1568" t="s">
        <v>2399</v>
      </c>
      <c r="J207" s="786" t="s">
        <v>2400</v>
      </c>
      <c r="K207" s="1521">
        <v>0.95</v>
      </c>
      <c r="L207" s="1569">
        <v>520000000</v>
      </c>
      <c r="M207" s="1570">
        <f>(K207/6)*2</f>
        <v>0.31666666666666665</v>
      </c>
      <c r="N207" s="1569">
        <v>66437800</v>
      </c>
      <c r="O207" s="1570">
        <f>M207/2</f>
        <v>0.15833333333333333</v>
      </c>
      <c r="P207" s="1569">
        <v>33086089</v>
      </c>
      <c r="Q207" s="1536">
        <v>2.3E-2</v>
      </c>
      <c r="R207" s="1314">
        <v>0</v>
      </c>
      <c r="S207" s="1534">
        <v>0</v>
      </c>
      <c r="T207" s="1311">
        <v>0</v>
      </c>
      <c r="U207" s="1314">
        <v>0</v>
      </c>
      <c r="V207" s="1311">
        <v>0</v>
      </c>
      <c r="W207" s="1314">
        <v>0</v>
      </c>
      <c r="X207" s="1311">
        <v>0</v>
      </c>
      <c r="Y207" s="1540">
        <f t="shared" ref="Y207:Z210" si="55">W207+U207+S207+Q207</f>
        <v>2.3E-2</v>
      </c>
      <c r="Z207" s="1538">
        <f t="shared" si="55"/>
        <v>0</v>
      </c>
      <c r="AA207" s="1539">
        <f t="shared" si="46"/>
        <v>0.33966666666666667</v>
      </c>
      <c r="AB207" s="1538">
        <f t="shared" si="46"/>
        <v>66437800</v>
      </c>
      <c r="AC207" s="1591">
        <f t="shared" si="49"/>
        <v>0.35754385964912283</v>
      </c>
      <c r="AD207" s="1574">
        <f t="shared" si="50"/>
        <v>0.12776499999999999</v>
      </c>
      <c r="AE207" s="1314"/>
    </row>
    <row r="208" spans="1:31" s="1298" customFormat="1" ht="101.25" customHeight="1">
      <c r="A208" s="1314"/>
      <c r="B208" s="1314"/>
      <c r="C208" s="1314">
        <v>1</v>
      </c>
      <c r="D208" s="1534" t="s">
        <v>66</v>
      </c>
      <c r="E208" s="1534" t="s">
        <v>95</v>
      </c>
      <c r="F208" s="1534" t="s">
        <v>401</v>
      </c>
      <c r="G208" s="1534" t="s">
        <v>197</v>
      </c>
      <c r="H208" s="1534"/>
      <c r="I208" s="1568" t="s">
        <v>2401</v>
      </c>
      <c r="J208" s="786" t="s">
        <v>2402</v>
      </c>
      <c r="K208" s="1521">
        <v>0.9</v>
      </c>
      <c r="L208" s="1569">
        <v>17500000000</v>
      </c>
      <c r="M208" s="1570">
        <f>(K208/6)*2</f>
        <v>0.3</v>
      </c>
      <c r="N208" s="1569">
        <v>46299778</v>
      </c>
      <c r="O208" s="1570">
        <f>M208/2</f>
        <v>0.15</v>
      </c>
      <c r="P208" s="1569">
        <v>3098880000</v>
      </c>
      <c r="Q208" s="1536">
        <v>1.2999999999999999E-2</v>
      </c>
      <c r="R208" s="1311">
        <v>9245000</v>
      </c>
      <c r="S208" s="1314">
        <v>0</v>
      </c>
      <c r="T208" s="1314">
        <v>0</v>
      </c>
      <c r="U208" s="1314">
        <v>0</v>
      </c>
      <c r="V208" s="1311">
        <v>0</v>
      </c>
      <c r="W208" s="1314">
        <v>0</v>
      </c>
      <c r="X208" s="1311">
        <v>0</v>
      </c>
      <c r="Y208" s="1540">
        <f t="shared" si="55"/>
        <v>1.2999999999999999E-2</v>
      </c>
      <c r="Z208" s="1538">
        <f t="shared" si="55"/>
        <v>9245000</v>
      </c>
      <c r="AA208" s="1539">
        <f t="shared" si="46"/>
        <v>0.313</v>
      </c>
      <c r="AB208" s="1538">
        <f t="shared" si="46"/>
        <v>55544778</v>
      </c>
      <c r="AC208" s="1591">
        <f t="shared" si="49"/>
        <v>0.3477777777777778</v>
      </c>
      <c r="AD208" s="1574">
        <f t="shared" si="50"/>
        <v>3.1739873142857143E-3</v>
      </c>
      <c r="AE208" s="1314"/>
    </row>
    <row r="209" spans="1:31" s="1298" customFormat="1" ht="15" thickBot="1">
      <c r="A209" s="1314"/>
      <c r="B209" s="1314"/>
      <c r="C209" s="1314"/>
      <c r="D209" s="1314"/>
      <c r="E209" s="1314"/>
      <c r="F209" s="1314"/>
      <c r="G209" s="1314"/>
      <c r="H209" s="1314"/>
      <c r="I209" s="1579"/>
      <c r="J209" s="786"/>
      <c r="K209" s="786"/>
      <c r="L209" s="786"/>
      <c r="M209" s="1649"/>
      <c r="N209" s="786"/>
      <c r="O209" s="786"/>
      <c r="P209" s="786"/>
      <c r="Q209" s="1314"/>
      <c r="R209" s="1314"/>
      <c r="S209" s="1314"/>
      <c r="T209" s="1314"/>
      <c r="U209" s="1314"/>
      <c r="V209" s="1314"/>
      <c r="W209" s="1314"/>
      <c r="X209" s="1311"/>
      <c r="Y209" s="1540"/>
      <c r="Z209" s="1550"/>
      <c r="AA209" s="1539"/>
      <c r="AB209" s="1538"/>
      <c r="AC209" s="1615"/>
      <c r="AD209" s="1574"/>
      <c r="AE209" s="1314"/>
    </row>
    <row r="210" spans="1:31" s="1513" customFormat="1" ht="42.75" customHeight="1" thickBot="1">
      <c r="A210" s="1300"/>
      <c r="B210" s="1300" t="s">
        <v>2311</v>
      </c>
      <c r="C210" s="1300">
        <v>1</v>
      </c>
      <c r="D210" s="1299" t="s">
        <v>66</v>
      </c>
      <c r="E210" s="1299" t="s">
        <v>65</v>
      </c>
      <c r="F210" s="1299" t="s">
        <v>2403</v>
      </c>
      <c r="G210" s="1300"/>
      <c r="H210" s="1300"/>
      <c r="I210" s="1554" t="s">
        <v>2404</v>
      </c>
      <c r="J210" s="1555" t="s">
        <v>2405</v>
      </c>
      <c r="K210" s="1632">
        <v>0.7</v>
      </c>
      <c r="L210" s="1633">
        <v>3748186500</v>
      </c>
      <c r="M210" s="1650">
        <f>SUM(M211:M213)/3</f>
        <v>0.21666666666666665</v>
      </c>
      <c r="N210" s="1635">
        <f>SUM(N211:N213)</f>
        <v>323701947</v>
      </c>
      <c r="O210" s="1651">
        <f>SUM(O211:O214)/4</f>
        <v>0.13124999999999998</v>
      </c>
      <c r="P210" s="1635">
        <f>SUM(P211:P214)</f>
        <v>355653487</v>
      </c>
      <c r="Q210" s="1529">
        <f>SUM(Q211:Q214)/4</f>
        <v>2.325E-2</v>
      </c>
      <c r="R210" s="1530">
        <f>SUM(R211:R214)</f>
        <v>22555100</v>
      </c>
      <c r="S210" s="1300">
        <v>0</v>
      </c>
      <c r="T210" s="1527">
        <f>SUM(T211:T213)</f>
        <v>0</v>
      </c>
      <c r="U210" s="1300">
        <v>0</v>
      </c>
      <c r="V210" s="1530">
        <f>SUM(V211:V213)</f>
        <v>0</v>
      </c>
      <c r="W210" s="1300">
        <v>0</v>
      </c>
      <c r="X210" s="1527">
        <f>SUM(X211:X213)</f>
        <v>0</v>
      </c>
      <c r="Y210" s="1532">
        <f t="shared" si="55"/>
        <v>2.325E-2</v>
      </c>
      <c r="Z210" s="1530">
        <f>SUM(Z211:Z213)</f>
        <v>14063900</v>
      </c>
      <c r="AA210" s="1539">
        <f t="shared" si="46"/>
        <v>0.23991666666666664</v>
      </c>
      <c r="AB210" s="1530">
        <f t="shared" si="46"/>
        <v>337765847</v>
      </c>
      <c r="AC210" s="1628">
        <f t="shared" si="49"/>
        <v>0.34273809523809523</v>
      </c>
      <c r="AD210" s="1629">
        <f t="shared" si="50"/>
        <v>9.0114471891940273E-2</v>
      </c>
      <c r="AE210" s="1533" t="s">
        <v>2272</v>
      </c>
    </row>
    <row r="211" spans="1:31" s="1298" customFormat="1" ht="63.75">
      <c r="A211" s="1314"/>
      <c r="B211" s="1314"/>
      <c r="C211" s="1314">
        <v>1</v>
      </c>
      <c r="D211" s="1534" t="s">
        <v>66</v>
      </c>
      <c r="E211" s="1534" t="s">
        <v>65</v>
      </c>
      <c r="F211" s="1534" t="s">
        <v>2403</v>
      </c>
      <c r="G211" s="1534" t="s">
        <v>66</v>
      </c>
      <c r="H211" s="1534"/>
      <c r="I211" s="1652" t="s">
        <v>2406</v>
      </c>
      <c r="J211" s="786" t="s">
        <v>2407</v>
      </c>
      <c r="K211" s="1521">
        <v>0.6</v>
      </c>
      <c r="L211" s="1569">
        <v>1160902500</v>
      </c>
      <c r="M211" s="1570">
        <f>(K211/6)*2</f>
        <v>0.19999999999999998</v>
      </c>
      <c r="N211" s="1569">
        <v>87380250</v>
      </c>
      <c r="O211" s="1570">
        <f>M211/2</f>
        <v>9.9999999999999992E-2</v>
      </c>
      <c r="P211" s="1569">
        <v>135522627</v>
      </c>
      <c r="Q211" s="1536">
        <v>2.1000000000000001E-2</v>
      </c>
      <c r="R211" s="1311">
        <v>3410200</v>
      </c>
      <c r="S211" s="1314">
        <v>0</v>
      </c>
      <c r="T211" s="1311">
        <v>0</v>
      </c>
      <c r="U211" s="1314">
        <v>0</v>
      </c>
      <c r="V211" s="1311">
        <v>0</v>
      </c>
      <c r="W211" s="1314">
        <v>0</v>
      </c>
      <c r="X211" s="1311">
        <v>0</v>
      </c>
      <c r="Y211" s="1540">
        <f>W211+U211+S211+Q211</f>
        <v>2.1000000000000001E-2</v>
      </c>
      <c r="Z211" s="1311">
        <f>X211+V211+T211+R211</f>
        <v>3410200</v>
      </c>
      <c r="AA211" s="1539">
        <f t="shared" si="46"/>
        <v>0.22099999999999997</v>
      </c>
      <c r="AB211" s="1538">
        <f t="shared" si="46"/>
        <v>90790450</v>
      </c>
      <c r="AC211" s="1591">
        <f t="shared" si="49"/>
        <v>0.36833333333333329</v>
      </c>
      <c r="AD211" s="1574">
        <f t="shared" si="50"/>
        <v>7.8206783084712114E-2</v>
      </c>
      <c r="AE211" s="1314"/>
    </row>
    <row r="212" spans="1:31" s="1298" customFormat="1" ht="56.25" customHeight="1">
      <c r="A212" s="1314"/>
      <c r="B212" s="1314"/>
      <c r="C212" s="1314">
        <v>1</v>
      </c>
      <c r="D212" s="1534" t="s">
        <v>66</v>
      </c>
      <c r="E212" s="1534" t="s">
        <v>65</v>
      </c>
      <c r="F212" s="1534" t="s">
        <v>2403</v>
      </c>
      <c r="G212" s="1534" t="s">
        <v>196</v>
      </c>
      <c r="H212" s="1534"/>
      <c r="I212" s="1652" t="s">
        <v>2408</v>
      </c>
      <c r="J212" s="786" t="s">
        <v>2409</v>
      </c>
      <c r="K212" s="1521">
        <v>0.6</v>
      </c>
      <c r="L212" s="1569">
        <v>1475000000</v>
      </c>
      <c r="M212" s="1570">
        <f>(K212/6)*2</f>
        <v>0.19999999999999998</v>
      </c>
      <c r="N212" s="1569">
        <v>67584500</v>
      </c>
      <c r="O212" s="1570">
        <f>M212/2</f>
        <v>9.9999999999999992E-2</v>
      </c>
      <c r="P212" s="1569">
        <v>50893076</v>
      </c>
      <c r="Q212" s="1536">
        <v>2.5000000000000001E-2</v>
      </c>
      <c r="R212" s="1311">
        <v>7004700</v>
      </c>
      <c r="S212" s="1314">
        <v>0</v>
      </c>
      <c r="T212" s="1311">
        <v>0</v>
      </c>
      <c r="U212" s="1314">
        <v>0</v>
      </c>
      <c r="V212" s="1311">
        <v>0</v>
      </c>
      <c r="W212" s="1314">
        <v>0</v>
      </c>
      <c r="X212" s="1311">
        <v>0</v>
      </c>
      <c r="Y212" s="1540">
        <f t="shared" ref="Y212:Z214" si="56">W212+U212+S212+Q212</f>
        <v>2.5000000000000001E-2</v>
      </c>
      <c r="Z212" s="1311">
        <f t="shared" si="56"/>
        <v>7004700</v>
      </c>
      <c r="AA212" s="1539">
        <f t="shared" si="46"/>
        <v>0.22499999999999998</v>
      </c>
      <c r="AB212" s="1538">
        <f t="shared" si="46"/>
        <v>74589200</v>
      </c>
      <c r="AC212" s="1591">
        <f t="shared" si="49"/>
        <v>0.375</v>
      </c>
      <c r="AD212" s="1574">
        <f t="shared" si="50"/>
        <v>5.056894915254237E-2</v>
      </c>
      <c r="AE212" s="1314"/>
    </row>
    <row r="213" spans="1:31" s="1298" customFormat="1" ht="56.25" customHeight="1">
      <c r="A213" s="1314"/>
      <c r="B213" s="1314"/>
      <c r="C213" s="1314">
        <v>1</v>
      </c>
      <c r="D213" s="1534" t="s">
        <v>66</v>
      </c>
      <c r="E213" s="1534" t="s">
        <v>65</v>
      </c>
      <c r="F213" s="1534">
        <v>33</v>
      </c>
      <c r="G213" s="1534" t="s">
        <v>65</v>
      </c>
      <c r="H213" s="1534"/>
      <c r="I213" s="1652" t="s">
        <v>2410</v>
      </c>
      <c r="J213" s="786" t="s">
        <v>2411</v>
      </c>
      <c r="K213" s="1521">
        <v>0.75</v>
      </c>
      <c r="L213" s="1569">
        <v>647284000</v>
      </c>
      <c r="M213" s="1570">
        <f>(K213/6)*2</f>
        <v>0.25</v>
      </c>
      <c r="N213" s="1569">
        <v>168737197</v>
      </c>
      <c r="O213" s="1570">
        <f>M213/2</f>
        <v>0.125</v>
      </c>
      <c r="P213" s="1569">
        <v>96378306</v>
      </c>
      <c r="Q213" s="1536">
        <v>2.3E-2</v>
      </c>
      <c r="R213" s="1569">
        <v>3649000</v>
      </c>
      <c r="S213" s="786">
        <v>0</v>
      </c>
      <c r="T213" s="1569">
        <v>0</v>
      </c>
      <c r="U213" s="786">
        <v>0</v>
      </c>
      <c r="V213" s="1569">
        <v>0</v>
      </c>
      <c r="W213" s="786">
        <v>0</v>
      </c>
      <c r="X213" s="1569">
        <v>0</v>
      </c>
      <c r="Y213" s="1540">
        <f t="shared" si="56"/>
        <v>2.3E-2</v>
      </c>
      <c r="Z213" s="1311">
        <f t="shared" si="56"/>
        <v>3649000</v>
      </c>
      <c r="AA213" s="1539">
        <f t="shared" si="46"/>
        <v>0.27300000000000002</v>
      </c>
      <c r="AB213" s="1595">
        <f t="shared" si="46"/>
        <v>172386197</v>
      </c>
      <c r="AC213" s="1591">
        <f t="shared" si="49"/>
        <v>0.36400000000000005</v>
      </c>
      <c r="AD213" s="1574">
        <f t="shared" si="50"/>
        <v>0.26632235154893369</v>
      </c>
      <c r="AE213" s="786"/>
    </row>
    <row r="214" spans="1:31" s="1298" customFormat="1" ht="39" customHeight="1" thickBot="1">
      <c r="A214" s="1314"/>
      <c r="B214" s="1314"/>
      <c r="C214" s="1314">
        <v>1</v>
      </c>
      <c r="D214" s="1534" t="s">
        <v>66</v>
      </c>
      <c r="E214" s="1534" t="s">
        <v>65</v>
      </c>
      <c r="F214" s="1534">
        <v>33</v>
      </c>
      <c r="G214" s="1534" t="s">
        <v>95</v>
      </c>
      <c r="H214" s="1534"/>
      <c r="I214" s="1652" t="s">
        <v>2412</v>
      </c>
      <c r="J214" s="786" t="s">
        <v>2413</v>
      </c>
      <c r="K214" s="1521">
        <v>1</v>
      </c>
      <c r="L214" s="1569">
        <v>465000000</v>
      </c>
      <c r="M214" s="1649"/>
      <c r="N214" s="1569"/>
      <c r="O214" s="1570">
        <f>K214/5</f>
        <v>0.2</v>
      </c>
      <c r="P214" s="1569">
        <v>72859478</v>
      </c>
      <c r="Q214" s="1536">
        <v>2.4E-2</v>
      </c>
      <c r="R214" s="1569">
        <v>8491200</v>
      </c>
      <c r="S214" s="786"/>
      <c r="T214" s="1569"/>
      <c r="U214" s="786"/>
      <c r="V214" s="1569"/>
      <c r="W214" s="786"/>
      <c r="X214" s="1569"/>
      <c r="Y214" s="1540">
        <f t="shared" si="56"/>
        <v>2.4E-2</v>
      </c>
      <c r="Z214" s="1311">
        <f t="shared" si="56"/>
        <v>8491200</v>
      </c>
      <c r="AA214" s="1539">
        <f t="shared" si="46"/>
        <v>2.4E-2</v>
      </c>
      <c r="AB214" s="1595">
        <f t="shared" si="46"/>
        <v>8491200</v>
      </c>
      <c r="AC214" s="1591">
        <f t="shared" si="49"/>
        <v>2.4E-2</v>
      </c>
      <c r="AD214" s="1574">
        <f t="shared" si="50"/>
        <v>1.8260645161290324E-2</v>
      </c>
      <c r="AE214" s="786"/>
    </row>
    <row r="215" spans="1:31" s="1298" customFormat="1" ht="64.5" customHeight="1" thickBot="1">
      <c r="A215" s="1314"/>
      <c r="B215" s="1300" t="s">
        <v>2268</v>
      </c>
      <c r="C215" s="1534" t="s">
        <v>65</v>
      </c>
      <c r="D215" s="1314">
        <v>1</v>
      </c>
      <c r="E215" s="1534" t="s">
        <v>66</v>
      </c>
      <c r="F215" s="1534" t="s">
        <v>65</v>
      </c>
      <c r="G215" s="1314">
        <v>38</v>
      </c>
      <c r="H215" s="1314"/>
      <c r="I215" s="1554" t="s">
        <v>2414</v>
      </c>
      <c r="J215" s="1555" t="s">
        <v>2415</v>
      </c>
      <c r="K215" s="1653">
        <v>0.9</v>
      </c>
      <c r="L215" s="1642">
        <v>86500000000</v>
      </c>
      <c r="M215" s="1653">
        <f>M216</f>
        <v>0.3</v>
      </c>
      <c r="N215" s="1635">
        <v>4430025584</v>
      </c>
      <c r="O215" s="1653">
        <f>O216</f>
        <v>0.15</v>
      </c>
      <c r="P215" s="1635">
        <f t="shared" ref="P215:V215" si="57">P216</f>
        <v>3000000000</v>
      </c>
      <c r="Q215" s="1654">
        <f t="shared" si="57"/>
        <v>2.5000000000000001E-2</v>
      </c>
      <c r="R215" s="846">
        <f t="shared" si="57"/>
        <v>0</v>
      </c>
      <c r="S215" s="846">
        <f t="shared" si="57"/>
        <v>0</v>
      </c>
      <c r="T215" s="846">
        <f t="shared" si="57"/>
        <v>0</v>
      </c>
      <c r="U215" s="846">
        <f t="shared" si="57"/>
        <v>0</v>
      </c>
      <c r="V215" s="846">
        <f t="shared" si="57"/>
        <v>0</v>
      </c>
      <c r="W215" s="846">
        <v>0</v>
      </c>
      <c r="X215" s="1635">
        <f>X216</f>
        <v>0</v>
      </c>
      <c r="Y215" s="1654">
        <f>Y216</f>
        <v>2.5000000000000001E-2</v>
      </c>
      <c r="Z215" s="1642">
        <f>Z216</f>
        <v>0</v>
      </c>
      <c r="AA215" s="1546">
        <f t="shared" si="46"/>
        <v>0.32500000000000001</v>
      </c>
      <c r="AB215" s="1642">
        <f t="shared" si="46"/>
        <v>4430025584</v>
      </c>
      <c r="AC215" s="1628">
        <f t="shared" si="49"/>
        <v>0.3611111111111111</v>
      </c>
      <c r="AD215" s="1629">
        <f t="shared" si="50"/>
        <v>5.1214168601156067E-2</v>
      </c>
      <c r="AE215" s="1314"/>
    </row>
    <row r="216" spans="1:31" s="1514" customFormat="1" ht="51.75" thickBot="1">
      <c r="A216" s="1614"/>
      <c r="B216" s="1614"/>
      <c r="C216" s="1614">
        <v>1</v>
      </c>
      <c r="D216" s="2052" t="s">
        <v>66</v>
      </c>
      <c r="E216" s="2052" t="s">
        <v>65</v>
      </c>
      <c r="F216" s="1614">
        <v>16</v>
      </c>
      <c r="G216" s="2052" t="s">
        <v>2403</v>
      </c>
      <c r="H216" s="2052"/>
      <c r="I216" s="2053" t="s">
        <v>2416</v>
      </c>
      <c r="J216" s="1645" t="s">
        <v>2415</v>
      </c>
      <c r="K216" s="2054">
        <v>0.9</v>
      </c>
      <c r="L216" s="2055">
        <f>L215</f>
        <v>86500000000</v>
      </c>
      <c r="M216" s="2056">
        <f>(K216/6)*2</f>
        <v>0.3</v>
      </c>
      <c r="N216" s="2055">
        <v>4430025584</v>
      </c>
      <c r="O216" s="2056">
        <f>M216/2</f>
        <v>0.15</v>
      </c>
      <c r="P216" s="2055">
        <v>3000000000</v>
      </c>
      <c r="Q216" s="2057">
        <v>2.5000000000000001E-2</v>
      </c>
      <c r="R216" s="1614">
        <v>0</v>
      </c>
      <c r="S216" s="1614"/>
      <c r="T216" s="1614">
        <v>0</v>
      </c>
      <c r="U216" s="1614">
        <v>0</v>
      </c>
      <c r="V216" s="2055">
        <v>0</v>
      </c>
      <c r="W216" s="1614">
        <v>0</v>
      </c>
      <c r="X216" s="2055">
        <v>0</v>
      </c>
      <c r="Y216" s="2057">
        <f>W216+U216+S216+Q216</f>
        <v>2.5000000000000001E-2</v>
      </c>
      <c r="Z216" s="2058">
        <f>X216+V216+T216+R216</f>
        <v>0</v>
      </c>
      <c r="AA216" s="2059">
        <f t="shared" si="46"/>
        <v>0.32500000000000001</v>
      </c>
      <c r="AB216" s="2058">
        <f t="shared" si="46"/>
        <v>4430025584</v>
      </c>
      <c r="AC216" s="2060">
        <f t="shared" si="49"/>
        <v>0.3611111111111111</v>
      </c>
      <c r="AD216" s="2061">
        <f t="shared" si="50"/>
        <v>5.1214168601156067E-2</v>
      </c>
      <c r="AE216" s="1614"/>
    </row>
    <row r="217" spans="1:31" s="2068" customFormat="1" ht="15" customHeight="1" thickBot="1">
      <c r="A217" s="1655"/>
      <c r="B217" s="1655"/>
      <c r="C217" s="1655"/>
      <c r="D217" s="1655"/>
      <c r="E217" s="1655"/>
      <c r="F217" s="1655"/>
      <c r="G217" s="1655"/>
      <c r="H217" s="1655"/>
      <c r="I217" s="4331" t="s">
        <v>2417</v>
      </c>
      <c r="J217" s="4331"/>
      <c r="K217" s="4331"/>
      <c r="L217" s="4331"/>
      <c r="M217" s="4331"/>
      <c r="N217" s="4331"/>
      <c r="O217" s="4331"/>
      <c r="P217" s="4332"/>
      <c r="Q217" s="2065">
        <f>(Q215+Q210+Q205+Q203+Q198+Q190+Q184+Q176+Q166+Q161+Q155+Q149+Q143+Q139+Q136+Q118)/16</f>
        <v>2.2295535714285712E-2</v>
      </c>
      <c r="R217" s="2066">
        <f>R215+R210+R205+R203+R198+R190+R184+R176+R166+R161+R155+R149+R143+R139+R118</f>
        <v>587962704</v>
      </c>
      <c r="S217" s="1657"/>
      <c r="T217" s="1657"/>
      <c r="U217" s="1657"/>
      <c r="V217" s="1657"/>
      <c r="W217" s="1657"/>
      <c r="X217" s="1657"/>
      <c r="Y217" s="2067"/>
      <c r="Z217" s="1655"/>
      <c r="AA217" s="1655"/>
      <c r="AB217" s="1655"/>
      <c r="AC217" s="1655"/>
      <c r="AD217" s="1655"/>
      <c r="AE217" s="1658"/>
    </row>
    <row r="218" spans="1:31" s="1298" customFormat="1" ht="15" customHeight="1" thickBot="1">
      <c r="A218" s="2069"/>
      <c r="B218" s="4333"/>
      <c r="C218" s="4333"/>
      <c r="D218" s="4333"/>
      <c r="E218" s="4333"/>
      <c r="F218" s="4333"/>
      <c r="G218" s="4333"/>
      <c r="H218" s="4333"/>
      <c r="I218" s="4333"/>
      <c r="J218" s="4333"/>
      <c r="K218" s="4333"/>
      <c r="L218" s="4333"/>
      <c r="M218" s="4333"/>
      <c r="N218" s="4333"/>
      <c r="O218" s="4333"/>
      <c r="P218" s="4334"/>
      <c r="Q218" s="2062"/>
      <c r="R218" s="2062"/>
      <c r="S218" s="2062"/>
      <c r="T218" s="2062"/>
      <c r="U218" s="2062"/>
      <c r="V218" s="2062"/>
      <c r="W218" s="2062"/>
      <c r="X218" s="2062"/>
      <c r="Y218" s="2063"/>
      <c r="Z218" s="1656"/>
      <c r="AA218" s="1656"/>
      <c r="AB218" s="1656"/>
      <c r="AC218" s="1656"/>
      <c r="AD218" s="1656"/>
      <c r="AE218" s="2064"/>
    </row>
    <row r="219" spans="1:31" ht="11.25" customHeight="1" thickBot="1">
      <c r="A219" s="2070"/>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382"/>
      <c r="Z219" s="56"/>
      <c r="AA219" s="56"/>
      <c r="AB219" s="56"/>
      <c r="AC219" s="56"/>
      <c r="AD219" s="56"/>
      <c r="AE219" s="56"/>
    </row>
    <row r="220" spans="1:31" s="69" customFormat="1" ht="38.25">
      <c r="A220" s="2072">
        <v>3</v>
      </c>
      <c r="B220" s="67"/>
      <c r="C220" s="67"/>
      <c r="D220" s="67"/>
      <c r="E220" s="67"/>
      <c r="F220" s="67"/>
      <c r="G220" s="67"/>
      <c r="H220" s="67"/>
      <c r="I220" s="68" t="s">
        <v>117</v>
      </c>
      <c r="J220" s="67"/>
      <c r="K220" s="67"/>
      <c r="L220" s="67"/>
      <c r="M220" s="67"/>
      <c r="N220" s="67"/>
      <c r="O220" s="67"/>
      <c r="P220" s="67"/>
      <c r="Q220" s="67"/>
      <c r="R220" s="67"/>
      <c r="S220" s="67"/>
      <c r="T220" s="67"/>
      <c r="U220" s="67"/>
      <c r="V220" s="67"/>
      <c r="W220" s="67"/>
      <c r="X220" s="67"/>
      <c r="Y220" s="366"/>
      <c r="Z220" s="67"/>
      <c r="AA220" s="67"/>
      <c r="AB220" s="67"/>
      <c r="AC220" s="67"/>
      <c r="AD220" s="67"/>
      <c r="AE220" s="67"/>
    </row>
    <row r="221" spans="1:31" s="145" customFormat="1" ht="39" customHeight="1">
      <c r="A221" s="753">
        <v>1</v>
      </c>
      <c r="B221" s="384"/>
      <c r="C221" s="1905" t="s">
        <v>196</v>
      </c>
      <c r="D221" s="1905" t="s">
        <v>66</v>
      </c>
      <c r="E221" s="1905" t="s">
        <v>66</v>
      </c>
      <c r="F221" s="1905"/>
      <c r="G221" s="1905"/>
      <c r="H221" s="383"/>
      <c r="I221" s="383" t="s">
        <v>1662</v>
      </c>
      <c r="J221" s="618" t="s">
        <v>1038</v>
      </c>
      <c r="K221" s="1190">
        <v>1</v>
      </c>
      <c r="L221" s="1191">
        <f>SUM(L222:L232)</f>
        <v>2410969494</v>
      </c>
      <c r="M221" s="1192">
        <v>1</v>
      </c>
      <c r="N221" s="628">
        <f>SUM(N222:N232)</f>
        <v>1455088534</v>
      </c>
      <c r="O221" s="1192" t="s">
        <v>1663</v>
      </c>
      <c r="P221" s="628">
        <f>SUM(P222:P232)</f>
        <v>1489764570.5</v>
      </c>
      <c r="Q221" s="1193">
        <f>SUM(Q222:Q232)/11</f>
        <v>0.15636363636363637</v>
      </c>
      <c r="R221" s="1194">
        <f>SUM(R222:R232)</f>
        <v>197781177</v>
      </c>
      <c r="S221" s="1193"/>
      <c r="T221" s="1194"/>
      <c r="U221" s="1193"/>
      <c r="V221" s="1194"/>
      <c r="W221" s="1193"/>
      <c r="X221" s="1194"/>
      <c r="Y221" s="1195">
        <f t="shared" ref="Y221:Z232" si="58">Q221+S221+U221+W221</f>
        <v>0.15636363636363637</v>
      </c>
      <c r="Z221" s="1196">
        <f t="shared" si="58"/>
        <v>197781177</v>
      </c>
      <c r="AA221" s="1195">
        <f t="shared" ref="AA221:AB232" si="59">M221+Y221</f>
        <v>1.1563636363636363</v>
      </c>
      <c r="AB221" s="1196">
        <f t="shared" si="59"/>
        <v>1652869711</v>
      </c>
      <c r="AC221" s="1195">
        <f t="shared" ref="AC221:AD232" si="60">AA221/K221*100%</f>
        <v>1.1563636363636363</v>
      </c>
      <c r="AD221" s="1197">
        <f>(AB221/L221)*100%</f>
        <v>0.68556226659581287</v>
      </c>
      <c r="AE221" s="1198" t="s">
        <v>1664</v>
      </c>
    </row>
    <row r="222" spans="1:31" s="494" customFormat="1" ht="24" customHeight="1">
      <c r="A222" s="384"/>
      <c r="B222" s="384"/>
      <c r="C222" s="421" t="s">
        <v>196</v>
      </c>
      <c r="D222" s="421" t="s">
        <v>66</v>
      </c>
      <c r="E222" s="421" t="s">
        <v>66</v>
      </c>
      <c r="F222" s="1199" t="s">
        <v>65</v>
      </c>
      <c r="G222" s="1199"/>
      <c r="H222" s="1199"/>
      <c r="I222" s="1200" t="s">
        <v>195</v>
      </c>
      <c r="J222" s="384" t="s">
        <v>1665</v>
      </c>
      <c r="K222" s="591">
        <v>1</v>
      </c>
      <c r="L222" s="590">
        <v>423636480</v>
      </c>
      <c r="M222" s="591">
        <v>1</v>
      </c>
      <c r="N222" s="590">
        <v>269145011</v>
      </c>
      <c r="O222" s="1201" t="s">
        <v>1663</v>
      </c>
      <c r="P222" s="590">
        <v>303100000</v>
      </c>
      <c r="Q222" s="1195">
        <v>0.25</v>
      </c>
      <c r="R222" s="590">
        <v>23844293</v>
      </c>
      <c r="S222" s="1195"/>
      <c r="T222" s="1196"/>
      <c r="U222" s="1195"/>
      <c r="V222" s="1202"/>
      <c r="W222" s="1195"/>
      <c r="X222" s="1202"/>
      <c r="Y222" s="1195">
        <f t="shared" si="58"/>
        <v>0.25</v>
      </c>
      <c r="Z222" s="1203">
        <f>R222+T222+V222+X222</f>
        <v>23844293</v>
      </c>
      <c r="AA222" s="1195">
        <f t="shared" si="59"/>
        <v>1.25</v>
      </c>
      <c r="AB222" s="1196">
        <f>N222+Z222</f>
        <v>292989304</v>
      </c>
      <c r="AC222" s="1195">
        <f t="shared" si="60"/>
        <v>1.25</v>
      </c>
      <c r="AD222" s="1204">
        <f>(AB222/L222)*100%</f>
        <v>0.6916054632500015</v>
      </c>
      <c r="AE222" s="384"/>
    </row>
    <row r="223" spans="1:31" s="494" customFormat="1" ht="41.25" customHeight="1">
      <c r="A223" s="384"/>
      <c r="B223" s="384"/>
      <c r="C223" s="421" t="s">
        <v>196</v>
      </c>
      <c r="D223" s="421" t="s">
        <v>66</v>
      </c>
      <c r="E223" s="421" t="s">
        <v>66</v>
      </c>
      <c r="F223" s="1199" t="s">
        <v>161</v>
      </c>
      <c r="G223" s="1199"/>
      <c r="H223" s="1199"/>
      <c r="I223" s="1200" t="s">
        <v>1666</v>
      </c>
      <c r="J223" s="384" t="s">
        <v>1667</v>
      </c>
      <c r="K223" s="591">
        <v>1</v>
      </c>
      <c r="L223" s="590">
        <v>54033736</v>
      </c>
      <c r="M223" s="591">
        <v>1</v>
      </c>
      <c r="N223" s="590">
        <v>36458586</v>
      </c>
      <c r="O223" s="1201" t="s">
        <v>1668</v>
      </c>
      <c r="P223" s="590">
        <v>11513211.5</v>
      </c>
      <c r="Q223" s="1195">
        <v>0.05</v>
      </c>
      <c r="R223" s="590">
        <v>0</v>
      </c>
      <c r="S223" s="1195"/>
      <c r="T223" s="1202"/>
      <c r="U223" s="1195"/>
      <c r="V223" s="1202"/>
      <c r="W223" s="1195"/>
      <c r="X223" s="1202"/>
      <c r="Y223" s="1195">
        <f t="shared" si="58"/>
        <v>0.05</v>
      </c>
      <c r="Z223" s="1205">
        <f t="shared" si="58"/>
        <v>0</v>
      </c>
      <c r="AA223" s="1195">
        <f t="shared" si="59"/>
        <v>1.05</v>
      </c>
      <c r="AB223" s="1196">
        <f t="shared" si="59"/>
        <v>36458586</v>
      </c>
      <c r="AC223" s="1195">
        <f t="shared" si="60"/>
        <v>1.05</v>
      </c>
      <c r="AD223" s="1204">
        <f t="shared" si="60"/>
        <v>0.67473746401692458</v>
      </c>
      <c r="AE223" s="384"/>
    </row>
    <row r="224" spans="1:31" s="494" customFormat="1" ht="43.5" customHeight="1">
      <c r="A224" s="384"/>
      <c r="B224" s="384"/>
      <c r="C224" s="421" t="s">
        <v>196</v>
      </c>
      <c r="D224" s="421" t="s">
        <v>66</v>
      </c>
      <c r="E224" s="421" t="s">
        <v>66</v>
      </c>
      <c r="F224" s="1199" t="s">
        <v>198</v>
      </c>
      <c r="G224" s="1199"/>
      <c r="H224" s="1199"/>
      <c r="I224" s="1200" t="s">
        <v>199</v>
      </c>
      <c r="J224" s="384" t="s">
        <v>1669</v>
      </c>
      <c r="K224" s="591">
        <v>1</v>
      </c>
      <c r="L224" s="590">
        <v>534055680</v>
      </c>
      <c r="M224" s="591">
        <v>1</v>
      </c>
      <c r="N224" s="590">
        <v>299800000</v>
      </c>
      <c r="O224" s="1201" t="s">
        <v>1663</v>
      </c>
      <c r="P224" s="590">
        <v>366250000</v>
      </c>
      <c r="Q224" s="1195">
        <v>0.2</v>
      </c>
      <c r="R224" s="590">
        <v>62800000</v>
      </c>
      <c r="S224" s="1195"/>
      <c r="T224" s="1196"/>
      <c r="U224" s="1195"/>
      <c r="V224" s="1202"/>
      <c r="W224" s="1195"/>
      <c r="X224" s="1202"/>
      <c r="Y224" s="1195">
        <f t="shared" si="58"/>
        <v>0.2</v>
      </c>
      <c r="Z224" s="1203">
        <f t="shared" si="58"/>
        <v>62800000</v>
      </c>
      <c r="AA224" s="1195">
        <f t="shared" si="59"/>
        <v>1.2</v>
      </c>
      <c r="AB224" s="1196">
        <f t="shared" si="59"/>
        <v>362600000</v>
      </c>
      <c r="AC224" s="1195">
        <f t="shared" si="60"/>
        <v>1.2</v>
      </c>
      <c r="AD224" s="1204">
        <f t="shared" si="60"/>
        <v>0.678955422775393</v>
      </c>
      <c r="AE224" s="384"/>
    </row>
    <row r="225" spans="1:31" s="494" customFormat="1" ht="39.75" customHeight="1">
      <c r="A225" s="384"/>
      <c r="B225" s="384"/>
      <c r="C225" s="421" t="s">
        <v>196</v>
      </c>
      <c r="D225" s="421" t="s">
        <v>66</v>
      </c>
      <c r="E225" s="421" t="s">
        <v>66</v>
      </c>
      <c r="F225" s="1199" t="s">
        <v>93</v>
      </c>
      <c r="G225" s="1199"/>
      <c r="H225" s="1199"/>
      <c r="I225" s="1200" t="s">
        <v>200</v>
      </c>
      <c r="J225" s="384" t="s">
        <v>1670</v>
      </c>
      <c r="K225" s="591">
        <v>1</v>
      </c>
      <c r="L225" s="590">
        <v>305916134</v>
      </c>
      <c r="M225" s="591">
        <v>1</v>
      </c>
      <c r="N225" s="590">
        <v>216429000</v>
      </c>
      <c r="O225" s="1201" t="s">
        <v>1668</v>
      </c>
      <c r="P225" s="590">
        <v>204750000</v>
      </c>
      <c r="Q225" s="1195">
        <v>0.02</v>
      </c>
      <c r="R225" s="590">
        <v>0</v>
      </c>
      <c r="S225" s="1195"/>
      <c r="T225" s="1202"/>
      <c r="U225" s="1195"/>
      <c r="V225" s="1202"/>
      <c r="W225" s="1195"/>
      <c r="X225" s="1202"/>
      <c r="Y225" s="1195">
        <f t="shared" si="58"/>
        <v>0.02</v>
      </c>
      <c r="Z225" s="1205">
        <f t="shared" si="58"/>
        <v>0</v>
      </c>
      <c r="AA225" s="1195">
        <f t="shared" si="59"/>
        <v>1.02</v>
      </c>
      <c r="AB225" s="1196">
        <f t="shared" si="59"/>
        <v>216429000</v>
      </c>
      <c r="AC225" s="1195">
        <f t="shared" si="60"/>
        <v>1.02</v>
      </c>
      <c r="AD225" s="1204">
        <f t="shared" si="60"/>
        <v>0.70747821362046892</v>
      </c>
      <c r="AE225" s="384"/>
    </row>
    <row r="226" spans="1:31" s="494" customFormat="1" ht="36.75" customHeight="1">
      <c r="A226" s="384"/>
      <c r="B226" s="384"/>
      <c r="C226" s="421" t="s">
        <v>196</v>
      </c>
      <c r="D226" s="421" t="s">
        <v>66</v>
      </c>
      <c r="E226" s="421" t="s">
        <v>66</v>
      </c>
      <c r="F226" s="421">
        <v>10</v>
      </c>
      <c r="G226" s="421"/>
      <c r="H226" s="421"/>
      <c r="I226" s="1200" t="s">
        <v>203</v>
      </c>
      <c r="J226" s="384" t="s">
        <v>1671</v>
      </c>
      <c r="K226" s="591">
        <v>1</v>
      </c>
      <c r="L226" s="590">
        <v>72572981</v>
      </c>
      <c r="M226" s="591">
        <v>1</v>
      </c>
      <c r="N226" s="590">
        <v>34993344</v>
      </c>
      <c r="O226" s="1201" t="s">
        <v>1668</v>
      </c>
      <c r="P226" s="590">
        <v>23653236</v>
      </c>
      <c r="Q226" s="1195">
        <v>0.2</v>
      </c>
      <c r="R226" s="590">
        <v>12255644</v>
      </c>
      <c r="S226" s="1206"/>
      <c r="T226" s="1202"/>
      <c r="U226" s="1195"/>
      <c r="V226" s="1202"/>
      <c r="W226" s="1195"/>
      <c r="X226" s="1202"/>
      <c r="Y226" s="1195">
        <f t="shared" si="58"/>
        <v>0.2</v>
      </c>
      <c r="Z226" s="1203">
        <f t="shared" si="58"/>
        <v>12255644</v>
      </c>
      <c r="AA226" s="1195">
        <f t="shared" si="59"/>
        <v>1.2</v>
      </c>
      <c r="AB226" s="1196">
        <f t="shared" si="59"/>
        <v>47248988</v>
      </c>
      <c r="AC226" s="1195">
        <f t="shared" si="60"/>
        <v>1.2</v>
      </c>
      <c r="AD226" s="1204">
        <f t="shared" si="60"/>
        <v>0.6510548050933721</v>
      </c>
      <c r="AE226" s="384"/>
    </row>
    <row r="227" spans="1:31" s="494" customFormat="1" ht="38.25">
      <c r="A227" s="384"/>
      <c r="B227" s="384"/>
      <c r="C227" s="421" t="s">
        <v>196</v>
      </c>
      <c r="D227" s="421" t="s">
        <v>66</v>
      </c>
      <c r="E227" s="421" t="s">
        <v>66</v>
      </c>
      <c r="F227" s="421">
        <v>11</v>
      </c>
      <c r="G227" s="421"/>
      <c r="H227" s="421"/>
      <c r="I227" s="1200" t="s">
        <v>204</v>
      </c>
      <c r="J227" s="384" t="s">
        <v>1672</v>
      </c>
      <c r="K227" s="591">
        <v>1</v>
      </c>
      <c r="L227" s="590">
        <v>89202125</v>
      </c>
      <c r="M227" s="591">
        <v>1</v>
      </c>
      <c r="N227" s="590">
        <v>32225200</v>
      </c>
      <c r="O227" s="1201" t="s">
        <v>1668</v>
      </c>
      <c r="P227" s="590">
        <v>42404123</v>
      </c>
      <c r="Q227" s="1195">
        <v>0.15</v>
      </c>
      <c r="R227" s="590">
        <v>11773365</v>
      </c>
      <c r="S227" s="1195"/>
      <c r="T227" s="1202"/>
      <c r="U227" s="1195"/>
      <c r="V227" s="1202"/>
      <c r="W227" s="1195"/>
      <c r="X227" s="1202"/>
      <c r="Y227" s="1195">
        <f t="shared" si="58"/>
        <v>0.15</v>
      </c>
      <c r="Z227" s="1203">
        <f t="shared" si="58"/>
        <v>11773365</v>
      </c>
      <c r="AA227" s="1195">
        <f t="shared" si="59"/>
        <v>1.1499999999999999</v>
      </c>
      <c r="AB227" s="1196">
        <f t="shared" si="59"/>
        <v>43998565</v>
      </c>
      <c r="AC227" s="1195">
        <f t="shared" si="60"/>
        <v>1.1499999999999999</v>
      </c>
      <c r="AD227" s="1204">
        <f t="shared" si="60"/>
        <v>0.49324570462867334</v>
      </c>
      <c r="AE227" s="384"/>
    </row>
    <row r="228" spans="1:31" s="494" customFormat="1" ht="51">
      <c r="A228" s="384"/>
      <c r="B228" s="384"/>
      <c r="C228" s="421" t="s">
        <v>196</v>
      </c>
      <c r="D228" s="421" t="s">
        <v>66</v>
      </c>
      <c r="E228" s="421" t="s">
        <v>66</v>
      </c>
      <c r="F228" s="421">
        <v>12</v>
      </c>
      <c r="G228" s="421"/>
      <c r="H228" s="421"/>
      <c r="I228" s="1200" t="s">
        <v>205</v>
      </c>
      <c r="J228" s="384" t="s">
        <v>1673</v>
      </c>
      <c r="K228" s="591">
        <v>1</v>
      </c>
      <c r="L228" s="590">
        <v>10355558</v>
      </c>
      <c r="M228" s="591">
        <v>1</v>
      </c>
      <c r="N228" s="590">
        <v>4953000</v>
      </c>
      <c r="O228" s="1201" t="s">
        <v>1668</v>
      </c>
      <c r="P228" s="590">
        <v>4994000</v>
      </c>
      <c r="Q228" s="1195">
        <v>0.05</v>
      </c>
      <c r="R228" s="590">
        <v>0</v>
      </c>
      <c r="S228" s="1195"/>
      <c r="T228" s="1207"/>
      <c r="U228" s="1195"/>
      <c r="V228" s="1202"/>
      <c r="W228" s="1195"/>
      <c r="X228" s="1202"/>
      <c r="Y228" s="1195">
        <f t="shared" si="58"/>
        <v>0.05</v>
      </c>
      <c r="Z228" s="1205">
        <f t="shared" si="58"/>
        <v>0</v>
      </c>
      <c r="AA228" s="1195">
        <f t="shared" si="59"/>
        <v>1.05</v>
      </c>
      <c r="AB228" s="1196">
        <f t="shared" si="59"/>
        <v>4953000</v>
      </c>
      <c r="AC228" s="1195">
        <f t="shared" si="60"/>
        <v>1.05</v>
      </c>
      <c r="AD228" s="1204">
        <f t="shared" si="60"/>
        <v>0.47829387851432054</v>
      </c>
      <c r="AE228" s="384"/>
    </row>
    <row r="229" spans="1:31" s="494" customFormat="1" ht="43.5" customHeight="1">
      <c r="A229" s="384"/>
      <c r="B229" s="384"/>
      <c r="C229" s="421" t="s">
        <v>196</v>
      </c>
      <c r="D229" s="421" t="s">
        <v>66</v>
      </c>
      <c r="E229" s="421" t="s">
        <v>66</v>
      </c>
      <c r="F229" s="421">
        <v>13</v>
      </c>
      <c r="G229" s="421"/>
      <c r="H229" s="421"/>
      <c r="I229" s="1200" t="s">
        <v>1674</v>
      </c>
      <c r="J229" s="384" t="s">
        <v>1675</v>
      </c>
      <c r="K229" s="591">
        <v>1</v>
      </c>
      <c r="L229" s="590">
        <v>107827200</v>
      </c>
      <c r="M229" s="591">
        <v>1</v>
      </c>
      <c r="N229" s="590">
        <v>135820000</v>
      </c>
      <c r="O229" s="1201" t="s">
        <v>1668</v>
      </c>
      <c r="P229" s="590">
        <v>91250000</v>
      </c>
      <c r="Q229" s="591">
        <v>0.25</v>
      </c>
      <c r="R229" s="590">
        <v>0</v>
      </c>
      <c r="S229" s="1195"/>
      <c r="T229" s="1202"/>
      <c r="U229" s="1195"/>
      <c r="V229" s="1202"/>
      <c r="W229" s="1195"/>
      <c r="X229" s="1202"/>
      <c r="Y229" s="1195">
        <f t="shared" si="58"/>
        <v>0.25</v>
      </c>
      <c r="Z229" s="1203">
        <f>R229+T229+V229+X229</f>
        <v>0</v>
      </c>
      <c r="AA229" s="1195">
        <f t="shared" si="59"/>
        <v>1.25</v>
      </c>
      <c r="AB229" s="1196">
        <f t="shared" si="59"/>
        <v>135820000</v>
      </c>
      <c r="AC229" s="1195">
        <f t="shared" si="60"/>
        <v>1.25</v>
      </c>
      <c r="AD229" s="1204">
        <f t="shared" si="60"/>
        <v>1.2596079653371319</v>
      </c>
      <c r="AE229" s="384"/>
    </row>
    <row r="230" spans="1:31" s="494" customFormat="1" ht="38.25" customHeight="1">
      <c r="A230" s="384"/>
      <c r="B230" s="384"/>
      <c r="C230" s="421" t="s">
        <v>196</v>
      </c>
      <c r="D230" s="421" t="s">
        <v>66</v>
      </c>
      <c r="E230" s="421" t="s">
        <v>66</v>
      </c>
      <c r="F230" s="421">
        <v>17</v>
      </c>
      <c r="G230" s="421"/>
      <c r="H230" s="421"/>
      <c r="I230" s="1200" t="s">
        <v>206</v>
      </c>
      <c r="J230" s="384" t="s">
        <v>1676</v>
      </c>
      <c r="K230" s="591">
        <v>1</v>
      </c>
      <c r="L230" s="590">
        <v>146748672</v>
      </c>
      <c r="M230" s="591">
        <v>1</v>
      </c>
      <c r="N230" s="590">
        <v>63825500</v>
      </c>
      <c r="O230" s="1201" t="s">
        <v>1668</v>
      </c>
      <c r="P230" s="590">
        <v>78750000</v>
      </c>
      <c r="Q230" s="1195">
        <v>0.2</v>
      </c>
      <c r="R230" s="590">
        <v>19277500</v>
      </c>
      <c r="S230" s="1195"/>
      <c r="T230" s="1196"/>
      <c r="U230" s="1195"/>
      <c r="V230" s="1202"/>
      <c r="W230" s="1195"/>
      <c r="X230" s="1202"/>
      <c r="Y230" s="1195">
        <f t="shared" si="58"/>
        <v>0.2</v>
      </c>
      <c r="Z230" s="1203">
        <f t="shared" si="58"/>
        <v>19277500</v>
      </c>
      <c r="AA230" s="1195">
        <f t="shared" si="59"/>
        <v>1.2</v>
      </c>
      <c r="AB230" s="1196">
        <f t="shared" si="59"/>
        <v>83103000</v>
      </c>
      <c r="AC230" s="1195">
        <f t="shared" si="60"/>
        <v>1.2</v>
      </c>
      <c r="AD230" s="1204">
        <f t="shared" si="60"/>
        <v>0.5662947328068495</v>
      </c>
      <c r="AE230" s="384"/>
    </row>
    <row r="231" spans="1:31" s="494" customFormat="1" ht="38.25">
      <c r="A231" s="384"/>
      <c r="B231" s="384"/>
      <c r="C231" s="421" t="s">
        <v>196</v>
      </c>
      <c r="D231" s="421" t="s">
        <v>66</v>
      </c>
      <c r="E231" s="421" t="s">
        <v>66</v>
      </c>
      <c r="F231" s="421">
        <v>18</v>
      </c>
      <c r="G231" s="421"/>
      <c r="H231" s="421"/>
      <c r="I231" s="1200" t="s">
        <v>207</v>
      </c>
      <c r="J231" s="384" t="s">
        <v>1677</v>
      </c>
      <c r="K231" s="591">
        <v>1</v>
      </c>
      <c r="L231" s="590">
        <v>442112256</v>
      </c>
      <c r="M231" s="591">
        <v>1</v>
      </c>
      <c r="N231" s="590">
        <v>258513643</v>
      </c>
      <c r="O231" s="1201" t="s">
        <v>1668</v>
      </c>
      <c r="P231" s="590">
        <v>285500000</v>
      </c>
      <c r="Q231" s="1195">
        <v>0.1</v>
      </c>
      <c r="R231" s="590">
        <v>44671375</v>
      </c>
      <c r="S231" s="1195"/>
      <c r="T231" s="1202"/>
      <c r="U231" s="1195"/>
      <c r="V231" s="1202"/>
      <c r="W231" s="1195"/>
      <c r="X231" s="1202"/>
      <c r="Y231" s="1195">
        <f t="shared" si="58"/>
        <v>0.1</v>
      </c>
      <c r="Z231" s="1203">
        <f t="shared" si="58"/>
        <v>44671375</v>
      </c>
      <c r="AA231" s="1195">
        <f t="shared" si="59"/>
        <v>1.1000000000000001</v>
      </c>
      <c r="AB231" s="1196">
        <f t="shared" si="59"/>
        <v>303185018</v>
      </c>
      <c r="AC231" s="1195">
        <f t="shared" si="60"/>
        <v>1.1000000000000001</v>
      </c>
      <c r="AD231" s="1204">
        <f t="shared" si="60"/>
        <v>0.68576478911274519</v>
      </c>
      <c r="AE231" s="384"/>
    </row>
    <row r="232" spans="1:31" s="494" customFormat="1" ht="38.25">
      <c r="A232" s="384"/>
      <c r="B232" s="384"/>
      <c r="C232" s="421" t="s">
        <v>196</v>
      </c>
      <c r="D232" s="421" t="s">
        <v>66</v>
      </c>
      <c r="E232" s="421" t="s">
        <v>66</v>
      </c>
      <c r="F232" s="421">
        <v>20</v>
      </c>
      <c r="G232" s="421"/>
      <c r="H232" s="421"/>
      <c r="I232" s="1200" t="s">
        <v>208</v>
      </c>
      <c r="J232" s="384" t="s">
        <v>1678</v>
      </c>
      <c r="K232" s="591">
        <v>1</v>
      </c>
      <c r="L232" s="590">
        <v>224508672</v>
      </c>
      <c r="M232" s="591">
        <v>1</v>
      </c>
      <c r="N232" s="590">
        <v>102925250</v>
      </c>
      <c r="O232" s="1201" t="s">
        <v>1668</v>
      </c>
      <c r="P232" s="590">
        <v>77600000</v>
      </c>
      <c r="Q232" s="1195">
        <v>0.25</v>
      </c>
      <c r="R232" s="590">
        <v>23159000</v>
      </c>
      <c r="S232" s="1195"/>
      <c r="T232" s="1202"/>
      <c r="U232" s="1195"/>
      <c r="V232" s="1202"/>
      <c r="W232" s="1195"/>
      <c r="X232" s="1202"/>
      <c r="Y232" s="1195">
        <f t="shared" si="58"/>
        <v>0.25</v>
      </c>
      <c r="Z232" s="1203">
        <f t="shared" si="58"/>
        <v>23159000</v>
      </c>
      <c r="AA232" s="1195">
        <f t="shared" si="59"/>
        <v>1.25</v>
      </c>
      <c r="AB232" s="1196">
        <f t="shared" si="59"/>
        <v>126084250</v>
      </c>
      <c r="AC232" s="1195">
        <f t="shared" si="60"/>
        <v>1.25</v>
      </c>
      <c r="AD232" s="1204">
        <f t="shared" si="60"/>
        <v>0.56160080088131292</v>
      </c>
      <c r="AE232" s="384"/>
    </row>
    <row r="233" spans="1:31" s="494" customFormat="1">
      <c r="A233" s="384"/>
      <c r="B233" s="384"/>
      <c r="C233" s="421"/>
      <c r="D233" s="421"/>
      <c r="E233" s="421"/>
      <c r="F233" s="384"/>
      <c r="G233" s="384"/>
      <c r="H233" s="384"/>
      <c r="I233" s="1200"/>
      <c r="J233" s="384"/>
      <c r="K233" s="591"/>
      <c r="L233" s="590"/>
      <c r="M233" s="591"/>
      <c r="N233" s="590"/>
      <c r="O233" s="1201"/>
      <c r="P233" s="590"/>
      <c r="Q233" s="1195"/>
      <c r="R233" s="590"/>
      <c r="S233" s="1195"/>
      <c r="T233" s="1202"/>
      <c r="U233" s="1195"/>
      <c r="V233" s="1202"/>
      <c r="W233" s="1195"/>
      <c r="X233" s="1202"/>
      <c r="Y233" s="1195"/>
      <c r="Z233" s="1203"/>
      <c r="AA233" s="1195"/>
      <c r="AB233" s="1196"/>
      <c r="AC233" s="591"/>
      <c r="AD233" s="1197"/>
      <c r="AE233" s="384"/>
    </row>
    <row r="234" spans="1:31" s="494" customFormat="1" ht="20.25" customHeight="1">
      <c r="A234" s="4335" t="s">
        <v>89</v>
      </c>
      <c r="B234" s="4335"/>
      <c r="C234" s="4335"/>
      <c r="D234" s="4335"/>
      <c r="E234" s="4335"/>
      <c r="F234" s="4335"/>
      <c r="G234" s="4335"/>
      <c r="H234" s="4335"/>
      <c r="I234" s="4335"/>
      <c r="J234" s="4335"/>
      <c r="K234" s="4335"/>
      <c r="L234" s="4335"/>
      <c r="M234" s="4335"/>
      <c r="N234" s="4335"/>
      <c r="O234" s="4335"/>
      <c r="P234" s="4335"/>
      <c r="Q234" s="4335"/>
      <c r="R234" s="4335"/>
      <c r="S234" s="4335"/>
      <c r="T234" s="4335"/>
      <c r="U234" s="4335"/>
      <c r="V234" s="4335"/>
      <c r="W234" s="4335"/>
      <c r="X234" s="4335"/>
      <c r="Y234" s="4335"/>
      <c r="Z234" s="4335"/>
      <c r="AA234" s="4335"/>
      <c r="AB234" s="4335"/>
      <c r="AC234" s="1195">
        <f>AVERAGE(AC222:AC232)</f>
        <v>1.156363636363636</v>
      </c>
      <c r="AD234" s="1195">
        <f>AD221</f>
        <v>0.68556226659581287</v>
      </c>
      <c r="AE234" s="384"/>
    </row>
    <row r="235" spans="1:31" s="494" customFormat="1">
      <c r="A235" s="4335" t="s">
        <v>1679</v>
      </c>
      <c r="B235" s="4335"/>
      <c r="C235" s="4335"/>
      <c r="D235" s="4335"/>
      <c r="E235" s="4335"/>
      <c r="F235" s="4335"/>
      <c r="G235" s="4335"/>
      <c r="H235" s="4335"/>
      <c r="I235" s="4335"/>
      <c r="J235" s="4335"/>
      <c r="K235" s="4335"/>
      <c r="L235" s="4335"/>
      <c r="M235" s="4335"/>
      <c r="N235" s="4335"/>
      <c r="O235" s="4335"/>
      <c r="P235" s="4335"/>
      <c r="Q235" s="4335"/>
      <c r="R235" s="4335"/>
      <c r="S235" s="4335"/>
      <c r="T235" s="4335"/>
      <c r="U235" s="4335"/>
      <c r="V235" s="4335"/>
      <c r="W235" s="4335"/>
      <c r="X235" s="4335"/>
      <c r="Y235" s="4335"/>
      <c r="Z235" s="4335"/>
      <c r="AA235" s="4335"/>
      <c r="AB235" s="4335"/>
      <c r="AC235" s="384"/>
      <c r="AD235" s="384"/>
      <c r="AE235" s="384"/>
    </row>
    <row r="236" spans="1:31" s="145" customFormat="1" ht="72" customHeight="1">
      <c r="A236" s="753">
        <v>2</v>
      </c>
      <c r="B236" s="383" t="s">
        <v>1680</v>
      </c>
      <c r="C236" s="1905" t="s">
        <v>196</v>
      </c>
      <c r="D236" s="1905" t="s">
        <v>66</v>
      </c>
      <c r="E236" s="1905" t="s">
        <v>65</v>
      </c>
      <c r="F236" s="1905"/>
      <c r="G236" s="1905"/>
      <c r="H236" s="383"/>
      <c r="I236" s="383" t="s">
        <v>1681</v>
      </c>
      <c r="J236" s="618" t="s">
        <v>1682</v>
      </c>
      <c r="K236" s="1208">
        <v>1</v>
      </c>
      <c r="L236" s="692">
        <f>SUM(L237:L254)</f>
        <v>15403888517</v>
      </c>
      <c r="M236" s="1209">
        <v>1</v>
      </c>
      <c r="N236" s="1210">
        <f>SUM(N237:N254)</f>
        <v>19004593188</v>
      </c>
      <c r="O236" s="1209">
        <v>1</v>
      </c>
      <c r="P236" s="1211">
        <f>SUM(P237:P254)</f>
        <v>30190456641.5</v>
      </c>
      <c r="Q236" s="1212">
        <v>0.25</v>
      </c>
      <c r="R236" s="1213">
        <f>R237+R238+R244+R245+R246+R253+R254</f>
        <v>7282475546</v>
      </c>
      <c r="S236" s="1212"/>
      <c r="T236" s="1210"/>
      <c r="U236" s="1212"/>
      <c r="V236" s="1210"/>
      <c r="W236" s="1212"/>
      <c r="X236" s="1210"/>
      <c r="Y236" s="1214">
        <f t="shared" ref="Y236:Z238" si="61">Q236+S236+U236+W236</f>
        <v>0.25</v>
      </c>
      <c r="Z236" s="1215">
        <f t="shared" si="61"/>
        <v>7282475546</v>
      </c>
      <c r="AA236" s="1212">
        <f t="shared" ref="AA236:AB251" si="62">M236+Y236</f>
        <v>1.25</v>
      </c>
      <c r="AB236" s="1211">
        <f t="shared" si="62"/>
        <v>26287068734</v>
      </c>
      <c r="AC236" s="1214">
        <f t="shared" ref="AC236:AD251" si="63">AA236/K236*100%</f>
        <v>1.25</v>
      </c>
      <c r="AD236" s="1216">
        <f t="shared" si="63"/>
        <v>1.7065216166027903</v>
      </c>
      <c r="AE236" s="1198" t="s">
        <v>1664</v>
      </c>
    </row>
    <row r="237" spans="1:31" s="494" customFormat="1" ht="57.75" customHeight="1">
      <c r="A237" s="384"/>
      <c r="B237" s="384"/>
      <c r="C237" s="421" t="s">
        <v>196</v>
      </c>
      <c r="D237" s="595" t="s">
        <v>66</v>
      </c>
      <c r="E237" s="595" t="s">
        <v>65</v>
      </c>
      <c r="F237" s="421" t="s">
        <v>196</v>
      </c>
      <c r="G237" s="421"/>
      <c r="H237" s="421"/>
      <c r="I237" s="1200" t="s">
        <v>1683</v>
      </c>
      <c r="J237" s="384" t="s">
        <v>1684</v>
      </c>
      <c r="K237" s="591">
        <v>0.22700000000000001</v>
      </c>
      <c r="L237" s="1202">
        <v>6000000000</v>
      </c>
      <c r="M237" s="591">
        <v>1</v>
      </c>
      <c r="N237" s="590">
        <v>14247940816</v>
      </c>
      <c r="O237" s="1217" t="s">
        <v>1685</v>
      </c>
      <c r="P237" s="590">
        <v>25683396269</v>
      </c>
      <c r="Q237" s="1195">
        <v>0.3</v>
      </c>
      <c r="R237" s="590">
        <v>7218230143</v>
      </c>
      <c r="S237" s="1195"/>
      <c r="T237" s="1196"/>
      <c r="U237" s="1195"/>
      <c r="V237" s="1202"/>
      <c r="W237" s="1195"/>
      <c r="X237" s="1202"/>
      <c r="Y237" s="1195">
        <f t="shared" si="61"/>
        <v>0.3</v>
      </c>
      <c r="Z237" s="1196">
        <f t="shared" si="61"/>
        <v>7218230143</v>
      </c>
      <c r="AA237" s="1195">
        <f t="shared" si="62"/>
        <v>1.3</v>
      </c>
      <c r="AB237" s="1196">
        <f t="shared" si="62"/>
        <v>21466170959</v>
      </c>
      <c r="AC237" s="1195">
        <f t="shared" si="63"/>
        <v>5.7268722466960353</v>
      </c>
      <c r="AD237" s="1204">
        <f t="shared" si="63"/>
        <v>3.5776951598333335</v>
      </c>
      <c r="AE237" s="1906" t="s">
        <v>1686</v>
      </c>
    </row>
    <row r="238" spans="1:31" s="494" customFormat="1" ht="30.75" customHeight="1">
      <c r="A238" s="384"/>
      <c r="B238" s="384"/>
      <c r="C238" s="421" t="s">
        <v>196</v>
      </c>
      <c r="D238" s="595" t="s">
        <v>66</v>
      </c>
      <c r="E238" s="595" t="s">
        <v>65</v>
      </c>
      <c r="F238" s="1218">
        <v>120</v>
      </c>
      <c r="G238" s="1218"/>
      <c r="H238" s="421"/>
      <c r="I238" s="1200" t="s">
        <v>1687</v>
      </c>
      <c r="J238" s="384" t="s">
        <v>1688</v>
      </c>
      <c r="K238" s="591">
        <v>1</v>
      </c>
      <c r="L238" s="1202">
        <v>700000000</v>
      </c>
      <c r="M238" s="591">
        <v>1</v>
      </c>
      <c r="N238" s="590">
        <v>533629460</v>
      </c>
      <c r="O238" s="1201" t="s">
        <v>1689</v>
      </c>
      <c r="P238" s="590">
        <v>310032879</v>
      </c>
      <c r="Q238" s="1195">
        <v>0</v>
      </c>
      <c r="R238" s="590">
        <v>1515928</v>
      </c>
      <c r="S238" s="1195"/>
      <c r="T238" s="1196"/>
      <c r="U238" s="1195"/>
      <c r="V238" s="1202"/>
      <c r="W238" s="1195"/>
      <c r="X238" s="1202"/>
      <c r="Y238" s="1195">
        <f t="shared" si="61"/>
        <v>0</v>
      </c>
      <c r="Z238" s="1196">
        <f t="shared" si="61"/>
        <v>1515928</v>
      </c>
      <c r="AA238" s="1195">
        <f t="shared" si="62"/>
        <v>1</v>
      </c>
      <c r="AB238" s="1196">
        <f t="shared" si="62"/>
        <v>535145388</v>
      </c>
      <c r="AC238" s="1195">
        <f t="shared" si="63"/>
        <v>1</v>
      </c>
      <c r="AD238" s="1204">
        <f t="shared" si="63"/>
        <v>0.76449341142857141</v>
      </c>
      <c r="AE238" s="384"/>
    </row>
    <row r="239" spans="1:31" s="494" customFormat="1" ht="38.25">
      <c r="A239" s="384"/>
      <c r="B239" s="384"/>
      <c r="C239" s="421" t="s">
        <v>196</v>
      </c>
      <c r="D239" s="595" t="s">
        <v>66</v>
      </c>
      <c r="E239" s="595" t="s">
        <v>65</v>
      </c>
      <c r="F239" s="421">
        <v>111</v>
      </c>
      <c r="G239" s="421"/>
      <c r="H239" s="384"/>
      <c r="I239" s="1200" t="s">
        <v>1690</v>
      </c>
      <c r="J239" s="384" t="s">
        <v>1691</v>
      </c>
      <c r="K239" s="591">
        <v>1</v>
      </c>
      <c r="L239" s="1202">
        <v>500000000</v>
      </c>
      <c r="M239" s="591">
        <v>1</v>
      </c>
      <c r="N239" s="590">
        <v>439677820</v>
      </c>
      <c r="O239" s="1217"/>
      <c r="P239" s="590"/>
      <c r="Q239" s="1195"/>
      <c r="R239" s="590"/>
      <c r="S239" s="1195"/>
      <c r="T239" s="1196"/>
      <c r="U239" s="1195"/>
      <c r="V239" s="1202"/>
      <c r="W239" s="1195"/>
      <c r="X239" s="1202"/>
      <c r="Y239" s="1195"/>
      <c r="Z239" s="1196"/>
      <c r="AA239" s="1195">
        <f t="shared" si="62"/>
        <v>1</v>
      </c>
      <c r="AB239" s="1196">
        <f t="shared" si="62"/>
        <v>439677820</v>
      </c>
      <c r="AC239" s="1195">
        <f t="shared" si="63"/>
        <v>1</v>
      </c>
      <c r="AD239" s="1204">
        <f t="shared" si="63"/>
        <v>0.87935563999999999</v>
      </c>
      <c r="AE239" s="384"/>
    </row>
    <row r="240" spans="1:31" s="494" customFormat="1" ht="25.5">
      <c r="A240" s="384"/>
      <c r="B240" s="384"/>
      <c r="C240" s="421" t="s">
        <v>196</v>
      </c>
      <c r="D240" s="595" t="s">
        <v>66</v>
      </c>
      <c r="E240" s="595" t="s">
        <v>65</v>
      </c>
      <c r="F240" s="421">
        <v>112</v>
      </c>
      <c r="G240" s="421"/>
      <c r="H240" s="384"/>
      <c r="I240" s="1200" t="s">
        <v>1692</v>
      </c>
      <c r="J240" s="384"/>
      <c r="K240" s="591">
        <v>1</v>
      </c>
      <c r="L240" s="1202">
        <v>200000000</v>
      </c>
      <c r="M240" s="591">
        <v>1</v>
      </c>
      <c r="N240" s="590">
        <v>199361640</v>
      </c>
      <c r="O240" s="1201"/>
      <c r="P240" s="590"/>
      <c r="Q240" s="1195"/>
      <c r="R240" s="590"/>
      <c r="S240" s="1195"/>
      <c r="T240" s="1196"/>
      <c r="U240" s="1195"/>
      <c r="V240" s="1202"/>
      <c r="W240" s="1195"/>
      <c r="X240" s="1202"/>
      <c r="Y240" s="1195"/>
      <c r="Z240" s="1196"/>
      <c r="AA240" s="1195">
        <f t="shared" si="62"/>
        <v>1</v>
      </c>
      <c r="AB240" s="1196">
        <f t="shared" si="62"/>
        <v>199361640</v>
      </c>
      <c r="AC240" s="1195">
        <f t="shared" si="63"/>
        <v>1</v>
      </c>
      <c r="AD240" s="1204">
        <f t="shared" si="63"/>
        <v>0.99680820000000003</v>
      </c>
      <c r="AE240" s="384"/>
    </row>
    <row r="241" spans="1:32" s="494" customFormat="1" ht="30.75" customHeight="1">
      <c r="A241" s="384"/>
      <c r="B241" s="384"/>
      <c r="C241" s="421" t="s">
        <v>196</v>
      </c>
      <c r="D241" s="595" t="s">
        <v>66</v>
      </c>
      <c r="E241" s="595" t="s">
        <v>65</v>
      </c>
      <c r="F241" s="421">
        <v>113</v>
      </c>
      <c r="G241" s="421"/>
      <c r="H241" s="384"/>
      <c r="I241" s="1200" t="s">
        <v>1693</v>
      </c>
      <c r="J241" s="384"/>
      <c r="K241" s="591">
        <v>1</v>
      </c>
      <c r="L241" s="1202">
        <v>200000000</v>
      </c>
      <c r="M241" s="591">
        <v>1</v>
      </c>
      <c r="N241" s="590">
        <v>199508140</v>
      </c>
      <c r="O241" s="1201"/>
      <c r="P241" s="590"/>
      <c r="Q241" s="1195"/>
      <c r="R241" s="590"/>
      <c r="S241" s="1195"/>
      <c r="T241" s="1196"/>
      <c r="U241" s="1195"/>
      <c r="V241" s="1202"/>
      <c r="W241" s="1195"/>
      <c r="X241" s="1202"/>
      <c r="Y241" s="1195"/>
      <c r="Z241" s="1196"/>
      <c r="AA241" s="1195">
        <f t="shared" si="62"/>
        <v>1</v>
      </c>
      <c r="AB241" s="1196">
        <f t="shared" si="62"/>
        <v>199508140</v>
      </c>
      <c r="AC241" s="1195">
        <f t="shared" si="63"/>
        <v>1</v>
      </c>
      <c r="AD241" s="1204">
        <f t="shared" si="63"/>
        <v>0.99754069999999995</v>
      </c>
      <c r="AE241" s="384"/>
    </row>
    <row r="242" spans="1:32" s="494" customFormat="1" ht="29.25" customHeight="1">
      <c r="A242" s="384"/>
      <c r="B242" s="384"/>
      <c r="C242" s="421" t="s">
        <v>196</v>
      </c>
      <c r="D242" s="595" t="s">
        <v>66</v>
      </c>
      <c r="E242" s="595" t="s">
        <v>65</v>
      </c>
      <c r="F242" s="421">
        <v>114</v>
      </c>
      <c r="G242" s="421"/>
      <c r="H242" s="384"/>
      <c r="I242" s="1200" t="s">
        <v>1694</v>
      </c>
      <c r="J242" s="384"/>
      <c r="K242" s="591">
        <v>1</v>
      </c>
      <c r="L242" s="1202">
        <v>200000000</v>
      </c>
      <c r="M242" s="591">
        <v>1</v>
      </c>
      <c r="N242" s="590">
        <v>199478140</v>
      </c>
      <c r="O242" s="1217"/>
      <c r="P242" s="590"/>
      <c r="Q242" s="1195"/>
      <c r="R242" s="590"/>
      <c r="S242" s="1195"/>
      <c r="T242" s="1196"/>
      <c r="U242" s="1195"/>
      <c r="V242" s="1202"/>
      <c r="W242" s="1195"/>
      <c r="X242" s="1202"/>
      <c r="Y242" s="1195"/>
      <c r="Z242" s="1196"/>
      <c r="AA242" s="1195">
        <f t="shared" si="62"/>
        <v>1</v>
      </c>
      <c r="AB242" s="1196">
        <f t="shared" si="62"/>
        <v>199478140</v>
      </c>
      <c r="AC242" s="1195">
        <f t="shared" si="63"/>
        <v>1</v>
      </c>
      <c r="AD242" s="1204">
        <f t="shared" si="63"/>
        <v>0.99739069999999996</v>
      </c>
      <c r="AE242" s="384"/>
    </row>
    <row r="243" spans="1:32" s="494" customFormat="1" ht="29.25" customHeight="1">
      <c r="A243" s="384"/>
      <c r="B243" s="384"/>
      <c r="C243" s="421" t="s">
        <v>196</v>
      </c>
      <c r="D243" s="595" t="s">
        <v>66</v>
      </c>
      <c r="E243" s="595" t="s">
        <v>65</v>
      </c>
      <c r="F243" s="421">
        <v>115</v>
      </c>
      <c r="G243" s="421"/>
      <c r="H243" s="384"/>
      <c r="I243" s="1200" t="s">
        <v>1695</v>
      </c>
      <c r="J243" s="384" t="s">
        <v>1696</v>
      </c>
      <c r="K243" s="591">
        <v>1</v>
      </c>
      <c r="L243" s="1202">
        <v>351350000</v>
      </c>
      <c r="M243" s="591">
        <v>1</v>
      </c>
      <c r="N243" s="590">
        <v>346643459</v>
      </c>
      <c r="O243" s="1217"/>
      <c r="P243" s="590"/>
      <c r="Q243" s="384"/>
      <c r="R243" s="590"/>
      <c r="S243" s="591"/>
      <c r="T243" s="1196"/>
      <c r="U243" s="1195"/>
      <c r="V243" s="1202"/>
      <c r="W243" s="1195"/>
      <c r="X243" s="1202"/>
      <c r="Y243" s="1195"/>
      <c r="Z243" s="1196"/>
      <c r="AA243" s="1195">
        <f t="shared" si="62"/>
        <v>1</v>
      </c>
      <c r="AB243" s="1196">
        <f t="shared" si="62"/>
        <v>346643459</v>
      </c>
      <c r="AC243" s="1195">
        <f t="shared" si="63"/>
        <v>1</v>
      </c>
      <c r="AD243" s="1204">
        <f t="shared" si="63"/>
        <v>0.98660440870926425</v>
      </c>
      <c r="AE243" s="384"/>
    </row>
    <row r="244" spans="1:32" s="494" customFormat="1" ht="38.25">
      <c r="A244" s="384"/>
      <c r="B244" s="384"/>
      <c r="C244" s="421" t="s">
        <v>196</v>
      </c>
      <c r="D244" s="595" t="s">
        <v>66</v>
      </c>
      <c r="E244" s="595" t="s">
        <v>65</v>
      </c>
      <c r="F244" s="421">
        <v>24</v>
      </c>
      <c r="G244" s="421"/>
      <c r="H244" s="421"/>
      <c r="I244" s="1200" t="s">
        <v>1697</v>
      </c>
      <c r="J244" s="384" t="s">
        <v>1698</v>
      </c>
      <c r="K244" s="591">
        <v>1</v>
      </c>
      <c r="L244" s="1202">
        <v>162436608</v>
      </c>
      <c r="M244" s="1219">
        <v>1</v>
      </c>
      <c r="N244" s="681">
        <v>129297327</v>
      </c>
      <c r="O244" s="1220" t="s">
        <v>1663</v>
      </c>
      <c r="P244" s="681">
        <v>139192000.5</v>
      </c>
      <c r="Q244" s="1214">
        <v>0.25</v>
      </c>
      <c r="R244" s="681">
        <v>22242136</v>
      </c>
      <c r="S244" s="1214"/>
      <c r="T244" s="1221"/>
      <c r="U244" s="1214"/>
      <c r="V244" s="1221"/>
      <c r="W244" s="1214"/>
      <c r="X244" s="1221"/>
      <c r="Y244" s="1214">
        <v>0</v>
      </c>
      <c r="Z244" s="1215">
        <v>0</v>
      </c>
      <c r="AA244" s="1214">
        <v>0</v>
      </c>
      <c r="AB244" s="1215">
        <f t="shared" si="62"/>
        <v>129297327</v>
      </c>
      <c r="AC244" s="1195">
        <f t="shared" si="63"/>
        <v>0</v>
      </c>
      <c r="AD244" s="1204">
        <f t="shared" si="63"/>
        <v>0.79598637642076353</v>
      </c>
      <c r="AE244" s="634"/>
      <c r="AF244" s="656"/>
    </row>
    <row r="245" spans="1:32" s="494" customFormat="1" ht="38.25">
      <c r="A245" s="384"/>
      <c r="B245" s="384"/>
      <c r="C245" s="421" t="s">
        <v>196</v>
      </c>
      <c r="D245" s="595" t="s">
        <v>66</v>
      </c>
      <c r="E245" s="595" t="s">
        <v>65</v>
      </c>
      <c r="F245" s="421">
        <v>28</v>
      </c>
      <c r="G245" s="421"/>
      <c r="H245" s="421"/>
      <c r="I245" s="1200" t="s">
        <v>1699</v>
      </c>
      <c r="J245" s="384" t="s">
        <v>1700</v>
      </c>
      <c r="K245" s="591">
        <v>1</v>
      </c>
      <c r="L245" s="1202">
        <v>36403379</v>
      </c>
      <c r="M245" s="1219">
        <v>1</v>
      </c>
      <c r="N245" s="681">
        <v>17660000</v>
      </c>
      <c r="O245" s="1219">
        <v>1</v>
      </c>
      <c r="P245" s="681">
        <v>25600000</v>
      </c>
      <c r="Q245" s="1214">
        <v>0.25</v>
      </c>
      <c r="R245" s="681">
        <v>1940000</v>
      </c>
      <c r="S245" s="1214"/>
      <c r="T245" s="1221"/>
      <c r="U245" s="1214"/>
      <c r="V245" s="1221"/>
      <c r="W245" s="1214"/>
      <c r="X245" s="1221"/>
      <c r="Y245" s="1214">
        <v>0</v>
      </c>
      <c r="Z245" s="1215">
        <v>0</v>
      </c>
      <c r="AA245" s="1214">
        <v>0</v>
      </c>
      <c r="AB245" s="1215">
        <f t="shared" si="62"/>
        <v>17660000</v>
      </c>
      <c r="AC245" s="1195">
        <f t="shared" si="63"/>
        <v>0</v>
      </c>
      <c r="AD245" s="1204">
        <f t="shared" si="63"/>
        <v>0.48511980165357727</v>
      </c>
      <c r="AE245" s="634"/>
      <c r="AF245" s="656"/>
    </row>
    <row r="246" spans="1:32" s="494" customFormat="1" ht="25.5">
      <c r="A246" s="384"/>
      <c r="B246" s="384"/>
      <c r="C246" s="421" t="s">
        <v>196</v>
      </c>
      <c r="D246" s="595" t="s">
        <v>66</v>
      </c>
      <c r="E246" s="595" t="s">
        <v>65</v>
      </c>
      <c r="F246" s="421">
        <v>22</v>
      </c>
      <c r="G246" s="421"/>
      <c r="H246" s="421"/>
      <c r="I246" s="1200" t="s">
        <v>1701</v>
      </c>
      <c r="J246" s="384" t="s">
        <v>1702</v>
      </c>
      <c r="K246" s="591">
        <v>1</v>
      </c>
      <c r="L246" s="1202">
        <v>60775312</v>
      </c>
      <c r="M246" s="1219">
        <v>1</v>
      </c>
      <c r="N246" s="681">
        <v>49697670</v>
      </c>
      <c r="O246" s="1219">
        <v>1</v>
      </c>
      <c r="P246" s="681">
        <v>48389770</v>
      </c>
      <c r="Q246" s="1214">
        <v>0.45</v>
      </c>
      <c r="R246" s="681">
        <v>24693000</v>
      </c>
      <c r="S246" s="1214"/>
      <c r="T246" s="1221"/>
      <c r="U246" s="1214"/>
      <c r="V246" s="1221"/>
      <c r="W246" s="1219"/>
      <c r="X246" s="1221"/>
      <c r="Y246" s="1214">
        <v>0</v>
      </c>
      <c r="Z246" s="1215">
        <v>0</v>
      </c>
      <c r="AA246" s="1214">
        <v>0</v>
      </c>
      <c r="AB246" s="1215">
        <f t="shared" si="62"/>
        <v>49697670</v>
      </c>
      <c r="AC246" s="1195">
        <f t="shared" si="63"/>
        <v>0</v>
      </c>
      <c r="AD246" s="1204">
        <f t="shared" si="63"/>
        <v>0.81772792873527334</v>
      </c>
      <c r="AE246" s="634"/>
      <c r="AF246" s="656"/>
    </row>
    <row r="247" spans="1:32" s="494" customFormat="1" ht="94.5" customHeight="1">
      <c r="A247" s="384"/>
      <c r="B247" s="384"/>
      <c r="C247" s="421" t="s">
        <v>196</v>
      </c>
      <c r="D247" s="595" t="s">
        <v>66</v>
      </c>
      <c r="E247" s="595" t="s">
        <v>65</v>
      </c>
      <c r="F247" s="421">
        <v>116</v>
      </c>
      <c r="G247" s="421"/>
      <c r="H247" s="384"/>
      <c r="I247" s="1222" t="s">
        <v>1703</v>
      </c>
      <c r="J247" s="1222"/>
      <c r="K247" s="1219">
        <v>1</v>
      </c>
      <c r="L247" s="1221">
        <v>1200000000</v>
      </c>
      <c r="M247" s="1219">
        <v>1</v>
      </c>
      <c r="N247" s="681">
        <v>1033047600</v>
      </c>
      <c r="O247" s="1219"/>
      <c r="P247" s="681"/>
      <c r="Q247" s="1214"/>
      <c r="R247" s="681"/>
      <c r="S247" s="1214"/>
      <c r="T247" s="1221"/>
      <c r="U247" s="1214"/>
      <c r="V247" s="1221"/>
      <c r="W247" s="1214"/>
      <c r="X247" s="1221"/>
      <c r="Y247" s="1214"/>
      <c r="Z247" s="1215"/>
      <c r="AA247" s="1214">
        <v>0</v>
      </c>
      <c r="AB247" s="1215">
        <f t="shared" si="62"/>
        <v>1033047600</v>
      </c>
      <c r="AC247" s="1214">
        <f t="shared" si="63"/>
        <v>0</v>
      </c>
      <c r="AD247" s="1223">
        <f t="shared" si="63"/>
        <v>0.860873</v>
      </c>
      <c r="AE247" s="634"/>
      <c r="AF247" s="656"/>
    </row>
    <row r="248" spans="1:32" s="494" customFormat="1" ht="31.5" customHeight="1">
      <c r="A248" s="384"/>
      <c r="B248" s="384"/>
      <c r="C248" s="421" t="s">
        <v>196</v>
      </c>
      <c r="D248" s="595" t="s">
        <v>66</v>
      </c>
      <c r="E248" s="595" t="s">
        <v>65</v>
      </c>
      <c r="F248" s="421">
        <v>118</v>
      </c>
      <c r="G248" s="421"/>
      <c r="H248" s="384"/>
      <c r="I248" s="1277" t="s">
        <v>1704</v>
      </c>
      <c r="J248" s="1222"/>
      <c r="K248" s="591">
        <v>1</v>
      </c>
      <c r="L248" s="1202">
        <v>218865100</v>
      </c>
      <c r="M248" s="591">
        <v>1</v>
      </c>
      <c r="N248" s="590">
        <v>214674600</v>
      </c>
      <c r="O248" s="1219"/>
      <c r="P248" s="681"/>
      <c r="Q248" s="1214"/>
      <c r="R248" s="681"/>
      <c r="S248" s="1214"/>
      <c r="T248" s="1221"/>
      <c r="U248" s="1214"/>
      <c r="V248" s="1221"/>
      <c r="W248" s="1214"/>
      <c r="X248" s="1221"/>
      <c r="Y248" s="1214"/>
      <c r="Z248" s="1215"/>
      <c r="AA248" s="1214">
        <v>0</v>
      </c>
      <c r="AB248" s="1215">
        <f t="shared" si="62"/>
        <v>214674600</v>
      </c>
      <c r="AC248" s="1195">
        <f t="shared" si="63"/>
        <v>0</v>
      </c>
      <c r="AD248" s="1204">
        <f t="shared" si="63"/>
        <v>0.98085350291115392</v>
      </c>
      <c r="AE248" s="634"/>
    </row>
    <row r="249" spans="1:32" s="494" customFormat="1" ht="45" customHeight="1">
      <c r="A249" s="384"/>
      <c r="B249" s="384"/>
      <c r="C249" s="421" t="s">
        <v>196</v>
      </c>
      <c r="D249" s="595" t="s">
        <v>66</v>
      </c>
      <c r="E249" s="595" t="s">
        <v>65</v>
      </c>
      <c r="F249" s="421">
        <v>119</v>
      </c>
      <c r="G249" s="421"/>
      <c r="H249" s="384"/>
      <c r="I249" s="1222" t="s">
        <v>1705</v>
      </c>
      <c r="J249" s="1222" t="s">
        <v>1706</v>
      </c>
      <c r="K249" s="591">
        <v>1</v>
      </c>
      <c r="L249" s="1202">
        <v>904000000</v>
      </c>
      <c r="M249" s="591">
        <v>1</v>
      </c>
      <c r="N249" s="590">
        <v>797019936</v>
      </c>
      <c r="O249" s="1225"/>
      <c r="P249" s="681"/>
      <c r="Q249" s="1214"/>
      <c r="R249" s="681"/>
      <c r="S249" s="1214"/>
      <c r="T249" s="1221"/>
      <c r="U249" s="1214"/>
      <c r="V249" s="1221"/>
      <c r="W249" s="1214"/>
      <c r="X249" s="1221"/>
      <c r="Y249" s="1214"/>
      <c r="Z249" s="1215"/>
      <c r="AA249" s="1214">
        <v>0</v>
      </c>
      <c r="AB249" s="1215">
        <f t="shared" si="62"/>
        <v>797019936</v>
      </c>
      <c r="AC249" s="1195">
        <f t="shared" si="63"/>
        <v>0</v>
      </c>
      <c r="AD249" s="1204">
        <f t="shared" si="63"/>
        <v>0.88165922123893803</v>
      </c>
      <c r="AE249" s="634"/>
    </row>
    <row r="250" spans="1:32" s="494" customFormat="1" ht="33.75" customHeight="1">
      <c r="A250" s="384"/>
      <c r="B250" s="384"/>
      <c r="C250" s="421" t="s">
        <v>196</v>
      </c>
      <c r="D250" s="595" t="s">
        <v>66</v>
      </c>
      <c r="E250" s="595" t="s">
        <v>65</v>
      </c>
      <c r="F250" s="421">
        <v>120</v>
      </c>
      <c r="G250" s="421"/>
      <c r="H250" s="384"/>
      <c r="I250" s="1222" t="s">
        <v>1707</v>
      </c>
      <c r="J250" s="384" t="s">
        <v>1708</v>
      </c>
      <c r="K250" s="591">
        <v>1</v>
      </c>
      <c r="L250" s="1202">
        <v>200000000</v>
      </c>
      <c r="M250" s="591">
        <v>1</v>
      </c>
      <c r="N250" s="590">
        <v>189735300</v>
      </c>
      <c r="O250" s="1225"/>
      <c r="P250" s="681"/>
      <c r="Q250" s="1214"/>
      <c r="R250" s="681"/>
      <c r="S250" s="1214"/>
      <c r="T250" s="1221"/>
      <c r="U250" s="1214"/>
      <c r="V250" s="1221"/>
      <c r="W250" s="1214"/>
      <c r="X250" s="1221"/>
      <c r="Y250" s="1214"/>
      <c r="Z250" s="1215"/>
      <c r="AA250" s="1214">
        <v>0</v>
      </c>
      <c r="AB250" s="1215">
        <f t="shared" si="62"/>
        <v>189735300</v>
      </c>
      <c r="AC250" s="1195">
        <f t="shared" si="63"/>
        <v>0</v>
      </c>
      <c r="AD250" s="1204">
        <f t="shared" si="63"/>
        <v>0.94867650000000003</v>
      </c>
      <c r="AE250" s="634"/>
    </row>
    <row r="251" spans="1:32" s="494" customFormat="1" ht="58.5" customHeight="1">
      <c r="A251" s="384"/>
      <c r="B251" s="384"/>
      <c r="C251" s="421" t="s">
        <v>196</v>
      </c>
      <c r="D251" s="595" t="s">
        <v>66</v>
      </c>
      <c r="E251" s="595" t="s">
        <v>65</v>
      </c>
      <c r="F251" s="421">
        <v>122</v>
      </c>
      <c r="G251" s="421"/>
      <c r="H251" s="384"/>
      <c r="I251" s="1222" t="s">
        <v>1709</v>
      </c>
      <c r="J251" s="1224"/>
      <c r="K251" s="591">
        <v>1</v>
      </c>
      <c r="L251" s="1202">
        <v>200000000</v>
      </c>
      <c r="M251" s="591">
        <v>1</v>
      </c>
      <c r="N251" s="590">
        <v>199503140</v>
      </c>
      <c r="O251" s="1225"/>
      <c r="P251" s="681"/>
      <c r="Q251" s="1214"/>
      <c r="R251" s="681"/>
      <c r="S251" s="1214"/>
      <c r="T251" s="1221"/>
      <c r="U251" s="1214"/>
      <c r="V251" s="1221"/>
      <c r="W251" s="1214"/>
      <c r="X251" s="1226"/>
      <c r="Y251" s="1214"/>
      <c r="Z251" s="1215"/>
      <c r="AA251" s="1214">
        <v>0</v>
      </c>
      <c r="AB251" s="1215">
        <f t="shared" si="62"/>
        <v>199503140</v>
      </c>
      <c r="AC251" s="1195">
        <f t="shared" si="63"/>
        <v>0</v>
      </c>
      <c r="AD251" s="1204">
        <f t="shared" si="63"/>
        <v>0.99751570000000001</v>
      </c>
      <c r="AE251" s="634"/>
    </row>
    <row r="252" spans="1:32" s="494" customFormat="1" ht="41.25" customHeight="1">
      <c r="A252" s="384"/>
      <c r="B252" s="384"/>
      <c r="C252" s="421" t="s">
        <v>196</v>
      </c>
      <c r="D252" s="595" t="s">
        <v>66</v>
      </c>
      <c r="E252" s="595" t="s">
        <v>65</v>
      </c>
      <c r="F252" s="421">
        <v>123</v>
      </c>
      <c r="G252" s="421"/>
      <c r="H252" s="384"/>
      <c r="I252" s="1222" t="s">
        <v>1710</v>
      </c>
      <c r="J252" s="1224"/>
      <c r="K252" s="591">
        <v>1</v>
      </c>
      <c r="L252" s="1202">
        <v>208118140</v>
      </c>
      <c r="M252" s="591">
        <v>1</v>
      </c>
      <c r="N252" s="590">
        <v>207718140</v>
      </c>
      <c r="O252" s="1225"/>
      <c r="P252" s="681"/>
      <c r="Q252" s="1214"/>
      <c r="R252" s="681"/>
      <c r="S252" s="1214"/>
      <c r="T252" s="1221"/>
      <c r="U252" s="1214"/>
      <c r="V252" s="1221"/>
      <c r="W252" s="1214"/>
      <c r="X252" s="1221"/>
      <c r="Y252" s="1214"/>
      <c r="Z252" s="1215"/>
      <c r="AA252" s="1214">
        <v>0</v>
      </c>
      <c r="AB252" s="1215">
        <f t="shared" ref="AB252:AB262" si="64">N252+Z252</f>
        <v>207718140</v>
      </c>
      <c r="AC252" s="1195">
        <f t="shared" ref="AC252:AD262" si="65">AA252/K252*100%</f>
        <v>0</v>
      </c>
      <c r="AD252" s="1204">
        <f t="shared" si="65"/>
        <v>0.9980780147275965</v>
      </c>
      <c r="AE252" s="634"/>
    </row>
    <row r="253" spans="1:32" s="494" customFormat="1" ht="25.5">
      <c r="A253" s="384"/>
      <c r="B253" s="384"/>
      <c r="C253" s="421" t="s">
        <v>196</v>
      </c>
      <c r="D253" s="595" t="s">
        <v>66</v>
      </c>
      <c r="E253" s="595" t="s">
        <v>65</v>
      </c>
      <c r="F253" s="421">
        <v>21</v>
      </c>
      <c r="G253" s="421"/>
      <c r="H253" s="421"/>
      <c r="I253" s="1200" t="s">
        <v>1711</v>
      </c>
      <c r="J253" s="384" t="s">
        <v>1708</v>
      </c>
      <c r="K253" s="591">
        <v>1</v>
      </c>
      <c r="L253" s="1202">
        <v>261939978</v>
      </c>
      <c r="M253" s="1214">
        <v>0</v>
      </c>
      <c r="N253" s="681">
        <v>0</v>
      </c>
      <c r="O253" s="1219">
        <v>1</v>
      </c>
      <c r="P253" s="681">
        <v>261939978</v>
      </c>
      <c r="Q253" s="1214">
        <v>0.4</v>
      </c>
      <c r="R253" s="681">
        <v>839978</v>
      </c>
      <c r="S253" s="1214"/>
      <c r="T253" s="1221"/>
      <c r="U253" s="1214"/>
      <c r="V253" s="1221"/>
      <c r="W253" s="1219"/>
      <c r="X253" s="1221"/>
      <c r="Y253" s="1214">
        <f>Q253+S253+U253+W253</f>
        <v>0.4</v>
      </c>
      <c r="Z253" s="1215">
        <f>R253+T253+V253+X253</f>
        <v>839978</v>
      </c>
      <c r="AA253" s="1214">
        <f t="shared" ref="AA253:AA262" si="66">M253+Y253</f>
        <v>0.4</v>
      </c>
      <c r="AB253" s="1215">
        <f t="shared" si="64"/>
        <v>839978</v>
      </c>
      <c r="AC253" s="1195">
        <f t="shared" si="65"/>
        <v>0.4</v>
      </c>
      <c r="AD253" s="1204">
        <f t="shared" si="65"/>
        <v>3.2067575419892566E-3</v>
      </c>
      <c r="AE253" s="634"/>
      <c r="AF253" s="656"/>
    </row>
    <row r="254" spans="1:32" s="494" customFormat="1" ht="25.5">
      <c r="A254" s="384"/>
      <c r="B254" s="384"/>
      <c r="C254" s="421" t="s">
        <v>196</v>
      </c>
      <c r="D254" s="595" t="s">
        <v>66</v>
      </c>
      <c r="E254" s="595" t="s">
        <v>65</v>
      </c>
      <c r="F254" s="421">
        <v>42</v>
      </c>
      <c r="G254" s="421"/>
      <c r="H254" s="421"/>
      <c r="I254" s="1200" t="s">
        <v>1712</v>
      </c>
      <c r="J254" s="384" t="s">
        <v>1702</v>
      </c>
      <c r="K254" s="600">
        <v>1</v>
      </c>
      <c r="L254" s="1202">
        <v>3800000000</v>
      </c>
      <c r="M254" s="1214">
        <v>0</v>
      </c>
      <c r="N254" s="681">
        <v>0</v>
      </c>
      <c r="O254" s="1219">
        <v>1</v>
      </c>
      <c r="P254" s="681">
        <v>3721905745</v>
      </c>
      <c r="Q254" s="1214">
        <v>0</v>
      </c>
      <c r="R254" s="681">
        <v>13014361</v>
      </c>
      <c r="S254" s="1214"/>
      <c r="T254" s="1221"/>
      <c r="U254" s="1214"/>
      <c r="V254" s="1221"/>
      <c r="W254" s="1219"/>
      <c r="X254" s="1221"/>
      <c r="Y254" s="1214">
        <f>Q254+S254+U254+W254</f>
        <v>0</v>
      </c>
      <c r="Z254" s="1215">
        <f>R254+T254+V254+X254</f>
        <v>13014361</v>
      </c>
      <c r="AA254" s="1214">
        <f t="shared" si="66"/>
        <v>0</v>
      </c>
      <c r="AB254" s="1215">
        <f t="shared" si="64"/>
        <v>13014361</v>
      </c>
      <c r="AC254" s="1195">
        <f t="shared" si="65"/>
        <v>0</v>
      </c>
      <c r="AD254" s="1204">
        <f t="shared" si="65"/>
        <v>3.4248318421052633E-3</v>
      </c>
      <c r="AE254" s="634"/>
      <c r="AF254" s="656"/>
    </row>
    <row r="255" spans="1:32" s="494" customFormat="1" ht="13.5" customHeight="1">
      <c r="A255" s="4335" t="s">
        <v>89</v>
      </c>
      <c r="B255" s="4335"/>
      <c r="C255" s="4335"/>
      <c r="D255" s="4335"/>
      <c r="E255" s="4335"/>
      <c r="F255" s="4335"/>
      <c r="G255" s="4335"/>
      <c r="H255" s="4335"/>
      <c r="I255" s="4335"/>
      <c r="J255" s="4335"/>
      <c r="K255" s="4335"/>
      <c r="L255" s="4335"/>
      <c r="M255" s="4335"/>
      <c r="N255" s="4335"/>
      <c r="O255" s="4335"/>
      <c r="P255" s="4335"/>
      <c r="Q255" s="4335"/>
      <c r="R255" s="4335"/>
      <c r="S255" s="4335"/>
      <c r="T255" s="4335"/>
      <c r="U255" s="4335"/>
      <c r="V255" s="4335"/>
      <c r="W255" s="4335"/>
      <c r="X255" s="4335"/>
      <c r="Y255" s="4335"/>
      <c r="Z255" s="4335"/>
      <c r="AA255" s="4335"/>
      <c r="AB255" s="4335"/>
      <c r="AC255" s="1195">
        <f>AVERAGE(AC237:AC254)</f>
        <v>0.67371512481644646</v>
      </c>
      <c r="AD255" s="1195">
        <f>AD236</f>
        <v>1.7065216166027903</v>
      </c>
      <c r="AE255" s="384"/>
    </row>
    <row r="256" spans="1:32" s="494" customFormat="1">
      <c r="A256" s="4335" t="s">
        <v>1679</v>
      </c>
      <c r="B256" s="4335"/>
      <c r="C256" s="4335"/>
      <c r="D256" s="4335"/>
      <c r="E256" s="4335"/>
      <c r="F256" s="4335"/>
      <c r="G256" s="4335"/>
      <c r="H256" s="4335"/>
      <c r="I256" s="4335"/>
      <c r="J256" s="4335"/>
      <c r="K256" s="4335"/>
      <c r="L256" s="4335"/>
      <c r="M256" s="4335"/>
      <c r="N256" s="4335"/>
      <c r="O256" s="4335"/>
      <c r="P256" s="4335"/>
      <c r="Q256" s="4335"/>
      <c r="R256" s="4335"/>
      <c r="S256" s="4335"/>
      <c r="T256" s="4335"/>
      <c r="U256" s="4335"/>
      <c r="V256" s="4335"/>
      <c r="W256" s="4335"/>
      <c r="X256" s="4335"/>
      <c r="Y256" s="4335"/>
      <c r="Z256" s="4335"/>
      <c r="AA256" s="4335"/>
      <c r="AB256" s="4335"/>
      <c r="AC256" s="384"/>
      <c r="AD256" s="384"/>
      <c r="AE256" s="384"/>
    </row>
    <row r="257" spans="1:31" s="145" customFormat="1" ht="39.75" customHeight="1">
      <c r="A257" s="753">
        <v>3</v>
      </c>
      <c r="B257" s="383"/>
      <c r="C257" s="623" t="s">
        <v>196</v>
      </c>
      <c r="D257" s="623" t="s">
        <v>66</v>
      </c>
      <c r="E257" s="623" t="s">
        <v>161</v>
      </c>
      <c r="F257" s="623"/>
      <c r="G257" s="623"/>
      <c r="H257" s="383"/>
      <c r="I257" s="618" t="s">
        <v>1713</v>
      </c>
      <c r="J257" s="618" t="s">
        <v>1714</v>
      </c>
      <c r="K257" s="1190">
        <v>1</v>
      </c>
      <c r="L257" s="1191">
        <f>L258</f>
        <v>103680000</v>
      </c>
      <c r="M257" s="1192">
        <v>1</v>
      </c>
      <c r="N257" s="1227">
        <f>N258</f>
        <v>84487876</v>
      </c>
      <c r="O257" s="1192"/>
      <c r="P257" s="1228"/>
      <c r="Q257" s="1229"/>
      <c r="R257" s="628"/>
      <c r="S257" s="1193"/>
      <c r="T257" s="629"/>
      <c r="U257" s="1193"/>
      <c r="V257" s="1230"/>
      <c r="W257" s="1193"/>
      <c r="X257" s="1227"/>
      <c r="Y257" s="1195"/>
      <c r="Z257" s="1196"/>
      <c r="AA257" s="1214">
        <f t="shared" si="66"/>
        <v>1</v>
      </c>
      <c r="AB257" s="1215">
        <f t="shared" si="64"/>
        <v>84487876</v>
      </c>
      <c r="AC257" s="1195">
        <f t="shared" si="65"/>
        <v>1</v>
      </c>
      <c r="AD257" s="1204">
        <f t="shared" si="65"/>
        <v>0.81489077932098763</v>
      </c>
      <c r="AE257" s="657" t="s">
        <v>1042</v>
      </c>
    </row>
    <row r="258" spans="1:31" s="494" customFormat="1" ht="30.75" customHeight="1">
      <c r="A258" s="384"/>
      <c r="B258" s="384"/>
      <c r="C258" s="421"/>
      <c r="D258" s="421"/>
      <c r="E258" s="421"/>
      <c r="F258" s="421" t="s">
        <v>66</v>
      </c>
      <c r="G258" s="421"/>
      <c r="H258" s="384"/>
      <c r="I258" s="1200" t="s">
        <v>1224</v>
      </c>
      <c r="J258" s="384" t="s">
        <v>1715</v>
      </c>
      <c r="K258" s="591">
        <v>1</v>
      </c>
      <c r="L258" s="1231">
        <v>103680000</v>
      </c>
      <c r="M258" s="591">
        <v>1</v>
      </c>
      <c r="N258" s="590">
        <v>84487876</v>
      </c>
      <c r="O258" s="591"/>
      <c r="P258" s="1232"/>
      <c r="Q258" s="591"/>
      <c r="R258" s="590"/>
      <c r="S258" s="1195"/>
      <c r="T258" s="1196"/>
      <c r="U258" s="1193"/>
      <c r="V258" s="1230"/>
      <c r="W258" s="1195"/>
      <c r="X258" s="1202"/>
      <c r="Y258" s="1214"/>
      <c r="Z258" s="1215"/>
      <c r="AA258" s="1214">
        <f t="shared" si="66"/>
        <v>1</v>
      </c>
      <c r="AB258" s="1215">
        <f t="shared" si="64"/>
        <v>84487876</v>
      </c>
      <c r="AC258" s="1195">
        <f t="shared" si="65"/>
        <v>1</v>
      </c>
      <c r="AD258" s="1204">
        <f t="shared" si="65"/>
        <v>0.81489077932098763</v>
      </c>
      <c r="AE258" s="384"/>
    </row>
    <row r="259" spans="1:31" s="494" customFormat="1" ht="18" customHeight="1">
      <c r="A259" s="4335" t="s">
        <v>89</v>
      </c>
      <c r="B259" s="4335"/>
      <c r="C259" s="4335"/>
      <c r="D259" s="4335"/>
      <c r="E259" s="4335"/>
      <c r="F259" s="4335"/>
      <c r="G259" s="4335"/>
      <c r="H259" s="4335"/>
      <c r="I259" s="4335"/>
      <c r="J259" s="4335"/>
      <c r="K259" s="4335"/>
      <c r="L259" s="4335"/>
      <c r="M259" s="4335"/>
      <c r="N259" s="4335"/>
      <c r="O259" s="4335"/>
      <c r="P259" s="4335"/>
      <c r="Q259" s="4335"/>
      <c r="R259" s="4335"/>
      <c r="S259" s="4335"/>
      <c r="T259" s="4335"/>
      <c r="U259" s="4335"/>
      <c r="V259" s="4335"/>
      <c r="W259" s="4335"/>
      <c r="X259" s="4335"/>
      <c r="Y259" s="4335"/>
      <c r="Z259" s="4335"/>
      <c r="AA259" s="4335"/>
      <c r="AB259" s="4335"/>
      <c r="AC259" s="1195">
        <f>AVERAGE(AC258)</f>
        <v>1</v>
      </c>
      <c r="AD259" s="1195">
        <f>AD257</f>
        <v>0.81489077932098763</v>
      </c>
      <c r="AE259" s="384"/>
    </row>
    <row r="260" spans="1:31" s="494" customFormat="1">
      <c r="A260" s="4335" t="s">
        <v>1679</v>
      </c>
      <c r="B260" s="4335"/>
      <c r="C260" s="4335"/>
      <c r="D260" s="4335"/>
      <c r="E260" s="4335"/>
      <c r="F260" s="4335"/>
      <c r="G260" s="4335"/>
      <c r="H260" s="4335"/>
      <c r="I260" s="4335"/>
      <c r="J260" s="4335"/>
      <c r="K260" s="4335"/>
      <c r="L260" s="4335"/>
      <c r="M260" s="4335"/>
      <c r="N260" s="4335"/>
      <c r="O260" s="4335"/>
      <c r="P260" s="4335"/>
      <c r="Q260" s="4335"/>
      <c r="R260" s="4335"/>
      <c r="S260" s="4335"/>
      <c r="T260" s="4335"/>
      <c r="U260" s="4335"/>
      <c r="V260" s="4335"/>
      <c r="W260" s="4335"/>
      <c r="X260" s="4335"/>
      <c r="Y260" s="4335"/>
      <c r="Z260" s="4335"/>
      <c r="AA260" s="4335"/>
      <c r="AB260" s="4335"/>
      <c r="AC260" s="384"/>
      <c r="AD260" s="384"/>
      <c r="AE260" s="384"/>
    </row>
    <row r="261" spans="1:31" s="145" customFormat="1" ht="36" customHeight="1">
      <c r="A261" s="753">
        <v>4</v>
      </c>
      <c r="B261" s="383"/>
      <c r="C261" s="623" t="s">
        <v>196</v>
      </c>
      <c r="D261" s="623" t="s">
        <v>66</v>
      </c>
      <c r="E261" s="623" t="s">
        <v>196</v>
      </c>
      <c r="F261" s="623"/>
      <c r="G261" s="623"/>
      <c r="H261" s="383"/>
      <c r="I261" s="383" t="s">
        <v>1716</v>
      </c>
      <c r="J261" s="618" t="s">
        <v>1717</v>
      </c>
      <c r="K261" s="1190">
        <v>1</v>
      </c>
      <c r="L261" s="1191">
        <f>L262</f>
        <v>50000000</v>
      </c>
      <c r="M261" s="1192">
        <f>M262</f>
        <v>1</v>
      </c>
      <c r="N261" s="1227">
        <f>N262</f>
        <v>38998000</v>
      </c>
      <c r="O261" s="1192">
        <v>1</v>
      </c>
      <c r="P261" s="1233">
        <f>P262</f>
        <v>55600000</v>
      </c>
      <c r="Q261" s="1193">
        <f>Q262</f>
        <v>0.5</v>
      </c>
      <c r="R261" s="628">
        <f>R262</f>
        <v>35600000</v>
      </c>
      <c r="S261" s="1193"/>
      <c r="T261" s="629"/>
      <c r="U261" s="1193"/>
      <c r="V261" s="629"/>
      <c r="W261" s="1195"/>
      <c r="X261" s="1227"/>
      <c r="Y261" s="1214">
        <f>Q261+S261+U261+W261</f>
        <v>0.5</v>
      </c>
      <c r="Z261" s="1215">
        <f>R261+T261+V261+X261</f>
        <v>35600000</v>
      </c>
      <c r="AA261" s="1214">
        <f t="shared" si="66"/>
        <v>1.5</v>
      </c>
      <c r="AB261" s="1215">
        <f t="shared" si="64"/>
        <v>74598000</v>
      </c>
      <c r="AC261" s="1195">
        <f t="shared" si="65"/>
        <v>1.5</v>
      </c>
      <c r="AD261" s="1204">
        <f t="shared" si="65"/>
        <v>1.49196</v>
      </c>
      <c r="AE261" s="657" t="s">
        <v>1042</v>
      </c>
    </row>
    <row r="262" spans="1:31" s="494" customFormat="1" ht="38.25" customHeight="1">
      <c r="A262" s="384"/>
      <c r="B262" s="384"/>
      <c r="C262" s="421" t="s">
        <v>196</v>
      </c>
      <c r="D262" s="421" t="s">
        <v>66</v>
      </c>
      <c r="E262" s="421" t="s">
        <v>196</v>
      </c>
      <c r="F262" s="421" t="s">
        <v>196</v>
      </c>
      <c r="G262" s="421"/>
      <c r="H262" s="421"/>
      <c r="I262" s="1234" t="s">
        <v>1718</v>
      </c>
      <c r="J262" s="384" t="s">
        <v>1719</v>
      </c>
      <c r="K262" s="591">
        <v>1</v>
      </c>
      <c r="L262" s="1231">
        <v>50000000</v>
      </c>
      <c r="M262" s="591">
        <v>1</v>
      </c>
      <c r="N262" s="590">
        <v>38998000</v>
      </c>
      <c r="O262" s="591">
        <v>1</v>
      </c>
      <c r="P262" s="1232">
        <v>55600000</v>
      </c>
      <c r="Q262" s="1195">
        <v>0.5</v>
      </c>
      <c r="R262" s="590">
        <v>35600000</v>
      </c>
      <c r="S262" s="1195"/>
      <c r="T262" s="1196"/>
      <c r="U262" s="1195"/>
      <c r="V262" s="1196"/>
      <c r="W262" s="1195"/>
      <c r="X262" s="1202"/>
      <c r="Y262" s="1214">
        <f>Q262+S262+U262+W262</f>
        <v>0.5</v>
      </c>
      <c r="Z262" s="1215">
        <f>R262+T262+V262+X262</f>
        <v>35600000</v>
      </c>
      <c r="AA262" s="1214">
        <f t="shared" si="66"/>
        <v>1.5</v>
      </c>
      <c r="AB262" s="1215">
        <f t="shared" si="64"/>
        <v>74598000</v>
      </c>
      <c r="AC262" s="1195">
        <f t="shared" si="65"/>
        <v>1.5</v>
      </c>
      <c r="AD262" s="1204">
        <f t="shared" si="65"/>
        <v>1.49196</v>
      </c>
      <c r="AE262" s="384"/>
    </row>
    <row r="263" spans="1:31" s="494" customFormat="1" ht="17.25" customHeight="1">
      <c r="A263" s="4335" t="s">
        <v>89</v>
      </c>
      <c r="B263" s="4335"/>
      <c r="C263" s="4335"/>
      <c r="D263" s="4335"/>
      <c r="E263" s="4335"/>
      <c r="F263" s="4335"/>
      <c r="G263" s="4335"/>
      <c r="H263" s="4335"/>
      <c r="I263" s="4335"/>
      <c r="J263" s="4335"/>
      <c r="K263" s="4335"/>
      <c r="L263" s="4335"/>
      <c r="M263" s="4335"/>
      <c r="N263" s="4335"/>
      <c r="O263" s="4335"/>
      <c r="P263" s="4335"/>
      <c r="Q263" s="4335"/>
      <c r="R263" s="4335"/>
      <c r="S263" s="4335"/>
      <c r="T263" s="4335"/>
      <c r="U263" s="4335"/>
      <c r="V263" s="4335"/>
      <c r="W263" s="4335"/>
      <c r="X263" s="4335"/>
      <c r="Y263" s="4335"/>
      <c r="Z263" s="4335"/>
      <c r="AA263" s="4335"/>
      <c r="AB263" s="4335"/>
      <c r="AC263" s="1195">
        <f>AVERAGE(AC262)</f>
        <v>1.5</v>
      </c>
      <c r="AD263" s="1195">
        <f>AD261</f>
        <v>1.49196</v>
      </c>
      <c r="AE263" s="384"/>
    </row>
    <row r="264" spans="1:31" s="494" customFormat="1">
      <c r="A264" s="4335" t="s">
        <v>1679</v>
      </c>
      <c r="B264" s="4335"/>
      <c r="C264" s="4335"/>
      <c r="D264" s="4335"/>
      <c r="E264" s="4335"/>
      <c r="F264" s="4335"/>
      <c r="G264" s="4335"/>
      <c r="H264" s="4335"/>
      <c r="I264" s="4335"/>
      <c r="J264" s="4335"/>
      <c r="K264" s="4335"/>
      <c r="L264" s="4335"/>
      <c r="M264" s="4335"/>
      <c r="N264" s="4335"/>
      <c r="O264" s="4335"/>
      <c r="P264" s="4335"/>
      <c r="Q264" s="4335"/>
      <c r="R264" s="4335"/>
      <c r="S264" s="4335"/>
      <c r="T264" s="4335"/>
      <c r="U264" s="4335"/>
      <c r="V264" s="4335"/>
      <c r="W264" s="4335"/>
      <c r="X264" s="4335"/>
      <c r="Y264" s="4335"/>
      <c r="Z264" s="4335"/>
      <c r="AA264" s="4335"/>
      <c r="AB264" s="4335"/>
      <c r="AC264" s="384"/>
      <c r="AD264" s="384"/>
      <c r="AE264" s="384"/>
    </row>
    <row r="265" spans="1:31" s="498" customFormat="1" ht="129.75" customHeight="1">
      <c r="A265" s="1236">
        <v>5</v>
      </c>
      <c r="B265" s="383" t="s">
        <v>1680</v>
      </c>
      <c r="C265" s="623" t="s">
        <v>66</v>
      </c>
      <c r="D265" s="623" t="s">
        <v>196</v>
      </c>
      <c r="E265" s="623" t="s">
        <v>66</v>
      </c>
      <c r="F265" s="383">
        <v>26</v>
      </c>
      <c r="G265" s="383"/>
      <c r="H265" s="383"/>
      <c r="I265" s="1237" t="s">
        <v>1720</v>
      </c>
      <c r="J265" s="1237" t="s">
        <v>1721</v>
      </c>
      <c r="K265" s="1238">
        <v>1</v>
      </c>
      <c r="L265" s="693">
        <f>SUM(L266:L270)</f>
        <v>64089556355</v>
      </c>
      <c r="M265" s="1239"/>
      <c r="N265" s="1210">
        <f>SUM(N266:N270)</f>
        <v>687500</v>
      </c>
      <c r="O265" s="1240">
        <v>1</v>
      </c>
      <c r="P265" s="1210">
        <f>SUM(P266:P270)</f>
        <v>63646800305</v>
      </c>
      <c r="Q265" s="1241"/>
      <c r="R265" s="1213"/>
      <c r="S265" s="1239"/>
      <c r="T265" s="1242"/>
      <c r="U265" s="1212"/>
      <c r="V265" s="1210"/>
      <c r="W265" s="1212"/>
      <c r="X265" s="1210"/>
      <c r="Y265" s="1214">
        <f t="shared" ref="Y265:Z270" si="67">Q265+S265+U265+W265</f>
        <v>0</v>
      </c>
      <c r="Z265" s="1215">
        <f t="shared" si="67"/>
        <v>0</v>
      </c>
      <c r="AA265" s="1212">
        <f t="shared" ref="AA265:AB278" si="68">M265+Y265</f>
        <v>0</v>
      </c>
      <c r="AB265" s="1211">
        <f t="shared" si="68"/>
        <v>687500</v>
      </c>
      <c r="AC265" s="1212">
        <f>AA265/K265*100%</f>
        <v>0</v>
      </c>
      <c r="AD265" s="1212">
        <f>AB265/L265*100%</f>
        <v>1.0727176767956579E-5</v>
      </c>
      <c r="AE265" s="657" t="s">
        <v>1042</v>
      </c>
    </row>
    <row r="266" spans="1:31" s="494" customFormat="1" ht="33" customHeight="1">
      <c r="A266" s="384"/>
      <c r="B266" s="1200"/>
      <c r="C266" s="421" t="s">
        <v>66</v>
      </c>
      <c r="D266" s="421" t="s">
        <v>196</v>
      </c>
      <c r="E266" s="421" t="s">
        <v>66</v>
      </c>
      <c r="F266" s="421">
        <v>26</v>
      </c>
      <c r="G266" s="384">
        <v>20</v>
      </c>
      <c r="H266" s="1243"/>
      <c r="I266" s="1234" t="s">
        <v>1722</v>
      </c>
      <c r="J266" s="1244" t="s">
        <v>1723</v>
      </c>
      <c r="K266" s="1238">
        <v>1</v>
      </c>
      <c r="L266" s="668">
        <v>378411000</v>
      </c>
      <c r="M266" s="1195">
        <v>0.1321</v>
      </c>
      <c r="N266" s="708"/>
      <c r="O266" s="591"/>
      <c r="P266" s="590">
        <v>0</v>
      </c>
      <c r="Q266" s="1195"/>
      <c r="R266" s="590"/>
      <c r="S266" s="1195"/>
      <c r="T266" s="1202"/>
      <c r="U266" s="1212"/>
      <c r="V266" s="1221"/>
      <c r="W266" s="1212"/>
      <c r="X266" s="1221"/>
      <c r="Y266" s="1214">
        <f t="shared" si="67"/>
        <v>0</v>
      </c>
      <c r="Z266" s="1215">
        <f t="shared" si="67"/>
        <v>0</v>
      </c>
      <c r="AA266" s="1214">
        <f t="shared" si="68"/>
        <v>0.1321</v>
      </c>
      <c r="AB266" s="1215">
        <f t="shared" si="68"/>
        <v>0</v>
      </c>
      <c r="AC266" s="1214">
        <f t="shared" ref="AC266:AD278" si="69">AA266/K266*100%</f>
        <v>0.1321</v>
      </c>
      <c r="AD266" s="1214">
        <f t="shared" si="69"/>
        <v>0</v>
      </c>
      <c r="AE266" s="384" t="s">
        <v>1724</v>
      </c>
    </row>
    <row r="267" spans="1:31" s="494" customFormat="1" ht="34.5" customHeight="1">
      <c r="A267" s="384"/>
      <c r="B267" s="384"/>
      <c r="C267" s="421" t="s">
        <v>66</v>
      </c>
      <c r="D267" s="421" t="s">
        <v>196</v>
      </c>
      <c r="E267" s="421" t="s">
        <v>66</v>
      </c>
      <c r="F267" s="421">
        <v>26</v>
      </c>
      <c r="G267" s="384">
        <v>78</v>
      </c>
      <c r="H267" s="384"/>
      <c r="I267" s="1222" t="s">
        <v>1725</v>
      </c>
      <c r="J267" s="384" t="s">
        <v>1726</v>
      </c>
      <c r="K267" s="1238">
        <v>1</v>
      </c>
      <c r="L267" s="1202">
        <v>226293805</v>
      </c>
      <c r="M267" s="591">
        <v>0.8</v>
      </c>
      <c r="N267" s="590"/>
      <c r="O267" s="591">
        <v>1</v>
      </c>
      <c r="P267" s="590">
        <v>226293805</v>
      </c>
      <c r="Q267" s="1195">
        <v>0.8</v>
      </c>
      <c r="R267" s="590">
        <v>0</v>
      </c>
      <c r="S267" s="1195"/>
      <c r="T267" s="1202"/>
      <c r="U267" s="1195"/>
      <c r="V267" s="1202"/>
      <c r="W267" s="1195"/>
      <c r="X267" s="1202"/>
      <c r="Y267" s="1214">
        <f t="shared" si="67"/>
        <v>0.8</v>
      </c>
      <c r="Z267" s="1215">
        <f t="shared" si="67"/>
        <v>0</v>
      </c>
      <c r="AA267" s="1195">
        <f t="shared" si="68"/>
        <v>1.6</v>
      </c>
      <c r="AB267" s="1215">
        <f t="shared" si="68"/>
        <v>0</v>
      </c>
      <c r="AC267" s="1214">
        <f t="shared" si="69"/>
        <v>1.6</v>
      </c>
      <c r="AD267" s="1214">
        <f t="shared" si="69"/>
        <v>0</v>
      </c>
      <c r="AE267" s="384" t="s">
        <v>1724</v>
      </c>
    </row>
    <row r="268" spans="1:31" s="494" customFormat="1" ht="42.75" customHeight="1">
      <c r="A268" s="384"/>
      <c r="B268" s="384"/>
      <c r="C268" s="421" t="s">
        <v>66</v>
      </c>
      <c r="D268" s="421" t="s">
        <v>196</v>
      </c>
      <c r="E268" s="421" t="s">
        <v>66</v>
      </c>
      <c r="F268" s="421">
        <v>26</v>
      </c>
      <c r="G268" s="384">
        <v>79</v>
      </c>
      <c r="H268" s="384"/>
      <c r="I268" s="1222" t="s">
        <v>1727</v>
      </c>
      <c r="J268" s="1222" t="s">
        <v>1728</v>
      </c>
      <c r="K268" s="1238">
        <v>1</v>
      </c>
      <c r="L268" s="1202">
        <v>64345050</v>
      </c>
      <c r="M268" s="591">
        <v>0</v>
      </c>
      <c r="N268" s="590">
        <v>687500</v>
      </c>
      <c r="O268" s="591"/>
      <c r="P268" s="590">
        <v>0</v>
      </c>
      <c r="Q268" s="1195"/>
      <c r="R268" s="590"/>
      <c r="S268" s="1195"/>
      <c r="T268" s="1202"/>
      <c r="U268" s="1195"/>
      <c r="V268" s="1202"/>
      <c r="W268" s="1195"/>
      <c r="X268" s="1202"/>
      <c r="Y268" s="1214">
        <f t="shared" si="67"/>
        <v>0</v>
      </c>
      <c r="Z268" s="1215">
        <f t="shared" si="67"/>
        <v>0</v>
      </c>
      <c r="AA268" s="1195">
        <f t="shared" si="68"/>
        <v>0</v>
      </c>
      <c r="AB268" s="1215">
        <f t="shared" si="68"/>
        <v>687500</v>
      </c>
      <c r="AC268" s="1214">
        <f t="shared" si="69"/>
        <v>0</v>
      </c>
      <c r="AD268" s="1214">
        <f t="shared" si="69"/>
        <v>1.068458257472797E-2</v>
      </c>
      <c r="AE268" s="384" t="s">
        <v>1724</v>
      </c>
    </row>
    <row r="269" spans="1:31" s="494" customFormat="1" ht="39.75" customHeight="1">
      <c r="A269" s="384"/>
      <c r="B269" s="384"/>
      <c r="C269" s="421" t="s">
        <v>66</v>
      </c>
      <c r="D269" s="421" t="s">
        <v>196</v>
      </c>
      <c r="E269" s="421" t="s">
        <v>66</v>
      </c>
      <c r="F269" s="421">
        <v>26</v>
      </c>
      <c r="G269" s="384">
        <v>80</v>
      </c>
      <c r="H269" s="384"/>
      <c r="I269" s="1222" t="s">
        <v>1729</v>
      </c>
      <c r="J269" s="384" t="s">
        <v>1730</v>
      </c>
      <c r="K269" s="1238">
        <v>1</v>
      </c>
      <c r="L269" s="1202">
        <v>383121500</v>
      </c>
      <c r="M269" s="591">
        <v>1</v>
      </c>
      <c r="N269" s="590"/>
      <c r="O269" s="591">
        <v>1</v>
      </c>
      <c r="P269" s="590">
        <v>383121500</v>
      </c>
      <c r="Q269" s="1195">
        <v>1</v>
      </c>
      <c r="R269" s="590">
        <v>0</v>
      </c>
      <c r="S269" s="1195"/>
      <c r="T269" s="1202"/>
      <c r="U269" s="1195"/>
      <c r="V269" s="1202"/>
      <c r="W269" s="1195"/>
      <c r="X269" s="1202"/>
      <c r="Y269" s="1214">
        <f t="shared" si="67"/>
        <v>1</v>
      </c>
      <c r="Z269" s="1215">
        <f t="shared" si="67"/>
        <v>0</v>
      </c>
      <c r="AA269" s="1195">
        <f t="shared" si="68"/>
        <v>2</v>
      </c>
      <c r="AB269" s="1215">
        <f t="shared" si="68"/>
        <v>0</v>
      </c>
      <c r="AC269" s="1214">
        <f t="shared" si="69"/>
        <v>2</v>
      </c>
      <c r="AD269" s="1214">
        <f t="shared" si="69"/>
        <v>0</v>
      </c>
      <c r="AE269" s="384" t="s">
        <v>1731</v>
      </c>
    </row>
    <row r="270" spans="1:31" s="494" customFormat="1" ht="36" customHeight="1">
      <c r="A270" s="384"/>
      <c r="B270" s="384"/>
      <c r="C270" s="421" t="s">
        <v>66</v>
      </c>
      <c r="D270" s="421" t="s">
        <v>196</v>
      </c>
      <c r="E270" s="421" t="s">
        <v>66</v>
      </c>
      <c r="F270" s="421">
        <v>26</v>
      </c>
      <c r="G270" s="384">
        <v>56</v>
      </c>
      <c r="H270" s="384"/>
      <c r="I270" s="1222" t="s">
        <v>1732</v>
      </c>
      <c r="J270" s="1222" t="s">
        <v>1733</v>
      </c>
      <c r="K270" s="1238">
        <v>1</v>
      </c>
      <c r="L270" s="1202">
        <v>63037385000</v>
      </c>
      <c r="M270" s="1195">
        <v>0.70099999999999996</v>
      </c>
      <c r="N270" s="708"/>
      <c r="O270" s="591">
        <v>1</v>
      </c>
      <c r="P270" s="590">
        <v>63037385000</v>
      </c>
      <c r="Q270" s="1195">
        <v>0.70099999999999996</v>
      </c>
      <c r="R270" s="590">
        <v>0</v>
      </c>
      <c r="S270" s="1195"/>
      <c r="T270" s="1202"/>
      <c r="U270" s="1195"/>
      <c r="V270" s="1202"/>
      <c r="W270" s="1195"/>
      <c r="X270" s="1202"/>
      <c r="Y270" s="1214">
        <f t="shared" si="67"/>
        <v>0.70099999999999996</v>
      </c>
      <c r="Z270" s="1215">
        <f t="shared" si="67"/>
        <v>0</v>
      </c>
      <c r="AA270" s="1195">
        <f t="shared" si="68"/>
        <v>1.4019999999999999</v>
      </c>
      <c r="AB270" s="1215">
        <f t="shared" si="68"/>
        <v>0</v>
      </c>
      <c r="AC270" s="1214">
        <f t="shared" si="69"/>
        <v>1.4019999999999999</v>
      </c>
      <c r="AD270" s="1214">
        <f t="shared" si="69"/>
        <v>0</v>
      </c>
      <c r="AE270" s="384" t="s">
        <v>1731</v>
      </c>
    </row>
    <row r="271" spans="1:31" s="494" customFormat="1" ht="19.5" customHeight="1">
      <c r="A271" s="4335" t="s">
        <v>89</v>
      </c>
      <c r="B271" s="4335"/>
      <c r="C271" s="4335"/>
      <c r="D271" s="4335"/>
      <c r="E271" s="4335"/>
      <c r="F271" s="4335"/>
      <c r="G271" s="4335"/>
      <c r="H271" s="4335"/>
      <c r="I271" s="4335"/>
      <c r="J271" s="4335"/>
      <c r="K271" s="4335"/>
      <c r="L271" s="4335"/>
      <c r="M271" s="4335"/>
      <c r="N271" s="4335"/>
      <c r="O271" s="4335"/>
      <c r="P271" s="4335"/>
      <c r="Q271" s="4335"/>
      <c r="R271" s="4335"/>
      <c r="S271" s="4335"/>
      <c r="T271" s="4335"/>
      <c r="U271" s="4335"/>
      <c r="V271" s="4335"/>
      <c r="W271" s="4335"/>
      <c r="X271" s="4335"/>
      <c r="Y271" s="4335"/>
      <c r="Z271" s="4335"/>
      <c r="AA271" s="4335"/>
      <c r="AB271" s="4335"/>
      <c r="AC271" s="1195">
        <f>AVERAGE(AC266:AC270)</f>
        <v>1.0268200000000001</v>
      </c>
      <c r="AD271" s="1195">
        <f>AD265</f>
        <v>1.0727176767956579E-5</v>
      </c>
      <c r="AE271" s="384"/>
    </row>
    <row r="272" spans="1:31" s="494" customFormat="1">
      <c r="A272" s="4335" t="s">
        <v>1679</v>
      </c>
      <c r="B272" s="4335"/>
      <c r="C272" s="4335"/>
      <c r="D272" s="4335"/>
      <c r="E272" s="4335"/>
      <c r="F272" s="4335"/>
      <c r="G272" s="4335"/>
      <c r="H272" s="4335"/>
      <c r="I272" s="4335"/>
      <c r="J272" s="4335"/>
      <c r="K272" s="4335"/>
      <c r="L272" s="4335"/>
      <c r="M272" s="4335"/>
      <c r="N272" s="4335"/>
      <c r="O272" s="4335"/>
      <c r="P272" s="4335"/>
      <c r="Q272" s="4335"/>
      <c r="R272" s="4335"/>
      <c r="S272" s="4335"/>
      <c r="T272" s="4335"/>
      <c r="U272" s="4335"/>
      <c r="V272" s="4335"/>
      <c r="W272" s="4335"/>
      <c r="X272" s="4335"/>
      <c r="Y272" s="4335"/>
      <c r="Z272" s="4335"/>
      <c r="AA272" s="4335"/>
      <c r="AB272" s="4335"/>
      <c r="AC272" s="384"/>
      <c r="AD272" s="384"/>
      <c r="AE272" s="384"/>
    </row>
    <row r="273" spans="1:31" s="498" customFormat="1" ht="50.25" customHeight="1">
      <c r="A273" s="2071">
        <v>6</v>
      </c>
      <c r="B273" s="1237"/>
      <c r="C273" s="623" t="s">
        <v>66</v>
      </c>
      <c r="D273" s="623" t="s">
        <v>196</v>
      </c>
      <c r="E273" s="623" t="s">
        <v>66</v>
      </c>
      <c r="F273" s="383">
        <v>16</v>
      </c>
      <c r="G273" s="383"/>
      <c r="H273" s="383"/>
      <c r="I273" s="1237" t="s">
        <v>1734</v>
      </c>
      <c r="J273" s="1245" t="s">
        <v>1735</v>
      </c>
      <c r="K273" s="1238">
        <v>1</v>
      </c>
      <c r="L273" s="692">
        <f>SUM(L274:L276)</f>
        <v>3150000000</v>
      </c>
      <c r="M273" s="1240">
        <v>1</v>
      </c>
      <c r="N273" s="1210">
        <f>SUM(N274:N276)</f>
        <v>1325811910</v>
      </c>
      <c r="O273" s="1219">
        <v>1</v>
      </c>
      <c r="P273" s="1211">
        <f>SUM(P274:P278)</f>
        <v>2240132605</v>
      </c>
      <c r="Q273" s="1241">
        <v>0.03</v>
      </c>
      <c r="R273" s="1213">
        <f>R275+R277+R278</f>
        <v>7944921</v>
      </c>
      <c r="S273" s="1239"/>
      <c r="T273" s="1242"/>
      <c r="U273" s="1212"/>
      <c r="V273" s="1210"/>
      <c r="W273" s="1212"/>
      <c r="X273" s="1210"/>
      <c r="Y273" s="1214">
        <v>0</v>
      </c>
      <c r="Z273" s="1215">
        <v>0</v>
      </c>
      <c r="AA273" s="1212">
        <f t="shared" ref="AA273:AA278" si="70">M273+Y273</f>
        <v>1</v>
      </c>
      <c r="AB273" s="1215">
        <f t="shared" si="68"/>
        <v>1325811910</v>
      </c>
      <c r="AC273" s="1212">
        <f t="shared" si="69"/>
        <v>1</v>
      </c>
      <c r="AD273" s="1212">
        <f t="shared" si="69"/>
        <v>0.42089266984126983</v>
      </c>
      <c r="AE273" s="657" t="s">
        <v>1042</v>
      </c>
    </row>
    <row r="274" spans="1:31" s="494" customFormat="1" ht="51">
      <c r="A274" s="384"/>
      <c r="B274" s="1200"/>
      <c r="C274" s="421" t="s">
        <v>66</v>
      </c>
      <c r="D274" s="421" t="s">
        <v>196</v>
      </c>
      <c r="E274" s="421" t="s">
        <v>66</v>
      </c>
      <c r="F274" s="421">
        <v>16</v>
      </c>
      <c r="G274" s="421" t="s">
        <v>196</v>
      </c>
      <c r="H274" s="1243"/>
      <c r="I274" s="1244" t="s">
        <v>1736</v>
      </c>
      <c r="J274" s="1244" t="s">
        <v>1737</v>
      </c>
      <c r="K274" s="1238">
        <v>1</v>
      </c>
      <c r="L274" s="1246">
        <v>2500000000</v>
      </c>
      <c r="M274" s="591">
        <v>1</v>
      </c>
      <c r="N274" s="590">
        <v>1009682760</v>
      </c>
      <c r="O274" s="591"/>
      <c r="P274" s="590"/>
      <c r="Q274" s="1195"/>
      <c r="R274" s="590"/>
      <c r="S274" s="1195"/>
      <c r="T274" s="1202"/>
      <c r="U274" s="1212"/>
      <c r="V274" s="1221"/>
      <c r="W274" s="1212"/>
      <c r="X274" s="1221"/>
      <c r="Y274" s="1214"/>
      <c r="Z274" s="1215"/>
      <c r="AA274" s="1214">
        <f t="shared" si="70"/>
        <v>1</v>
      </c>
      <c r="AB274" s="1215">
        <f t="shared" si="68"/>
        <v>1009682760</v>
      </c>
      <c r="AC274" s="1214">
        <f t="shared" si="69"/>
        <v>1</v>
      </c>
      <c r="AD274" s="1214">
        <f t="shared" si="69"/>
        <v>0.40387310399999998</v>
      </c>
      <c r="AE274" s="384"/>
    </row>
    <row r="275" spans="1:31" s="494" customFormat="1" ht="36" customHeight="1">
      <c r="A275" s="384"/>
      <c r="B275" s="384"/>
      <c r="C275" s="421" t="s">
        <v>66</v>
      </c>
      <c r="D275" s="421" t="s">
        <v>196</v>
      </c>
      <c r="E275" s="421" t="s">
        <v>66</v>
      </c>
      <c r="F275" s="421">
        <v>16</v>
      </c>
      <c r="G275" s="1247">
        <v>29</v>
      </c>
      <c r="H275" s="421"/>
      <c r="I275" s="1200" t="s">
        <v>1738</v>
      </c>
      <c r="J275" s="1200" t="s">
        <v>1739</v>
      </c>
      <c r="K275" s="1238">
        <v>1</v>
      </c>
      <c r="L275" s="1202">
        <v>550000000</v>
      </c>
      <c r="M275" s="591">
        <v>1</v>
      </c>
      <c r="N275" s="590">
        <v>288895980</v>
      </c>
      <c r="O275" s="591">
        <v>1</v>
      </c>
      <c r="P275" s="590">
        <v>397250297</v>
      </c>
      <c r="Q275" s="1195">
        <v>0.05</v>
      </c>
      <c r="R275" s="590">
        <v>3914172</v>
      </c>
      <c r="S275" s="1195"/>
      <c r="T275" s="1202"/>
      <c r="U275" s="1195"/>
      <c r="V275" s="1202"/>
      <c r="W275" s="1195"/>
      <c r="X275" s="1202"/>
      <c r="Y275" s="1214">
        <v>0</v>
      </c>
      <c r="Z275" s="1215">
        <v>0</v>
      </c>
      <c r="AA275" s="1214">
        <f t="shared" si="70"/>
        <v>1</v>
      </c>
      <c r="AB275" s="1215">
        <f t="shared" si="68"/>
        <v>288895980</v>
      </c>
      <c r="AC275" s="1214">
        <f t="shared" si="69"/>
        <v>1</v>
      </c>
      <c r="AD275" s="1214">
        <f t="shared" si="69"/>
        <v>0.52526541818181816</v>
      </c>
      <c r="AE275" s="384"/>
    </row>
    <row r="276" spans="1:31" s="494" customFormat="1" ht="40.5" customHeight="1">
      <c r="A276" s="384"/>
      <c r="B276" s="384"/>
      <c r="C276" s="421"/>
      <c r="D276" s="421"/>
      <c r="E276" s="421"/>
      <c r="F276" s="421"/>
      <c r="G276" s="384"/>
      <c r="H276" s="384"/>
      <c r="I276" s="1200" t="s">
        <v>1740</v>
      </c>
      <c r="J276" s="384" t="s">
        <v>1741</v>
      </c>
      <c r="K276" s="1238">
        <v>1</v>
      </c>
      <c r="L276" s="1202">
        <v>100000000</v>
      </c>
      <c r="M276" s="591">
        <v>1</v>
      </c>
      <c r="N276" s="590">
        <v>27233170</v>
      </c>
      <c r="O276" s="591"/>
      <c r="P276" s="590"/>
      <c r="Q276" s="1195"/>
      <c r="R276" s="590"/>
      <c r="S276" s="1195"/>
      <c r="T276" s="1202"/>
      <c r="U276" s="1195"/>
      <c r="V276" s="1202"/>
      <c r="W276" s="1195"/>
      <c r="X276" s="1202"/>
      <c r="Y276" s="1214"/>
      <c r="Z276" s="1215"/>
      <c r="AA276" s="1214">
        <f t="shared" si="70"/>
        <v>1</v>
      </c>
      <c r="AB276" s="1215">
        <f t="shared" si="68"/>
        <v>27233170</v>
      </c>
      <c r="AC276" s="1214">
        <f t="shared" si="69"/>
        <v>1</v>
      </c>
      <c r="AD276" s="1214">
        <f t="shared" si="69"/>
        <v>0.27233170000000001</v>
      </c>
      <c r="AE276" s="384"/>
    </row>
    <row r="277" spans="1:31" s="494" customFormat="1" ht="51">
      <c r="A277" s="384"/>
      <c r="B277" s="1200"/>
      <c r="C277" s="421" t="s">
        <v>66</v>
      </c>
      <c r="D277" s="421" t="s">
        <v>196</v>
      </c>
      <c r="E277" s="421" t="s">
        <v>66</v>
      </c>
      <c r="F277" s="421">
        <v>16</v>
      </c>
      <c r="G277" s="421" t="s">
        <v>196</v>
      </c>
      <c r="H277" s="421"/>
      <c r="I277" s="1244" t="s">
        <v>1742</v>
      </c>
      <c r="J277" s="1244" t="s">
        <v>1743</v>
      </c>
      <c r="K277" s="1238">
        <v>1</v>
      </c>
      <c r="L277" s="1246">
        <v>1800000000</v>
      </c>
      <c r="M277" s="591">
        <f>-M106</f>
        <v>-1250</v>
      </c>
      <c r="N277" s="590">
        <v>0</v>
      </c>
      <c r="O277" s="591">
        <v>1</v>
      </c>
      <c r="P277" s="590">
        <v>1731404675</v>
      </c>
      <c r="Q277" s="1195">
        <v>0.02</v>
      </c>
      <c r="R277" s="590">
        <v>4030749</v>
      </c>
      <c r="S277" s="1195"/>
      <c r="T277" s="1202"/>
      <c r="U277" s="1212"/>
      <c r="V277" s="1221"/>
      <c r="W277" s="1212"/>
      <c r="X277" s="1221"/>
      <c r="Y277" s="1214">
        <v>0</v>
      </c>
      <c r="Z277" s="1215">
        <f>R277+T277+V277+X277</f>
        <v>4030749</v>
      </c>
      <c r="AA277" s="1214">
        <f t="shared" si="70"/>
        <v>-1250</v>
      </c>
      <c r="AB277" s="1215">
        <f t="shared" si="68"/>
        <v>4030749</v>
      </c>
      <c r="AC277" s="1214">
        <f t="shared" si="69"/>
        <v>-1250</v>
      </c>
      <c r="AD277" s="1214">
        <f t="shared" si="69"/>
        <v>2.239305E-3</v>
      </c>
      <c r="AE277" s="384"/>
    </row>
    <row r="278" spans="1:31" s="494" customFormat="1" ht="25.5">
      <c r="A278" s="384"/>
      <c r="B278" s="1200"/>
      <c r="C278" s="421" t="s">
        <v>66</v>
      </c>
      <c r="D278" s="421" t="s">
        <v>196</v>
      </c>
      <c r="E278" s="421" t="s">
        <v>66</v>
      </c>
      <c r="F278" s="421">
        <v>16</v>
      </c>
      <c r="G278" s="421" t="s">
        <v>66</v>
      </c>
      <c r="H278" s="421"/>
      <c r="I278" s="1244" t="s">
        <v>1744</v>
      </c>
      <c r="J278" s="384" t="s">
        <v>1741</v>
      </c>
      <c r="K278" s="1238">
        <v>1</v>
      </c>
      <c r="L278" s="1246">
        <v>100000000</v>
      </c>
      <c r="M278" s="591">
        <f>-M107</f>
        <v>0</v>
      </c>
      <c r="N278" s="590">
        <v>0</v>
      </c>
      <c r="O278" s="591">
        <v>1</v>
      </c>
      <c r="P278" s="590">
        <v>111477633</v>
      </c>
      <c r="Q278" s="1195">
        <v>0</v>
      </c>
      <c r="R278" s="590">
        <v>0</v>
      </c>
      <c r="S278" s="1195"/>
      <c r="T278" s="1202"/>
      <c r="U278" s="1212"/>
      <c r="V278" s="1221"/>
      <c r="W278" s="1212"/>
      <c r="X278" s="1221"/>
      <c r="Y278" s="1214">
        <v>0</v>
      </c>
      <c r="Z278" s="1215">
        <f>R278+T278+V278+X278</f>
        <v>0</v>
      </c>
      <c r="AA278" s="1214">
        <f t="shared" si="70"/>
        <v>0</v>
      </c>
      <c r="AB278" s="1215">
        <f t="shared" si="68"/>
        <v>0</v>
      </c>
      <c r="AC278" s="1214">
        <f t="shared" si="69"/>
        <v>0</v>
      </c>
      <c r="AD278" s="1214">
        <f t="shared" si="69"/>
        <v>0</v>
      </c>
      <c r="AE278" s="384"/>
    </row>
    <row r="279" spans="1:31" s="494" customFormat="1" ht="27.75" customHeight="1">
      <c r="A279" s="4335" t="s">
        <v>89</v>
      </c>
      <c r="B279" s="4335"/>
      <c r="C279" s="4335"/>
      <c r="D279" s="4335"/>
      <c r="E279" s="4335"/>
      <c r="F279" s="4335"/>
      <c r="G279" s="4335"/>
      <c r="H279" s="4335"/>
      <c r="I279" s="4335"/>
      <c r="J279" s="4335"/>
      <c r="K279" s="4335"/>
      <c r="L279" s="4335"/>
      <c r="M279" s="4335"/>
      <c r="N279" s="4335"/>
      <c r="O279" s="4335"/>
      <c r="P279" s="4335"/>
      <c r="Q279" s="4335"/>
      <c r="R279" s="4335"/>
      <c r="S279" s="4335"/>
      <c r="T279" s="4335"/>
      <c r="U279" s="4335"/>
      <c r="V279" s="4335"/>
      <c r="W279" s="4335"/>
      <c r="X279" s="4335"/>
      <c r="Y279" s="4335"/>
      <c r="Z279" s="4335"/>
      <c r="AA279" s="4335"/>
      <c r="AB279" s="4335"/>
      <c r="AC279" s="1195">
        <f>AVERAGE(AC274:AC278)</f>
        <v>-249.4</v>
      </c>
      <c r="AD279" s="1195">
        <f>AD273</f>
        <v>0.42089266984126983</v>
      </c>
      <c r="AE279" s="384"/>
    </row>
    <row r="280" spans="1:31" s="494" customFormat="1">
      <c r="A280" s="4335" t="s">
        <v>1679</v>
      </c>
      <c r="B280" s="4335"/>
      <c r="C280" s="4335"/>
      <c r="D280" s="4335"/>
      <c r="E280" s="4335"/>
      <c r="F280" s="4335"/>
      <c r="G280" s="4335"/>
      <c r="H280" s="4335"/>
      <c r="I280" s="4335"/>
      <c r="J280" s="4335"/>
      <c r="K280" s="4335"/>
      <c r="L280" s="4335"/>
      <c r="M280" s="4335"/>
      <c r="N280" s="4335"/>
      <c r="O280" s="4335"/>
      <c r="P280" s="4335"/>
      <c r="Q280" s="4335"/>
      <c r="R280" s="4335"/>
      <c r="S280" s="4335"/>
      <c r="T280" s="4335"/>
      <c r="U280" s="4335"/>
      <c r="V280" s="4335"/>
      <c r="W280" s="4335"/>
      <c r="X280" s="4335"/>
      <c r="Y280" s="4335"/>
      <c r="Z280" s="4335"/>
      <c r="AA280" s="4335"/>
      <c r="AB280" s="4335"/>
      <c r="AC280" s="384"/>
      <c r="AD280" s="384"/>
      <c r="AE280" s="384"/>
    </row>
    <row r="281" spans="1:31" s="494" customFormat="1">
      <c r="A281" s="384"/>
      <c r="B281" s="384"/>
      <c r="C281" s="384"/>
      <c r="D281" s="384"/>
      <c r="E281" s="384"/>
      <c r="F281" s="384"/>
      <c r="G281" s="384"/>
      <c r="H281" s="384"/>
      <c r="I281" s="1248"/>
      <c r="J281" s="384"/>
      <c r="K281" s="384"/>
      <c r="L281" s="384"/>
      <c r="M281" s="384"/>
      <c r="N281" s="384"/>
      <c r="O281" s="384"/>
      <c r="P281" s="384"/>
      <c r="Q281" s="384"/>
      <c r="R281" s="590"/>
      <c r="S281" s="384"/>
      <c r="T281" s="384"/>
      <c r="U281" s="384"/>
      <c r="V281" s="384"/>
      <c r="W281" s="384"/>
      <c r="X281" s="384"/>
      <c r="Y281" s="384"/>
      <c r="Z281" s="384"/>
      <c r="AA281" s="384"/>
      <c r="AB281" s="384"/>
      <c r="AC281" s="384"/>
      <c r="AD281" s="384"/>
      <c r="AE281" s="384"/>
    </row>
    <row r="282" spans="1:31" s="498" customFormat="1" ht="60" customHeight="1">
      <c r="A282" s="383">
        <v>7</v>
      </c>
      <c r="B282" s="383" t="s">
        <v>1745</v>
      </c>
      <c r="C282" s="623" t="s">
        <v>66</v>
      </c>
      <c r="D282" s="623" t="s">
        <v>196</v>
      </c>
      <c r="E282" s="623" t="s">
        <v>66</v>
      </c>
      <c r="F282" s="383">
        <v>18</v>
      </c>
      <c r="G282" s="383"/>
      <c r="H282" s="383"/>
      <c r="I282" s="1237" t="s">
        <v>1746</v>
      </c>
      <c r="J282" s="1249" t="s">
        <v>1747</v>
      </c>
      <c r="K282" s="1238">
        <v>1</v>
      </c>
      <c r="L282" s="693">
        <f>SUM(L283:L287)</f>
        <v>39450000000</v>
      </c>
      <c r="M282" s="1250">
        <v>0.99990000000000001</v>
      </c>
      <c r="N282" s="1213">
        <f>SUM(N283:N287)</f>
        <v>17067009697</v>
      </c>
      <c r="O282" s="1250">
        <v>1</v>
      </c>
      <c r="P282" s="1213">
        <f>SUM(P283:P287)</f>
        <v>8450847422</v>
      </c>
      <c r="Q282" s="1212">
        <v>0.13</v>
      </c>
      <c r="R282" s="1213">
        <f>R283+R284+R287</f>
        <v>837903000</v>
      </c>
      <c r="S282" s="1239"/>
      <c r="T282" s="1242"/>
      <c r="U282" s="1239"/>
      <c r="V282" s="1242"/>
      <c r="W282" s="1239"/>
      <c r="X282" s="1210"/>
      <c r="Y282" s="1214">
        <f>Q282+S282+U282+W282</f>
        <v>0.13</v>
      </c>
      <c r="Z282" s="1215">
        <f>R282+T282+V282+X282</f>
        <v>837903000</v>
      </c>
      <c r="AA282" s="1251">
        <f>M282+Y282</f>
        <v>1.1299000000000001</v>
      </c>
      <c r="AB282" s="1211">
        <f>N282+Z282</f>
        <v>17904912697</v>
      </c>
      <c r="AC282" s="1212">
        <f>AA282/K282*100%</f>
        <v>1.1299000000000001</v>
      </c>
      <c r="AD282" s="1212">
        <f>AB282/L282*100%</f>
        <v>0.45386343972116605</v>
      </c>
      <c r="AE282" s="657" t="s">
        <v>1042</v>
      </c>
    </row>
    <row r="283" spans="1:31" s="494" customFormat="1" ht="23.25" customHeight="1">
      <c r="A283" s="384"/>
      <c r="B283" s="384"/>
      <c r="C283" s="368" t="s">
        <v>66</v>
      </c>
      <c r="D283" s="368" t="s">
        <v>196</v>
      </c>
      <c r="E283" s="368" t="s">
        <v>66</v>
      </c>
      <c r="F283" s="383">
        <v>18</v>
      </c>
      <c r="G283" s="383">
        <v>56</v>
      </c>
      <c r="H283" s="383"/>
      <c r="I283" s="1200" t="s">
        <v>1748</v>
      </c>
      <c r="J283" s="1200" t="s">
        <v>1749</v>
      </c>
      <c r="K283" s="1252">
        <v>1</v>
      </c>
      <c r="L283" s="1202">
        <v>11700000000</v>
      </c>
      <c r="M283" s="1195">
        <v>1</v>
      </c>
      <c r="N283" s="590">
        <v>4150050750</v>
      </c>
      <c r="O283" s="591">
        <v>1</v>
      </c>
      <c r="P283" s="590">
        <v>3112168967</v>
      </c>
      <c r="Q283" s="1195">
        <v>0.25</v>
      </c>
      <c r="R283" s="590">
        <v>745070000</v>
      </c>
      <c r="S283" s="1195"/>
      <c r="T283" s="1202"/>
      <c r="U283" s="1195"/>
      <c r="V283" s="1202"/>
      <c r="W283" s="1253"/>
      <c r="X283" s="1202"/>
      <c r="Y283" s="1214">
        <f t="shared" ref="Y283:Z287" si="71">Q283+S283+U283+W283</f>
        <v>0.25</v>
      </c>
      <c r="Z283" s="1215">
        <f t="shared" si="71"/>
        <v>745070000</v>
      </c>
      <c r="AA283" s="1195">
        <f t="shared" ref="AA283:AB287" si="72">M283+Y283</f>
        <v>1.25</v>
      </c>
      <c r="AB283" s="1196">
        <f t="shared" si="72"/>
        <v>4895120750</v>
      </c>
      <c r="AC283" s="1214">
        <f t="shared" ref="AC283:AD311" si="73">AA283/K283*100%</f>
        <v>1.25</v>
      </c>
      <c r="AD283" s="1214">
        <f t="shared" si="73"/>
        <v>0.4183863888888889</v>
      </c>
      <c r="AE283" s="384"/>
    </row>
    <row r="284" spans="1:31" s="494" customFormat="1" ht="20.25" customHeight="1">
      <c r="A284" s="384"/>
      <c r="B284" s="384"/>
      <c r="C284" s="368" t="s">
        <v>66</v>
      </c>
      <c r="D284" s="368" t="s">
        <v>196</v>
      </c>
      <c r="E284" s="368" t="s">
        <v>66</v>
      </c>
      <c r="F284" s="383">
        <v>18</v>
      </c>
      <c r="G284" s="383">
        <v>69</v>
      </c>
      <c r="H284" s="383"/>
      <c r="I284" s="1200" t="s">
        <v>1750</v>
      </c>
      <c r="J284" s="1200" t="s">
        <v>1751</v>
      </c>
      <c r="K284" s="1252">
        <v>1</v>
      </c>
      <c r="L284" s="1202">
        <v>12750000000</v>
      </c>
      <c r="M284" s="1195">
        <v>1</v>
      </c>
      <c r="N284" s="590">
        <v>1395884400</v>
      </c>
      <c r="O284" s="591">
        <v>1</v>
      </c>
      <c r="P284" s="590">
        <v>737814953</v>
      </c>
      <c r="Q284" s="1195">
        <v>0.13</v>
      </c>
      <c r="R284" s="590">
        <v>92833000</v>
      </c>
      <c r="S284" s="1195"/>
      <c r="T284" s="1202"/>
      <c r="U284" s="1195"/>
      <c r="V284" s="1202"/>
      <c r="W284" s="1253"/>
      <c r="X284" s="1202"/>
      <c r="Y284" s="1214">
        <f t="shared" si="71"/>
        <v>0.13</v>
      </c>
      <c r="Z284" s="1215">
        <f t="shared" si="71"/>
        <v>92833000</v>
      </c>
      <c r="AA284" s="1195">
        <f t="shared" si="72"/>
        <v>1.1299999999999999</v>
      </c>
      <c r="AB284" s="1196">
        <f t="shared" si="72"/>
        <v>1488717400</v>
      </c>
      <c r="AC284" s="1214">
        <f t="shared" si="73"/>
        <v>1.1299999999999999</v>
      </c>
      <c r="AD284" s="1214">
        <f t="shared" si="73"/>
        <v>0.11676214901960784</v>
      </c>
      <c r="AE284" s="384"/>
    </row>
    <row r="285" spans="1:31" s="494" customFormat="1" ht="38.25">
      <c r="A285" s="384"/>
      <c r="B285" s="384"/>
      <c r="C285" s="368" t="s">
        <v>66</v>
      </c>
      <c r="D285" s="368" t="s">
        <v>196</v>
      </c>
      <c r="E285" s="368" t="s">
        <v>66</v>
      </c>
      <c r="F285" s="383">
        <v>18</v>
      </c>
      <c r="G285" s="384">
        <v>73</v>
      </c>
      <c r="H285" s="384"/>
      <c r="I285" s="1200" t="s">
        <v>1752</v>
      </c>
      <c r="J285" s="1200" t="s">
        <v>1749</v>
      </c>
      <c r="K285" s="1252">
        <v>1</v>
      </c>
      <c r="L285" s="1202">
        <v>8500000000</v>
      </c>
      <c r="M285" s="1195">
        <v>1</v>
      </c>
      <c r="N285" s="590">
        <v>6152397800</v>
      </c>
      <c r="O285" s="591"/>
      <c r="P285" s="590"/>
      <c r="Q285" s="1195"/>
      <c r="R285" s="681"/>
      <c r="S285" s="1214"/>
      <c r="T285" s="1221"/>
      <c r="U285" s="1214"/>
      <c r="V285" s="1221"/>
      <c r="W285" s="1254"/>
      <c r="X285" s="1221"/>
      <c r="Y285" s="1214">
        <f t="shared" si="71"/>
        <v>0</v>
      </c>
      <c r="Z285" s="1215">
        <f t="shared" si="71"/>
        <v>0</v>
      </c>
      <c r="AA285" s="1214">
        <f t="shared" si="72"/>
        <v>1</v>
      </c>
      <c r="AB285" s="1215">
        <f t="shared" si="72"/>
        <v>6152397800</v>
      </c>
      <c r="AC285" s="1214">
        <f t="shared" si="73"/>
        <v>1</v>
      </c>
      <c r="AD285" s="1214">
        <f t="shared" si="73"/>
        <v>0.72381150588235299</v>
      </c>
      <c r="AE285" s="384"/>
    </row>
    <row r="286" spans="1:31" s="494" customFormat="1" ht="25.5">
      <c r="A286" s="384"/>
      <c r="B286" s="384"/>
      <c r="C286" s="368" t="s">
        <v>66</v>
      </c>
      <c r="D286" s="368" t="s">
        <v>196</v>
      </c>
      <c r="E286" s="368" t="s">
        <v>66</v>
      </c>
      <c r="F286" s="383">
        <v>18</v>
      </c>
      <c r="G286" s="384">
        <v>77</v>
      </c>
      <c r="H286" s="384"/>
      <c r="I286" s="1200" t="s">
        <v>1753</v>
      </c>
      <c r="J286" s="1200" t="s">
        <v>1753</v>
      </c>
      <c r="K286" s="1252"/>
      <c r="L286" s="1202"/>
      <c r="M286" s="1195"/>
      <c r="N286" s="590"/>
      <c r="O286" s="591"/>
      <c r="P286" s="590"/>
      <c r="Q286" s="1195"/>
      <c r="R286" s="681"/>
      <c r="S286" s="1214"/>
      <c r="T286" s="1221"/>
      <c r="U286" s="1214"/>
      <c r="V286" s="1221"/>
      <c r="W286" s="1254"/>
      <c r="X286" s="1221"/>
      <c r="Y286" s="1214"/>
      <c r="Z286" s="1215"/>
      <c r="AA286" s="1214"/>
      <c r="AB286" s="1215"/>
      <c r="AC286" s="1214"/>
      <c r="AD286" s="1214"/>
      <c r="AE286" s="384"/>
    </row>
    <row r="287" spans="1:31" s="494" customFormat="1" ht="21.75" customHeight="1">
      <c r="A287" s="384"/>
      <c r="B287" s="384"/>
      <c r="C287" s="368" t="s">
        <v>66</v>
      </c>
      <c r="D287" s="368" t="s">
        <v>196</v>
      </c>
      <c r="E287" s="368" t="s">
        <v>66</v>
      </c>
      <c r="F287" s="383">
        <v>18</v>
      </c>
      <c r="G287" s="383">
        <v>74</v>
      </c>
      <c r="H287" s="383"/>
      <c r="I287" s="1200" t="s">
        <v>1754</v>
      </c>
      <c r="J287" s="1200" t="s">
        <v>1755</v>
      </c>
      <c r="K287" s="1252">
        <v>1</v>
      </c>
      <c r="L287" s="1202">
        <v>6500000000</v>
      </c>
      <c r="M287" s="1195">
        <v>0.93469999999999998</v>
      </c>
      <c r="N287" s="590">
        <v>5368676747</v>
      </c>
      <c r="O287" s="591">
        <v>1</v>
      </c>
      <c r="P287" s="590">
        <v>4600863502</v>
      </c>
      <c r="Q287" s="1195">
        <v>0</v>
      </c>
      <c r="R287" s="590">
        <v>0</v>
      </c>
      <c r="S287" s="1195"/>
      <c r="T287" s="1202"/>
      <c r="U287" s="1195"/>
      <c r="V287" s="1202"/>
      <c r="W287" s="1253"/>
      <c r="X287" s="1202"/>
      <c r="Y287" s="1214">
        <f t="shared" si="71"/>
        <v>0</v>
      </c>
      <c r="Z287" s="1215">
        <f t="shared" si="71"/>
        <v>0</v>
      </c>
      <c r="AA287" s="1195">
        <f t="shared" si="72"/>
        <v>0.93469999999999998</v>
      </c>
      <c r="AB287" s="1196">
        <f t="shared" si="72"/>
        <v>5368676747</v>
      </c>
      <c r="AC287" s="1214">
        <f t="shared" si="73"/>
        <v>0.93469999999999998</v>
      </c>
      <c r="AD287" s="1214">
        <f t="shared" si="73"/>
        <v>0.82595026876923072</v>
      </c>
      <c r="AE287" s="384"/>
    </row>
    <row r="288" spans="1:31" s="494" customFormat="1" ht="27.75" customHeight="1">
      <c r="A288" s="4335" t="s">
        <v>89</v>
      </c>
      <c r="B288" s="4335"/>
      <c r="C288" s="4335"/>
      <c r="D288" s="4335"/>
      <c r="E288" s="4335"/>
      <c r="F288" s="4335"/>
      <c r="G288" s="4335"/>
      <c r="H288" s="4335"/>
      <c r="I288" s="4335"/>
      <c r="J288" s="4335"/>
      <c r="K288" s="4335"/>
      <c r="L288" s="4335"/>
      <c r="M288" s="4335"/>
      <c r="N288" s="4335"/>
      <c r="O288" s="4335"/>
      <c r="P288" s="4335"/>
      <c r="Q288" s="4335"/>
      <c r="R288" s="4335"/>
      <c r="S288" s="4335"/>
      <c r="T288" s="4335"/>
      <c r="U288" s="4335"/>
      <c r="V288" s="4335"/>
      <c r="W288" s="4335"/>
      <c r="X288" s="4335"/>
      <c r="Y288" s="4335"/>
      <c r="Z288" s="4335"/>
      <c r="AA288" s="4335"/>
      <c r="AB288" s="4335"/>
      <c r="AC288" s="1195">
        <f>AVERAGE(AC283:AC287)</f>
        <v>1.0786750000000001</v>
      </c>
      <c r="AD288" s="1195">
        <f>AD282</f>
        <v>0.45386343972116605</v>
      </c>
      <c r="AE288" s="384"/>
    </row>
    <row r="289" spans="1:31" s="494" customFormat="1">
      <c r="A289" s="4335" t="s">
        <v>1679</v>
      </c>
      <c r="B289" s="4335"/>
      <c r="C289" s="4335"/>
      <c r="D289" s="4335"/>
      <c r="E289" s="4335"/>
      <c r="F289" s="4335"/>
      <c r="G289" s="4335"/>
      <c r="H289" s="4335"/>
      <c r="I289" s="4335"/>
      <c r="J289" s="4335"/>
      <c r="K289" s="4335"/>
      <c r="L289" s="4335"/>
      <c r="M289" s="4335"/>
      <c r="N289" s="4335"/>
      <c r="O289" s="4335"/>
      <c r="P289" s="4335"/>
      <c r="Q289" s="4335"/>
      <c r="R289" s="4335"/>
      <c r="S289" s="4335"/>
      <c r="T289" s="4335"/>
      <c r="U289" s="4335"/>
      <c r="V289" s="4335"/>
      <c r="W289" s="4335"/>
      <c r="X289" s="4335"/>
      <c r="Y289" s="4335"/>
      <c r="Z289" s="4335"/>
      <c r="AA289" s="4335"/>
      <c r="AB289" s="4335"/>
      <c r="AC289" s="384"/>
      <c r="AD289" s="384"/>
      <c r="AE289" s="384"/>
    </row>
    <row r="290" spans="1:31" s="494" customFormat="1">
      <c r="A290" s="384"/>
      <c r="B290" s="384"/>
      <c r="C290" s="384"/>
      <c r="D290" s="384"/>
      <c r="E290" s="384"/>
      <c r="F290" s="384"/>
      <c r="G290" s="384"/>
      <c r="H290" s="384"/>
      <c r="I290" s="1248"/>
      <c r="J290" s="384"/>
      <c r="K290" s="1252"/>
      <c r="L290" s="1202"/>
      <c r="M290" s="384"/>
      <c r="N290" s="384"/>
      <c r="O290" s="384"/>
      <c r="P290" s="384"/>
      <c r="Q290" s="384"/>
      <c r="R290" s="590"/>
      <c r="S290" s="384"/>
      <c r="T290" s="384"/>
      <c r="U290" s="384"/>
      <c r="V290" s="384"/>
      <c r="W290" s="384"/>
      <c r="X290" s="384"/>
      <c r="Y290" s="384"/>
      <c r="Z290" s="384"/>
      <c r="AA290" s="384"/>
      <c r="AB290" s="384"/>
      <c r="AC290" s="1219"/>
      <c r="AD290" s="1219"/>
      <c r="AE290" s="384"/>
    </row>
    <row r="291" spans="1:31" s="498" customFormat="1" ht="82.5" customHeight="1">
      <c r="A291" s="383">
        <v>8</v>
      </c>
      <c r="B291" s="383" t="s">
        <v>1680</v>
      </c>
      <c r="C291" s="623" t="s">
        <v>66</v>
      </c>
      <c r="D291" s="623" t="s">
        <v>196</v>
      </c>
      <c r="E291" s="623" t="s">
        <v>66</v>
      </c>
      <c r="F291" s="383">
        <v>29</v>
      </c>
      <c r="G291" s="383"/>
      <c r="H291" s="383"/>
      <c r="I291" s="1237" t="s">
        <v>1756</v>
      </c>
      <c r="J291" s="1237" t="s">
        <v>1757</v>
      </c>
      <c r="K291" s="591">
        <v>1</v>
      </c>
      <c r="L291" s="1227">
        <f>SUM(L292:L298)</f>
        <v>12047028000</v>
      </c>
      <c r="M291" s="1212">
        <v>1</v>
      </c>
      <c r="N291" s="1255">
        <f>SUM(N292:N298)</f>
        <v>2588355730</v>
      </c>
      <c r="O291" s="1212">
        <v>1</v>
      </c>
      <c r="P291" s="1211">
        <f>SUM(P292:P293)</f>
        <v>7098702294</v>
      </c>
      <c r="Q291" s="1212">
        <v>0.05</v>
      </c>
      <c r="R291" s="1211">
        <f>SUM(R292:R293)</f>
        <v>13526996</v>
      </c>
      <c r="S291" s="1239"/>
      <c r="T291" s="1242"/>
      <c r="U291" s="1239"/>
      <c r="V291" s="1242"/>
      <c r="W291" s="1212"/>
      <c r="X291" s="1210"/>
      <c r="Y291" s="1214">
        <f>Q291+S291+U291+W291</f>
        <v>0.05</v>
      </c>
      <c r="Z291" s="1215">
        <f>R291+T291+V291+X291</f>
        <v>13526996</v>
      </c>
      <c r="AA291" s="1212">
        <f>M291+Y291</f>
        <v>1.05</v>
      </c>
      <c r="AB291" s="1211">
        <f>N291+Z291</f>
        <v>2601882726</v>
      </c>
      <c r="AC291" s="1214">
        <f t="shared" si="73"/>
        <v>1.05</v>
      </c>
      <c r="AD291" s="1214">
        <f t="shared" si="73"/>
        <v>0.21597714606457294</v>
      </c>
      <c r="AE291" s="657" t="s">
        <v>1042</v>
      </c>
    </row>
    <row r="292" spans="1:31" s="494" customFormat="1" ht="51">
      <c r="A292" s="384"/>
      <c r="B292" s="384"/>
      <c r="C292" s="623" t="s">
        <v>66</v>
      </c>
      <c r="D292" s="623" t="s">
        <v>196</v>
      </c>
      <c r="E292" s="623" t="s">
        <v>66</v>
      </c>
      <c r="F292" s="383">
        <v>29</v>
      </c>
      <c r="G292" s="1256" t="s">
        <v>65</v>
      </c>
      <c r="H292" s="1256"/>
      <c r="I292" s="1200" t="s">
        <v>1758</v>
      </c>
      <c r="J292" s="1200" t="s">
        <v>1759</v>
      </c>
      <c r="K292" s="591">
        <v>1</v>
      </c>
      <c r="L292" s="1202">
        <v>5000000000</v>
      </c>
      <c r="M292" s="1195">
        <v>1</v>
      </c>
      <c r="N292" s="590">
        <v>462102200</v>
      </c>
      <c r="O292" s="1220" t="s">
        <v>1760</v>
      </c>
      <c r="P292" s="1257">
        <v>3662213211</v>
      </c>
      <c r="Q292" s="1214">
        <v>0.05</v>
      </c>
      <c r="R292" s="681">
        <v>9594622</v>
      </c>
      <c r="S292" s="1253"/>
      <c r="T292" s="1221"/>
      <c r="U292" s="1253"/>
      <c r="V292" s="1221"/>
      <c r="W292" s="1212"/>
      <c r="X292" s="1221"/>
      <c r="Y292" s="1214">
        <f>Q292+S292+U292+W292</f>
        <v>0.05</v>
      </c>
      <c r="Z292" s="1215">
        <f>R292+T292+V292+X292</f>
        <v>9594622</v>
      </c>
      <c r="AA292" s="1214">
        <f>M292+Y292</f>
        <v>1.05</v>
      </c>
      <c r="AB292" s="1215">
        <f>N292+Z292</f>
        <v>471696822</v>
      </c>
      <c r="AC292" s="1214">
        <f t="shared" si="73"/>
        <v>1.05</v>
      </c>
      <c r="AD292" s="1214">
        <f t="shared" si="73"/>
        <v>9.43393644E-2</v>
      </c>
      <c r="AE292" s="384"/>
    </row>
    <row r="293" spans="1:31" s="494" customFormat="1" ht="51">
      <c r="A293" s="384"/>
      <c r="B293" s="384"/>
      <c r="C293" s="623" t="s">
        <v>66</v>
      </c>
      <c r="D293" s="623" t="s">
        <v>196</v>
      </c>
      <c r="E293" s="623" t="s">
        <v>66</v>
      </c>
      <c r="F293" s="383">
        <v>29</v>
      </c>
      <c r="G293" s="1236">
        <v>12</v>
      </c>
      <c r="H293" s="1236"/>
      <c r="I293" s="1200" t="s">
        <v>1761</v>
      </c>
      <c r="J293" s="1200" t="s">
        <v>1759</v>
      </c>
      <c r="K293" s="591">
        <v>1</v>
      </c>
      <c r="L293" s="1202">
        <v>3000000000</v>
      </c>
      <c r="M293" s="1195">
        <v>1</v>
      </c>
      <c r="N293" s="590">
        <v>892324200</v>
      </c>
      <c r="O293" s="1258" t="s">
        <v>1762</v>
      </c>
      <c r="P293" s="590">
        <v>3436489083</v>
      </c>
      <c r="Q293" s="1195">
        <v>0.05</v>
      </c>
      <c r="R293" s="590">
        <v>3932374</v>
      </c>
      <c r="S293" s="1195"/>
      <c r="T293" s="1202"/>
      <c r="U293" s="1195"/>
      <c r="V293" s="1202"/>
      <c r="W293" s="1195"/>
      <c r="X293" s="1202"/>
      <c r="Y293" s="1195">
        <f t="shared" ref="Y293:Z298" si="74">Q293+S293+U293+W293</f>
        <v>0.05</v>
      </c>
      <c r="Z293" s="1196">
        <f t="shared" si="74"/>
        <v>3932374</v>
      </c>
      <c r="AA293" s="1195">
        <f t="shared" ref="AA293:AB303" si="75">M293+Y293</f>
        <v>1.05</v>
      </c>
      <c r="AB293" s="1196">
        <f t="shared" si="75"/>
        <v>896256574</v>
      </c>
      <c r="AC293" s="1214">
        <f t="shared" si="73"/>
        <v>1.05</v>
      </c>
      <c r="AD293" s="1214">
        <f t="shared" si="73"/>
        <v>0.29875219133333331</v>
      </c>
      <c r="AE293" s="384"/>
    </row>
    <row r="294" spans="1:31" s="494" customFormat="1" ht="25.5">
      <c r="A294" s="384"/>
      <c r="B294" s="384"/>
      <c r="C294" s="623" t="s">
        <v>66</v>
      </c>
      <c r="D294" s="623" t="s">
        <v>196</v>
      </c>
      <c r="E294" s="623" t="s">
        <v>66</v>
      </c>
      <c r="F294" s="383">
        <v>29</v>
      </c>
      <c r="G294" s="421">
        <v>24</v>
      </c>
      <c r="H294" s="384"/>
      <c r="I294" s="1200" t="s">
        <v>1763</v>
      </c>
      <c r="J294" s="384"/>
      <c r="K294" s="591">
        <v>1</v>
      </c>
      <c r="L294" s="1202">
        <v>2500000000</v>
      </c>
      <c r="M294" s="1195">
        <v>0.65</v>
      </c>
      <c r="N294" s="590">
        <v>472461650</v>
      </c>
      <c r="O294" s="1258"/>
      <c r="P294" s="590"/>
      <c r="Q294" s="591"/>
      <c r="R294" s="590"/>
      <c r="S294" s="1195"/>
      <c r="T294" s="1202"/>
      <c r="U294" s="1195"/>
      <c r="V294" s="1202"/>
      <c r="W294" s="1195"/>
      <c r="X294" s="1202"/>
      <c r="Y294" s="1195">
        <f t="shared" si="74"/>
        <v>0</v>
      </c>
      <c r="Z294" s="1196">
        <f t="shared" si="74"/>
        <v>0</v>
      </c>
      <c r="AA294" s="1195">
        <f t="shared" si="75"/>
        <v>0.65</v>
      </c>
      <c r="AB294" s="1196">
        <f t="shared" si="75"/>
        <v>472461650</v>
      </c>
      <c r="AC294" s="1214">
        <f t="shared" si="73"/>
        <v>0.65</v>
      </c>
      <c r="AD294" s="1214">
        <f t="shared" si="73"/>
        <v>0.18898466</v>
      </c>
      <c r="AE294" s="384"/>
    </row>
    <row r="295" spans="1:31" s="494" customFormat="1" ht="30.75" customHeight="1">
      <c r="A295" s="384"/>
      <c r="B295" s="384"/>
      <c r="C295" s="623" t="s">
        <v>66</v>
      </c>
      <c r="D295" s="623" t="s">
        <v>196</v>
      </c>
      <c r="E295" s="623" t="s">
        <v>66</v>
      </c>
      <c r="F295" s="383">
        <v>29</v>
      </c>
      <c r="G295" s="421">
        <v>25</v>
      </c>
      <c r="H295" s="384"/>
      <c r="I295" s="1200" t="s">
        <v>1764</v>
      </c>
      <c r="J295" s="384"/>
      <c r="K295" s="591">
        <v>1</v>
      </c>
      <c r="L295" s="1202">
        <v>300000000</v>
      </c>
      <c r="M295" s="1195">
        <v>0</v>
      </c>
      <c r="N295" s="590">
        <v>1706480</v>
      </c>
      <c r="O295" s="591"/>
      <c r="P295" s="590"/>
      <c r="Q295" s="1195"/>
      <c r="R295" s="590"/>
      <c r="S295" s="1214"/>
      <c r="T295" s="1221"/>
      <c r="U295" s="1214"/>
      <c r="V295" s="1221"/>
      <c r="W295" s="1214"/>
      <c r="X295" s="1221"/>
      <c r="Y295" s="1214">
        <f t="shared" si="74"/>
        <v>0</v>
      </c>
      <c r="Z295" s="1215">
        <f t="shared" si="74"/>
        <v>0</v>
      </c>
      <c r="AA295" s="1214">
        <f t="shared" si="75"/>
        <v>0</v>
      </c>
      <c r="AB295" s="1215">
        <f t="shared" si="75"/>
        <v>1706480</v>
      </c>
      <c r="AC295" s="1214">
        <f t="shared" si="73"/>
        <v>0</v>
      </c>
      <c r="AD295" s="1214">
        <f t="shared" si="73"/>
        <v>5.6882666666666663E-3</v>
      </c>
      <c r="AE295" s="634" t="s">
        <v>1765</v>
      </c>
    </row>
    <row r="296" spans="1:31" s="494" customFormat="1" ht="39" customHeight="1">
      <c r="A296" s="384"/>
      <c r="B296" s="384"/>
      <c r="C296" s="623" t="s">
        <v>66</v>
      </c>
      <c r="D296" s="623" t="s">
        <v>196</v>
      </c>
      <c r="E296" s="623" t="s">
        <v>66</v>
      </c>
      <c r="F296" s="383">
        <v>29</v>
      </c>
      <c r="G296" s="421">
        <v>27</v>
      </c>
      <c r="H296" s="384"/>
      <c r="I296" s="1200" t="s">
        <v>1766</v>
      </c>
      <c r="J296" s="384" t="s">
        <v>1767</v>
      </c>
      <c r="K296" s="591">
        <v>1</v>
      </c>
      <c r="L296" s="1202">
        <v>350000000</v>
      </c>
      <c r="M296" s="1195">
        <v>1</v>
      </c>
      <c r="N296" s="590">
        <v>147172100</v>
      </c>
      <c r="O296" s="1259"/>
      <c r="P296" s="590"/>
      <c r="Q296" s="1195"/>
      <c r="R296" s="590"/>
      <c r="S296" s="1214"/>
      <c r="T296" s="1221"/>
      <c r="U296" s="1214"/>
      <c r="V296" s="1221"/>
      <c r="W296" s="1214"/>
      <c r="X296" s="1221"/>
      <c r="Y296" s="1214">
        <f t="shared" si="74"/>
        <v>0</v>
      </c>
      <c r="Z296" s="1215">
        <f t="shared" si="74"/>
        <v>0</v>
      </c>
      <c r="AA296" s="1214">
        <f t="shared" si="75"/>
        <v>1</v>
      </c>
      <c r="AB296" s="1215">
        <f t="shared" si="75"/>
        <v>147172100</v>
      </c>
      <c r="AC296" s="1214">
        <f t="shared" si="73"/>
        <v>1</v>
      </c>
      <c r="AD296" s="1214">
        <f t="shared" si="73"/>
        <v>0.4204917142857143</v>
      </c>
      <c r="AE296" s="384"/>
    </row>
    <row r="297" spans="1:31" s="494" customFormat="1" ht="36.75" customHeight="1">
      <c r="A297" s="384"/>
      <c r="B297" s="384"/>
      <c r="C297" s="623" t="s">
        <v>66</v>
      </c>
      <c r="D297" s="623" t="s">
        <v>196</v>
      </c>
      <c r="E297" s="623" t="s">
        <v>66</v>
      </c>
      <c r="F297" s="383">
        <v>29</v>
      </c>
      <c r="G297" s="421">
        <v>29</v>
      </c>
      <c r="H297" s="384"/>
      <c r="I297" s="1200" t="s">
        <v>1768</v>
      </c>
      <c r="J297" s="384" t="s">
        <v>1767</v>
      </c>
      <c r="K297" s="591">
        <v>1</v>
      </c>
      <c r="L297" s="1202">
        <v>200000000</v>
      </c>
      <c r="M297" s="1195">
        <v>1</v>
      </c>
      <c r="N297" s="590">
        <v>44522600</v>
      </c>
      <c r="O297" s="1259"/>
      <c r="P297" s="590"/>
      <c r="Q297" s="1195"/>
      <c r="R297" s="590"/>
      <c r="S297" s="1195"/>
      <c r="T297" s="1202"/>
      <c r="U297" s="1195"/>
      <c r="V297" s="1202"/>
      <c r="W297" s="1214"/>
      <c r="X297" s="1221"/>
      <c r="Y297" s="1214">
        <f t="shared" si="74"/>
        <v>0</v>
      </c>
      <c r="Z297" s="1215">
        <f t="shared" si="74"/>
        <v>0</v>
      </c>
      <c r="AA297" s="1195">
        <f t="shared" si="75"/>
        <v>1</v>
      </c>
      <c r="AB297" s="1196">
        <f t="shared" si="75"/>
        <v>44522600</v>
      </c>
      <c r="AC297" s="1214">
        <f t="shared" si="73"/>
        <v>1</v>
      </c>
      <c r="AD297" s="1214">
        <f t="shared" si="73"/>
        <v>0.22261300000000001</v>
      </c>
      <c r="AE297" s="384"/>
    </row>
    <row r="298" spans="1:31" s="494" customFormat="1" ht="25.5">
      <c r="A298" s="384"/>
      <c r="B298" s="384"/>
      <c r="C298" s="623" t="s">
        <v>66</v>
      </c>
      <c r="D298" s="623" t="s">
        <v>196</v>
      </c>
      <c r="E298" s="623" t="s">
        <v>66</v>
      </c>
      <c r="F298" s="383">
        <v>29</v>
      </c>
      <c r="G298" s="421">
        <v>26</v>
      </c>
      <c r="H298" s="384"/>
      <c r="I298" s="1200" t="s">
        <v>1769</v>
      </c>
      <c r="J298" s="384"/>
      <c r="K298" s="591">
        <v>1</v>
      </c>
      <c r="L298" s="1202">
        <v>697028000</v>
      </c>
      <c r="M298" s="1195">
        <v>0.94730000000000003</v>
      </c>
      <c r="N298" s="590">
        <v>568066500</v>
      </c>
      <c r="O298" s="1259"/>
      <c r="P298" s="590"/>
      <c r="Q298" s="1195"/>
      <c r="R298" s="590"/>
      <c r="S298" s="1195"/>
      <c r="T298" s="1202"/>
      <c r="U298" s="1195"/>
      <c r="V298" s="1202"/>
      <c r="W298" s="1212"/>
      <c r="X298" s="1221"/>
      <c r="Y298" s="1214">
        <f t="shared" si="74"/>
        <v>0</v>
      </c>
      <c r="Z298" s="1215">
        <f t="shared" si="74"/>
        <v>0</v>
      </c>
      <c r="AA298" s="1195">
        <f t="shared" si="75"/>
        <v>0.94730000000000003</v>
      </c>
      <c r="AB298" s="1196">
        <f t="shared" si="75"/>
        <v>568066500</v>
      </c>
      <c r="AC298" s="1214">
        <f t="shared" si="73"/>
        <v>0.94730000000000003</v>
      </c>
      <c r="AD298" s="1214">
        <f t="shared" si="73"/>
        <v>0.81498375961941272</v>
      </c>
      <c r="AE298" s="384"/>
    </row>
    <row r="299" spans="1:31" s="494" customFormat="1" ht="27.75" customHeight="1">
      <c r="A299" s="4335" t="s">
        <v>89</v>
      </c>
      <c r="B299" s="4335"/>
      <c r="C299" s="4335"/>
      <c r="D299" s="4335"/>
      <c r="E299" s="4335"/>
      <c r="F299" s="4335"/>
      <c r="G299" s="4335"/>
      <c r="H299" s="4335"/>
      <c r="I299" s="4335"/>
      <c r="J299" s="4335"/>
      <c r="K299" s="4335"/>
      <c r="L299" s="4335"/>
      <c r="M299" s="4335"/>
      <c r="N299" s="4335"/>
      <c r="O299" s="4335"/>
      <c r="P299" s="4335"/>
      <c r="Q299" s="4335"/>
      <c r="R299" s="4335"/>
      <c r="S299" s="4335"/>
      <c r="T299" s="4335"/>
      <c r="U299" s="4335"/>
      <c r="V299" s="4335"/>
      <c r="W299" s="4335"/>
      <c r="X299" s="4335"/>
      <c r="Y299" s="4335"/>
      <c r="Z299" s="4335"/>
      <c r="AA299" s="4335"/>
      <c r="AB299" s="4335"/>
      <c r="AC299" s="1195">
        <f>AVERAGE(AC292:AC298)</f>
        <v>0.81390000000000007</v>
      </c>
      <c r="AD299" s="1195">
        <f>AD291</f>
        <v>0.21597714606457294</v>
      </c>
      <c r="AE299" s="384"/>
    </row>
    <row r="300" spans="1:31" s="494" customFormat="1">
      <c r="A300" s="4335" t="s">
        <v>1679</v>
      </c>
      <c r="B300" s="4335"/>
      <c r="C300" s="4335"/>
      <c r="D300" s="4335"/>
      <c r="E300" s="4335"/>
      <c r="F300" s="4335"/>
      <c r="G300" s="4335"/>
      <c r="H300" s="4335"/>
      <c r="I300" s="4335"/>
      <c r="J300" s="4335"/>
      <c r="K300" s="4335"/>
      <c r="L300" s="4335"/>
      <c r="M300" s="4335"/>
      <c r="N300" s="4335"/>
      <c r="O300" s="4335"/>
      <c r="P300" s="4335"/>
      <c r="Q300" s="4335"/>
      <c r="R300" s="4335"/>
      <c r="S300" s="4335"/>
      <c r="T300" s="4335"/>
      <c r="U300" s="4335"/>
      <c r="V300" s="4335"/>
      <c r="W300" s="4335"/>
      <c r="X300" s="4335"/>
      <c r="Y300" s="4335"/>
      <c r="Z300" s="4335"/>
      <c r="AA300" s="4335"/>
      <c r="AB300" s="4335"/>
      <c r="AC300" s="384"/>
      <c r="AD300" s="384"/>
      <c r="AE300" s="384"/>
    </row>
    <row r="301" spans="1:31" s="494" customFormat="1">
      <c r="A301" s="384"/>
      <c r="B301" s="384"/>
      <c r="C301" s="384"/>
      <c r="D301" s="384"/>
      <c r="E301" s="384"/>
      <c r="F301" s="384"/>
      <c r="G301" s="384"/>
      <c r="H301" s="384"/>
      <c r="I301" s="1248"/>
      <c r="J301" s="384"/>
      <c r="K301" s="384"/>
      <c r="L301" s="384"/>
      <c r="M301" s="384"/>
      <c r="N301" s="590"/>
      <c r="O301" s="384"/>
      <c r="P301" s="384"/>
      <c r="Q301" s="384"/>
      <c r="R301" s="384"/>
      <c r="S301" s="384"/>
      <c r="T301" s="384"/>
      <c r="U301" s="384"/>
      <c r="V301" s="384"/>
      <c r="W301" s="384"/>
      <c r="X301" s="384"/>
      <c r="Y301" s="384"/>
      <c r="Z301" s="384"/>
      <c r="AA301" s="384"/>
      <c r="AB301" s="1196"/>
      <c r="AC301" s="1219"/>
      <c r="AD301" s="1219"/>
      <c r="AE301" s="384"/>
    </row>
    <row r="302" spans="1:31" s="498" customFormat="1" ht="78.75" customHeight="1">
      <c r="A302" s="753">
        <v>9</v>
      </c>
      <c r="B302" s="383" t="s">
        <v>1770</v>
      </c>
      <c r="C302" s="623" t="s">
        <v>66</v>
      </c>
      <c r="D302" s="623" t="s">
        <v>196</v>
      </c>
      <c r="E302" s="623" t="s">
        <v>66</v>
      </c>
      <c r="F302" s="383">
        <v>30</v>
      </c>
      <c r="G302" s="383"/>
      <c r="H302" s="383"/>
      <c r="I302" s="1237" t="s">
        <v>1771</v>
      </c>
      <c r="J302" s="1237" t="s">
        <v>1772</v>
      </c>
      <c r="K302" s="591">
        <v>1</v>
      </c>
      <c r="L302" s="1227">
        <f>SUM(L303:L311)</f>
        <v>20894018560</v>
      </c>
      <c r="M302" s="1195">
        <v>1</v>
      </c>
      <c r="N302" s="628">
        <f>SUM(N303:N311)</f>
        <v>3623119446</v>
      </c>
      <c r="O302" s="1195">
        <v>1</v>
      </c>
      <c r="P302" s="1227">
        <f>SUM(P303:P311)</f>
        <v>3599747762</v>
      </c>
      <c r="Q302" s="1193">
        <f>SUM(Q303:Q311)</f>
        <v>4.7699999999999999E-2</v>
      </c>
      <c r="R302" s="629">
        <f>R304+R305+R308+R309</f>
        <v>9372230</v>
      </c>
      <c r="S302" s="1193"/>
      <c r="T302" s="629"/>
      <c r="U302" s="1193"/>
      <c r="V302" s="629"/>
      <c r="W302" s="1195"/>
      <c r="X302" s="629"/>
      <c r="Y302" s="591">
        <f>Q302+S302+U302+W302</f>
        <v>4.7699999999999999E-2</v>
      </c>
      <c r="Z302" s="1196">
        <f>R302+T302+V302+X302</f>
        <v>9372230</v>
      </c>
      <c r="AA302" s="1212">
        <f>M299+Y302</f>
        <v>4.7699999999999999E-2</v>
      </c>
      <c r="AB302" s="1215">
        <f t="shared" si="75"/>
        <v>3632491676</v>
      </c>
      <c r="AC302" s="1214">
        <f t="shared" si="73"/>
        <v>4.7699999999999999E-2</v>
      </c>
      <c r="AD302" s="1214">
        <f t="shared" si="73"/>
        <v>0.17385318509069037</v>
      </c>
      <c r="AE302" s="383"/>
    </row>
    <row r="303" spans="1:31" s="494" customFormat="1" ht="36.75" customHeight="1">
      <c r="A303" s="384"/>
      <c r="B303" s="384"/>
      <c r="C303" s="623" t="s">
        <v>66</v>
      </c>
      <c r="D303" s="623" t="s">
        <v>196</v>
      </c>
      <c r="E303" s="623" t="s">
        <v>66</v>
      </c>
      <c r="F303" s="383">
        <v>30</v>
      </c>
      <c r="G303" s="421">
        <v>47</v>
      </c>
      <c r="H303" s="384"/>
      <c r="I303" s="1200" t="s">
        <v>1773</v>
      </c>
      <c r="J303" s="1200" t="s">
        <v>1773</v>
      </c>
      <c r="K303" s="591">
        <v>0.69950000000000001</v>
      </c>
      <c r="L303" s="1202">
        <v>17000000000</v>
      </c>
      <c r="M303" s="1195">
        <v>1</v>
      </c>
      <c r="N303" s="590">
        <v>248059400</v>
      </c>
      <c r="O303" s="384"/>
      <c r="P303" s="1202"/>
      <c r="Q303" s="384"/>
      <c r="R303" s="384"/>
      <c r="S303" s="384"/>
      <c r="T303" s="384"/>
      <c r="U303" s="1195"/>
      <c r="V303" s="1202"/>
      <c r="W303" s="1195"/>
      <c r="X303" s="1202"/>
      <c r="Y303" s="1219">
        <f t="shared" ref="Y303:Z311" si="76">Q303+S303+U303+W303</f>
        <v>0</v>
      </c>
      <c r="Z303" s="1215">
        <f t="shared" si="76"/>
        <v>0</v>
      </c>
      <c r="AA303" s="1229">
        <f>M302+Y303</f>
        <v>1</v>
      </c>
      <c r="AB303" s="1196">
        <f t="shared" si="75"/>
        <v>248059400</v>
      </c>
      <c r="AC303" s="1214">
        <f t="shared" si="73"/>
        <v>1.4295925661186561</v>
      </c>
      <c r="AD303" s="1214">
        <f t="shared" si="73"/>
        <v>1.4591729411764705E-2</v>
      </c>
      <c r="AE303" s="384"/>
    </row>
    <row r="304" spans="1:31" s="494" customFormat="1" ht="36.75" customHeight="1">
      <c r="A304" s="384"/>
      <c r="B304" s="384"/>
      <c r="C304" s="623" t="s">
        <v>66</v>
      </c>
      <c r="D304" s="623" t="s">
        <v>196</v>
      </c>
      <c r="E304" s="623" t="s">
        <v>66</v>
      </c>
      <c r="F304" s="383">
        <v>30</v>
      </c>
      <c r="G304" s="383">
        <v>50</v>
      </c>
      <c r="H304" s="383"/>
      <c r="I304" s="1200" t="s">
        <v>1774</v>
      </c>
      <c r="J304" s="384" t="s">
        <v>1775</v>
      </c>
      <c r="K304" s="591">
        <v>1</v>
      </c>
      <c r="L304" s="1202">
        <v>500000000</v>
      </c>
      <c r="M304" s="1195">
        <v>1</v>
      </c>
      <c r="N304" s="590">
        <v>1050000000</v>
      </c>
      <c r="O304" s="1195">
        <v>1</v>
      </c>
      <c r="P304" s="1202">
        <v>500000000</v>
      </c>
      <c r="Q304" s="384">
        <v>0</v>
      </c>
      <c r="R304" s="1202">
        <v>0</v>
      </c>
      <c r="S304" s="384"/>
      <c r="T304" s="384"/>
      <c r="U304" s="1195"/>
      <c r="V304" s="1202"/>
      <c r="W304" s="591"/>
      <c r="X304" s="1202"/>
      <c r="Y304" s="591">
        <f t="shared" si="76"/>
        <v>0</v>
      </c>
      <c r="Z304" s="1196">
        <f t="shared" si="76"/>
        <v>0</v>
      </c>
      <c r="AA304" s="591">
        <f t="shared" ref="AA304:AB307" si="77">M303+Y304</f>
        <v>1</v>
      </c>
      <c r="AB304" s="1196">
        <f t="shared" si="77"/>
        <v>248059400</v>
      </c>
      <c r="AC304" s="1214">
        <f t="shared" si="73"/>
        <v>1</v>
      </c>
      <c r="AD304" s="1214">
        <f t="shared" si="73"/>
        <v>0.49611880000000003</v>
      </c>
      <c r="AE304" s="384"/>
    </row>
    <row r="305" spans="1:31" s="494" customFormat="1" ht="29.25" customHeight="1">
      <c r="A305" s="384"/>
      <c r="B305" s="384"/>
      <c r="C305" s="623" t="s">
        <v>66</v>
      </c>
      <c r="D305" s="623" t="s">
        <v>196</v>
      </c>
      <c r="E305" s="623" t="s">
        <v>66</v>
      </c>
      <c r="F305" s="383">
        <v>30</v>
      </c>
      <c r="G305" s="383">
        <v>51</v>
      </c>
      <c r="H305" s="383"/>
      <c r="I305" s="1200" t="s">
        <v>1776</v>
      </c>
      <c r="J305" s="1200" t="s">
        <v>1777</v>
      </c>
      <c r="K305" s="591">
        <v>1</v>
      </c>
      <c r="L305" s="1202">
        <v>300000000</v>
      </c>
      <c r="M305" s="1195">
        <v>1</v>
      </c>
      <c r="N305" s="590">
        <v>215912450</v>
      </c>
      <c r="O305" s="1195">
        <v>1</v>
      </c>
      <c r="P305" s="1202">
        <v>169747762</v>
      </c>
      <c r="Q305" s="591">
        <v>4.7699999999999999E-2</v>
      </c>
      <c r="R305" s="1202">
        <v>8094594</v>
      </c>
      <c r="S305" s="591"/>
      <c r="T305" s="384"/>
      <c r="U305" s="591"/>
      <c r="V305" s="1202"/>
      <c r="W305" s="591"/>
      <c r="X305" s="1202"/>
      <c r="Y305" s="1219">
        <f t="shared" si="76"/>
        <v>4.7699999999999999E-2</v>
      </c>
      <c r="Z305" s="1196">
        <f t="shared" si="76"/>
        <v>8094594</v>
      </c>
      <c r="AA305" s="591">
        <f t="shared" si="77"/>
        <v>1.0477000000000001</v>
      </c>
      <c r="AB305" s="1196">
        <f t="shared" si="77"/>
        <v>1058094594</v>
      </c>
      <c r="AC305" s="1214">
        <f t="shared" si="73"/>
        <v>1.0477000000000001</v>
      </c>
      <c r="AD305" s="1214">
        <f t="shared" si="73"/>
        <v>3.52698198</v>
      </c>
      <c r="AE305" s="384"/>
    </row>
    <row r="306" spans="1:31" s="494" customFormat="1" ht="58.5" customHeight="1">
      <c r="A306" s="384"/>
      <c r="B306" s="384"/>
      <c r="C306" s="421"/>
      <c r="D306" s="421"/>
      <c r="E306" s="421"/>
      <c r="F306" s="421"/>
      <c r="G306" s="384">
        <v>53</v>
      </c>
      <c r="H306" s="384"/>
      <c r="I306" s="1200" t="s">
        <v>1778</v>
      </c>
      <c r="J306" s="384" t="s">
        <v>1779</v>
      </c>
      <c r="K306" s="1219">
        <v>1</v>
      </c>
      <c r="L306" s="1221">
        <v>90000000</v>
      </c>
      <c r="M306" s="1214">
        <v>1</v>
      </c>
      <c r="N306" s="681">
        <v>88951400</v>
      </c>
      <c r="O306" s="384"/>
      <c r="P306" s="1202"/>
      <c r="Q306" s="591"/>
      <c r="R306" s="1202"/>
      <c r="S306" s="591"/>
      <c r="T306" s="1202"/>
      <c r="U306" s="1219"/>
      <c r="V306" s="1221"/>
      <c r="W306" s="1214"/>
      <c r="X306" s="1221"/>
      <c r="Y306" s="1219">
        <f t="shared" si="76"/>
        <v>0</v>
      </c>
      <c r="Z306" s="1215">
        <f t="shared" si="76"/>
        <v>0</v>
      </c>
      <c r="AA306" s="1219">
        <f t="shared" si="77"/>
        <v>1</v>
      </c>
      <c r="AB306" s="1215">
        <f t="shared" si="77"/>
        <v>215912450</v>
      </c>
      <c r="AC306" s="1214">
        <f t="shared" si="73"/>
        <v>1</v>
      </c>
      <c r="AD306" s="1214">
        <f t="shared" si="73"/>
        <v>2.3990272222222222</v>
      </c>
      <c r="AE306" s="384"/>
    </row>
    <row r="307" spans="1:31" s="494" customFormat="1" ht="29.25" customHeight="1">
      <c r="A307" s="384"/>
      <c r="B307" s="384"/>
      <c r="C307" s="421"/>
      <c r="D307" s="421"/>
      <c r="E307" s="421"/>
      <c r="F307" s="421"/>
      <c r="G307" s="384">
        <v>54</v>
      </c>
      <c r="H307" s="384"/>
      <c r="I307" s="1200" t="s">
        <v>1780</v>
      </c>
      <c r="J307" s="1200" t="s">
        <v>1781</v>
      </c>
      <c r="K307" s="591">
        <v>1</v>
      </c>
      <c r="L307" s="1202">
        <v>300000000</v>
      </c>
      <c r="M307" s="1195">
        <v>1</v>
      </c>
      <c r="N307" s="590">
        <v>60547936</v>
      </c>
      <c r="O307" s="384"/>
      <c r="P307" s="1202"/>
      <c r="Q307" s="591"/>
      <c r="R307" s="1202"/>
      <c r="S307" s="1195"/>
      <c r="T307" s="1202"/>
      <c r="U307" s="1195"/>
      <c r="V307" s="1202"/>
      <c r="W307" s="1195"/>
      <c r="X307" s="1202"/>
      <c r="Y307" s="1219">
        <f t="shared" si="76"/>
        <v>0</v>
      </c>
      <c r="Z307" s="1215">
        <f t="shared" si="76"/>
        <v>0</v>
      </c>
      <c r="AA307" s="591">
        <f t="shared" si="77"/>
        <v>1</v>
      </c>
      <c r="AB307" s="1196">
        <f t="shared" si="77"/>
        <v>88951400</v>
      </c>
      <c r="AC307" s="1214">
        <f t="shared" si="73"/>
        <v>1</v>
      </c>
      <c r="AD307" s="1214">
        <f t="shared" si="73"/>
        <v>0.29650466666666669</v>
      </c>
      <c r="AE307" s="384"/>
    </row>
    <row r="308" spans="1:31" s="494" customFormat="1" ht="39.75" customHeight="1">
      <c r="A308" s="384"/>
      <c r="B308" s="384"/>
      <c r="C308" s="623" t="s">
        <v>66</v>
      </c>
      <c r="D308" s="623" t="s">
        <v>196</v>
      </c>
      <c r="E308" s="623" t="s">
        <v>66</v>
      </c>
      <c r="F308" s="383">
        <v>30</v>
      </c>
      <c r="G308" s="383">
        <v>55</v>
      </c>
      <c r="H308" s="383"/>
      <c r="I308" s="1200" t="s">
        <v>1782</v>
      </c>
      <c r="J308" s="384"/>
      <c r="K308" s="591">
        <v>1</v>
      </c>
      <c r="L308" s="1202">
        <v>1000000000</v>
      </c>
      <c r="M308" s="1195">
        <v>1</v>
      </c>
      <c r="N308" s="590">
        <v>336359000</v>
      </c>
      <c r="O308" s="1195">
        <v>1</v>
      </c>
      <c r="P308" s="1202">
        <v>1950000000</v>
      </c>
      <c r="Q308" s="591">
        <v>0</v>
      </c>
      <c r="R308" s="1202">
        <v>1277636</v>
      </c>
      <c r="S308" s="591"/>
      <c r="T308" s="1202"/>
      <c r="U308" s="384"/>
      <c r="V308" s="1202"/>
      <c r="W308" s="1195"/>
      <c r="X308" s="1202"/>
      <c r="Y308" s="1219">
        <f t="shared" si="76"/>
        <v>0</v>
      </c>
      <c r="Z308" s="1215">
        <f t="shared" si="76"/>
        <v>1277636</v>
      </c>
      <c r="AA308" s="591">
        <f>M307+Y308</f>
        <v>1</v>
      </c>
      <c r="AB308" s="1196">
        <f>N307+Z308</f>
        <v>61825572</v>
      </c>
      <c r="AC308" s="1214">
        <f t="shared" si="73"/>
        <v>1</v>
      </c>
      <c r="AD308" s="1214">
        <f t="shared" si="73"/>
        <v>6.1825572000000002E-2</v>
      </c>
      <c r="AE308" s="384"/>
    </row>
    <row r="309" spans="1:31" s="494" customFormat="1" ht="39" customHeight="1">
      <c r="A309" s="384"/>
      <c r="B309" s="384"/>
      <c r="C309" s="623" t="s">
        <v>66</v>
      </c>
      <c r="D309" s="623" t="s">
        <v>196</v>
      </c>
      <c r="E309" s="623" t="s">
        <v>66</v>
      </c>
      <c r="F309" s="383">
        <v>30</v>
      </c>
      <c r="G309" s="383">
        <v>56</v>
      </c>
      <c r="H309" s="383"/>
      <c r="I309" s="1200" t="s">
        <v>1783</v>
      </c>
      <c r="J309" s="384" t="s">
        <v>1775</v>
      </c>
      <c r="K309" s="591">
        <v>1</v>
      </c>
      <c r="L309" s="1202">
        <v>980000000</v>
      </c>
      <c r="M309" s="1195">
        <v>1</v>
      </c>
      <c r="N309" s="590">
        <v>979991000</v>
      </c>
      <c r="O309" s="1195">
        <v>1</v>
      </c>
      <c r="P309" s="1202">
        <v>980000000</v>
      </c>
      <c r="Q309" s="591">
        <v>0</v>
      </c>
      <c r="R309" s="1202">
        <v>0</v>
      </c>
      <c r="S309" s="591"/>
      <c r="T309" s="1202"/>
      <c r="U309" s="384"/>
      <c r="V309" s="1202"/>
      <c r="W309" s="1195"/>
      <c r="X309" s="1202"/>
      <c r="Y309" s="1219">
        <f t="shared" si="76"/>
        <v>0</v>
      </c>
      <c r="Z309" s="1215">
        <f t="shared" si="76"/>
        <v>0</v>
      </c>
      <c r="AA309" s="591">
        <f t="shared" ref="AA309:AB311" si="78">M308+Y309</f>
        <v>1</v>
      </c>
      <c r="AB309" s="1196">
        <f t="shared" si="78"/>
        <v>336359000</v>
      </c>
      <c r="AC309" s="1214">
        <f t="shared" si="73"/>
        <v>1</v>
      </c>
      <c r="AD309" s="1214">
        <f t="shared" si="73"/>
        <v>0.34322346938775511</v>
      </c>
      <c r="AE309" s="384"/>
    </row>
    <row r="310" spans="1:31" s="494" customFormat="1" ht="29.25" customHeight="1">
      <c r="A310" s="384"/>
      <c r="B310" s="384"/>
      <c r="C310" s="421"/>
      <c r="D310" s="421"/>
      <c r="E310" s="421"/>
      <c r="F310" s="421"/>
      <c r="G310" s="384">
        <v>57</v>
      </c>
      <c r="H310" s="384"/>
      <c r="I310" s="1200" t="s">
        <v>1784</v>
      </c>
      <c r="J310" s="384"/>
      <c r="K310" s="591">
        <v>1</v>
      </c>
      <c r="L310" s="1202">
        <v>574018560</v>
      </c>
      <c r="M310" s="1195">
        <v>0.9647</v>
      </c>
      <c r="N310" s="590">
        <v>493623760</v>
      </c>
      <c r="O310" s="384"/>
      <c r="P310" s="1202"/>
      <c r="Q310" s="1195"/>
      <c r="R310" s="1202"/>
      <c r="S310" s="1195"/>
      <c r="T310" s="1202"/>
      <c r="U310" s="1195"/>
      <c r="V310" s="1202"/>
      <c r="W310" s="1195"/>
      <c r="X310" s="1202"/>
      <c r="Y310" s="1219">
        <f t="shared" si="76"/>
        <v>0</v>
      </c>
      <c r="Z310" s="1215">
        <f t="shared" si="76"/>
        <v>0</v>
      </c>
      <c r="AA310" s="591">
        <f t="shared" si="78"/>
        <v>1</v>
      </c>
      <c r="AB310" s="1196">
        <f t="shared" si="78"/>
        <v>979991000</v>
      </c>
      <c r="AC310" s="1214">
        <f t="shared" si="73"/>
        <v>1</v>
      </c>
      <c r="AD310" s="1214">
        <f t="shared" si="73"/>
        <v>1.7072461907851899</v>
      </c>
      <c r="AE310" s="384"/>
    </row>
    <row r="311" spans="1:31" s="494" customFormat="1" ht="29.25" customHeight="1">
      <c r="A311" s="384"/>
      <c r="B311" s="384"/>
      <c r="C311" s="421"/>
      <c r="D311" s="421"/>
      <c r="E311" s="421"/>
      <c r="F311" s="421"/>
      <c r="G311" s="384">
        <v>58</v>
      </c>
      <c r="H311" s="384"/>
      <c r="I311" s="1200" t="s">
        <v>1785</v>
      </c>
      <c r="J311" s="384"/>
      <c r="K311" s="591">
        <v>1</v>
      </c>
      <c r="L311" s="1202">
        <v>150000000</v>
      </c>
      <c r="M311" s="1195">
        <v>1</v>
      </c>
      <c r="N311" s="590">
        <v>149674500</v>
      </c>
      <c r="O311" s="384"/>
      <c r="P311" s="1202"/>
      <c r="Q311" s="1195"/>
      <c r="R311" s="1202"/>
      <c r="S311" s="1195"/>
      <c r="T311" s="1202"/>
      <c r="U311" s="1195"/>
      <c r="V311" s="1202"/>
      <c r="W311" s="1195"/>
      <c r="X311" s="1202"/>
      <c r="Y311" s="1219">
        <f t="shared" si="76"/>
        <v>0</v>
      </c>
      <c r="Z311" s="1215">
        <f t="shared" si="76"/>
        <v>0</v>
      </c>
      <c r="AA311" s="1195">
        <f t="shared" si="78"/>
        <v>0.9647</v>
      </c>
      <c r="AB311" s="1196">
        <f t="shared" si="78"/>
        <v>493623760</v>
      </c>
      <c r="AC311" s="1214">
        <f t="shared" si="73"/>
        <v>0.9647</v>
      </c>
      <c r="AD311" s="1214">
        <f t="shared" si="73"/>
        <v>3.2908250666666667</v>
      </c>
      <c r="AE311" s="384"/>
    </row>
    <row r="312" spans="1:31" s="494" customFormat="1" ht="27.75" customHeight="1">
      <c r="A312" s="4335" t="s">
        <v>89</v>
      </c>
      <c r="B312" s="4335"/>
      <c r="C312" s="4335"/>
      <c r="D312" s="4335"/>
      <c r="E312" s="4335"/>
      <c r="F312" s="4335"/>
      <c r="G312" s="4335"/>
      <c r="H312" s="4335"/>
      <c r="I312" s="4335"/>
      <c r="J312" s="4335"/>
      <c r="K312" s="4335"/>
      <c r="L312" s="4335"/>
      <c r="M312" s="4335"/>
      <c r="N312" s="4335"/>
      <c r="O312" s="4335"/>
      <c r="P312" s="4335"/>
      <c r="Q312" s="4335"/>
      <c r="R312" s="4335"/>
      <c r="S312" s="4335"/>
      <c r="T312" s="4335"/>
      <c r="U312" s="4335"/>
      <c r="V312" s="4335"/>
      <c r="W312" s="4335"/>
      <c r="X312" s="4335"/>
      <c r="Y312" s="4335"/>
      <c r="Z312" s="4335"/>
      <c r="AA312" s="4335"/>
      <c r="AB312" s="4335"/>
      <c r="AC312" s="1195">
        <f>AVERAGE(AC303:AC311)</f>
        <v>1.0491102851242953</v>
      </c>
      <c r="AD312" s="1195">
        <f>AD302</f>
        <v>0.17385318509069037</v>
      </c>
      <c r="AE312" s="384"/>
    </row>
    <row r="313" spans="1:31" s="494" customFormat="1">
      <c r="A313" s="4335" t="s">
        <v>1679</v>
      </c>
      <c r="B313" s="4335"/>
      <c r="C313" s="4335"/>
      <c r="D313" s="4335"/>
      <c r="E313" s="4335"/>
      <c r="F313" s="4335"/>
      <c r="G313" s="4335"/>
      <c r="H313" s="4335"/>
      <c r="I313" s="4335"/>
      <c r="J313" s="4335"/>
      <c r="K313" s="4335"/>
      <c r="L313" s="4335"/>
      <c r="M313" s="4335"/>
      <c r="N313" s="4335"/>
      <c r="O313" s="4335"/>
      <c r="P313" s="4335"/>
      <c r="Q313" s="4335"/>
      <c r="R313" s="4335"/>
      <c r="S313" s="4335"/>
      <c r="T313" s="4335"/>
      <c r="U313" s="4335"/>
      <c r="V313" s="4335"/>
      <c r="W313" s="4335"/>
      <c r="X313" s="4335"/>
      <c r="Y313" s="4335"/>
      <c r="Z313" s="4335"/>
      <c r="AA313" s="4335"/>
      <c r="AB313" s="4335"/>
      <c r="AC313" s="384"/>
      <c r="AD313" s="384"/>
      <c r="AE313" s="384"/>
    </row>
    <row r="314" spans="1:31" s="494" customFormat="1" ht="29.25" customHeight="1">
      <c r="A314" s="384"/>
      <c r="B314" s="384"/>
      <c r="C314" s="421"/>
      <c r="D314" s="421"/>
      <c r="E314" s="421"/>
      <c r="F314" s="421"/>
      <c r="G314" s="421"/>
      <c r="H314" s="384"/>
      <c r="I314" s="1200"/>
      <c r="J314" s="384"/>
      <c r="K314" s="384"/>
      <c r="L314" s="384"/>
      <c r="M314" s="384"/>
      <c r="N314" s="590"/>
      <c r="O314" s="384"/>
      <c r="P314" s="1202"/>
      <c r="Q314" s="1195"/>
      <c r="R314" s="1202"/>
      <c r="S314" s="1195"/>
      <c r="T314" s="1202"/>
      <c r="U314" s="1195"/>
      <c r="V314" s="1202"/>
      <c r="W314" s="1195"/>
      <c r="X314" s="1202"/>
      <c r="Y314" s="1260"/>
      <c r="Z314" s="1202"/>
      <c r="AA314" s="1195"/>
      <c r="AB314" s="1196"/>
      <c r="AC314" s="384"/>
      <c r="AD314" s="1219"/>
      <c r="AE314" s="384"/>
    </row>
    <row r="315" spans="1:31" s="145" customFormat="1" ht="73.5" customHeight="1">
      <c r="A315" s="383">
        <v>10</v>
      </c>
      <c r="B315" s="384"/>
      <c r="C315" s="623" t="s">
        <v>66</v>
      </c>
      <c r="D315" s="623" t="s">
        <v>196</v>
      </c>
      <c r="E315" s="623" t="s">
        <v>66</v>
      </c>
      <c r="F315" s="383">
        <v>33</v>
      </c>
      <c r="G315" s="383"/>
      <c r="H315" s="383"/>
      <c r="I315" s="1261" t="s">
        <v>1786</v>
      </c>
      <c r="J315" s="1261" t="s">
        <v>1787</v>
      </c>
      <c r="K315" s="591">
        <v>1</v>
      </c>
      <c r="L315" s="1191">
        <f>SUM(L316:L319)</f>
        <v>643552248</v>
      </c>
      <c r="M315" s="1262">
        <v>1</v>
      </c>
      <c r="N315" s="628">
        <f>SUM(N316:N319)</f>
        <v>373601401</v>
      </c>
      <c r="O315" s="1192" t="s">
        <v>1663</v>
      </c>
      <c r="P315" s="628">
        <f>SUM(P316:P319)</f>
        <v>382456336.75</v>
      </c>
      <c r="Q315" s="1193">
        <v>0.15</v>
      </c>
      <c r="R315" s="1194">
        <f>SUM(R316:R319)</f>
        <v>53205612</v>
      </c>
      <c r="S315" s="1193"/>
      <c r="T315" s="1194"/>
      <c r="U315" s="1193"/>
      <c r="V315" s="629"/>
      <c r="W315" s="1193"/>
      <c r="X315" s="629"/>
      <c r="Y315" s="1193">
        <f t="shared" ref="Y315:Z319" si="79">Q315+S315+U315+W315</f>
        <v>0.15</v>
      </c>
      <c r="Z315" s="1194">
        <f t="shared" si="79"/>
        <v>53205612</v>
      </c>
      <c r="AA315" s="1195">
        <f t="shared" ref="AA315:AB319" si="80">M315+Y315</f>
        <v>1.1499999999999999</v>
      </c>
      <c r="AB315" s="1215">
        <f t="shared" si="80"/>
        <v>426807013</v>
      </c>
      <c r="AC315" s="1214">
        <f t="shared" ref="AC315:AD319" si="81">AA315/K315*100%</f>
        <v>1.1499999999999999</v>
      </c>
      <c r="AD315" s="1219">
        <f t="shared" si="81"/>
        <v>0.66320491355039135</v>
      </c>
      <c r="AE315" s="1198" t="s">
        <v>1664</v>
      </c>
    </row>
    <row r="316" spans="1:31" s="494" customFormat="1" ht="38.25">
      <c r="A316" s="384"/>
      <c r="B316" s="384"/>
      <c r="C316" s="623" t="s">
        <v>66</v>
      </c>
      <c r="D316" s="623" t="s">
        <v>196</v>
      </c>
      <c r="E316" s="623" t="s">
        <v>66</v>
      </c>
      <c r="F316" s="383">
        <v>33</v>
      </c>
      <c r="G316" s="1256" t="s">
        <v>66</v>
      </c>
      <c r="H316" s="1256"/>
      <c r="I316" s="1263" t="s">
        <v>1788</v>
      </c>
      <c r="J316" s="1263" t="s">
        <v>1789</v>
      </c>
      <c r="K316" s="591">
        <v>1</v>
      </c>
      <c r="L316" s="590">
        <v>174293474</v>
      </c>
      <c r="M316" s="1195">
        <v>1</v>
      </c>
      <c r="N316" s="590">
        <v>102410516</v>
      </c>
      <c r="O316" s="1201" t="s">
        <v>1663</v>
      </c>
      <c r="P316" s="590">
        <v>128172575.75</v>
      </c>
      <c r="Q316" s="1195">
        <v>0.05</v>
      </c>
      <c r="R316" s="590">
        <v>6969459</v>
      </c>
      <c r="S316" s="1195"/>
      <c r="T316" s="1196"/>
      <c r="U316" s="1195"/>
      <c r="V316" s="1202"/>
      <c r="W316" s="1195"/>
      <c r="X316" s="1202"/>
      <c r="Y316" s="1193">
        <f t="shared" si="79"/>
        <v>0.05</v>
      </c>
      <c r="Z316" s="1196">
        <f t="shared" si="79"/>
        <v>6969459</v>
      </c>
      <c r="AA316" s="1195">
        <f t="shared" si="80"/>
        <v>1.05</v>
      </c>
      <c r="AB316" s="1196">
        <f t="shared" si="80"/>
        <v>109379975</v>
      </c>
      <c r="AC316" s="1195">
        <f t="shared" si="81"/>
        <v>1.05</v>
      </c>
      <c r="AD316" s="1219">
        <f t="shared" si="81"/>
        <v>0.62756207957619803</v>
      </c>
      <c r="AE316" s="384"/>
    </row>
    <row r="317" spans="1:31" s="494" customFormat="1" ht="25.5">
      <c r="A317" s="384"/>
      <c r="B317" s="384"/>
      <c r="C317" s="623" t="s">
        <v>66</v>
      </c>
      <c r="D317" s="623" t="s">
        <v>196</v>
      </c>
      <c r="E317" s="623" t="s">
        <v>66</v>
      </c>
      <c r="F317" s="383">
        <v>33</v>
      </c>
      <c r="G317" s="1256" t="s">
        <v>95</v>
      </c>
      <c r="H317" s="1256"/>
      <c r="I317" s="1263" t="s">
        <v>1790</v>
      </c>
      <c r="J317" s="384" t="s">
        <v>1791</v>
      </c>
      <c r="K317" s="591">
        <v>1</v>
      </c>
      <c r="L317" s="590">
        <v>269115499</v>
      </c>
      <c r="M317" s="1195">
        <v>1</v>
      </c>
      <c r="N317" s="590">
        <v>226809873</v>
      </c>
      <c r="O317" s="1201" t="s">
        <v>1663</v>
      </c>
      <c r="P317" s="590">
        <v>210153120.25</v>
      </c>
      <c r="Q317" s="1195">
        <v>0.25</v>
      </c>
      <c r="R317" s="590">
        <v>41640600</v>
      </c>
      <c r="S317" s="1195"/>
      <c r="T317" s="1196"/>
      <c r="U317" s="1195"/>
      <c r="V317" s="1202"/>
      <c r="W317" s="1195"/>
      <c r="X317" s="1202"/>
      <c r="Y317" s="1193">
        <f t="shared" si="79"/>
        <v>0.25</v>
      </c>
      <c r="Z317" s="1196">
        <f t="shared" si="79"/>
        <v>41640600</v>
      </c>
      <c r="AA317" s="1195">
        <f t="shared" si="80"/>
        <v>1.25</v>
      </c>
      <c r="AB317" s="1196">
        <f t="shared" si="80"/>
        <v>268450473</v>
      </c>
      <c r="AC317" s="1195">
        <f t="shared" si="81"/>
        <v>1.25</v>
      </c>
      <c r="AD317" s="1219">
        <f t="shared" si="81"/>
        <v>0.99752884541220721</v>
      </c>
      <c r="AE317" s="384"/>
    </row>
    <row r="318" spans="1:31" s="494" customFormat="1" ht="39" customHeight="1">
      <c r="A318" s="384"/>
      <c r="B318" s="384"/>
      <c r="C318" s="623" t="s">
        <v>66</v>
      </c>
      <c r="D318" s="623" t="s">
        <v>196</v>
      </c>
      <c r="E318" s="623" t="s">
        <v>66</v>
      </c>
      <c r="F318" s="383">
        <v>33</v>
      </c>
      <c r="G318" s="1256">
        <v>16</v>
      </c>
      <c r="H318" s="1256"/>
      <c r="I318" s="1222" t="s">
        <v>1792</v>
      </c>
      <c r="J318" s="1222" t="s">
        <v>1793</v>
      </c>
      <c r="K318" s="591">
        <v>1</v>
      </c>
      <c r="L318" s="590">
        <v>165862644</v>
      </c>
      <c r="M318" s="1195">
        <v>1</v>
      </c>
      <c r="N318" s="590">
        <v>35289072</v>
      </c>
      <c r="O318" s="1201" t="s">
        <v>1668</v>
      </c>
      <c r="P318" s="590">
        <v>33948116.75</v>
      </c>
      <c r="Q318" s="1195">
        <v>0.1</v>
      </c>
      <c r="R318" s="590">
        <v>2518029</v>
      </c>
      <c r="S318" s="1195"/>
      <c r="T318" s="1202"/>
      <c r="U318" s="1195"/>
      <c r="V318" s="1202"/>
      <c r="W318" s="1195"/>
      <c r="X318" s="1202"/>
      <c r="Y318" s="1193">
        <f t="shared" si="79"/>
        <v>0.1</v>
      </c>
      <c r="Z318" s="1196">
        <f t="shared" si="79"/>
        <v>2518029</v>
      </c>
      <c r="AA318" s="1195">
        <f t="shared" si="80"/>
        <v>1.1000000000000001</v>
      </c>
      <c r="AB318" s="1196">
        <f t="shared" si="80"/>
        <v>37807101</v>
      </c>
      <c r="AC318" s="1195">
        <f t="shared" si="81"/>
        <v>1.1000000000000001</v>
      </c>
      <c r="AD318" s="1219">
        <f t="shared" si="81"/>
        <v>0.22794223031920316</v>
      </c>
      <c r="AE318" s="384"/>
    </row>
    <row r="319" spans="1:31" s="494" customFormat="1" ht="39.75" customHeight="1">
      <c r="A319" s="384"/>
      <c r="B319" s="384"/>
      <c r="C319" s="623" t="s">
        <v>66</v>
      </c>
      <c r="D319" s="623" t="s">
        <v>196</v>
      </c>
      <c r="E319" s="623" t="s">
        <v>66</v>
      </c>
      <c r="F319" s="383">
        <v>33</v>
      </c>
      <c r="G319" s="1236">
        <v>18</v>
      </c>
      <c r="H319" s="1236"/>
      <c r="I319" s="1264" t="s">
        <v>1794</v>
      </c>
      <c r="J319" s="1222" t="s">
        <v>1794</v>
      </c>
      <c r="K319" s="591">
        <v>1</v>
      </c>
      <c r="L319" s="590">
        <v>34280631</v>
      </c>
      <c r="M319" s="1195">
        <v>1</v>
      </c>
      <c r="N319" s="590">
        <v>9091940</v>
      </c>
      <c r="O319" s="1201" t="s">
        <v>1668</v>
      </c>
      <c r="P319" s="590">
        <v>10182524</v>
      </c>
      <c r="Q319" s="1195">
        <v>0.05</v>
      </c>
      <c r="R319" s="590">
        <v>2077524</v>
      </c>
      <c r="S319" s="1206"/>
      <c r="T319" s="1202"/>
      <c r="U319" s="1195"/>
      <c r="V319" s="1202"/>
      <c r="W319" s="1195"/>
      <c r="X319" s="1202"/>
      <c r="Y319" s="1193">
        <f t="shared" si="79"/>
        <v>0.05</v>
      </c>
      <c r="Z319" s="1196">
        <f t="shared" si="79"/>
        <v>2077524</v>
      </c>
      <c r="AA319" s="1195">
        <f t="shared" si="80"/>
        <v>1.05</v>
      </c>
      <c r="AB319" s="1196">
        <f t="shared" si="80"/>
        <v>11169464</v>
      </c>
      <c r="AC319" s="1195">
        <f t="shared" si="81"/>
        <v>1.05</v>
      </c>
      <c r="AD319" s="1219">
        <f t="shared" si="81"/>
        <v>0.32582434086467077</v>
      </c>
      <c r="AE319" s="384"/>
    </row>
    <row r="320" spans="1:31" s="494" customFormat="1" ht="21" customHeight="1">
      <c r="A320" s="4335" t="s">
        <v>89</v>
      </c>
      <c r="B320" s="4335"/>
      <c r="C320" s="4335"/>
      <c r="D320" s="4335"/>
      <c r="E320" s="4335"/>
      <c r="F320" s="4335"/>
      <c r="G320" s="4335"/>
      <c r="H320" s="4335"/>
      <c r="I320" s="4335"/>
      <c r="J320" s="4335"/>
      <c r="K320" s="4335"/>
      <c r="L320" s="4335"/>
      <c r="M320" s="4335"/>
      <c r="N320" s="4335"/>
      <c r="O320" s="4335"/>
      <c r="P320" s="4335"/>
      <c r="Q320" s="4335"/>
      <c r="R320" s="4335"/>
      <c r="S320" s="4335"/>
      <c r="T320" s="4335"/>
      <c r="U320" s="4335"/>
      <c r="V320" s="4335"/>
      <c r="W320" s="4335"/>
      <c r="X320" s="4335"/>
      <c r="Y320" s="4335"/>
      <c r="Z320" s="4335"/>
      <c r="AA320" s="4335"/>
      <c r="AB320" s="4335"/>
      <c r="AC320" s="1195">
        <f>AVERAGE(AC316:AC319)</f>
        <v>1.1125</v>
      </c>
      <c r="AD320" s="1195">
        <f>AD315</f>
        <v>0.66320491355039135</v>
      </c>
      <c r="AE320" s="384"/>
    </row>
    <row r="321" spans="1:31" s="494" customFormat="1">
      <c r="A321" s="4335" t="s">
        <v>1679</v>
      </c>
      <c r="B321" s="4335"/>
      <c r="C321" s="4335"/>
      <c r="D321" s="4335"/>
      <c r="E321" s="4335"/>
      <c r="F321" s="4335"/>
      <c r="G321" s="4335"/>
      <c r="H321" s="4335"/>
      <c r="I321" s="4335"/>
      <c r="J321" s="4335"/>
      <c r="K321" s="4335"/>
      <c r="L321" s="4335"/>
      <c r="M321" s="4335"/>
      <c r="N321" s="4335"/>
      <c r="O321" s="4335"/>
      <c r="P321" s="4335"/>
      <c r="Q321" s="4335"/>
      <c r="R321" s="4335"/>
      <c r="S321" s="4335"/>
      <c r="T321" s="4335"/>
      <c r="U321" s="4335"/>
      <c r="V321" s="4335"/>
      <c r="W321" s="4335"/>
      <c r="X321" s="4335"/>
      <c r="Y321" s="4335"/>
      <c r="Z321" s="4335"/>
      <c r="AA321" s="4335"/>
      <c r="AB321" s="4335"/>
      <c r="AC321" s="384"/>
      <c r="AD321" s="384"/>
      <c r="AE321" s="384"/>
    </row>
    <row r="322" spans="1:31" s="498" customFormat="1" ht="54.75" customHeight="1">
      <c r="A322" s="753">
        <v>11</v>
      </c>
      <c r="B322" s="383" t="s">
        <v>1795</v>
      </c>
      <c r="C322" s="623" t="s">
        <v>66</v>
      </c>
      <c r="D322" s="623" t="s">
        <v>196</v>
      </c>
      <c r="E322" s="623" t="s">
        <v>66</v>
      </c>
      <c r="F322" s="383">
        <v>35</v>
      </c>
      <c r="G322" s="383"/>
      <c r="H322" s="383"/>
      <c r="I322" s="1237" t="s">
        <v>1796</v>
      </c>
      <c r="J322" s="1265" t="s">
        <v>1797</v>
      </c>
      <c r="K322" s="692">
        <v>100</v>
      </c>
      <c r="L322" s="693">
        <f>SUM(L323:L324)</f>
        <v>4738525280</v>
      </c>
      <c r="M322" s="1214">
        <v>1</v>
      </c>
      <c r="N322" s="1210">
        <f>SUM(N323:N324)</f>
        <v>4885419842</v>
      </c>
      <c r="O322" s="1219">
        <v>1</v>
      </c>
      <c r="P322" s="1210">
        <f>P323</f>
        <v>693208691</v>
      </c>
      <c r="Q322" s="1212">
        <v>0.15</v>
      </c>
      <c r="R322" s="1210">
        <f>R323</f>
        <v>142539510</v>
      </c>
      <c r="S322" s="1212"/>
      <c r="T322" s="1210"/>
      <c r="U322" s="1214"/>
      <c r="V322" s="1210"/>
      <c r="W322" s="1214"/>
      <c r="X322" s="1221"/>
      <c r="Y322" s="1212">
        <f t="shared" ref="Y322:Z324" si="82">Q322+S322+U322+W322</f>
        <v>0.15</v>
      </c>
      <c r="Z322" s="1211">
        <f t="shared" si="82"/>
        <v>142539510</v>
      </c>
      <c r="AA322" s="1212">
        <f t="shared" ref="AA322:AB324" si="83">M322+Y322</f>
        <v>1.1499999999999999</v>
      </c>
      <c r="AB322" s="1211">
        <f t="shared" si="83"/>
        <v>5027959352</v>
      </c>
      <c r="AC322" s="1214">
        <f t="shared" ref="AC322:AD324" si="84">AA322/K322*100%</f>
        <v>1.15E-2</v>
      </c>
      <c r="AD322" s="1216">
        <f t="shared" si="84"/>
        <v>1.0610810441851226</v>
      </c>
      <c r="AE322" s="657" t="s">
        <v>1042</v>
      </c>
    </row>
    <row r="323" spans="1:31" s="494" customFormat="1" ht="25.5">
      <c r="A323" s="384"/>
      <c r="B323" s="384"/>
      <c r="C323" s="623" t="s">
        <v>66</v>
      </c>
      <c r="D323" s="623" t="s">
        <v>196</v>
      </c>
      <c r="E323" s="623" t="s">
        <v>66</v>
      </c>
      <c r="F323" s="383">
        <v>35</v>
      </c>
      <c r="G323" s="1236" t="s">
        <v>65</v>
      </c>
      <c r="H323" s="1236"/>
      <c r="I323" s="1200" t="s">
        <v>1798</v>
      </c>
      <c r="J323" s="384" t="s">
        <v>1799</v>
      </c>
      <c r="K323" s="591">
        <v>1</v>
      </c>
      <c r="L323" s="1202">
        <v>1238525280</v>
      </c>
      <c r="M323" s="1195">
        <v>1</v>
      </c>
      <c r="N323" s="590">
        <v>920595496</v>
      </c>
      <c r="O323" s="591">
        <v>1</v>
      </c>
      <c r="P323" s="1202">
        <v>693208691</v>
      </c>
      <c r="Q323" s="1195">
        <v>0.2</v>
      </c>
      <c r="R323" s="590">
        <v>142539510</v>
      </c>
      <c r="S323" s="1195"/>
      <c r="T323" s="1202"/>
      <c r="U323" s="1195"/>
      <c r="V323" s="1202"/>
      <c r="W323" s="1195"/>
      <c r="X323" s="1202"/>
      <c r="Y323" s="1195">
        <f t="shared" si="82"/>
        <v>0.2</v>
      </c>
      <c r="Z323" s="1196">
        <f t="shared" si="82"/>
        <v>142539510</v>
      </c>
      <c r="AA323" s="1195">
        <f t="shared" si="83"/>
        <v>1.2</v>
      </c>
      <c r="AB323" s="1196">
        <f t="shared" si="83"/>
        <v>1063135006</v>
      </c>
      <c r="AC323" s="1195">
        <f t="shared" si="84"/>
        <v>1.2</v>
      </c>
      <c r="AD323" s="1216">
        <f t="shared" si="84"/>
        <v>0.85838781264117592</v>
      </c>
      <c r="AE323" s="384"/>
    </row>
    <row r="324" spans="1:31" s="494" customFormat="1" ht="41.25" customHeight="1">
      <c r="A324" s="384"/>
      <c r="B324" s="384"/>
      <c r="C324" s="623" t="s">
        <v>66</v>
      </c>
      <c r="D324" s="623" t="s">
        <v>196</v>
      </c>
      <c r="E324" s="623" t="s">
        <v>66</v>
      </c>
      <c r="F324" s="383">
        <v>35</v>
      </c>
      <c r="G324" s="421">
        <v>15</v>
      </c>
      <c r="H324" s="384"/>
      <c r="I324" s="1200" t="s">
        <v>1800</v>
      </c>
      <c r="J324" s="384" t="s">
        <v>1801</v>
      </c>
      <c r="K324" s="591">
        <v>1</v>
      </c>
      <c r="L324" s="1202">
        <v>3500000000</v>
      </c>
      <c r="M324" s="1195">
        <v>1</v>
      </c>
      <c r="N324" s="590">
        <v>3964824346</v>
      </c>
      <c r="O324" s="591"/>
      <c r="P324" s="590"/>
      <c r="Q324" s="1195"/>
      <c r="R324" s="590"/>
      <c r="S324" s="1195"/>
      <c r="T324" s="1202"/>
      <c r="U324" s="1195"/>
      <c r="V324" s="1202"/>
      <c r="W324" s="1195"/>
      <c r="X324" s="1202"/>
      <c r="Y324" s="1195">
        <f t="shared" si="82"/>
        <v>0</v>
      </c>
      <c r="Z324" s="1196">
        <f t="shared" si="82"/>
        <v>0</v>
      </c>
      <c r="AA324" s="1195">
        <f t="shared" si="83"/>
        <v>1</v>
      </c>
      <c r="AB324" s="1196">
        <f t="shared" si="83"/>
        <v>3964824346</v>
      </c>
      <c r="AC324" s="1195">
        <f t="shared" si="84"/>
        <v>1</v>
      </c>
      <c r="AD324" s="1216">
        <f t="shared" si="84"/>
        <v>1.132806956</v>
      </c>
      <c r="AE324" s="384"/>
    </row>
    <row r="325" spans="1:31" s="494" customFormat="1" ht="16.5" customHeight="1">
      <c r="A325" s="4335" t="s">
        <v>89</v>
      </c>
      <c r="B325" s="4335"/>
      <c r="C325" s="4335"/>
      <c r="D325" s="4335"/>
      <c r="E325" s="4335"/>
      <c r="F325" s="4335"/>
      <c r="G325" s="4335"/>
      <c r="H325" s="4335"/>
      <c r="I325" s="4335"/>
      <c r="J325" s="4335"/>
      <c r="K325" s="4335"/>
      <c r="L325" s="4335"/>
      <c r="M325" s="4335"/>
      <c r="N325" s="4335"/>
      <c r="O325" s="4335"/>
      <c r="P325" s="4335"/>
      <c r="Q325" s="4335"/>
      <c r="R325" s="4335"/>
      <c r="S325" s="4335"/>
      <c r="T325" s="4335"/>
      <c r="U325" s="4335"/>
      <c r="V325" s="4335"/>
      <c r="W325" s="4335"/>
      <c r="X325" s="4335"/>
      <c r="Y325" s="4335"/>
      <c r="Z325" s="4335"/>
      <c r="AA325" s="4335"/>
      <c r="AB325" s="4335"/>
      <c r="AC325" s="1195">
        <f>AVERAGE(AC323:AC324)</f>
        <v>1.1000000000000001</v>
      </c>
      <c r="AD325" s="1195">
        <f>AD322</f>
        <v>1.0610810441851226</v>
      </c>
      <c r="AE325" s="384"/>
    </row>
    <row r="326" spans="1:31" s="498" customFormat="1" ht="51.75" customHeight="1">
      <c r="A326" s="753">
        <v>12</v>
      </c>
      <c r="B326" s="383" t="s">
        <v>1745</v>
      </c>
      <c r="C326" s="623" t="s">
        <v>66</v>
      </c>
      <c r="D326" s="623" t="s">
        <v>196</v>
      </c>
      <c r="E326" s="623" t="s">
        <v>66</v>
      </c>
      <c r="F326" s="383">
        <v>15</v>
      </c>
      <c r="G326" s="383"/>
      <c r="H326" s="383"/>
      <c r="I326" s="1237" t="s">
        <v>1802</v>
      </c>
      <c r="J326" s="383" t="s">
        <v>1803</v>
      </c>
      <c r="K326" s="591">
        <v>1</v>
      </c>
      <c r="L326" s="1266">
        <f>SUM(L327:L371)</f>
        <v>103835000000</v>
      </c>
      <c r="M326" s="1214">
        <v>1</v>
      </c>
      <c r="N326" s="1211">
        <f>SUM(N327:N371)</f>
        <v>108667187428</v>
      </c>
      <c r="O326" s="383"/>
      <c r="P326" s="1211">
        <f>SUM(P327:P371)</f>
        <v>52840683342.5</v>
      </c>
      <c r="Q326" s="1212">
        <v>0.05</v>
      </c>
      <c r="R326" s="1210">
        <f>SUM(R327:R371)</f>
        <v>1970670656</v>
      </c>
      <c r="S326" s="1212"/>
      <c r="T326" s="1210"/>
      <c r="U326" s="1212"/>
      <c r="V326" s="1221"/>
      <c r="W326" s="1214"/>
      <c r="X326" s="1221"/>
      <c r="Y326" s="1214">
        <f t="shared" ref="Y326:Z338" si="85">Q326+S326+U326+W326</f>
        <v>0.05</v>
      </c>
      <c r="Z326" s="1215">
        <f t="shared" si="85"/>
        <v>1970670656</v>
      </c>
      <c r="AA326" s="1214">
        <f t="shared" ref="AA326:AB383" si="86">M326+Y326</f>
        <v>1.05</v>
      </c>
      <c r="AB326" s="1267">
        <f t="shared" si="86"/>
        <v>110637858084</v>
      </c>
      <c r="AC326" s="1214">
        <f>AA326/K326*100%</f>
        <v>1.05</v>
      </c>
      <c r="AD326" s="1216">
        <f t="shared" ref="AD326:AD371" si="87">AB326/L326*100%</f>
        <v>1.0655160406799249</v>
      </c>
      <c r="AE326" s="383"/>
    </row>
    <row r="327" spans="1:31" s="498" customFormat="1" ht="39" customHeight="1">
      <c r="A327" s="383"/>
      <c r="B327" s="383"/>
      <c r="C327" s="623" t="s">
        <v>66</v>
      </c>
      <c r="D327" s="623" t="s">
        <v>196</v>
      </c>
      <c r="E327" s="623" t="s">
        <v>66</v>
      </c>
      <c r="F327" s="383">
        <v>43</v>
      </c>
      <c r="G327" s="1236">
        <v>62</v>
      </c>
      <c r="H327" s="1237"/>
      <c r="I327" s="1200" t="s">
        <v>1804</v>
      </c>
      <c r="J327" s="384" t="s">
        <v>1803</v>
      </c>
      <c r="K327" s="591">
        <v>1</v>
      </c>
      <c r="L327" s="1202">
        <v>35000000000</v>
      </c>
      <c r="M327" s="1214">
        <v>1</v>
      </c>
      <c r="N327" s="1215">
        <v>34209300500</v>
      </c>
      <c r="O327" s="590"/>
      <c r="P327" s="590">
        <v>0</v>
      </c>
      <c r="Q327" s="1195"/>
      <c r="R327" s="590">
        <v>0</v>
      </c>
      <c r="S327" s="1195"/>
      <c r="T327" s="1202"/>
      <c r="U327" s="1195"/>
      <c r="V327" s="1202"/>
      <c r="W327" s="1214"/>
      <c r="X327" s="1221"/>
      <c r="Y327" s="1214">
        <f t="shared" si="85"/>
        <v>0</v>
      </c>
      <c r="Z327" s="1215">
        <f t="shared" si="85"/>
        <v>0</v>
      </c>
      <c r="AA327" s="1195">
        <f t="shared" si="86"/>
        <v>1</v>
      </c>
      <c r="AB327" s="1196">
        <f t="shared" si="86"/>
        <v>34209300500</v>
      </c>
      <c r="AC327" s="1214">
        <f t="shared" ref="AC327:AC371" si="88">AA327/K327*100%</f>
        <v>1</v>
      </c>
      <c r="AD327" s="1216">
        <f t="shared" si="87"/>
        <v>0.97740858571428568</v>
      </c>
      <c r="AE327" s="383"/>
    </row>
    <row r="328" spans="1:31" s="498" customFormat="1" ht="39" customHeight="1">
      <c r="A328" s="383"/>
      <c r="B328" s="383"/>
      <c r="C328" s="623" t="s">
        <v>66</v>
      </c>
      <c r="D328" s="623" t="s">
        <v>196</v>
      </c>
      <c r="E328" s="623" t="s">
        <v>66</v>
      </c>
      <c r="F328" s="383">
        <v>15</v>
      </c>
      <c r="G328" s="1236">
        <v>25</v>
      </c>
      <c r="H328" s="1236"/>
      <c r="I328" s="1200" t="s">
        <v>1805</v>
      </c>
      <c r="J328" s="384" t="s">
        <v>1803</v>
      </c>
      <c r="K328" s="591">
        <v>1</v>
      </c>
      <c r="L328" s="1202">
        <v>35000000000</v>
      </c>
      <c r="M328" s="1214">
        <v>1</v>
      </c>
      <c r="N328" s="1215">
        <v>34209300500</v>
      </c>
      <c r="O328" s="590"/>
      <c r="P328" s="590">
        <v>26001887000</v>
      </c>
      <c r="Q328" s="1195"/>
      <c r="R328" s="590">
        <v>6419064</v>
      </c>
      <c r="S328" s="1195"/>
      <c r="T328" s="1202"/>
      <c r="U328" s="1195"/>
      <c r="V328" s="1202"/>
      <c r="W328" s="1214"/>
      <c r="X328" s="1221"/>
      <c r="Y328" s="1214">
        <f t="shared" si="85"/>
        <v>0</v>
      </c>
      <c r="Z328" s="1215">
        <f t="shared" si="85"/>
        <v>6419064</v>
      </c>
      <c r="AA328" s="1195">
        <f t="shared" si="86"/>
        <v>1</v>
      </c>
      <c r="AB328" s="1196">
        <f t="shared" si="86"/>
        <v>34215719564</v>
      </c>
      <c r="AC328" s="1214">
        <f t="shared" si="88"/>
        <v>1</v>
      </c>
      <c r="AD328" s="1216">
        <f t="shared" si="87"/>
        <v>0.97759198754285714</v>
      </c>
      <c r="AE328" s="383"/>
    </row>
    <row r="329" spans="1:31" s="498" customFormat="1" ht="38.25" customHeight="1">
      <c r="A329" s="383"/>
      <c r="B329" s="383"/>
      <c r="C329" s="623" t="s">
        <v>66</v>
      </c>
      <c r="D329" s="623" t="s">
        <v>196</v>
      </c>
      <c r="E329" s="623" t="s">
        <v>66</v>
      </c>
      <c r="F329" s="383">
        <v>15</v>
      </c>
      <c r="G329" s="1236">
        <v>26</v>
      </c>
      <c r="H329" s="1236"/>
      <c r="I329" s="1200" t="s">
        <v>1806</v>
      </c>
      <c r="J329" s="384" t="s">
        <v>1803</v>
      </c>
      <c r="K329" s="591">
        <v>1</v>
      </c>
      <c r="L329" s="1202">
        <v>2500000000</v>
      </c>
      <c r="M329" s="1214">
        <v>1</v>
      </c>
      <c r="N329" s="1268">
        <v>15075057494</v>
      </c>
      <c r="O329" s="590"/>
      <c r="P329" s="590">
        <v>8814902076</v>
      </c>
      <c r="Q329" s="1195"/>
      <c r="R329" s="590">
        <v>35102546</v>
      </c>
      <c r="S329" s="1195"/>
      <c r="T329" s="1202"/>
      <c r="U329" s="1195"/>
      <c r="V329" s="1202"/>
      <c r="W329" s="1214"/>
      <c r="X329" s="1221"/>
      <c r="Y329" s="1214">
        <f t="shared" si="85"/>
        <v>0</v>
      </c>
      <c r="Z329" s="1215">
        <f t="shared" si="85"/>
        <v>35102546</v>
      </c>
      <c r="AA329" s="1195">
        <f t="shared" si="86"/>
        <v>1</v>
      </c>
      <c r="AB329" s="1196">
        <f t="shared" si="86"/>
        <v>15110160040</v>
      </c>
      <c r="AC329" s="1214">
        <f t="shared" si="88"/>
        <v>1</v>
      </c>
      <c r="AD329" s="1216">
        <f t="shared" si="87"/>
        <v>6.0440640160000001</v>
      </c>
      <c r="AE329" s="383"/>
    </row>
    <row r="330" spans="1:31" s="498" customFormat="1" ht="48.75" customHeight="1">
      <c r="A330" s="383"/>
      <c r="B330" s="383"/>
      <c r="C330" s="623" t="s">
        <v>66</v>
      </c>
      <c r="D330" s="623" t="s">
        <v>196</v>
      </c>
      <c r="E330" s="623" t="s">
        <v>66</v>
      </c>
      <c r="F330" s="383">
        <v>15</v>
      </c>
      <c r="G330" s="1256" t="s">
        <v>161</v>
      </c>
      <c r="H330" s="1236"/>
      <c r="I330" s="1200" t="s">
        <v>1807</v>
      </c>
      <c r="J330" s="384" t="s">
        <v>1808</v>
      </c>
      <c r="K330" s="591">
        <v>1</v>
      </c>
      <c r="L330" s="1202">
        <v>5300000000</v>
      </c>
      <c r="M330" s="1214">
        <v>0.45540000000000003</v>
      </c>
      <c r="N330" s="1268">
        <v>951976100</v>
      </c>
      <c r="O330" s="590"/>
      <c r="P330" s="590">
        <v>5840771180</v>
      </c>
      <c r="Q330" s="1195">
        <v>0.25</v>
      </c>
      <c r="R330" s="590">
        <v>1795216465</v>
      </c>
      <c r="S330" s="1195"/>
      <c r="T330" s="1202"/>
      <c r="U330" s="1195"/>
      <c r="V330" s="1202"/>
      <c r="W330" s="1214"/>
      <c r="X330" s="1221"/>
      <c r="Y330" s="1214">
        <f t="shared" si="85"/>
        <v>0.25</v>
      </c>
      <c r="Z330" s="1215">
        <f t="shared" si="85"/>
        <v>1795216465</v>
      </c>
      <c r="AA330" s="1214">
        <f t="shared" si="86"/>
        <v>0.70540000000000003</v>
      </c>
      <c r="AB330" s="1215">
        <f t="shared" si="86"/>
        <v>2747192565</v>
      </c>
      <c r="AC330" s="1214">
        <f t="shared" si="88"/>
        <v>0.70540000000000003</v>
      </c>
      <c r="AD330" s="1216">
        <f t="shared" si="87"/>
        <v>0.51833821981132078</v>
      </c>
      <c r="AE330" s="383" t="s">
        <v>1809</v>
      </c>
    </row>
    <row r="331" spans="1:31" s="498" customFormat="1" ht="34.5" customHeight="1">
      <c r="A331" s="383"/>
      <c r="B331" s="383"/>
      <c r="C331" s="623" t="s">
        <v>66</v>
      </c>
      <c r="D331" s="623" t="s">
        <v>196</v>
      </c>
      <c r="E331" s="623" t="s">
        <v>66</v>
      </c>
      <c r="F331" s="383">
        <v>43</v>
      </c>
      <c r="G331" s="1256">
        <v>64</v>
      </c>
      <c r="H331" s="1237"/>
      <c r="I331" s="1200" t="s">
        <v>1810</v>
      </c>
      <c r="J331" s="384" t="s">
        <v>1811</v>
      </c>
      <c r="K331" s="591">
        <v>1</v>
      </c>
      <c r="L331" s="1202">
        <v>500000000</v>
      </c>
      <c r="M331" s="1214">
        <v>1</v>
      </c>
      <c r="N331" s="1268">
        <v>689695000</v>
      </c>
      <c r="O331" s="590"/>
      <c r="P331" s="590">
        <v>0</v>
      </c>
      <c r="Q331" s="1195"/>
      <c r="R331" s="590"/>
      <c r="S331" s="1195"/>
      <c r="T331" s="1202"/>
      <c r="U331" s="1195"/>
      <c r="V331" s="1202"/>
      <c r="W331" s="1214"/>
      <c r="X331" s="1221"/>
      <c r="Y331" s="1214">
        <f t="shared" si="85"/>
        <v>0</v>
      </c>
      <c r="Z331" s="1215">
        <f t="shared" si="85"/>
        <v>0</v>
      </c>
      <c r="AA331" s="1195">
        <f t="shared" si="86"/>
        <v>1</v>
      </c>
      <c r="AB331" s="1196">
        <f t="shared" si="86"/>
        <v>689695000</v>
      </c>
      <c r="AC331" s="1214">
        <f t="shared" si="88"/>
        <v>1</v>
      </c>
      <c r="AD331" s="1216">
        <f t="shared" si="87"/>
        <v>1.3793899999999999</v>
      </c>
      <c r="AE331" s="383"/>
    </row>
    <row r="332" spans="1:31" s="498" customFormat="1" ht="34.5" customHeight="1">
      <c r="A332" s="383"/>
      <c r="B332" s="383"/>
      <c r="C332" s="623" t="s">
        <v>66</v>
      </c>
      <c r="D332" s="623" t="s">
        <v>196</v>
      </c>
      <c r="E332" s="623" t="s">
        <v>66</v>
      </c>
      <c r="F332" s="383">
        <v>15</v>
      </c>
      <c r="G332" s="1236">
        <v>24</v>
      </c>
      <c r="H332" s="1236"/>
      <c r="I332" s="1200" t="s">
        <v>1812</v>
      </c>
      <c r="J332" s="384" t="s">
        <v>1811</v>
      </c>
      <c r="K332" s="591">
        <v>1</v>
      </c>
      <c r="L332" s="1202">
        <v>500000000</v>
      </c>
      <c r="M332" s="1214"/>
      <c r="N332" s="1268"/>
      <c r="O332" s="590">
        <v>100</v>
      </c>
      <c r="P332" s="590">
        <v>474461332.75</v>
      </c>
      <c r="Q332" s="1195"/>
      <c r="R332" s="590">
        <v>7906022</v>
      </c>
      <c r="S332" s="1195"/>
      <c r="T332" s="1202"/>
      <c r="U332" s="1195"/>
      <c r="V332" s="1202"/>
      <c r="W332" s="1214"/>
      <c r="X332" s="1221"/>
      <c r="Y332" s="1214">
        <f t="shared" si="85"/>
        <v>0</v>
      </c>
      <c r="Z332" s="1215">
        <f t="shared" si="85"/>
        <v>7906022</v>
      </c>
      <c r="AA332" s="1195">
        <f t="shared" si="86"/>
        <v>0</v>
      </c>
      <c r="AB332" s="1196">
        <f t="shared" si="86"/>
        <v>7906022</v>
      </c>
      <c r="AC332" s="1214">
        <f t="shared" si="88"/>
        <v>0</v>
      </c>
      <c r="AD332" s="1216">
        <f t="shared" si="87"/>
        <v>1.5812044000000001E-2</v>
      </c>
      <c r="AE332" s="383"/>
    </row>
    <row r="333" spans="1:31" s="498" customFormat="1" ht="34.5" customHeight="1">
      <c r="A333" s="383"/>
      <c r="B333" s="383"/>
      <c r="C333" s="623" t="s">
        <v>66</v>
      </c>
      <c r="D333" s="623" t="s">
        <v>196</v>
      </c>
      <c r="E333" s="623" t="s">
        <v>66</v>
      </c>
      <c r="F333" s="383">
        <v>15</v>
      </c>
      <c r="G333" s="1256" t="s">
        <v>95</v>
      </c>
      <c r="H333" s="1236"/>
      <c r="I333" s="1264" t="s">
        <v>1813</v>
      </c>
      <c r="J333" s="384" t="s">
        <v>1814</v>
      </c>
      <c r="K333" s="591">
        <v>1</v>
      </c>
      <c r="L333" s="1202">
        <v>950000000</v>
      </c>
      <c r="M333" s="1214">
        <v>1</v>
      </c>
      <c r="N333" s="1268">
        <v>3332782660</v>
      </c>
      <c r="O333" s="590">
        <v>100</v>
      </c>
      <c r="P333" s="590">
        <v>175192152</v>
      </c>
      <c r="Q333" s="1195"/>
      <c r="R333" s="590">
        <v>0</v>
      </c>
      <c r="S333" s="1195"/>
      <c r="T333" s="1202"/>
      <c r="U333" s="1195"/>
      <c r="V333" s="1202"/>
      <c r="W333" s="1214"/>
      <c r="X333" s="1221"/>
      <c r="Y333" s="1214">
        <f t="shared" si="85"/>
        <v>0</v>
      </c>
      <c r="Z333" s="1215">
        <f t="shared" si="85"/>
        <v>0</v>
      </c>
      <c r="AA333" s="1195">
        <f t="shared" si="86"/>
        <v>1</v>
      </c>
      <c r="AB333" s="1196">
        <f t="shared" si="86"/>
        <v>3332782660</v>
      </c>
      <c r="AC333" s="1214">
        <f t="shared" si="88"/>
        <v>1</v>
      </c>
      <c r="AD333" s="1216">
        <f t="shared" si="87"/>
        <v>3.5081922736842106</v>
      </c>
      <c r="AE333" s="383"/>
    </row>
    <row r="334" spans="1:31" s="498" customFormat="1" ht="34.5" customHeight="1">
      <c r="A334" s="383"/>
      <c r="B334" s="383"/>
      <c r="C334" s="623" t="s">
        <v>66</v>
      </c>
      <c r="D334" s="623" t="s">
        <v>196</v>
      </c>
      <c r="E334" s="623" t="s">
        <v>66</v>
      </c>
      <c r="F334" s="383">
        <v>15</v>
      </c>
      <c r="G334" s="1256" t="s">
        <v>196</v>
      </c>
      <c r="H334" s="1236"/>
      <c r="I334" s="1200" t="s">
        <v>1815</v>
      </c>
      <c r="J334" s="384" t="s">
        <v>1803</v>
      </c>
      <c r="K334" s="591">
        <v>1</v>
      </c>
      <c r="L334" s="1202">
        <v>700000000</v>
      </c>
      <c r="M334" s="1214"/>
      <c r="N334" s="1268"/>
      <c r="O334" s="590">
        <v>100</v>
      </c>
      <c r="P334" s="590">
        <v>690207163.5</v>
      </c>
      <c r="Q334" s="1195">
        <v>0.22</v>
      </c>
      <c r="R334" s="590">
        <v>0</v>
      </c>
      <c r="S334" s="1195"/>
      <c r="T334" s="1202"/>
      <c r="U334" s="1195"/>
      <c r="V334" s="1202"/>
      <c r="W334" s="1214"/>
      <c r="X334" s="1221"/>
      <c r="Y334" s="1214">
        <f t="shared" si="85"/>
        <v>0.22</v>
      </c>
      <c r="Z334" s="1215">
        <f t="shared" si="85"/>
        <v>0</v>
      </c>
      <c r="AA334" s="1195">
        <f t="shared" si="86"/>
        <v>0.22</v>
      </c>
      <c r="AB334" s="1196">
        <f t="shared" si="86"/>
        <v>0</v>
      </c>
      <c r="AC334" s="1214">
        <f t="shared" si="88"/>
        <v>0.22</v>
      </c>
      <c r="AD334" s="1216">
        <f t="shared" si="87"/>
        <v>0</v>
      </c>
      <c r="AE334" s="383"/>
    </row>
    <row r="335" spans="1:31" s="498" customFormat="1" ht="34.5" customHeight="1">
      <c r="A335" s="383"/>
      <c r="B335" s="383"/>
      <c r="C335" s="623" t="s">
        <v>66</v>
      </c>
      <c r="D335" s="623" t="s">
        <v>196</v>
      </c>
      <c r="E335" s="623" t="s">
        <v>66</v>
      </c>
      <c r="F335" s="383">
        <v>43</v>
      </c>
      <c r="G335" s="1269">
        <v>67</v>
      </c>
      <c r="H335" s="1237"/>
      <c r="I335" s="1263" t="s">
        <v>1816</v>
      </c>
      <c r="J335" s="384" t="s">
        <v>1803</v>
      </c>
      <c r="K335" s="591">
        <v>1</v>
      </c>
      <c r="L335" s="1202">
        <v>1000000000</v>
      </c>
      <c r="M335" s="383"/>
      <c r="N335" s="1268">
        <v>1869400</v>
      </c>
      <c r="O335" s="590"/>
      <c r="P335" s="590">
        <v>0</v>
      </c>
      <c r="Q335" s="1195"/>
      <c r="R335" s="590"/>
      <c r="S335" s="1195"/>
      <c r="T335" s="1202"/>
      <c r="U335" s="1195"/>
      <c r="V335" s="1202"/>
      <c r="W335" s="1214"/>
      <c r="X335" s="1221"/>
      <c r="Y335" s="1214">
        <v>0</v>
      </c>
      <c r="Z335" s="1215">
        <f t="shared" si="85"/>
        <v>0</v>
      </c>
      <c r="AA335" s="1195">
        <f t="shared" si="86"/>
        <v>0</v>
      </c>
      <c r="AB335" s="1196">
        <f t="shared" si="86"/>
        <v>1869400</v>
      </c>
      <c r="AC335" s="1214">
        <f t="shared" si="88"/>
        <v>0</v>
      </c>
      <c r="AD335" s="1216">
        <f t="shared" si="87"/>
        <v>1.8694E-3</v>
      </c>
      <c r="AE335" s="383" t="s">
        <v>1817</v>
      </c>
    </row>
    <row r="336" spans="1:31" s="498" customFormat="1" ht="42" customHeight="1">
      <c r="A336" s="383"/>
      <c r="B336" s="383"/>
      <c r="C336" s="623" t="s">
        <v>66</v>
      </c>
      <c r="D336" s="623" t="s">
        <v>196</v>
      </c>
      <c r="E336" s="623" t="s">
        <v>66</v>
      </c>
      <c r="F336" s="383">
        <v>15</v>
      </c>
      <c r="G336" s="1256" t="s">
        <v>198</v>
      </c>
      <c r="H336" s="1236"/>
      <c r="I336" s="1263" t="s">
        <v>1818</v>
      </c>
      <c r="J336" s="384" t="s">
        <v>1803</v>
      </c>
      <c r="K336" s="591">
        <v>1</v>
      </c>
      <c r="L336" s="1202">
        <v>1200000000</v>
      </c>
      <c r="M336" s="1214">
        <v>1</v>
      </c>
      <c r="N336" s="1268">
        <v>1838862920</v>
      </c>
      <c r="O336" s="590"/>
      <c r="P336" s="590">
        <v>634214550</v>
      </c>
      <c r="Q336" s="1195"/>
      <c r="R336" s="590">
        <v>2687500</v>
      </c>
      <c r="S336" s="1195"/>
      <c r="T336" s="1202"/>
      <c r="U336" s="1195"/>
      <c r="V336" s="1202"/>
      <c r="W336" s="1214"/>
      <c r="X336" s="1221"/>
      <c r="Y336" s="1214">
        <f t="shared" ref="Y336:Z353" si="89">Q336+S336+U336+W336</f>
        <v>0</v>
      </c>
      <c r="Z336" s="1215">
        <f t="shared" si="85"/>
        <v>2687500</v>
      </c>
      <c r="AA336" s="1195">
        <f t="shared" si="86"/>
        <v>1</v>
      </c>
      <c r="AB336" s="1196">
        <f t="shared" si="86"/>
        <v>1841550420</v>
      </c>
      <c r="AC336" s="1214">
        <f t="shared" si="88"/>
        <v>1</v>
      </c>
      <c r="AD336" s="1216">
        <f t="shared" si="87"/>
        <v>1.53462535</v>
      </c>
      <c r="AE336" s="383"/>
    </row>
    <row r="337" spans="1:31" s="498" customFormat="1" ht="42" customHeight="1">
      <c r="A337" s="383"/>
      <c r="B337" s="383"/>
      <c r="C337" s="623" t="s">
        <v>66</v>
      </c>
      <c r="D337" s="623" t="s">
        <v>196</v>
      </c>
      <c r="E337" s="623" t="s">
        <v>66</v>
      </c>
      <c r="F337" s="383">
        <v>15</v>
      </c>
      <c r="G337" s="1256" t="s">
        <v>93</v>
      </c>
      <c r="H337" s="1236"/>
      <c r="I337" s="1263" t="s">
        <v>1819</v>
      </c>
      <c r="J337" s="384" t="s">
        <v>1803</v>
      </c>
      <c r="K337" s="591">
        <v>1</v>
      </c>
      <c r="L337" s="1202">
        <v>1800000000</v>
      </c>
      <c r="M337" s="1214">
        <v>1</v>
      </c>
      <c r="N337" s="1268">
        <v>1588811520</v>
      </c>
      <c r="O337" s="590"/>
      <c r="P337" s="590">
        <v>2190500000</v>
      </c>
      <c r="Q337" s="1195"/>
      <c r="R337" s="590">
        <v>0</v>
      </c>
      <c r="S337" s="1195"/>
      <c r="T337" s="1202"/>
      <c r="U337" s="1195"/>
      <c r="V337" s="1202"/>
      <c r="W337" s="1214"/>
      <c r="X337" s="1221"/>
      <c r="Y337" s="1214">
        <f t="shared" si="89"/>
        <v>0</v>
      </c>
      <c r="Z337" s="1215">
        <f t="shared" si="85"/>
        <v>0</v>
      </c>
      <c r="AA337" s="1195">
        <f t="shared" si="86"/>
        <v>1</v>
      </c>
      <c r="AB337" s="1196">
        <f t="shared" si="86"/>
        <v>1588811520</v>
      </c>
      <c r="AC337" s="1214">
        <f t="shared" si="88"/>
        <v>1</v>
      </c>
      <c r="AD337" s="1216">
        <f t="shared" si="87"/>
        <v>0.88267306666666667</v>
      </c>
      <c r="AE337" s="383"/>
    </row>
    <row r="338" spans="1:31" s="498" customFormat="1" ht="48.75" customHeight="1">
      <c r="A338" s="383"/>
      <c r="B338" s="383"/>
      <c r="C338" s="623" t="s">
        <v>66</v>
      </c>
      <c r="D338" s="623" t="s">
        <v>196</v>
      </c>
      <c r="E338" s="623" t="s">
        <v>66</v>
      </c>
      <c r="F338" s="383">
        <v>15</v>
      </c>
      <c r="G338" s="1256" t="s">
        <v>201</v>
      </c>
      <c r="H338" s="1236"/>
      <c r="I338" s="1263" t="s">
        <v>1820</v>
      </c>
      <c r="J338" s="384" t="s">
        <v>1803</v>
      </c>
      <c r="K338" s="591">
        <v>1</v>
      </c>
      <c r="L338" s="1202">
        <v>550000000</v>
      </c>
      <c r="M338" s="1214">
        <v>1</v>
      </c>
      <c r="N338" s="1268">
        <v>776689000</v>
      </c>
      <c r="O338" s="590"/>
      <c r="P338" s="590">
        <v>361500000</v>
      </c>
      <c r="Q338" s="1195"/>
      <c r="R338" s="590">
        <v>0</v>
      </c>
      <c r="S338" s="1195"/>
      <c r="T338" s="1202"/>
      <c r="U338" s="1195"/>
      <c r="V338" s="1202"/>
      <c r="W338" s="1214"/>
      <c r="X338" s="1221"/>
      <c r="Y338" s="1214">
        <f t="shared" si="89"/>
        <v>0</v>
      </c>
      <c r="Z338" s="1215">
        <f t="shared" si="85"/>
        <v>0</v>
      </c>
      <c r="AA338" s="1195">
        <f t="shared" si="86"/>
        <v>1</v>
      </c>
      <c r="AB338" s="1196">
        <f t="shared" si="86"/>
        <v>776689000</v>
      </c>
      <c r="AC338" s="1214">
        <f t="shared" si="88"/>
        <v>1</v>
      </c>
      <c r="AD338" s="1216">
        <f t="shared" si="87"/>
        <v>1.4121618181818181</v>
      </c>
      <c r="AE338" s="383"/>
    </row>
    <row r="339" spans="1:31" s="498" customFormat="1" ht="38.25" customHeight="1">
      <c r="A339" s="383"/>
      <c r="B339" s="383"/>
      <c r="C339" s="623" t="s">
        <v>66</v>
      </c>
      <c r="D339" s="623" t="s">
        <v>196</v>
      </c>
      <c r="E339" s="623" t="s">
        <v>66</v>
      </c>
      <c r="F339" s="383">
        <v>15</v>
      </c>
      <c r="G339" s="1236">
        <v>10</v>
      </c>
      <c r="H339" s="1236"/>
      <c r="I339" s="1263" t="s">
        <v>1821</v>
      </c>
      <c r="J339" s="384" t="s">
        <v>1803</v>
      </c>
      <c r="K339" s="591">
        <v>1</v>
      </c>
      <c r="L339" s="1202">
        <v>2000000000</v>
      </c>
      <c r="M339" s="1214">
        <v>0.99770000000000003</v>
      </c>
      <c r="N339" s="1268">
        <v>2230839976</v>
      </c>
      <c r="O339" s="590"/>
      <c r="P339" s="590">
        <v>1707973702.5</v>
      </c>
      <c r="Q339" s="1195">
        <v>6.4500000000000002E-2</v>
      </c>
      <c r="R339" s="590">
        <v>630000</v>
      </c>
      <c r="S339" s="1195"/>
      <c r="T339" s="1202"/>
      <c r="U339" s="1195"/>
      <c r="V339" s="1202"/>
      <c r="W339" s="1214"/>
      <c r="X339" s="1221"/>
      <c r="Y339" s="1214">
        <f t="shared" si="89"/>
        <v>6.4500000000000002E-2</v>
      </c>
      <c r="Z339" s="1215">
        <f t="shared" si="89"/>
        <v>630000</v>
      </c>
      <c r="AA339" s="1195">
        <f t="shared" si="86"/>
        <v>1.0622</v>
      </c>
      <c r="AB339" s="1196">
        <f t="shared" si="86"/>
        <v>2231469976</v>
      </c>
      <c r="AC339" s="1214">
        <f t="shared" si="88"/>
        <v>1.0622</v>
      </c>
      <c r="AD339" s="1216">
        <f t="shared" si="87"/>
        <v>1.115734988</v>
      </c>
      <c r="AE339" s="383"/>
    </row>
    <row r="340" spans="1:31" s="498" customFormat="1" ht="40.5" customHeight="1">
      <c r="A340" s="383"/>
      <c r="B340" s="383"/>
      <c r="C340" s="623" t="s">
        <v>66</v>
      </c>
      <c r="D340" s="623" t="s">
        <v>196</v>
      </c>
      <c r="E340" s="623" t="s">
        <v>66</v>
      </c>
      <c r="F340" s="383">
        <v>15</v>
      </c>
      <c r="G340" s="1236">
        <v>11</v>
      </c>
      <c r="H340" s="1236"/>
      <c r="I340" s="1263" t="s">
        <v>1822</v>
      </c>
      <c r="J340" s="384" t="s">
        <v>1803</v>
      </c>
      <c r="K340" s="591">
        <v>1</v>
      </c>
      <c r="L340" s="1202">
        <v>1200000000</v>
      </c>
      <c r="M340" s="1214">
        <v>0.85229999999999995</v>
      </c>
      <c r="N340" s="1268">
        <v>875367460</v>
      </c>
      <c r="O340" s="590"/>
      <c r="P340" s="590">
        <v>1221500000</v>
      </c>
      <c r="Q340" s="1195">
        <v>0.02</v>
      </c>
      <c r="R340" s="590">
        <v>1675000</v>
      </c>
      <c r="S340" s="1195"/>
      <c r="T340" s="1202"/>
      <c r="U340" s="1195"/>
      <c r="V340" s="1202"/>
      <c r="W340" s="1214"/>
      <c r="X340" s="1221"/>
      <c r="Y340" s="1214">
        <f t="shared" si="89"/>
        <v>0.02</v>
      </c>
      <c r="Z340" s="1215">
        <f t="shared" si="89"/>
        <v>1675000</v>
      </c>
      <c r="AA340" s="1195">
        <f t="shared" si="86"/>
        <v>0.87229999999999996</v>
      </c>
      <c r="AB340" s="1196">
        <f t="shared" si="86"/>
        <v>877042460</v>
      </c>
      <c r="AC340" s="1214">
        <f t="shared" si="88"/>
        <v>0.87229999999999996</v>
      </c>
      <c r="AD340" s="1216">
        <f t="shared" si="87"/>
        <v>0.73086871666666664</v>
      </c>
      <c r="AE340" s="383"/>
    </row>
    <row r="341" spans="1:31" s="498" customFormat="1" ht="40.5" customHeight="1">
      <c r="A341" s="383"/>
      <c r="B341" s="383"/>
      <c r="C341" s="623" t="s">
        <v>66</v>
      </c>
      <c r="D341" s="623" t="s">
        <v>196</v>
      </c>
      <c r="E341" s="623" t="s">
        <v>66</v>
      </c>
      <c r="F341" s="383">
        <v>15</v>
      </c>
      <c r="G341" s="1236">
        <v>12</v>
      </c>
      <c r="H341" s="1236"/>
      <c r="I341" s="1263" t="s">
        <v>1823</v>
      </c>
      <c r="J341" s="384" t="s">
        <v>1803</v>
      </c>
      <c r="K341" s="591">
        <v>1</v>
      </c>
      <c r="L341" s="1202">
        <v>1200000000</v>
      </c>
      <c r="M341" s="1214">
        <v>0.97529999999999994</v>
      </c>
      <c r="N341" s="1268">
        <v>1892245120</v>
      </c>
      <c r="O341" s="590"/>
      <c r="P341" s="590">
        <v>246452744</v>
      </c>
      <c r="Q341" s="1195"/>
      <c r="R341" s="590">
        <v>610000</v>
      </c>
      <c r="S341" s="1195"/>
      <c r="T341" s="1202"/>
      <c r="U341" s="1195"/>
      <c r="V341" s="1202"/>
      <c r="W341" s="1214"/>
      <c r="X341" s="1221"/>
      <c r="Y341" s="1214">
        <f t="shared" si="89"/>
        <v>0</v>
      </c>
      <c r="Z341" s="1215">
        <f t="shared" si="89"/>
        <v>610000</v>
      </c>
      <c r="AA341" s="1195">
        <f t="shared" si="86"/>
        <v>0.97529999999999994</v>
      </c>
      <c r="AB341" s="1196">
        <f t="shared" si="86"/>
        <v>1892855120</v>
      </c>
      <c r="AC341" s="1214">
        <f t="shared" si="88"/>
        <v>0.97529999999999994</v>
      </c>
      <c r="AD341" s="1216">
        <f t="shared" si="87"/>
        <v>1.5773792666666666</v>
      </c>
      <c r="AE341" s="383"/>
    </row>
    <row r="342" spans="1:31" s="498" customFormat="1" ht="40.5" customHeight="1">
      <c r="A342" s="383"/>
      <c r="B342" s="383"/>
      <c r="C342" s="623" t="s">
        <v>66</v>
      </c>
      <c r="D342" s="623" t="s">
        <v>196</v>
      </c>
      <c r="E342" s="623" t="s">
        <v>66</v>
      </c>
      <c r="F342" s="383">
        <v>15</v>
      </c>
      <c r="G342" s="1236">
        <v>13</v>
      </c>
      <c r="H342" s="1236"/>
      <c r="I342" s="1263" t="s">
        <v>1824</v>
      </c>
      <c r="J342" s="384" t="s">
        <v>1803</v>
      </c>
      <c r="K342" s="591">
        <v>1</v>
      </c>
      <c r="L342" s="1202">
        <v>2050000000</v>
      </c>
      <c r="M342" s="1214">
        <v>0.9788</v>
      </c>
      <c r="N342" s="1268">
        <v>2613216772</v>
      </c>
      <c r="O342" s="590"/>
      <c r="P342" s="590">
        <v>898555629.5</v>
      </c>
      <c r="Q342" s="1195">
        <v>0.02</v>
      </c>
      <c r="R342" s="590">
        <v>875000</v>
      </c>
      <c r="S342" s="1195"/>
      <c r="T342" s="1202"/>
      <c r="U342" s="1195"/>
      <c r="V342" s="1202"/>
      <c r="W342" s="1214"/>
      <c r="X342" s="1221"/>
      <c r="Y342" s="1214">
        <f t="shared" si="89"/>
        <v>0.02</v>
      </c>
      <c r="Z342" s="1215">
        <f t="shared" si="89"/>
        <v>875000</v>
      </c>
      <c r="AA342" s="1195">
        <f t="shared" si="86"/>
        <v>0.99880000000000002</v>
      </c>
      <c r="AB342" s="1196">
        <f t="shared" si="86"/>
        <v>2614091772</v>
      </c>
      <c r="AC342" s="1214">
        <f t="shared" si="88"/>
        <v>0.99880000000000002</v>
      </c>
      <c r="AD342" s="1216">
        <f t="shared" si="87"/>
        <v>1.2751667180487805</v>
      </c>
      <c r="AE342" s="383"/>
    </row>
    <row r="343" spans="1:31" s="498" customFormat="1" ht="42.75" customHeight="1">
      <c r="A343" s="383"/>
      <c r="B343" s="383"/>
      <c r="C343" s="623" t="s">
        <v>66</v>
      </c>
      <c r="D343" s="623" t="s">
        <v>196</v>
      </c>
      <c r="E343" s="623" t="s">
        <v>66</v>
      </c>
      <c r="F343" s="383">
        <v>15</v>
      </c>
      <c r="G343" s="1236">
        <v>14</v>
      </c>
      <c r="H343" s="1236"/>
      <c r="I343" s="1263" t="s">
        <v>1825</v>
      </c>
      <c r="J343" s="384" t="s">
        <v>1803</v>
      </c>
      <c r="K343" s="591">
        <v>1</v>
      </c>
      <c r="L343" s="1202">
        <v>1350000000</v>
      </c>
      <c r="M343" s="1214">
        <v>1</v>
      </c>
      <c r="N343" s="1268">
        <v>1094605048</v>
      </c>
      <c r="O343" s="590"/>
      <c r="P343" s="590">
        <v>295462438</v>
      </c>
      <c r="Q343" s="1195"/>
      <c r="R343" s="590">
        <v>987500</v>
      </c>
      <c r="S343" s="1195"/>
      <c r="T343" s="1202"/>
      <c r="U343" s="1195"/>
      <c r="V343" s="1202"/>
      <c r="W343" s="1214"/>
      <c r="X343" s="1221"/>
      <c r="Y343" s="1214">
        <f t="shared" si="89"/>
        <v>0</v>
      </c>
      <c r="Z343" s="1215">
        <f t="shared" si="89"/>
        <v>987500</v>
      </c>
      <c r="AA343" s="1195">
        <f t="shared" si="86"/>
        <v>1</v>
      </c>
      <c r="AB343" s="1196">
        <f t="shared" si="86"/>
        <v>1095592548</v>
      </c>
      <c r="AC343" s="1214">
        <f t="shared" si="88"/>
        <v>1</v>
      </c>
      <c r="AD343" s="1216">
        <f t="shared" si="87"/>
        <v>0.8115500355555556</v>
      </c>
      <c r="AE343" s="383"/>
    </row>
    <row r="344" spans="1:31" s="498" customFormat="1" ht="44.25" customHeight="1">
      <c r="A344" s="383"/>
      <c r="B344" s="383"/>
      <c r="C344" s="623" t="s">
        <v>66</v>
      </c>
      <c r="D344" s="623" t="s">
        <v>196</v>
      </c>
      <c r="E344" s="623" t="s">
        <v>66</v>
      </c>
      <c r="F344" s="383">
        <v>15</v>
      </c>
      <c r="G344" s="1236">
        <v>15</v>
      </c>
      <c r="H344" s="1236"/>
      <c r="I344" s="1263" t="s">
        <v>1826</v>
      </c>
      <c r="J344" s="384" t="s">
        <v>1803</v>
      </c>
      <c r="K344" s="591">
        <v>1</v>
      </c>
      <c r="L344" s="1202">
        <v>1300000000</v>
      </c>
      <c r="M344" s="1214">
        <v>1</v>
      </c>
      <c r="N344" s="1268">
        <v>879674500</v>
      </c>
      <c r="O344" s="590"/>
      <c r="P344" s="590">
        <v>744000000</v>
      </c>
      <c r="Q344" s="1195"/>
      <c r="R344" s="590">
        <v>1037500</v>
      </c>
      <c r="S344" s="1195"/>
      <c r="T344" s="1202"/>
      <c r="U344" s="1195"/>
      <c r="V344" s="1202"/>
      <c r="W344" s="1214"/>
      <c r="X344" s="1221"/>
      <c r="Y344" s="1214">
        <f t="shared" si="89"/>
        <v>0</v>
      </c>
      <c r="Z344" s="1215">
        <f t="shared" si="89"/>
        <v>1037500</v>
      </c>
      <c r="AA344" s="1195">
        <f t="shared" si="86"/>
        <v>1</v>
      </c>
      <c r="AB344" s="1196">
        <f t="shared" si="86"/>
        <v>880712000</v>
      </c>
      <c r="AC344" s="1214">
        <f t="shared" si="88"/>
        <v>1</v>
      </c>
      <c r="AD344" s="1216">
        <f t="shared" si="87"/>
        <v>0.67747076923076921</v>
      </c>
      <c r="AE344" s="383"/>
    </row>
    <row r="345" spans="1:31" s="498" customFormat="1" ht="38.25" customHeight="1">
      <c r="A345" s="383"/>
      <c r="B345" s="383"/>
      <c r="C345" s="623" t="s">
        <v>66</v>
      </c>
      <c r="D345" s="623" t="s">
        <v>196</v>
      </c>
      <c r="E345" s="623" t="s">
        <v>66</v>
      </c>
      <c r="F345" s="383">
        <v>15</v>
      </c>
      <c r="G345" s="1236">
        <v>16</v>
      </c>
      <c r="H345" s="1236"/>
      <c r="I345" s="1263" t="s">
        <v>1827</v>
      </c>
      <c r="J345" s="384" t="s">
        <v>1803</v>
      </c>
      <c r="K345" s="591">
        <v>1</v>
      </c>
      <c r="L345" s="1202">
        <v>400000000</v>
      </c>
      <c r="M345" s="1214">
        <v>1</v>
      </c>
      <c r="N345" s="1270">
        <v>142410000</v>
      </c>
      <c r="O345" s="590"/>
      <c r="P345" s="590">
        <v>147000000</v>
      </c>
      <c r="Q345" s="1195"/>
      <c r="R345" s="590">
        <v>0</v>
      </c>
      <c r="S345" s="1195"/>
      <c r="T345" s="1202"/>
      <c r="U345" s="1195"/>
      <c r="V345" s="1202"/>
      <c r="W345" s="1214"/>
      <c r="X345" s="1221"/>
      <c r="Y345" s="1214">
        <f t="shared" si="89"/>
        <v>0</v>
      </c>
      <c r="Z345" s="1215">
        <f t="shared" si="89"/>
        <v>0</v>
      </c>
      <c r="AA345" s="1195">
        <f t="shared" si="86"/>
        <v>1</v>
      </c>
      <c r="AB345" s="1196">
        <f t="shared" si="86"/>
        <v>142410000</v>
      </c>
      <c r="AC345" s="1214">
        <f t="shared" si="88"/>
        <v>1</v>
      </c>
      <c r="AD345" s="1216">
        <f t="shared" si="87"/>
        <v>0.35602499999999998</v>
      </c>
      <c r="AE345" s="383"/>
    </row>
    <row r="346" spans="1:31" s="498" customFormat="1" ht="42" customHeight="1">
      <c r="A346" s="383"/>
      <c r="B346" s="383"/>
      <c r="C346" s="623" t="s">
        <v>66</v>
      </c>
      <c r="D346" s="623" t="s">
        <v>196</v>
      </c>
      <c r="E346" s="623" t="s">
        <v>66</v>
      </c>
      <c r="F346" s="383">
        <v>15</v>
      </c>
      <c r="G346" s="1236">
        <v>17</v>
      </c>
      <c r="H346" s="1236"/>
      <c r="I346" s="1263" t="s">
        <v>1828</v>
      </c>
      <c r="J346" s="384" t="s">
        <v>1803</v>
      </c>
      <c r="K346" s="591">
        <v>1</v>
      </c>
      <c r="L346" s="1202">
        <v>750000000</v>
      </c>
      <c r="M346" s="1214">
        <v>0.66</v>
      </c>
      <c r="N346" s="1268">
        <v>228741000</v>
      </c>
      <c r="O346" s="590"/>
      <c r="P346" s="590">
        <v>490308938</v>
      </c>
      <c r="Q346" s="1195"/>
      <c r="R346" s="590">
        <v>0</v>
      </c>
      <c r="S346" s="1195"/>
      <c r="T346" s="1202"/>
      <c r="U346" s="1195"/>
      <c r="V346" s="1202"/>
      <c r="W346" s="1214"/>
      <c r="X346" s="1221"/>
      <c r="Y346" s="1214">
        <f t="shared" si="89"/>
        <v>0</v>
      </c>
      <c r="Z346" s="1215">
        <f t="shared" si="89"/>
        <v>0</v>
      </c>
      <c r="AA346" s="1195">
        <f t="shared" si="86"/>
        <v>0.66</v>
      </c>
      <c r="AB346" s="1196">
        <f t="shared" si="86"/>
        <v>228741000</v>
      </c>
      <c r="AC346" s="1214">
        <f t="shared" si="88"/>
        <v>0.66</v>
      </c>
      <c r="AD346" s="1216">
        <f t="shared" si="87"/>
        <v>0.30498799999999998</v>
      </c>
      <c r="AE346" s="383"/>
    </row>
    <row r="347" spans="1:31" s="498" customFormat="1" ht="41.25" customHeight="1">
      <c r="A347" s="383"/>
      <c r="B347" s="383"/>
      <c r="C347" s="623" t="s">
        <v>66</v>
      </c>
      <c r="D347" s="623" t="s">
        <v>196</v>
      </c>
      <c r="E347" s="623" t="s">
        <v>66</v>
      </c>
      <c r="F347" s="383">
        <v>15</v>
      </c>
      <c r="G347" s="1236">
        <v>18</v>
      </c>
      <c r="H347" s="1236"/>
      <c r="I347" s="1263" t="s">
        <v>1829</v>
      </c>
      <c r="J347" s="384" t="s">
        <v>1803</v>
      </c>
      <c r="K347" s="591">
        <v>1</v>
      </c>
      <c r="L347" s="1202">
        <v>400000000</v>
      </c>
      <c r="M347" s="1214">
        <v>1</v>
      </c>
      <c r="N347" s="1268">
        <v>96477000</v>
      </c>
      <c r="O347" s="590"/>
      <c r="P347" s="590">
        <v>199127579.5</v>
      </c>
      <c r="Q347" s="1195"/>
      <c r="R347" s="590">
        <v>1212500</v>
      </c>
      <c r="S347" s="1195"/>
      <c r="T347" s="1202"/>
      <c r="U347" s="1195"/>
      <c r="V347" s="1202"/>
      <c r="W347" s="1214"/>
      <c r="X347" s="1221"/>
      <c r="Y347" s="1214">
        <f t="shared" si="89"/>
        <v>0</v>
      </c>
      <c r="Z347" s="1215">
        <f t="shared" si="89"/>
        <v>1212500</v>
      </c>
      <c r="AA347" s="1195">
        <f t="shared" si="86"/>
        <v>1</v>
      </c>
      <c r="AB347" s="1196">
        <f t="shared" si="86"/>
        <v>97689500</v>
      </c>
      <c r="AC347" s="1214">
        <f t="shared" si="88"/>
        <v>1</v>
      </c>
      <c r="AD347" s="1216">
        <f t="shared" si="87"/>
        <v>0.24422374999999999</v>
      </c>
      <c r="AE347" s="383"/>
    </row>
    <row r="348" spans="1:31" s="498" customFormat="1" ht="38.25" customHeight="1">
      <c r="A348" s="383"/>
      <c r="B348" s="383"/>
      <c r="C348" s="623" t="s">
        <v>66</v>
      </c>
      <c r="D348" s="623" t="s">
        <v>196</v>
      </c>
      <c r="E348" s="623" t="s">
        <v>66</v>
      </c>
      <c r="F348" s="383">
        <v>15</v>
      </c>
      <c r="G348" s="1236">
        <v>19</v>
      </c>
      <c r="H348" s="1236"/>
      <c r="I348" s="1263" t="s">
        <v>1830</v>
      </c>
      <c r="J348" s="384" t="s">
        <v>1803</v>
      </c>
      <c r="K348" s="591">
        <v>1</v>
      </c>
      <c r="L348" s="1202">
        <v>550000000</v>
      </c>
      <c r="M348" s="1214">
        <v>1</v>
      </c>
      <c r="N348" s="1268">
        <v>149656500</v>
      </c>
      <c r="O348" s="590"/>
      <c r="P348" s="590">
        <v>195000000</v>
      </c>
      <c r="Q348" s="1195"/>
      <c r="R348" s="590">
        <v>0</v>
      </c>
      <c r="S348" s="1195"/>
      <c r="T348" s="1202"/>
      <c r="U348" s="1195"/>
      <c r="V348" s="1202"/>
      <c r="W348" s="1214"/>
      <c r="X348" s="1221"/>
      <c r="Y348" s="1214">
        <f t="shared" si="89"/>
        <v>0</v>
      </c>
      <c r="Z348" s="1215">
        <f t="shared" si="89"/>
        <v>0</v>
      </c>
      <c r="AA348" s="1195">
        <f t="shared" si="86"/>
        <v>1</v>
      </c>
      <c r="AB348" s="1196">
        <f t="shared" si="86"/>
        <v>149656500</v>
      </c>
      <c r="AC348" s="1214">
        <f t="shared" si="88"/>
        <v>1</v>
      </c>
      <c r="AD348" s="1216">
        <f t="shared" si="87"/>
        <v>0.27210272727272727</v>
      </c>
      <c r="AE348" s="383"/>
    </row>
    <row r="349" spans="1:31" s="498" customFormat="1" ht="38.25" customHeight="1">
      <c r="A349" s="383"/>
      <c r="B349" s="383"/>
      <c r="C349" s="623" t="s">
        <v>66</v>
      </c>
      <c r="D349" s="623" t="s">
        <v>196</v>
      </c>
      <c r="E349" s="623" t="s">
        <v>66</v>
      </c>
      <c r="F349" s="383">
        <v>15</v>
      </c>
      <c r="G349" s="1236">
        <v>20</v>
      </c>
      <c r="H349" s="1236"/>
      <c r="I349" s="1263" t="s">
        <v>1831</v>
      </c>
      <c r="J349" s="384" t="s">
        <v>1803</v>
      </c>
      <c r="K349" s="591">
        <v>1</v>
      </c>
      <c r="L349" s="1202">
        <v>450000000</v>
      </c>
      <c r="M349" s="1214">
        <v>1</v>
      </c>
      <c r="N349" s="1268">
        <v>831746000</v>
      </c>
      <c r="O349" s="590"/>
      <c r="P349" s="590">
        <v>292500000</v>
      </c>
      <c r="Q349" s="1195"/>
      <c r="R349" s="590">
        <v>1250000</v>
      </c>
      <c r="S349" s="1195"/>
      <c r="T349" s="1202"/>
      <c r="U349" s="1195"/>
      <c r="V349" s="1202"/>
      <c r="W349" s="1214"/>
      <c r="X349" s="1221"/>
      <c r="Y349" s="1214">
        <f t="shared" si="89"/>
        <v>0</v>
      </c>
      <c r="Z349" s="1215">
        <f t="shared" si="89"/>
        <v>1250000</v>
      </c>
      <c r="AA349" s="1195">
        <f t="shared" si="86"/>
        <v>1</v>
      </c>
      <c r="AB349" s="1196">
        <f t="shared" si="86"/>
        <v>832996000</v>
      </c>
      <c r="AC349" s="1214">
        <f t="shared" si="88"/>
        <v>1</v>
      </c>
      <c r="AD349" s="1216">
        <f t="shared" si="87"/>
        <v>1.8511022222222222</v>
      </c>
      <c r="AE349" s="383"/>
    </row>
    <row r="350" spans="1:31" s="498" customFormat="1" ht="34.5" customHeight="1">
      <c r="A350" s="383"/>
      <c r="B350" s="383"/>
      <c r="C350" s="623" t="s">
        <v>66</v>
      </c>
      <c r="D350" s="623" t="s">
        <v>196</v>
      </c>
      <c r="E350" s="623" t="s">
        <v>66</v>
      </c>
      <c r="F350" s="383">
        <v>43</v>
      </c>
      <c r="G350" s="1237">
        <v>82</v>
      </c>
      <c r="H350" s="1237"/>
      <c r="I350" s="1263" t="s">
        <v>1832</v>
      </c>
      <c r="J350" s="384" t="s">
        <v>1803</v>
      </c>
      <c r="K350" s="591">
        <v>1</v>
      </c>
      <c r="L350" s="1202">
        <v>500000000</v>
      </c>
      <c r="M350" s="1214">
        <v>1</v>
      </c>
      <c r="N350" s="1268">
        <v>479965800</v>
      </c>
      <c r="O350" s="590"/>
      <c r="P350" s="590">
        <v>0</v>
      </c>
      <c r="Q350" s="1195"/>
      <c r="R350" s="590"/>
      <c r="S350" s="1195"/>
      <c r="T350" s="1202"/>
      <c r="U350" s="1195"/>
      <c r="V350" s="1202"/>
      <c r="W350" s="1214"/>
      <c r="X350" s="1221"/>
      <c r="Y350" s="1214">
        <f t="shared" si="89"/>
        <v>0</v>
      </c>
      <c r="Z350" s="1215">
        <f t="shared" si="89"/>
        <v>0</v>
      </c>
      <c r="AA350" s="1195">
        <f t="shared" si="86"/>
        <v>1</v>
      </c>
      <c r="AB350" s="1196">
        <f t="shared" si="86"/>
        <v>479965800</v>
      </c>
      <c r="AC350" s="1214">
        <f t="shared" si="88"/>
        <v>1</v>
      </c>
      <c r="AD350" s="1216">
        <f t="shared" si="87"/>
        <v>0.9599316</v>
      </c>
      <c r="AE350" s="383"/>
    </row>
    <row r="351" spans="1:31" s="498" customFormat="1" ht="34.5" customHeight="1">
      <c r="A351" s="383"/>
      <c r="B351" s="383"/>
      <c r="C351" s="623" t="s">
        <v>66</v>
      </c>
      <c r="D351" s="623" t="s">
        <v>196</v>
      </c>
      <c r="E351" s="623" t="s">
        <v>66</v>
      </c>
      <c r="F351" s="383">
        <v>43</v>
      </c>
      <c r="G351" s="1237">
        <v>84</v>
      </c>
      <c r="H351" s="1237"/>
      <c r="I351" s="1234" t="s">
        <v>1833</v>
      </c>
      <c r="J351" s="384" t="s">
        <v>1808</v>
      </c>
      <c r="K351" s="591">
        <v>1</v>
      </c>
      <c r="L351" s="1202">
        <v>3000000000</v>
      </c>
      <c r="M351" s="1214">
        <v>1</v>
      </c>
      <c r="N351" s="1268">
        <v>1763410600</v>
      </c>
      <c r="O351" s="590"/>
      <c r="P351" s="590">
        <v>0</v>
      </c>
      <c r="Q351" s="1195"/>
      <c r="R351" s="590"/>
      <c r="S351" s="1195"/>
      <c r="T351" s="1202"/>
      <c r="U351" s="1195"/>
      <c r="V351" s="1202"/>
      <c r="W351" s="1214"/>
      <c r="X351" s="1221"/>
      <c r="Y351" s="1214">
        <f t="shared" si="89"/>
        <v>0</v>
      </c>
      <c r="Z351" s="1215">
        <f t="shared" si="89"/>
        <v>0</v>
      </c>
      <c r="AA351" s="1195">
        <f t="shared" si="86"/>
        <v>1</v>
      </c>
      <c r="AB351" s="1196">
        <f t="shared" si="86"/>
        <v>1763410600</v>
      </c>
      <c r="AC351" s="1214">
        <f t="shared" si="88"/>
        <v>1</v>
      </c>
      <c r="AD351" s="1216">
        <f t="shared" si="87"/>
        <v>0.58780353333333335</v>
      </c>
      <c r="AE351" s="383"/>
    </row>
    <row r="352" spans="1:31" s="498" customFormat="1" ht="34.5" customHeight="1">
      <c r="A352" s="383"/>
      <c r="B352" s="383"/>
      <c r="C352" s="623" t="s">
        <v>66</v>
      </c>
      <c r="D352" s="623" t="s">
        <v>196</v>
      </c>
      <c r="E352" s="623" t="s">
        <v>66</v>
      </c>
      <c r="F352" s="383">
        <v>15</v>
      </c>
      <c r="G352" s="1236">
        <v>29</v>
      </c>
      <c r="H352" s="1236"/>
      <c r="I352" s="1263" t="s">
        <v>1834</v>
      </c>
      <c r="J352" s="384" t="s">
        <v>1835</v>
      </c>
      <c r="K352" s="591">
        <v>1</v>
      </c>
      <c r="L352" s="1202">
        <v>150000000</v>
      </c>
      <c r="M352" s="1214">
        <v>1</v>
      </c>
      <c r="N352" s="1268">
        <v>173095500</v>
      </c>
      <c r="O352" s="590">
        <v>100</v>
      </c>
      <c r="P352" s="590">
        <v>169087804</v>
      </c>
      <c r="Q352" s="1195">
        <v>0.1</v>
      </c>
      <c r="R352" s="590">
        <v>15619059</v>
      </c>
      <c r="S352" s="1195"/>
      <c r="T352" s="1202"/>
      <c r="U352" s="1195"/>
      <c r="V352" s="1202"/>
      <c r="W352" s="1214"/>
      <c r="X352" s="1221"/>
      <c r="Y352" s="1214">
        <f t="shared" si="89"/>
        <v>0.1</v>
      </c>
      <c r="Z352" s="1215">
        <f t="shared" si="89"/>
        <v>15619059</v>
      </c>
      <c r="AA352" s="1195">
        <f t="shared" si="86"/>
        <v>1.1000000000000001</v>
      </c>
      <c r="AB352" s="1196">
        <f t="shared" si="86"/>
        <v>188714559</v>
      </c>
      <c r="AC352" s="1214">
        <f t="shared" si="88"/>
        <v>1.1000000000000001</v>
      </c>
      <c r="AD352" s="1216">
        <f t="shared" si="87"/>
        <v>1.2580970600000001</v>
      </c>
      <c r="AE352" s="383"/>
    </row>
    <row r="353" spans="1:31" s="498" customFormat="1" ht="34.5" customHeight="1">
      <c r="A353" s="383"/>
      <c r="B353" s="383"/>
      <c r="C353" s="623" t="s">
        <v>66</v>
      </c>
      <c r="D353" s="623" t="s">
        <v>196</v>
      </c>
      <c r="E353" s="623" t="s">
        <v>66</v>
      </c>
      <c r="F353" s="383">
        <v>15</v>
      </c>
      <c r="G353" s="1236">
        <v>31</v>
      </c>
      <c r="H353" s="1236"/>
      <c r="I353" s="1222" t="s">
        <v>1836</v>
      </c>
      <c r="J353" s="384" t="s">
        <v>1837</v>
      </c>
      <c r="K353" s="591">
        <v>1</v>
      </c>
      <c r="L353" s="1202">
        <v>150000000</v>
      </c>
      <c r="M353" s="1214">
        <v>1</v>
      </c>
      <c r="N353" s="1268">
        <v>145048100</v>
      </c>
      <c r="O353" s="1271">
        <v>1</v>
      </c>
      <c r="P353" s="590">
        <v>150000000</v>
      </c>
      <c r="Q353" s="1195">
        <v>0</v>
      </c>
      <c r="R353" s="590">
        <v>99442500</v>
      </c>
      <c r="S353" s="1195"/>
      <c r="T353" s="1202"/>
      <c r="U353" s="1195"/>
      <c r="V353" s="1202"/>
      <c r="W353" s="1214"/>
      <c r="X353" s="1221"/>
      <c r="Y353" s="1214">
        <f t="shared" si="89"/>
        <v>0</v>
      </c>
      <c r="Z353" s="1215">
        <f t="shared" si="89"/>
        <v>99442500</v>
      </c>
      <c r="AA353" s="1195">
        <f t="shared" si="86"/>
        <v>1</v>
      </c>
      <c r="AB353" s="1196">
        <f t="shared" si="86"/>
        <v>244490600</v>
      </c>
      <c r="AC353" s="1214">
        <f t="shared" si="88"/>
        <v>1</v>
      </c>
      <c r="AD353" s="1216">
        <f t="shared" si="87"/>
        <v>1.6299373333333333</v>
      </c>
      <c r="AE353" s="383"/>
    </row>
    <row r="354" spans="1:31" s="498" customFormat="1" ht="34.5" customHeight="1">
      <c r="A354" s="383"/>
      <c r="B354" s="383"/>
      <c r="C354" s="623" t="s">
        <v>66</v>
      </c>
      <c r="D354" s="623" t="s">
        <v>196</v>
      </c>
      <c r="E354" s="623" t="s">
        <v>66</v>
      </c>
      <c r="F354" s="383">
        <v>15</v>
      </c>
      <c r="G354" s="1236">
        <v>30</v>
      </c>
      <c r="H354" s="1236"/>
      <c r="I354" s="1222" t="s">
        <v>1838</v>
      </c>
      <c r="J354" s="384" t="s">
        <v>1837</v>
      </c>
      <c r="K354" s="591">
        <v>1</v>
      </c>
      <c r="L354" s="1202">
        <v>150000000</v>
      </c>
      <c r="M354" s="1214"/>
      <c r="N354" s="1268">
        <v>0</v>
      </c>
      <c r="O354" s="1271">
        <v>1</v>
      </c>
      <c r="P354" s="590">
        <v>100079052.75</v>
      </c>
      <c r="Q354" s="1195">
        <v>0.6</v>
      </c>
      <c r="R354" s="590">
        <v>0</v>
      </c>
      <c r="S354" s="1195"/>
      <c r="T354" s="1202"/>
      <c r="U354" s="1195"/>
      <c r="V354" s="1202"/>
      <c r="W354" s="1214"/>
      <c r="X354" s="1221"/>
      <c r="Y354" s="1214">
        <f>Q354+S354+U354+W354</f>
        <v>0.6</v>
      </c>
      <c r="Z354" s="1215">
        <f>R354+T354+V354+X354</f>
        <v>0</v>
      </c>
      <c r="AA354" s="1195">
        <f t="shared" si="86"/>
        <v>0.6</v>
      </c>
      <c r="AB354" s="1196">
        <f t="shared" si="86"/>
        <v>0</v>
      </c>
      <c r="AC354" s="1214">
        <f t="shared" si="88"/>
        <v>0.6</v>
      </c>
      <c r="AD354" s="1216">
        <f t="shared" si="87"/>
        <v>0</v>
      </c>
      <c r="AE354" s="383"/>
    </row>
    <row r="355" spans="1:31" s="498" customFormat="1" ht="34.5" customHeight="1">
      <c r="A355" s="383"/>
      <c r="B355" s="383"/>
      <c r="C355" s="623" t="s">
        <v>66</v>
      </c>
      <c r="D355" s="623" t="s">
        <v>196</v>
      </c>
      <c r="E355" s="623" t="s">
        <v>66</v>
      </c>
      <c r="F355" s="383">
        <v>15</v>
      </c>
      <c r="G355" s="1236">
        <v>32</v>
      </c>
      <c r="H355" s="1236"/>
      <c r="I355" s="1222" t="s">
        <v>1839</v>
      </c>
      <c r="J355" s="384" t="s">
        <v>1803</v>
      </c>
      <c r="K355" s="591">
        <v>1</v>
      </c>
      <c r="L355" s="1202">
        <v>800000000</v>
      </c>
      <c r="M355" s="1214"/>
      <c r="N355" s="1268"/>
      <c r="O355" s="590">
        <v>100</v>
      </c>
      <c r="P355" s="590">
        <v>800000000</v>
      </c>
      <c r="Q355" s="1195">
        <v>0</v>
      </c>
      <c r="R355" s="590">
        <v>0</v>
      </c>
      <c r="S355" s="1195"/>
      <c r="T355" s="1202"/>
      <c r="U355" s="1195"/>
      <c r="V355" s="1202"/>
      <c r="W355" s="1214"/>
      <c r="X355" s="1221"/>
      <c r="Y355" s="1214">
        <f>Q355+S355+U355+W355</f>
        <v>0</v>
      </c>
      <c r="Z355" s="1215">
        <f>R355+T355+V355+X355</f>
        <v>0</v>
      </c>
      <c r="AA355" s="1195">
        <f t="shared" si="86"/>
        <v>0</v>
      </c>
      <c r="AB355" s="1196">
        <f t="shared" si="86"/>
        <v>0</v>
      </c>
      <c r="AC355" s="1214">
        <f t="shared" si="88"/>
        <v>0</v>
      </c>
      <c r="AD355" s="1216">
        <f t="shared" si="87"/>
        <v>0</v>
      </c>
      <c r="AE355" s="383"/>
    </row>
    <row r="356" spans="1:31" s="498" customFormat="1" ht="57" customHeight="1">
      <c r="A356" s="383"/>
      <c r="B356" s="383"/>
      <c r="C356" s="623" t="s">
        <v>66</v>
      </c>
      <c r="D356" s="623" t="s">
        <v>196</v>
      </c>
      <c r="E356" s="623" t="s">
        <v>66</v>
      </c>
      <c r="F356" s="383">
        <v>43</v>
      </c>
      <c r="G356" s="1236">
        <v>100</v>
      </c>
      <c r="H356" s="1237"/>
      <c r="I356" s="1222" t="s">
        <v>1840</v>
      </c>
      <c r="J356" s="384" t="s">
        <v>1803</v>
      </c>
      <c r="K356" s="591">
        <v>1</v>
      </c>
      <c r="L356" s="1202">
        <v>195000000</v>
      </c>
      <c r="M356" s="1214">
        <v>1</v>
      </c>
      <c r="N356" s="1268">
        <v>192955000</v>
      </c>
      <c r="O356" s="590"/>
      <c r="P356" s="590">
        <v>0</v>
      </c>
      <c r="Q356" s="1195"/>
      <c r="R356" s="590"/>
      <c r="S356" s="1195"/>
      <c r="T356" s="1202"/>
      <c r="U356" s="1195"/>
      <c r="V356" s="1202"/>
      <c r="W356" s="1214"/>
      <c r="X356" s="1221"/>
      <c r="Y356" s="1214">
        <f t="shared" ref="Y356:Z371" si="90">W356</f>
        <v>0</v>
      </c>
      <c r="Z356" s="1215">
        <f t="shared" si="90"/>
        <v>0</v>
      </c>
      <c r="AA356" s="1214">
        <f t="shared" si="86"/>
        <v>1</v>
      </c>
      <c r="AB356" s="1215">
        <f t="shared" si="86"/>
        <v>192955000</v>
      </c>
      <c r="AC356" s="1214">
        <f t="shared" si="88"/>
        <v>1</v>
      </c>
      <c r="AD356" s="1216">
        <f t="shared" si="87"/>
        <v>0.98951282051282052</v>
      </c>
      <c r="AE356" s="383"/>
    </row>
    <row r="357" spans="1:31" s="498" customFormat="1" ht="43.5" customHeight="1">
      <c r="A357" s="383"/>
      <c r="B357" s="383"/>
      <c r="C357" s="623" t="s">
        <v>66</v>
      </c>
      <c r="D357" s="623" t="s">
        <v>196</v>
      </c>
      <c r="E357" s="623" t="s">
        <v>66</v>
      </c>
      <c r="F357" s="383">
        <v>43</v>
      </c>
      <c r="G357" s="1237">
        <v>101</v>
      </c>
      <c r="H357" s="1237"/>
      <c r="I357" s="1222" t="s">
        <v>1841</v>
      </c>
      <c r="J357" s="384" t="s">
        <v>1803</v>
      </c>
      <c r="K357" s="591">
        <v>1</v>
      </c>
      <c r="L357" s="1202">
        <v>150000000</v>
      </c>
      <c r="M357" s="1214">
        <v>1</v>
      </c>
      <c r="N357" s="1268">
        <v>146012000</v>
      </c>
      <c r="O357" s="590"/>
      <c r="P357" s="590">
        <v>0</v>
      </c>
      <c r="Q357" s="1195"/>
      <c r="R357" s="590"/>
      <c r="S357" s="1195"/>
      <c r="T357" s="1202"/>
      <c r="U357" s="1195"/>
      <c r="V357" s="1202"/>
      <c r="W357" s="1214"/>
      <c r="X357" s="1221"/>
      <c r="Y357" s="1214">
        <f t="shared" si="90"/>
        <v>0</v>
      </c>
      <c r="Z357" s="1215">
        <f t="shared" si="90"/>
        <v>0</v>
      </c>
      <c r="AA357" s="1195">
        <f t="shared" si="86"/>
        <v>1</v>
      </c>
      <c r="AB357" s="1196">
        <f t="shared" si="86"/>
        <v>146012000</v>
      </c>
      <c r="AC357" s="1214">
        <f t="shared" si="88"/>
        <v>1</v>
      </c>
      <c r="AD357" s="1216">
        <f t="shared" si="87"/>
        <v>0.97341333333333335</v>
      </c>
      <c r="AE357" s="383"/>
    </row>
    <row r="358" spans="1:31" s="498" customFormat="1" ht="43.5" customHeight="1">
      <c r="A358" s="383"/>
      <c r="B358" s="383"/>
      <c r="C358" s="623" t="s">
        <v>66</v>
      </c>
      <c r="D358" s="623" t="s">
        <v>196</v>
      </c>
      <c r="E358" s="623" t="s">
        <v>66</v>
      </c>
      <c r="F358" s="383">
        <v>43</v>
      </c>
      <c r="G358" s="1237">
        <v>103</v>
      </c>
      <c r="H358" s="1237"/>
      <c r="I358" s="1222" t="s">
        <v>1842</v>
      </c>
      <c r="J358" s="384" t="s">
        <v>1803</v>
      </c>
      <c r="K358" s="591">
        <v>1</v>
      </c>
      <c r="L358" s="590">
        <v>100000000</v>
      </c>
      <c r="M358" s="1214">
        <v>1</v>
      </c>
      <c r="N358" s="1268">
        <v>98857000</v>
      </c>
      <c r="O358" s="590"/>
      <c r="P358" s="590">
        <v>0</v>
      </c>
      <c r="Q358" s="1195"/>
      <c r="R358" s="590"/>
      <c r="S358" s="1195"/>
      <c r="T358" s="1202"/>
      <c r="U358" s="1195"/>
      <c r="V358" s="1202"/>
      <c r="W358" s="1214"/>
      <c r="X358" s="1221"/>
      <c r="Y358" s="1214">
        <f t="shared" si="90"/>
        <v>0</v>
      </c>
      <c r="Z358" s="1215">
        <f t="shared" si="90"/>
        <v>0</v>
      </c>
      <c r="AA358" s="1195">
        <f t="shared" si="86"/>
        <v>1</v>
      </c>
      <c r="AB358" s="1196">
        <f t="shared" si="86"/>
        <v>98857000</v>
      </c>
      <c r="AC358" s="1214">
        <f t="shared" si="88"/>
        <v>1</v>
      </c>
      <c r="AD358" s="1216">
        <f t="shared" si="87"/>
        <v>0.98856999999999995</v>
      </c>
      <c r="AE358" s="383"/>
    </row>
    <row r="359" spans="1:31" s="498" customFormat="1" ht="43.5" customHeight="1">
      <c r="A359" s="383"/>
      <c r="B359" s="383"/>
      <c r="C359" s="623" t="s">
        <v>66</v>
      </c>
      <c r="D359" s="623" t="s">
        <v>196</v>
      </c>
      <c r="E359" s="623" t="s">
        <v>66</v>
      </c>
      <c r="F359" s="383">
        <v>43</v>
      </c>
      <c r="G359" s="1237">
        <v>104</v>
      </c>
      <c r="H359" s="1237"/>
      <c r="I359" s="1222" t="s">
        <v>1843</v>
      </c>
      <c r="J359" s="384" t="s">
        <v>1803</v>
      </c>
      <c r="K359" s="591">
        <v>1</v>
      </c>
      <c r="L359" s="590">
        <v>195000000</v>
      </c>
      <c r="M359" s="1214">
        <v>1</v>
      </c>
      <c r="N359" s="1268">
        <v>191855000</v>
      </c>
      <c r="O359" s="590"/>
      <c r="P359" s="590">
        <v>0</v>
      </c>
      <c r="Q359" s="1195"/>
      <c r="R359" s="590"/>
      <c r="S359" s="1195"/>
      <c r="T359" s="1202"/>
      <c r="U359" s="1195"/>
      <c r="V359" s="1202"/>
      <c r="W359" s="1214"/>
      <c r="X359" s="1221"/>
      <c r="Y359" s="1214">
        <f t="shared" si="90"/>
        <v>0</v>
      </c>
      <c r="Z359" s="1215">
        <f t="shared" si="90"/>
        <v>0</v>
      </c>
      <c r="AA359" s="1195">
        <f t="shared" si="86"/>
        <v>1</v>
      </c>
      <c r="AB359" s="1196">
        <f t="shared" si="86"/>
        <v>191855000</v>
      </c>
      <c r="AC359" s="1214">
        <f t="shared" si="88"/>
        <v>1</v>
      </c>
      <c r="AD359" s="1216">
        <f t="shared" si="87"/>
        <v>0.98387179487179488</v>
      </c>
      <c r="AE359" s="383"/>
    </row>
    <row r="360" spans="1:31" s="498" customFormat="1" ht="43.5" customHeight="1">
      <c r="A360" s="383"/>
      <c r="B360" s="383"/>
      <c r="C360" s="623" t="s">
        <v>66</v>
      </c>
      <c r="D360" s="623" t="s">
        <v>196</v>
      </c>
      <c r="E360" s="623" t="s">
        <v>66</v>
      </c>
      <c r="F360" s="383">
        <v>43</v>
      </c>
      <c r="G360" s="1237">
        <v>87</v>
      </c>
      <c r="H360" s="1237"/>
      <c r="I360" s="1222" t="s">
        <v>1844</v>
      </c>
      <c r="J360" s="384" t="s">
        <v>1803</v>
      </c>
      <c r="K360" s="591">
        <v>1</v>
      </c>
      <c r="L360" s="590">
        <v>150000000</v>
      </c>
      <c r="M360" s="1214">
        <v>1</v>
      </c>
      <c r="N360" s="1268">
        <v>148031000</v>
      </c>
      <c r="O360" s="590"/>
      <c r="P360" s="590">
        <v>0</v>
      </c>
      <c r="Q360" s="1195"/>
      <c r="R360" s="590"/>
      <c r="S360" s="1195"/>
      <c r="T360" s="1202"/>
      <c r="U360" s="1195"/>
      <c r="V360" s="1202"/>
      <c r="W360" s="1214"/>
      <c r="X360" s="1221"/>
      <c r="Y360" s="1214">
        <f t="shared" si="90"/>
        <v>0</v>
      </c>
      <c r="Z360" s="1215">
        <f t="shared" si="90"/>
        <v>0</v>
      </c>
      <c r="AA360" s="1195">
        <f t="shared" si="86"/>
        <v>1</v>
      </c>
      <c r="AB360" s="1196">
        <f t="shared" si="86"/>
        <v>148031000</v>
      </c>
      <c r="AC360" s="1214">
        <f t="shared" si="88"/>
        <v>1</v>
      </c>
      <c r="AD360" s="1216">
        <f t="shared" si="87"/>
        <v>0.98687333333333338</v>
      </c>
      <c r="AE360" s="383"/>
    </row>
    <row r="361" spans="1:31" s="498" customFormat="1" ht="43.5" customHeight="1">
      <c r="A361" s="383"/>
      <c r="B361" s="383"/>
      <c r="C361" s="623" t="s">
        <v>66</v>
      </c>
      <c r="D361" s="623" t="s">
        <v>196</v>
      </c>
      <c r="E361" s="623" t="s">
        <v>66</v>
      </c>
      <c r="F361" s="383">
        <v>43</v>
      </c>
      <c r="G361" s="1237">
        <v>88</v>
      </c>
      <c r="H361" s="1237"/>
      <c r="I361" s="1222" t="s">
        <v>1845</v>
      </c>
      <c r="J361" s="384" t="s">
        <v>1803</v>
      </c>
      <c r="K361" s="591">
        <v>1</v>
      </c>
      <c r="L361" s="590">
        <v>200000000</v>
      </c>
      <c r="M361" s="1214">
        <v>1</v>
      </c>
      <c r="N361" s="1268">
        <v>195823158</v>
      </c>
      <c r="O361" s="590"/>
      <c r="P361" s="590">
        <v>0</v>
      </c>
      <c r="Q361" s="1195"/>
      <c r="R361" s="590"/>
      <c r="S361" s="1195"/>
      <c r="T361" s="1202"/>
      <c r="U361" s="1195"/>
      <c r="V361" s="1202"/>
      <c r="W361" s="1214"/>
      <c r="X361" s="1221"/>
      <c r="Y361" s="1214">
        <f t="shared" si="90"/>
        <v>0</v>
      </c>
      <c r="Z361" s="1215">
        <f t="shared" si="90"/>
        <v>0</v>
      </c>
      <c r="AA361" s="1195">
        <f t="shared" si="86"/>
        <v>1</v>
      </c>
      <c r="AB361" s="1196">
        <f t="shared" si="86"/>
        <v>195823158</v>
      </c>
      <c r="AC361" s="1214">
        <f t="shared" si="88"/>
        <v>1</v>
      </c>
      <c r="AD361" s="1216">
        <f t="shared" si="87"/>
        <v>0.97911579000000004</v>
      </c>
      <c r="AE361" s="383"/>
    </row>
    <row r="362" spans="1:31" s="498" customFormat="1" ht="42" customHeight="1">
      <c r="A362" s="383"/>
      <c r="B362" s="383"/>
      <c r="C362" s="623" t="s">
        <v>66</v>
      </c>
      <c r="D362" s="623" t="s">
        <v>196</v>
      </c>
      <c r="E362" s="623" t="s">
        <v>66</v>
      </c>
      <c r="F362" s="383">
        <v>43</v>
      </c>
      <c r="G362" s="1237">
        <v>89</v>
      </c>
      <c r="H362" s="1237"/>
      <c r="I362" s="1222" t="s">
        <v>1846</v>
      </c>
      <c r="J362" s="384" t="s">
        <v>1803</v>
      </c>
      <c r="K362" s="591">
        <v>1</v>
      </c>
      <c r="L362" s="590">
        <v>200000000</v>
      </c>
      <c r="M362" s="1214">
        <v>1</v>
      </c>
      <c r="N362" s="1268">
        <v>198647000</v>
      </c>
      <c r="O362" s="590"/>
      <c r="P362" s="590">
        <v>0</v>
      </c>
      <c r="Q362" s="1195"/>
      <c r="R362" s="590"/>
      <c r="S362" s="1195"/>
      <c r="T362" s="1202"/>
      <c r="U362" s="1195"/>
      <c r="V362" s="1202"/>
      <c r="W362" s="1214"/>
      <c r="X362" s="1221"/>
      <c r="Y362" s="1214">
        <f t="shared" si="90"/>
        <v>0</v>
      </c>
      <c r="Z362" s="1215">
        <f t="shared" si="90"/>
        <v>0</v>
      </c>
      <c r="AA362" s="1195">
        <f t="shared" si="86"/>
        <v>1</v>
      </c>
      <c r="AB362" s="1196">
        <f t="shared" si="86"/>
        <v>198647000</v>
      </c>
      <c r="AC362" s="1214">
        <f t="shared" si="88"/>
        <v>1</v>
      </c>
      <c r="AD362" s="1216">
        <f t="shared" si="87"/>
        <v>0.99323499999999998</v>
      </c>
      <c r="AE362" s="383"/>
    </row>
    <row r="363" spans="1:31" s="498" customFormat="1" ht="42" customHeight="1">
      <c r="A363" s="383"/>
      <c r="B363" s="383"/>
      <c r="C363" s="623" t="s">
        <v>66</v>
      </c>
      <c r="D363" s="623" t="s">
        <v>196</v>
      </c>
      <c r="E363" s="623" t="s">
        <v>66</v>
      </c>
      <c r="F363" s="383">
        <v>43</v>
      </c>
      <c r="G363" s="1237">
        <v>90</v>
      </c>
      <c r="H363" s="1237"/>
      <c r="I363" s="1222" t="s">
        <v>1847</v>
      </c>
      <c r="J363" s="384" t="s">
        <v>1803</v>
      </c>
      <c r="K363" s="591">
        <v>1</v>
      </c>
      <c r="L363" s="590">
        <v>75000000</v>
      </c>
      <c r="M363" s="1214">
        <v>1</v>
      </c>
      <c r="N363" s="1268">
        <v>74291000</v>
      </c>
      <c r="O363" s="590"/>
      <c r="P363" s="590">
        <v>0</v>
      </c>
      <c r="Q363" s="1195"/>
      <c r="R363" s="590"/>
      <c r="S363" s="1195"/>
      <c r="T363" s="1202"/>
      <c r="U363" s="1195"/>
      <c r="V363" s="1202"/>
      <c r="W363" s="1214"/>
      <c r="X363" s="1221"/>
      <c r="Y363" s="1214">
        <v>0</v>
      </c>
      <c r="Z363" s="1215">
        <f t="shared" si="90"/>
        <v>0</v>
      </c>
      <c r="AA363" s="1195">
        <f t="shared" si="86"/>
        <v>1</v>
      </c>
      <c r="AB363" s="1196">
        <f t="shared" si="86"/>
        <v>74291000</v>
      </c>
      <c r="AC363" s="1214">
        <f t="shared" si="88"/>
        <v>1</v>
      </c>
      <c r="AD363" s="1216">
        <f t="shared" si="87"/>
        <v>0.99054666666666669</v>
      </c>
      <c r="AE363" s="383"/>
    </row>
    <row r="364" spans="1:31" s="498" customFormat="1" ht="42" customHeight="1">
      <c r="A364" s="383"/>
      <c r="B364" s="383"/>
      <c r="C364" s="623" t="s">
        <v>66</v>
      </c>
      <c r="D364" s="623" t="s">
        <v>196</v>
      </c>
      <c r="E364" s="623" t="s">
        <v>66</v>
      </c>
      <c r="F364" s="383">
        <v>43</v>
      </c>
      <c r="G364" s="1237">
        <v>91</v>
      </c>
      <c r="H364" s="1237"/>
      <c r="I364" s="1222" t="s">
        <v>1848</v>
      </c>
      <c r="J364" s="384" t="s">
        <v>1803</v>
      </c>
      <c r="K364" s="591">
        <v>1</v>
      </c>
      <c r="L364" s="590">
        <v>195000000</v>
      </c>
      <c r="M364" s="1214">
        <v>1</v>
      </c>
      <c r="N364" s="1268">
        <v>190059800</v>
      </c>
      <c r="O364" s="590"/>
      <c r="P364" s="590">
        <v>0</v>
      </c>
      <c r="Q364" s="1195"/>
      <c r="R364" s="590"/>
      <c r="S364" s="1195"/>
      <c r="T364" s="1202"/>
      <c r="U364" s="1195"/>
      <c r="V364" s="1202"/>
      <c r="W364" s="1214"/>
      <c r="X364" s="1221"/>
      <c r="Y364" s="1214">
        <f t="shared" si="90"/>
        <v>0</v>
      </c>
      <c r="Z364" s="1215">
        <f t="shared" si="90"/>
        <v>0</v>
      </c>
      <c r="AA364" s="1195">
        <f t="shared" si="86"/>
        <v>1</v>
      </c>
      <c r="AB364" s="1196">
        <f t="shared" si="86"/>
        <v>190059800</v>
      </c>
      <c r="AC364" s="1214">
        <f t="shared" si="88"/>
        <v>1</v>
      </c>
      <c r="AD364" s="1216">
        <f t="shared" si="87"/>
        <v>0.97466564102564102</v>
      </c>
      <c r="AE364" s="383"/>
    </row>
    <row r="365" spans="1:31" s="498" customFormat="1" ht="42" customHeight="1">
      <c r="A365" s="383"/>
      <c r="B365" s="383"/>
      <c r="C365" s="623" t="s">
        <v>66</v>
      </c>
      <c r="D365" s="623" t="s">
        <v>196</v>
      </c>
      <c r="E365" s="623" t="s">
        <v>66</v>
      </c>
      <c r="F365" s="383">
        <v>43</v>
      </c>
      <c r="G365" s="1237">
        <v>92</v>
      </c>
      <c r="H365" s="1237"/>
      <c r="I365" s="1222" t="s">
        <v>1849</v>
      </c>
      <c r="J365" s="384" t="s">
        <v>1803</v>
      </c>
      <c r="K365" s="591">
        <v>1</v>
      </c>
      <c r="L365" s="590">
        <v>175000000</v>
      </c>
      <c r="M365" s="1214">
        <v>1</v>
      </c>
      <c r="N365" s="1268">
        <v>170993000</v>
      </c>
      <c r="O365" s="590"/>
      <c r="P365" s="590">
        <v>0</v>
      </c>
      <c r="Q365" s="1195"/>
      <c r="R365" s="590"/>
      <c r="S365" s="1195"/>
      <c r="T365" s="1202"/>
      <c r="U365" s="1195"/>
      <c r="V365" s="1202"/>
      <c r="W365" s="1214"/>
      <c r="X365" s="1221"/>
      <c r="Y365" s="1214">
        <f t="shared" si="90"/>
        <v>0</v>
      </c>
      <c r="Z365" s="1215">
        <f t="shared" si="90"/>
        <v>0</v>
      </c>
      <c r="AA365" s="1195">
        <f t="shared" si="86"/>
        <v>1</v>
      </c>
      <c r="AB365" s="1196">
        <f t="shared" si="86"/>
        <v>170993000</v>
      </c>
      <c r="AC365" s="1214">
        <f t="shared" si="88"/>
        <v>1</v>
      </c>
      <c r="AD365" s="1216">
        <f t="shared" si="87"/>
        <v>0.97710285714285716</v>
      </c>
      <c r="AE365" s="383"/>
    </row>
    <row r="366" spans="1:31" s="498" customFormat="1" ht="42" customHeight="1">
      <c r="A366" s="383"/>
      <c r="B366" s="383"/>
      <c r="C366" s="623" t="s">
        <v>66</v>
      </c>
      <c r="D366" s="623" t="s">
        <v>196</v>
      </c>
      <c r="E366" s="623" t="s">
        <v>66</v>
      </c>
      <c r="F366" s="383">
        <v>43</v>
      </c>
      <c r="G366" s="1237">
        <v>93</v>
      </c>
      <c r="H366" s="1237"/>
      <c r="I366" s="1222" t="s">
        <v>1850</v>
      </c>
      <c r="J366" s="384" t="s">
        <v>1803</v>
      </c>
      <c r="K366" s="591">
        <v>1</v>
      </c>
      <c r="L366" s="590">
        <v>175000000</v>
      </c>
      <c r="M366" s="1214">
        <v>1</v>
      </c>
      <c r="N366" s="1268">
        <v>173153000</v>
      </c>
      <c r="O366" s="590"/>
      <c r="P366" s="590">
        <v>0</v>
      </c>
      <c r="Q366" s="1195"/>
      <c r="R366" s="590"/>
      <c r="S366" s="1195"/>
      <c r="T366" s="1202"/>
      <c r="U366" s="1195"/>
      <c r="V366" s="1202"/>
      <c r="W366" s="1214"/>
      <c r="X366" s="1221"/>
      <c r="Y366" s="1214">
        <f t="shared" si="90"/>
        <v>0</v>
      </c>
      <c r="Z366" s="1215">
        <f t="shared" si="90"/>
        <v>0</v>
      </c>
      <c r="AA366" s="1195">
        <f t="shared" si="86"/>
        <v>1</v>
      </c>
      <c r="AB366" s="1196">
        <f t="shared" si="86"/>
        <v>173153000</v>
      </c>
      <c r="AC366" s="1214">
        <f t="shared" si="88"/>
        <v>1</v>
      </c>
      <c r="AD366" s="1216">
        <f t="shared" si="87"/>
        <v>0.98944571428571426</v>
      </c>
      <c r="AE366" s="383"/>
    </row>
    <row r="367" spans="1:31" s="498" customFormat="1" ht="42" customHeight="1">
      <c r="A367" s="383"/>
      <c r="B367" s="383"/>
      <c r="C367" s="623" t="s">
        <v>66</v>
      </c>
      <c r="D367" s="623" t="s">
        <v>196</v>
      </c>
      <c r="E367" s="623" t="s">
        <v>66</v>
      </c>
      <c r="F367" s="383">
        <v>43</v>
      </c>
      <c r="G367" s="1237">
        <v>94</v>
      </c>
      <c r="H367" s="1237"/>
      <c r="I367" s="1222" t="s">
        <v>1851</v>
      </c>
      <c r="J367" s="384" t="s">
        <v>1803</v>
      </c>
      <c r="K367" s="591">
        <v>1</v>
      </c>
      <c r="L367" s="590">
        <v>175000000</v>
      </c>
      <c r="M367" s="1214">
        <v>1</v>
      </c>
      <c r="N367" s="1268">
        <v>174427000</v>
      </c>
      <c r="O367" s="590"/>
      <c r="P367" s="590">
        <v>0</v>
      </c>
      <c r="Q367" s="1195"/>
      <c r="R367" s="590"/>
      <c r="S367" s="1195"/>
      <c r="T367" s="1202"/>
      <c r="U367" s="1195"/>
      <c r="V367" s="1202"/>
      <c r="W367" s="1214"/>
      <c r="X367" s="1221"/>
      <c r="Y367" s="1214">
        <v>0</v>
      </c>
      <c r="Z367" s="1215">
        <f t="shared" si="90"/>
        <v>0</v>
      </c>
      <c r="AA367" s="1195">
        <f t="shared" si="86"/>
        <v>1</v>
      </c>
      <c r="AB367" s="1196">
        <f t="shared" si="86"/>
        <v>174427000</v>
      </c>
      <c r="AC367" s="1214">
        <f t="shared" si="88"/>
        <v>1</v>
      </c>
      <c r="AD367" s="1216">
        <f t="shared" si="87"/>
        <v>0.99672571428571433</v>
      </c>
      <c r="AE367" s="383"/>
    </row>
    <row r="368" spans="1:31" s="498" customFormat="1" ht="42" customHeight="1">
      <c r="A368" s="383"/>
      <c r="B368" s="383"/>
      <c r="C368" s="623" t="s">
        <v>66</v>
      </c>
      <c r="D368" s="623" t="s">
        <v>196</v>
      </c>
      <c r="E368" s="623" t="s">
        <v>66</v>
      </c>
      <c r="F368" s="383">
        <v>43</v>
      </c>
      <c r="G368" s="1237">
        <v>95</v>
      </c>
      <c r="H368" s="1237"/>
      <c r="I368" s="1222" t="s">
        <v>1852</v>
      </c>
      <c r="J368" s="384" t="s">
        <v>1803</v>
      </c>
      <c r="K368" s="591">
        <v>1</v>
      </c>
      <c r="L368" s="590">
        <v>150000000</v>
      </c>
      <c r="M368" s="1214">
        <v>1</v>
      </c>
      <c r="N368" s="1268">
        <v>148034000</v>
      </c>
      <c r="O368" s="590"/>
      <c r="P368" s="590">
        <v>0</v>
      </c>
      <c r="Q368" s="1195"/>
      <c r="R368" s="590"/>
      <c r="S368" s="1195"/>
      <c r="T368" s="1202"/>
      <c r="U368" s="1195"/>
      <c r="V368" s="1202"/>
      <c r="W368" s="1214"/>
      <c r="X368" s="1221"/>
      <c r="Y368" s="1214">
        <f t="shared" si="90"/>
        <v>0</v>
      </c>
      <c r="Z368" s="1215">
        <f t="shared" si="90"/>
        <v>0</v>
      </c>
      <c r="AA368" s="1195">
        <f t="shared" si="86"/>
        <v>1</v>
      </c>
      <c r="AB368" s="1196">
        <f t="shared" si="86"/>
        <v>148034000</v>
      </c>
      <c r="AC368" s="1214">
        <f t="shared" si="88"/>
        <v>1</v>
      </c>
      <c r="AD368" s="1216">
        <f t="shared" si="87"/>
        <v>0.98689333333333329</v>
      </c>
      <c r="AE368" s="383"/>
    </row>
    <row r="369" spans="1:32" s="498" customFormat="1" ht="42" customHeight="1">
      <c r="A369" s="383"/>
      <c r="B369" s="383"/>
      <c r="C369" s="623" t="s">
        <v>66</v>
      </c>
      <c r="D369" s="623" t="s">
        <v>196</v>
      </c>
      <c r="E369" s="623" t="s">
        <v>66</v>
      </c>
      <c r="F369" s="383">
        <v>43</v>
      </c>
      <c r="G369" s="1237">
        <v>96</v>
      </c>
      <c r="H369" s="1237"/>
      <c r="I369" s="1222" t="s">
        <v>1853</v>
      </c>
      <c r="J369" s="384" t="s">
        <v>1803</v>
      </c>
      <c r="K369" s="591">
        <v>1</v>
      </c>
      <c r="L369" s="590">
        <v>100000000</v>
      </c>
      <c r="M369" s="1214">
        <v>1</v>
      </c>
      <c r="N369" s="1268">
        <v>98934000</v>
      </c>
      <c r="O369" s="590"/>
      <c r="P369" s="590">
        <v>0</v>
      </c>
      <c r="Q369" s="1195"/>
      <c r="R369" s="590"/>
      <c r="S369" s="1195"/>
      <c r="T369" s="1202"/>
      <c r="U369" s="1195"/>
      <c r="V369" s="1202"/>
      <c r="W369" s="1214"/>
      <c r="X369" s="1221"/>
      <c r="Y369" s="1214">
        <f t="shared" si="90"/>
        <v>0</v>
      </c>
      <c r="Z369" s="1215">
        <f t="shared" si="90"/>
        <v>0</v>
      </c>
      <c r="AA369" s="1195">
        <f t="shared" si="86"/>
        <v>1</v>
      </c>
      <c r="AB369" s="1196">
        <f t="shared" si="86"/>
        <v>98934000</v>
      </c>
      <c r="AC369" s="1214">
        <f t="shared" si="88"/>
        <v>1</v>
      </c>
      <c r="AD369" s="1216">
        <f t="shared" si="87"/>
        <v>0.98934</v>
      </c>
      <c r="AE369" s="383"/>
    </row>
    <row r="370" spans="1:32" s="498" customFormat="1" ht="42" customHeight="1">
      <c r="A370" s="383"/>
      <c r="B370" s="383"/>
      <c r="C370" s="623" t="s">
        <v>66</v>
      </c>
      <c r="D370" s="623" t="s">
        <v>196</v>
      </c>
      <c r="E370" s="623" t="s">
        <v>66</v>
      </c>
      <c r="F370" s="383">
        <v>43</v>
      </c>
      <c r="G370" s="1237">
        <v>97</v>
      </c>
      <c r="H370" s="1237"/>
      <c r="I370" s="1222" t="s">
        <v>1854</v>
      </c>
      <c r="J370" s="384" t="s">
        <v>1803</v>
      </c>
      <c r="K370" s="591">
        <v>1</v>
      </c>
      <c r="L370" s="590">
        <v>100000000</v>
      </c>
      <c r="M370" s="1214">
        <v>1</v>
      </c>
      <c r="N370" s="1268">
        <v>97172000</v>
      </c>
      <c r="O370" s="590"/>
      <c r="P370" s="590">
        <v>0</v>
      </c>
      <c r="Q370" s="1195"/>
      <c r="R370" s="590"/>
      <c r="S370" s="1195"/>
      <c r="T370" s="1202"/>
      <c r="U370" s="1195"/>
      <c r="V370" s="1202"/>
      <c r="W370" s="1214"/>
      <c r="X370" s="1221"/>
      <c r="Y370" s="1214">
        <f t="shared" si="90"/>
        <v>0</v>
      </c>
      <c r="Z370" s="1215">
        <f t="shared" si="90"/>
        <v>0</v>
      </c>
      <c r="AA370" s="1195">
        <f t="shared" si="86"/>
        <v>1</v>
      </c>
      <c r="AB370" s="1196">
        <f t="shared" si="86"/>
        <v>97172000</v>
      </c>
      <c r="AC370" s="1214">
        <f t="shared" si="88"/>
        <v>1</v>
      </c>
      <c r="AD370" s="1216">
        <f t="shared" si="87"/>
        <v>0.97172000000000003</v>
      </c>
      <c r="AE370" s="383"/>
    </row>
    <row r="371" spans="1:32" s="498" customFormat="1" ht="92.25" customHeight="1">
      <c r="A371" s="383"/>
      <c r="B371" s="383"/>
      <c r="C371" s="623" t="s">
        <v>66</v>
      </c>
      <c r="D371" s="623" t="s">
        <v>196</v>
      </c>
      <c r="E371" s="623" t="s">
        <v>66</v>
      </c>
      <c r="F371" s="383">
        <v>43</v>
      </c>
      <c r="G371" s="1237">
        <v>98</v>
      </c>
      <c r="H371" s="1237"/>
      <c r="I371" s="1222" t="s">
        <v>1855</v>
      </c>
      <c r="J371" s="384" t="s">
        <v>1803</v>
      </c>
      <c r="K371" s="591">
        <v>1</v>
      </c>
      <c r="L371" s="590">
        <v>100000000</v>
      </c>
      <c r="M371" s="1214">
        <v>1</v>
      </c>
      <c r="N371" s="1268">
        <v>97099000</v>
      </c>
      <c r="O371" s="590"/>
      <c r="P371" s="590">
        <v>0</v>
      </c>
      <c r="Q371" s="1195"/>
      <c r="R371" s="590"/>
      <c r="S371" s="1195"/>
      <c r="T371" s="1202"/>
      <c r="U371" s="1195"/>
      <c r="V371" s="1202"/>
      <c r="W371" s="1214"/>
      <c r="X371" s="1221"/>
      <c r="Y371" s="1214">
        <f t="shared" si="90"/>
        <v>0</v>
      </c>
      <c r="Z371" s="1215">
        <f t="shared" si="90"/>
        <v>0</v>
      </c>
      <c r="AA371" s="1214">
        <f t="shared" si="86"/>
        <v>1</v>
      </c>
      <c r="AB371" s="1215">
        <f t="shared" si="86"/>
        <v>97099000</v>
      </c>
      <c r="AC371" s="1214">
        <f t="shared" si="88"/>
        <v>1</v>
      </c>
      <c r="AD371" s="1216">
        <f t="shared" si="87"/>
        <v>0.97099000000000002</v>
      </c>
      <c r="AE371" s="383"/>
    </row>
    <row r="372" spans="1:32" s="494" customFormat="1" ht="27.75" customHeight="1">
      <c r="A372" s="4335" t="s">
        <v>89</v>
      </c>
      <c r="B372" s="4335"/>
      <c r="C372" s="4335"/>
      <c r="D372" s="4335"/>
      <c r="E372" s="4335"/>
      <c r="F372" s="4335"/>
      <c r="G372" s="4335"/>
      <c r="H372" s="4335"/>
      <c r="I372" s="4335"/>
      <c r="J372" s="4335"/>
      <c r="K372" s="4335"/>
      <c r="L372" s="4335"/>
      <c r="M372" s="4335"/>
      <c r="N372" s="4335"/>
      <c r="O372" s="4335"/>
      <c r="P372" s="4335"/>
      <c r="Q372" s="4335"/>
      <c r="R372" s="4335"/>
      <c r="S372" s="4335"/>
      <c r="T372" s="4335"/>
      <c r="U372" s="4335"/>
      <c r="V372" s="4335"/>
      <c r="W372" s="4335"/>
      <c r="X372" s="4335"/>
      <c r="Y372" s="4335"/>
      <c r="Z372" s="4335"/>
      <c r="AA372" s="4335"/>
      <c r="AB372" s="4335"/>
      <c r="AC372" s="1195">
        <f>AVERAGE(AC327:AC371)</f>
        <v>0.8932000000000001</v>
      </c>
      <c r="AD372" s="1195">
        <f>AD326</f>
        <v>1.0655160406799249</v>
      </c>
      <c r="AE372" s="384"/>
    </row>
    <row r="373" spans="1:32" s="494" customFormat="1">
      <c r="A373" s="4361" t="s">
        <v>1679</v>
      </c>
      <c r="B373" s="4362"/>
      <c r="C373" s="4362"/>
      <c r="D373" s="4362"/>
      <c r="E373" s="4362"/>
      <c r="F373" s="4362"/>
      <c r="G373" s="4362"/>
      <c r="H373" s="4362"/>
      <c r="I373" s="4362"/>
      <c r="J373" s="4362"/>
      <c r="K373" s="4362"/>
      <c r="L373" s="4362"/>
      <c r="M373" s="4362"/>
      <c r="N373" s="4362"/>
      <c r="O373" s="4362"/>
      <c r="P373" s="4362"/>
      <c r="Q373" s="4362"/>
      <c r="R373" s="4362"/>
      <c r="S373" s="4362"/>
      <c r="T373" s="4362"/>
      <c r="U373" s="4362"/>
      <c r="V373" s="4362"/>
      <c r="W373" s="4362"/>
      <c r="X373" s="4362"/>
      <c r="Y373" s="4362"/>
      <c r="Z373" s="4362"/>
      <c r="AA373" s="4362"/>
      <c r="AB373" s="4363"/>
      <c r="AC373" s="384"/>
      <c r="AD373" s="384"/>
      <c r="AE373" s="384"/>
    </row>
    <row r="374" spans="1:32" s="498" customFormat="1" ht="52.5" customHeight="1">
      <c r="A374" s="753">
        <v>13</v>
      </c>
      <c r="B374" s="383" t="s">
        <v>1856</v>
      </c>
      <c r="C374" s="623" t="s">
        <v>66</v>
      </c>
      <c r="D374" s="623" t="s">
        <v>196</v>
      </c>
      <c r="E374" s="623" t="s">
        <v>66</v>
      </c>
      <c r="F374" s="383">
        <v>36</v>
      </c>
      <c r="G374" s="383"/>
      <c r="H374" s="383"/>
      <c r="I374" s="1261" t="s">
        <v>1857</v>
      </c>
      <c r="J374" s="1261" t="s">
        <v>1858</v>
      </c>
      <c r="K374" s="1219">
        <v>1</v>
      </c>
      <c r="L374" s="1221">
        <f>SUM(L375:L376)</f>
        <v>479074142</v>
      </c>
      <c r="M374" s="1214">
        <v>1</v>
      </c>
      <c r="N374" s="1221">
        <f>SUM(N375:N376)</f>
        <v>453122600</v>
      </c>
      <c r="O374" s="1219">
        <v>1</v>
      </c>
      <c r="P374" s="1210">
        <f>SUM(P375:P378)</f>
        <v>895466687</v>
      </c>
      <c r="Q374" s="1214">
        <f>SUM(Q377:Q378)/2</f>
        <v>0.2</v>
      </c>
      <c r="R374" s="1221">
        <f>SUM(R375:R378)</f>
        <v>20056000</v>
      </c>
      <c r="S374" s="1214"/>
      <c r="T374" s="1221"/>
      <c r="U374" s="1214"/>
      <c r="V374" s="1221"/>
      <c r="W374" s="1214"/>
      <c r="X374" s="1221"/>
      <c r="Y374" s="1214">
        <f t="shared" ref="Y374:Z378" si="91">Q374+S374+U374+W374</f>
        <v>0.2</v>
      </c>
      <c r="Z374" s="1215">
        <f t="shared" si="91"/>
        <v>20056000</v>
      </c>
      <c r="AA374" s="1214">
        <f t="shared" si="86"/>
        <v>1.2</v>
      </c>
      <c r="AB374" s="1215">
        <f t="shared" si="86"/>
        <v>473178600</v>
      </c>
      <c r="AC374" s="1214">
        <f t="shared" ref="AC374:AD378" si="92">AA374/K374*100%</f>
        <v>1.2</v>
      </c>
      <c r="AD374" s="1216">
        <f t="shared" si="92"/>
        <v>0.9876938839249646</v>
      </c>
      <c r="AE374" s="634"/>
      <c r="AF374" s="656"/>
    </row>
    <row r="375" spans="1:32" s="498" customFormat="1" ht="27.75" customHeight="1">
      <c r="A375" s="383"/>
      <c r="B375" s="383"/>
      <c r="C375" s="623" t="s">
        <v>66</v>
      </c>
      <c r="D375" s="623" t="s">
        <v>196</v>
      </c>
      <c r="E375" s="623" t="s">
        <v>66</v>
      </c>
      <c r="F375" s="383">
        <v>47</v>
      </c>
      <c r="G375" s="383">
        <v>37</v>
      </c>
      <c r="H375" s="383"/>
      <c r="I375" s="1264" t="s">
        <v>1859</v>
      </c>
      <c r="J375" s="384" t="s">
        <v>1860</v>
      </c>
      <c r="K375" s="1219">
        <v>1</v>
      </c>
      <c r="L375" s="1202">
        <v>364780500</v>
      </c>
      <c r="M375" s="1214">
        <v>1</v>
      </c>
      <c r="N375" s="1202">
        <v>364569400</v>
      </c>
      <c r="O375" s="591"/>
      <c r="P375" s="1202"/>
      <c r="Q375" s="1195"/>
      <c r="R375" s="1202"/>
      <c r="S375" s="1195"/>
      <c r="T375" s="1202"/>
      <c r="U375" s="1193"/>
      <c r="V375" s="629"/>
      <c r="W375" s="1193"/>
      <c r="X375" s="629"/>
      <c r="Y375" s="1195">
        <f t="shared" si="91"/>
        <v>0</v>
      </c>
      <c r="Z375" s="1196">
        <f t="shared" si="91"/>
        <v>0</v>
      </c>
      <c r="AA375" s="1214">
        <f t="shared" si="86"/>
        <v>1</v>
      </c>
      <c r="AB375" s="1215">
        <f t="shared" si="86"/>
        <v>364569400</v>
      </c>
      <c r="AC375" s="1214">
        <f t="shared" si="92"/>
        <v>1</v>
      </c>
      <c r="AD375" s="1216">
        <f t="shared" si="92"/>
        <v>0.99942129582036321</v>
      </c>
      <c r="AE375" s="383"/>
    </row>
    <row r="376" spans="1:32" s="494" customFormat="1" ht="25.5">
      <c r="A376" s="384"/>
      <c r="B376" s="384"/>
      <c r="C376" s="623" t="s">
        <v>66</v>
      </c>
      <c r="D376" s="623" t="s">
        <v>196</v>
      </c>
      <c r="E376" s="623" t="s">
        <v>66</v>
      </c>
      <c r="F376" s="384">
        <v>47</v>
      </c>
      <c r="G376" s="384">
        <v>38</v>
      </c>
      <c r="H376" s="384"/>
      <c r="I376" s="1263" t="s">
        <v>1861</v>
      </c>
      <c r="J376" s="384"/>
      <c r="K376" s="1219">
        <v>1</v>
      </c>
      <c r="L376" s="1202">
        <v>114293642</v>
      </c>
      <c r="M376" s="1214">
        <v>1</v>
      </c>
      <c r="N376" s="1202">
        <v>88553200</v>
      </c>
      <c r="O376" s="591"/>
      <c r="P376" s="1202"/>
      <c r="Q376" s="1195"/>
      <c r="R376" s="1202"/>
      <c r="S376" s="1195"/>
      <c r="T376" s="1202"/>
      <c r="U376" s="1193"/>
      <c r="V376" s="629"/>
      <c r="W376" s="1193"/>
      <c r="X376" s="629"/>
      <c r="Y376" s="1195">
        <f t="shared" si="91"/>
        <v>0</v>
      </c>
      <c r="Z376" s="1196">
        <f t="shared" si="91"/>
        <v>0</v>
      </c>
      <c r="AA376" s="1214">
        <f t="shared" si="86"/>
        <v>1</v>
      </c>
      <c r="AB376" s="1215">
        <f t="shared" si="86"/>
        <v>88553200</v>
      </c>
      <c r="AC376" s="1214">
        <f t="shared" si="92"/>
        <v>1</v>
      </c>
      <c r="AD376" s="1216">
        <f t="shared" si="92"/>
        <v>0.7747867549797739</v>
      </c>
      <c r="AE376" s="384"/>
    </row>
    <row r="377" spans="1:32" s="498" customFormat="1" ht="42" customHeight="1">
      <c r="A377" s="383"/>
      <c r="B377" s="383"/>
      <c r="C377" s="623" t="s">
        <v>66</v>
      </c>
      <c r="D377" s="623" t="s">
        <v>196</v>
      </c>
      <c r="E377" s="623" t="s">
        <v>66</v>
      </c>
      <c r="F377" s="383">
        <v>36</v>
      </c>
      <c r="G377" s="1236" t="s">
        <v>65</v>
      </c>
      <c r="H377" s="1236"/>
      <c r="I377" s="1263" t="s">
        <v>1862</v>
      </c>
      <c r="J377" s="384" t="s">
        <v>1863</v>
      </c>
      <c r="K377" s="1219">
        <v>1</v>
      </c>
      <c r="L377" s="1202">
        <v>364780500</v>
      </c>
      <c r="M377" s="1214">
        <v>1</v>
      </c>
      <c r="N377" s="1202">
        <v>800000000</v>
      </c>
      <c r="O377" s="591">
        <v>1</v>
      </c>
      <c r="P377" s="1202">
        <v>790846771</v>
      </c>
      <c r="Q377" s="1195">
        <v>0.15</v>
      </c>
      <c r="R377" s="1202"/>
      <c r="S377" s="1195"/>
      <c r="T377" s="1202"/>
      <c r="U377" s="1193"/>
      <c r="V377" s="629"/>
      <c r="W377" s="1193"/>
      <c r="X377" s="629"/>
      <c r="Y377" s="1195">
        <f t="shared" si="91"/>
        <v>0.15</v>
      </c>
      <c r="Z377" s="1196">
        <f t="shared" si="91"/>
        <v>0</v>
      </c>
      <c r="AA377" s="1214">
        <f t="shared" si="86"/>
        <v>1.1499999999999999</v>
      </c>
      <c r="AB377" s="1215">
        <f t="shared" si="86"/>
        <v>800000000</v>
      </c>
      <c r="AC377" s="1214">
        <f t="shared" si="92"/>
        <v>1.1499999999999999</v>
      </c>
      <c r="AD377" s="1216">
        <f t="shared" si="92"/>
        <v>2.1930996859755387</v>
      </c>
      <c r="AE377" s="383"/>
    </row>
    <row r="378" spans="1:32" s="494" customFormat="1">
      <c r="A378" s="384"/>
      <c r="B378" s="384"/>
      <c r="C378" s="623" t="s">
        <v>66</v>
      </c>
      <c r="D378" s="623" t="s">
        <v>196</v>
      </c>
      <c r="E378" s="623" t="s">
        <v>66</v>
      </c>
      <c r="F378" s="383">
        <v>36</v>
      </c>
      <c r="G378" s="1236" t="s">
        <v>197</v>
      </c>
      <c r="H378" s="1236"/>
      <c r="I378" s="1263" t="s">
        <v>1864</v>
      </c>
      <c r="J378" s="384"/>
      <c r="K378" s="1219">
        <v>1</v>
      </c>
      <c r="L378" s="1202">
        <v>114293642</v>
      </c>
      <c r="M378" s="1214">
        <v>1</v>
      </c>
      <c r="N378" s="1202">
        <v>150000000</v>
      </c>
      <c r="O378" s="591">
        <v>1</v>
      </c>
      <c r="P378" s="1202">
        <v>104619916</v>
      </c>
      <c r="Q378" s="1195">
        <v>0.25</v>
      </c>
      <c r="R378" s="1202">
        <v>20056000</v>
      </c>
      <c r="S378" s="1195"/>
      <c r="T378" s="1202"/>
      <c r="U378" s="1193"/>
      <c r="V378" s="629"/>
      <c r="W378" s="1193"/>
      <c r="X378" s="629"/>
      <c r="Y378" s="1195">
        <f t="shared" si="91"/>
        <v>0.25</v>
      </c>
      <c r="Z378" s="1196">
        <f t="shared" si="91"/>
        <v>20056000</v>
      </c>
      <c r="AA378" s="1214">
        <f t="shared" si="86"/>
        <v>1.25</v>
      </c>
      <c r="AB378" s="1215">
        <f t="shared" si="86"/>
        <v>170056000</v>
      </c>
      <c r="AC378" s="1214">
        <f t="shared" si="92"/>
        <v>1.25</v>
      </c>
      <c r="AD378" s="1216">
        <f t="shared" si="92"/>
        <v>1.4878867890131631</v>
      </c>
      <c r="AE378" s="384"/>
    </row>
    <row r="379" spans="1:32" s="494" customFormat="1" ht="27.75" customHeight="1">
      <c r="A379" s="4335" t="s">
        <v>89</v>
      </c>
      <c r="B379" s="4335"/>
      <c r="C379" s="4335"/>
      <c r="D379" s="4335"/>
      <c r="E379" s="4335"/>
      <c r="F379" s="4335"/>
      <c r="G379" s="4335"/>
      <c r="H379" s="4335"/>
      <c r="I379" s="4335"/>
      <c r="J379" s="4335"/>
      <c r="K379" s="4335"/>
      <c r="L379" s="4335"/>
      <c r="M379" s="4335"/>
      <c r="N379" s="4335"/>
      <c r="O379" s="4335"/>
      <c r="P379" s="4335"/>
      <c r="Q379" s="4335"/>
      <c r="R379" s="4335"/>
      <c r="S379" s="4335"/>
      <c r="T379" s="4335"/>
      <c r="U379" s="4335"/>
      <c r="V379" s="4335"/>
      <c r="W379" s="4335"/>
      <c r="X379" s="4335"/>
      <c r="Y379" s="4335"/>
      <c r="Z379" s="4335"/>
      <c r="AA379" s="4335"/>
      <c r="AB379" s="4335"/>
      <c r="AC379" s="1195">
        <f>AVERAGE(AC375:AC378)</f>
        <v>1.1000000000000001</v>
      </c>
      <c r="AD379" s="1195">
        <f>AD374</f>
        <v>0.9876938839249646</v>
      </c>
      <c r="AE379" s="384"/>
    </row>
    <row r="380" spans="1:32" s="494" customFormat="1">
      <c r="A380" s="4335" t="s">
        <v>1679</v>
      </c>
      <c r="B380" s="4335"/>
      <c r="C380" s="4335"/>
      <c r="D380" s="4335"/>
      <c r="E380" s="4335"/>
      <c r="F380" s="4335"/>
      <c r="G380" s="4335"/>
      <c r="H380" s="4335"/>
      <c r="I380" s="4335"/>
      <c r="J380" s="4335"/>
      <c r="K380" s="4335"/>
      <c r="L380" s="4335"/>
      <c r="M380" s="4335"/>
      <c r="N380" s="4335"/>
      <c r="O380" s="4335"/>
      <c r="P380" s="4335"/>
      <c r="Q380" s="4335"/>
      <c r="R380" s="4335"/>
      <c r="S380" s="4335"/>
      <c r="T380" s="4335"/>
      <c r="U380" s="4335"/>
      <c r="V380" s="4335"/>
      <c r="W380" s="4335"/>
      <c r="X380" s="4335"/>
      <c r="Y380" s="4335"/>
      <c r="Z380" s="4335"/>
      <c r="AA380" s="4335"/>
      <c r="AB380" s="4335"/>
      <c r="AC380" s="384"/>
      <c r="AD380" s="384"/>
      <c r="AE380" s="384"/>
    </row>
    <row r="381" spans="1:32" s="494" customFormat="1">
      <c r="A381" s="384"/>
      <c r="B381" s="384"/>
      <c r="C381" s="384"/>
      <c r="D381" s="384"/>
      <c r="E381" s="384"/>
      <c r="F381" s="384"/>
      <c r="G381" s="384"/>
      <c r="H381" s="384"/>
      <c r="I381" s="1263"/>
      <c r="J381" s="384"/>
      <c r="K381" s="384"/>
      <c r="L381" s="384"/>
      <c r="M381" s="1214"/>
      <c r="N381" s="384"/>
      <c r="O381" s="591"/>
      <c r="P381" s="1202"/>
      <c r="Q381" s="1195"/>
      <c r="R381" s="1202"/>
      <c r="S381" s="1195"/>
      <c r="T381" s="1202"/>
      <c r="U381" s="1193"/>
      <c r="V381" s="629"/>
      <c r="W381" s="1193"/>
      <c r="X381" s="629"/>
      <c r="Y381" s="1195"/>
      <c r="Z381" s="1196"/>
      <c r="AA381" s="1214"/>
      <c r="AB381" s="1194"/>
      <c r="AC381" s="384"/>
      <c r="AD381" s="384"/>
      <c r="AE381" s="384"/>
    </row>
    <row r="382" spans="1:32" s="498" customFormat="1" ht="54" customHeight="1">
      <c r="A382" s="753">
        <v>14</v>
      </c>
      <c r="B382" s="383"/>
      <c r="C382" s="623" t="s">
        <v>66</v>
      </c>
      <c r="D382" s="623" t="s">
        <v>196</v>
      </c>
      <c r="E382" s="623" t="s">
        <v>66</v>
      </c>
      <c r="F382" s="383">
        <v>44</v>
      </c>
      <c r="G382" s="383"/>
      <c r="H382" s="383"/>
      <c r="I382" s="1237" t="s">
        <v>1865</v>
      </c>
      <c r="J382" s="1237" t="s">
        <v>1866</v>
      </c>
      <c r="K382" s="383">
        <f>K383</f>
        <v>100</v>
      </c>
      <c r="L382" s="1227">
        <f>L383</f>
        <v>150000000</v>
      </c>
      <c r="M382" s="383"/>
      <c r="N382" s="1227">
        <f>N383</f>
        <v>2322960</v>
      </c>
      <c r="O382" s="591"/>
      <c r="P382" s="1202"/>
      <c r="Q382" s="1193"/>
      <c r="R382" s="629"/>
      <c r="S382" s="1193"/>
      <c r="T382" s="629"/>
      <c r="U382" s="1193"/>
      <c r="V382" s="629"/>
      <c r="W382" s="1193"/>
      <c r="X382" s="629"/>
      <c r="Y382" s="1195">
        <f>Y383</f>
        <v>0</v>
      </c>
      <c r="Z382" s="1196">
        <f>Z383</f>
        <v>0</v>
      </c>
      <c r="AA382" s="1214">
        <f t="shared" si="86"/>
        <v>0</v>
      </c>
      <c r="AB382" s="1215">
        <f t="shared" si="86"/>
        <v>2322960</v>
      </c>
      <c r="AC382" s="1214">
        <f>AA382/K382*100%</f>
        <v>0</v>
      </c>
      <c r="AD382" s="1216">
        <f>AB382/L382*100%</f>
        <v>1.5486400000000001E-2</v>
      </c>
      <c r="AE382" s="383"/>
    </row>
    <row r="383" spans="1:32" s="498" customFormat="1" ht="61.5" customHeight="1">
      <c r="A383" s="383"/>
      <c r="B383" s="383"/>
      <c r="C383" s="623" t="s">
        <v>66</v>
      </c>
      <c r="D383" s="623" t="s">
        <v>196</v>
      </c>
      <c r="E383" s="623" t="s">
        <v>66</v>
      </c>
      <c r="F383" s="383">
        <v>44</v>
      </c>
      <c r="G383" s="383">
        <v>30</v>
      </c>
      <c r="H383" s="1237"/>
      <c r="I383" s="1200" t="s">
        <v>1867</v>
      </c>
      <c r="J383" s="384" t="s">
        <v>1868</v>
      </c>
      <c r="K383" s="384">
        <v>100</v>
      </c>
      <c r="L383" s="1202">
        <v>150000000</v>
      </c>
      <c r="M383" s="383"/>
      <c r="N383" s="1202">
        <v>2322960</v>
      </c>
      <c r="O383" s="591"/>
      <c r="P383" s="1202"/>
      <c r="Q383" s="1195"/>
      <c r="R383" s="1202"/>
      <c r="S383" s="1195"/>
      <c r="T383" s="1202"/>
      <c r="U383" s="1195"/>
      <c r="V383" s="1202"/>
      <c r="W383" s="1195"/>
      <c r="X383" s="1202"/>
      <c r="Y383" s="1214">
        <f>Q383+S383+U383+W383</f>
        <v>0</v>
      </c>
      <c r="Z383" s="1215">
        <f>R383+T383+V383+X383</f>
        <v>0</v>
      </c>
      <c r="AA383" s="1214">
        <f t="shared" si="86"/>
        <v>0</v>
      </c>
      <c r="AB383" s="1215">
        <f t="shared" si="86"/>
        <v>2322960</v>
      </c>
      <c r="AC383" s="1214">
        <f>AA383/K383*100%</f>
        <v>0</v>
      </c>
      <c r="AD383" s="1216">
        <f>AB383/L383*100%</f>
        <v>1.5486400000000001E-2</v>
      </c>
      <c r="AE383" s="383" t="s">
        <v>1869</v>
      </c>
    </row>
    <row r="384" spans="1:32" s="494" customFormat="1" ht="27.75" customHeight="1">
      <c r="A384" s="4335" t="s">
        <v>89</v>
      </c>
      <c r="B384" s="4335"/>
      <c r="C384" s="4335"/>
      <c r="D384" s="4335"/>
      <c r="E384" s="4335"/>
      <c r="F384" s="4335"/>
      <c r="G384" s="4335"/>
      <c r="H384" s="4335"/>
      <c r="I384" s="4335"/>
      <c r="J384" s="4335"/>
      <c r="K384" s="4335"/>
      <c r="L384" s="4335"/>
      <c r="M384" s="4335"/>
      <c r="N384" s="4335"/>
      <c r="O384" s="4335"/>
      <c r="P384" s="4335"/>
      <c r="Q384" s="4335"/>
      <c r="R384" s="4335"/>
      <c r="S384" s="4335"/>
      <c r="T384" s="4335"/>
      <c r="U384" s="4335"/>
      <c r="V384" s="4335"/>
      <c r="W384" s="4335"/>
      <c r="X384" s="4335"/>
      <c r="Y384" s="4335"/>
      <c r="Z384" s="4335"/>
      <c r="AA384" s="4335"/>
      <c r="AB384" s="4335"/>
      <c r="AC384" s="1195">
        <f>AVERAGE(AC383)</f>
        <v>0</v>
      </c>
      <c r="AD384" s="1195">
        <f>AD382</f>
        <v>1.5486400000000001E-2</v>
      </c>
      <c r="AE384" s="384"/>
    </row>
    <row r="385" spans="1:31" s="494" customFormat="1">
      <c r="A385" s="4335" t="s">
        <v>1679</v>
      </c>
      <c r="B385" s="4335"/>
      <c r="C385" s="4335"/>
      <c r="D385" s="4335"/>
      <c r="E385" s="4335"/>
      <c r="F385" s="4335"/>
      <c r="G385" s="4335"/>
      <c r="H385" s="4335"/>
      <c r="I385" s="4335"/>
      <c r="J385" s="4335"/>
      <c r="K385" s="4335"/>
      <c r="L385" s="4335"/>
      <c r="M385" s="4335"/>
      <c r="N385" s="4335"/>
      <c r="O385" s="4335"/>
      <c r="P385" s="4335"/>
      <c r="Q385" s="4335"/>
      <c r="R385" s="4335"/>
      <c r="S385" s="4335"/>
      <c r="T385" s="4335"/>
      <c r="U385" s="4335"/>
      <c r="V385" s="4335"/>
      <c r="W385" s="4335"/>
      <c r="X385" s="4335"/>
      <c r="Y385" s="4335"/>
      <c r="Z385" s="4335"/>
      <c r="AA385" s="4335"/>
      <c r="AB385" s="4335"/>
      <c r="AC385" s="384"/>
      <c r="AD385" s="384"/>
      <c r="AE385" s="384"/>
    </row>
    <row r="386" spans="1:31" s="498" customFormat="1" ht="54.75" customHeight="1">
      <c r="A386" s="383">
        <v>15</v>
      </c>
      <c r="B386" s="383"/>
      <c r="C386" s="623" t="s">
        <v>66</v>
      </c>
      <c r="D386" s="623" t="s">
        <v>196</v>
      </c>
      <c r="E386" s="623" t="s">
        <v>66</v>
      </c>
      <c r="F386" s="383">
        <v>32</v>
      </c>
      <c r="G386" s="383"/>
      <c r="H386" s="1236"/>
      <c r="I386" s="1272" t="s">
        <v>1870</v>
      </c>
      <c r="J386" s="1272" t="s">
        <v>1871</v>
      </c>
      <c r="K386" s="1273">
        <v>100</v>
      </c>
      <c r="L386" s="629">
        <f>L387</f>
        <v>31944000</v>
      </c>
      <c r="M386" s="1274">
        <v>1</v>
      </c>
      <c r="N386" s="629">
        <f>N387</f>
        <v>24706300</v>
      </c>
      <c r="O386" s="591">
        <v>1</v>
      </c>
      <c r="P386" s="629">
        <f>P387</f>
        <v>35889602</v>
      </c>
      <c r="Q386" s="1193">
        <v>0.25</v>
      </c>
      <c r="R386" s="629">
        <f>R387</f>
        <v>2667100</v>
      </c>
      <c r="S386" s="1193"/>
      <c r="T386" s="629"/>
      <c r="U386" s="1193"/>
      <c r="V386" s="629"/>
      <c r="W386" s="1193"/>
      <c r="X386" s="629"/>
      <c r="Y386" s="1195">
        <f>Q386+S386+U386+W386</f>
        <v>0.25</v>
      </c>
      <c r="Z386" s="1196">
        <f>R386+T386+V386+X386</f>
        <v>2667100</v>
      </c>
      <c r="AA386" s="1214">
        <f>M386+Y386</f>
        <v>1.25</v>
      </c>
      <c r="AB386" s="1215">
        <f>N386+Z386</f>
        <v>27373400</v>
      </c>
      <c r="AC386" s="1214">
        <f>AA386/K386*100%</f>
        <v>1.2500000000000001E-2</v>
      </c>
      <c r="AD386" s="1216">
        <f>AB386/L386*100%</f>
        <v>0.85691835712496867</v>
      </c>
      <c r="AE386" s="383"/>
    </row>
    <row r="387" spans="1:31" s="498" customFormat="1" ht="45.75" customHeight="1">
      <c r="A387" s="383"/>
      <c r="B387" s="383"/>
      <c r="C387" s="623" t="s">
        <v>66</v>
      </c>
      <c r="D387" s="623" t="s">
        <v>196</v>
      </c>
      <c r="E387" s="623" t="s">
        <v>66</v>
      </c>
      <c r="F387" s="383">
        <v>32</v>
      </c>
      <c r="G387" s="1236" t="s">
        <v>66</v>
      </c>
      <c r="H387" s="1236"/>
      <c r="I387" s="1263" t="s">
        <v>1872</v>
      </c>
      <c r="J387" s="1263" t="s">
        <v>1873</v>
      </c>
      <c r="K387" s="629">
        <v>100</v>
      </c>
      <c r="L387" s="629">
        <v>31944000</v>
      </c>
      <c r="M387" s="1274">
        <v>1</v>
      </c>
      <c r="N387" s="1202">
        <v>24706300</v>
      </c>
      <c r="O387" s="591">
        <v>1</v>
      </c>
      <c r="P387" s="1202">
        <v>35889602</v>
      </c>
      <c r="Q387" s="1195">
        <f>Q386</f>
        <v>0.25</v>
      </c>
      <c r="R387" s="1202">
        <v>2667100</v>
      </c>
      <c r="S387" s="1195"/>
      <c r="T387" s="1202"/>
      <c r="U387" s="1193"/>
      <c r="V387" s="629"/>
      <c r="W387" s="1193"/>
      <c r="X387" s="629"/>
      <c r="Y387" s="1193">
        <f>Y386</f>
        <v>0.25</v>
      </c>
      <c r="Z387" s="1227">
        <f>X387</f>
        <v>0</v>
      </c>
      <c r="AA387" s="1214">
        <f>M387+Y387</f>
        <v>1.25</v>
      </c>
      <c r="AB387" s="1215">
        <f>N387+Z387</f>
        <v>24706300</v>
      </c>
      <c r="AC387" s="1214">
        <f>AA387/K387*100%</f>
        <v>1.2500000000000001E-2</v>
      </c>
      <c r="AD387" s="1216">
        <f>AB387/L387*100%</f>
        <v>0.7734253693964438</v>
      </c>
      <c r="AE387" s="383"/>
    </row>
    <row r="388" spans="1:31" s="494" customFormat="1" ht="27.75" customHeight="1">
      <c r="A388" s="4335" t="s">
        <v>89</v>
      </c>
      <c r="B388" s="4335"/>
      <c r="C388" s="4335"/>
      <c r="D388" s="4335"/>
      <c r="E388" s="4335"/>
      <c r="F388" s="4335"/>
      <c r="G388" s="4335"/>
      <c r="H388" s="4335"/>
      <c r="I388" s="4335"/>
      <c r="J388" s="4335"/>
      <c r="K388" s="4335"/>
      <c r="L388" s="4335"/>
      <c r="M388" s="4335"/>
      <c r="N388" s="4335"/>
      <c r="O388" s="4335"/>
      <c r="P388" s="4335"/>
      <c r="Q388" s="4335"/>
      <c r="R388" s="4335"/>
      <c r="S388" s="4335"/>
      <c r="T388" s="4335"/>
      <c r="U388" s="4335"/>
      <c r="V388" s="4335"/>
      <c r="W388" s="4335"/>
      <c r="X388" s="4335"/>
      <c r="Y388" s="4335"/>
      <c r="Z388" s="4335"/>
      <c r="AA388" s="4335"/>
      <c r="AB388" s="4335"/>
      <c r="AC388" s="1195">
        <f>AVERAGE(AC387)</f>
        <v>1.2500000000000001E-2</v>
      </c>
      <c r="AD388" s="1195">
        <f>AD379</f>
        <v>0.9876938839249646</v>
      </c>
      <c r="AE388" s="384"/>
    </row>
    <row r="389" spans="1:31" s="494" customFormat="1">
      <c r="A389" s="4335" t="s">
        <v>1679</v>
      </c>
      <c r="B389" s="4335"/>
      <c r="C389" s="4335"/>
      <c r="D389" s="4335"/>
      <c r="E389" s="4335"/>
      <c r="F389" s="4335"/>
      <c r="G389" s="4335"/>
      <c r="H389" s="4335"/>
      <c r="I389" s="4335"/>
      <c r="J389" s="4335"/>
      <c r="K389" s="4335"/>
      <c r="L389" s="4335"/>
      <c r="M389" s="4335"/>
      <c r="N389" s="4335"/>
      <c r="O389" s="4335"/>
      <c r="P389" s="4335"/>
      <c r="Q389" s="4335"/>
      <c r="R389" s="4335"/>
      <c r="S389" s="4335"/>
      <c r="T389" s="4335"/>
      <c r="U389" s="4335"/>
      <c r="V389" s="4335"/>
      <c r="W389" s="4335"/>
      <c r="X389" s="4335"/>
      <c r="Y389" s="4335"/>
      <c r="Z389" s="4335"/>
      <c r="AA389" s="4335"/>
      <c r="AB389" s="4335"/>
      <c r="AC389" s="384"/>
      <c r="AD389" s="384"/>
      <c r="AE389" s="384"/>
    </row>
    <row r="390" spans="1:31" s="498" customFormat="1" ht="58.5" customHeight="1">
      <c r="A390" s="383">
        <v>16</v>
      </c>
      <c r="B390" s="383"/>
      <c r="C390" s="623" t="s">
        <v>66</v>
      </c>
      <c r="D390" s="623" t="s">
        <v>196</v>
      </c>
      <c r="E390" s="623" t="s">
        <v>66</v>
      </c>
      <c r="F390" s="383">
        <v>23</v>
      </c>
      <c r="G390" s="383"/>
      <c r="H390" s="1236"/>
      <c r="I390" s="1237" t="s">
        <v>1874</v>
      </c>
      <c r="J390" s="1237" t="s">
        <v>1875</v>
      </c>
      <c r="K390" s="1219">
        <v>1</v>
      </c>
      <c r="L390" s="629">
        <f>SUM(L391:L395)</f>
        <v>7493163378</v>
      </c>
      <c r="M390" s="1274">
        <v>1</v>
      </c>
      <c r="N390" s="1210">
        <f>SUM(N391:N395)</f>
        <v>5744230013</v>
      </c>
      <c r="O390" s="1235">
        <v>1</v>
      </c>
      <c r="P390" s="1210">
        <f>SUM(P391:P395)</f>
        <v>1189623593.5</v>
      </c>
      <c r="Q390" s="1212">
        <v>0.05</v>
      </c>
      <c r="R390" s="1210">
        <f>SUM(R391:R394)</f>
        <v>6882295</v>
      </c>
      <c r="S390" s="1212"/>
      <c r="T390" s="1210"/>
      <c r="U390" s="1212"/>
      <c r="V390" s="1210"/>
      <c r="W390" s="1212"/>
      <c r="X390" s="1210"/>
      <c r="Y390" s="1212">
        <f t="shared" ref="Y390:Z395" si="93">Q390+S390+U390+W390</f>
        <v>0.05</v>
      </c>
      <c r="Z390" s="1211">
        <f t="shared" si="93"/>
        <v>6882295</v>
      </c>
      <c r="AA390" s="1212">
        <f t="shared" ref="AA390:AB395" si="94">M390+Y390</f>
        <v>1.05</v>
      </c>
      <c r="AB390" s="1211">
        <f t="shared" si="94"/>
        <v>5751112308</v>
      </c>
      <c r="AC390" s="1214">
        <f t="shared" ref="AC390:AD395" si="95">AA390/K390*100%</f>
        <v>1.05</v>
      </c>
      <c r="AD390" s="1216">
        <f t="shared" si="95"/>
        <v>0.76751460202847321</v>
      </c>
      <c r="AE390" s="383"/>
    </row>
    <row r="391" spans="1:31" s="494" customFormat="1" ht="53.25" customHeight="1">
      <c r="A391" s="384"/>
      <c r="B391" s="384"/>
      <c r="C391" s="623" t="s">
        <v>66</v>
      </c>
      <c r="D391" s="623" t="s">
        <v>196</v>
      </c>
      <c r="E391" s="623" t="s">
        <v>66</v>
      </c>
      <c r="F391" s="383">
        <v>23</v>
      </c>
      <c r="G391" s="1236">
        <v>12</v>
      </c>
      <c r="H391" s="1236"/>
      <c r="I391" s="1200" t="s">
        <v>1876</v>
      </c>
      <c r="J391" s="1200" t="s">
        <v>1877</v>
      </c>
      <c r="K391" s="1219">
        <v>1</v>
      </c>
      <c r="L391" s="1202">
        <v>800000000</v>
      </c>
      <c r="M391" s="1274">
        <v>1</v>
      </c>
      <c r="N391" s="1202">
        <v>10000000</v>
      </c>
      <c r="O391" s="1219">
        <v>1</v>
      </c>
      <c r="P391" s="681">
        <v>10000000</v>
      </c>
      <c r="Q391" s="1214">
        <v>0</v>
      </c>
      <c r="R391" s="1210">
        <v>0</v>
      </c>
      <c r="S391" s="1212"/>
      <c r="T391" s="1210"/>
      <c r="U391" s="1235"/>
      <c r="V391" s="1221"/>
      <c r="W391" s="1219"/>
      <c r="X391" s="1221"/>
      <c r="Y391" s="1214">
        <f t="shared" si="93"/>
        <v>0</v>
      </c>
      <c r="Z391" s="1211">
        <f t="shared" si="93"/>
        <v>0</v>
      </c>
      <c r="AA391" s="1214">
        <f t="shared" si="94"/>
        <v>1</v>
      </c>
      <c r="AB391" s="1215">
        <f t="shared" si="94"/>
        <v>10000000</v>
      </c>
      <c r="AC391" s="1214">
        <f t="shared" si="95"/>
        <v>1</v>
      </c>
      <c r="AD391" s="1216">
        <f t="shared" si="95"/>
        <v>1.2500000000000001E-2</v>
      </c>
      <c r="AE391" s="384"/>
    </row>
    <row r="392" spans="1:31" s="494" customFormat="1" ht="38.25">
      <c r="A392" s="384"/>
      <c r="B392" s="384"/>
      <c r="C392" s="623" t="s">
        <v>66</v>
      </c>
      <c r="D392" s="623" t="s">
        <v>196</v>
      </c>
      <c r="E392" s="623" t="s">
        <v>66</v>
      </c>
      <c r="F392" s="383">
        <v>23</v>
      </c>
      <c r="G392" s="1256" t="s">
        <v>197</v>
      </c>
      <c r="H392" s="1236"/>
      <c r="I392" s="1200" t="s">
        <v>1878</v>
      </c>
      <c r="J392" s="1200" t="s">
        <v>1879</v>
      </c>
      <c r="K392" s="1219">
        <v>1</v>
      </c>
      <c r="L392" s="1202">
        <v>80000000</v>
      </c>
      <c r="M392" s="1274">
        <v>1</v>
      </c>
      <c r="N392" s="1202">
        <v>70675000</v>
      </c>
      <c r="O392" s="1219">
        <v>1</v>
      </c>
      <c r="P392" s="681">
        <v>161210772</v>
      </c>
      <c r="Q392" s="1214">
        <v>0</v>
      </c>
      <c r="R392" s="1210">
        <v>0</v>
      </c>
      <c r="S392" s="1212"/>
      <c r="T392" s="1221"/>
      <c r="U392" s="1212"/>
      <c r="V392" s="1221"/>
      <c r="W392" s="1214"/>
      <c r="X392" s="1221"/>
      <c r="Y392" s="1214">
        <f t="shared" si="93"/>
        <v>0</v>
      </c>
      <c r="Z392" s="1215">
        <f t="shared" si="93"/>
        <v>0</v>
      </c>
      <c r="AA392" s="1214">
        <f t="shared" si="94"/>
        <v>1</v>
      </c>
      <c r="AB392" s="1215">
        <f t="shared" si="94"/>
        <v>70675000</v>
      </c>
      <c r="AC392" s="1214">
        <f t="shared" si="95"/>
        <v>1</v>
      </c>
      <c r="AD392" s="1216">
        <f t="shared" si="95"/>
        <v>0.88343749999999999</v>
      </c>
      <c r="AE392" s="384"/>
    </row>
    <row r="393" spans="1:31" s="494" customFormat="1" ht="26.25" customHeight="1">
      <c r="A393" s="384"/>
      <c r="B393" s="384"/>
      <c r="C393" s="623" t="s">
        <v>66</v>
      </c>
      <c r="D393" s="623" t="s">
        <v>196</v>
      </c>
      <c r="E393" s="623" t="s">
        <v>66</v>
      </c>
      <c r="F393" s="383">
        <v>23</v>
      </c>
      <c r="G393" s="1236">
        <v>15</v>
      </c>
      <c r="H393" s="1236"/>
      <c r="I393" s="1200" t="s">
        <v>1880</v>
      </c>
      <c r="J393" s="384"/>
      <c r="K393" s="1219">
        <v>1</v>
      </c>
      <c r="L393" s="1202">
        <v>130000000</v>
      </c>
      <c r="M393" s="1274">
        <v>1</v>
      </c>
      <c r="N393" s="1202">
        <v>89566640</v>
      </c>
      <c r="O393" s="591">
        <v>1</v>
      </c>
      <c r="P393" s="590">
        <v>127512821.5</v>
      </c>
      <c r="Q393" s="1195">
        <v>0.1</v>
      </c>
      <c r="R393" s="1202">
        <v>6882295</v>
      </c>
      <c r="S393" s="1193"/>
      <c r="T393" s="1202"/>
      <c r="U393" s="1193"/>
      <c r="V393" s="1202"/>
      <c r="W393" s="1214"/>
      <c r="X393" s="1202"/>
      <c r="Y393" s="1214">
        <f t="shared" si="93"/>
        <v>0.1</v>
      </c>
      <c r="Z393" s="1215">
        <f t="shared" si="93"/>
        <v>6882295</v>
      </c>
      <c r="AA393" s="1214">
        <f t="shared" si="94"/>
        <v>1.1000000000000001</v>
      </c>
      <c r="AB393" s="1215">
        <f t="shared" si="94"/>
        <v>96448935</v>
      </c>
      <c r="AC393" s="1214">
        <f t="shared" si="95"/>
        <v>1.1000000000000001</v>
      </c>
      <c r="AD393" s="1216">
        <f t="shared" si="95"/>
        <v>0.74191488461538457</v>
      </c>
      <c r="AE393" s="384"/>
    </row>
    <row r="394" spans="1:31" s="494" customFormat="1" ht="25.5">
      <c r="A394" s="384"/>
      <c r="B394" s="384"/>
      <c r="C394" s="623" t="s">
        <v>66</v>
      </c>
      <c r="D394" s="623" t="s">
        <v>196</v>
      </c>
      <c r="E394" s="623" t="s">
        <v>66</v>
      </c>
      <c r="F394" s="383">
        <v>23</v>
      </c>
      <c r="G394" s="1256" t="s">
        <v>95</v>
      </c>
      <c r="H394" s="1236"/>
      <c r="I394" s="1200" t="s">
        <v>1881</v>
      </c>
      <c r="J394" s="1200" t="s">
        <v>1882</v>
      </c>
      <c r="K394" s="1219">
        <v>1</v>
      </c>
      <c r="L394" s="1202">
        <v>900000000</v>
      </c>
      <c r="M394" s="1274">
        <v>1</v>
      </c>
      <c r="N394" s="1202"/>
      <c r="O394" s="1219">
        <v>1</v>
      </c>
      <c r="P394" s="681">
        <v>890900000</v>
      </c>
      <c r="Q394" s="1212"/>
      <c r="R394" s="1210"/>
      <c r="S394" s="1212"/>
      <c r="T394" s="1221"/>
      <c r="U394" s="1212"/>
      <c r="V394" s="1221"/>
      <c r="W394" s="1214"/>
      <c r="X394" s="1221"/>
      <c r="Y394" s="1214">
        <f t="shared" si="93"/>
        <v>0</v>
      </c>
      <c r="Z394" s="1215">
        <f t="shared" si="93"/>
        <v>0</v>
      </c>
      <c r="AA394" s="1214">
        <f t="shared" si="94"/>
        <v>1</v>
      </c>
      <c r="AB394" s="1215">
        <f t="shared" si="94"/>
        <v>0</v>
      </c>
      <c r="AC394" s="1214">
        <f t="shared" si="95"/>
        <v>1</v>
      </c>
      <c r="AD394" s="1216">
        <f t="shared" si="95"/>
        <v>0</v>
      </c>
      <c r="AE394" s="384"/>
    </row>
    <row r="395" spans="1:31" s="494" customFormat="1" ht="37.5" customHeight="1">
      <c r="A395" s="384"/>
      <c r="B395" s="384"/>
      <c r="C395" s="623" t="s">
        <v>66</v>
      </c>
      <c r="D395" s="623" t="s">
        <v>196</v>
      </c>
      <c r="E395" s="623" t="s">
        <v>66</v>
      </c>
      <c r="F395" s="383">
        <v>23</v>
      </c>
      <c r="G395" s="384">
        <v>29</v>
      </c>
      <c r="H395" s="384"/>
      <c r="I395" s="1200" t="s">
        <v>1883</v>
      </c>
      <c r="J395" s="1200" t="s">
        <v>1884</v>
      </c>
      <c r="K395" s="1219">
        <v>1</v>
      </c>
      <c r="L395" s="1202">
        <v>5583163378</v>
      </c>
      <c r="M395" s="1274">
        <v>1</v>
      </c>
      <c r="N395" s="1202">
        <v>5573988373</v>
      </c>
      <c r="O395" s="591"/>
      <c r="P395" s="590"/>
      <c r="Q395" s="1193"/>
      <c r="R395" s="1202"/>
      <c r="S395" s="1193"/>
      <c r="T395" s="1202"/>
      <c r="U395" s="1193"/>
      <c r="V395" s="1202"/>
      <c r="W395" s="1214"/>
      <c r="X395" s="1202"/>
      <c r="Y395" s="1214">
        <f t="shared" si="93"/>
        <v>0</v>
      </c>
      <c r="Z395" s="1215">
        <f t="shared" si="93"/>
        <v>0</v>
      </c>
      <c r="AA395" s="1214">
        <f t="shared" si="94"/>
        <v>1</v>
      </c>
      <c r="AB395" s="1215">
        <f t="shared" si="94"/>
        <v>5573988373</v>
      </c>
      <c r="AC395" s="1214">
        <f t="shared" si="95"/>
        <v>1</v>
      </c>
      <c r="AD395" s="1216">
        <f t="shared" si="95"/>
        <v>0.99835666549967828</v>
      </c>
      <c r="AE395" s="384"/>
    </row>
    <row r="396" spans="1:31" s="494" customFormat="1" ht="27.75" customHeight="1">
      <c r="A396" s="4335" t="s">
        <v>89</v>
      </c>
      <c r="B396" s="4335"/>
      <c r="C396" s="4335"/>
      <c r="D396" s="4335"/>
      <c r="E396" s="4335"/>
      <c r="F396" s="4335"/>
      <c r="G396" s="4335"/>
      <c r="H396" s="4335"/>
      <c r="I396" s="4335"/>
      <c r="J396" s="4335"/>
      <c r="K396" s="4335"/>
      <c r="L396" s="4335"/>
      <c r="M396" s="4335"/>
      <c r="N396" s="4335"/>
      <c r="O396" s="4335"/>
      <c r="P396" s="4335"/>
      <c r="Q396" s="4335"/>
      <c r="R396" s="4335"/>
      <c r="S396" s="4335"/>
      <c r="T396" s="4335"/>
      <c r="U396" s="4335"/>
      <c r="V396" s="4335"/>
      <c r="W396" s="4335"/>
      <c r="X396" s="4335"/>
      <c r="Y396" s="4335"/>
      <c r="Z396" s="4335"/>
      <c r="AA396" s="4335"/>
      <c r="AB396" s="4335"/>
      <c r="AC396" s="1195">
        <f>AVERAGE(AC391:AC395)</f>
        <v>1.02</v>
      </c>
      <c r="AD396" s="1195">
        <f>AD390</f>
        <v>0.76751460202847321</v>
      </c>
      <c r="AE396" s="384"/>
    </row>
    <row r="397" spans="1:31" s="494" customFormat="1">
      <c r="A397" s="4335" t="s">
        <v>1679</v>
      </c>
      <c r="B397" s="4335"/>
      <c r="C397" s="4335"/>
      <c r="D397" s="4335"/>
      <c r="E397" s="4335"/>
      <c r="F397" s="4335"/>
      <c r="G397" s="4335"/>
      <c r="H397" s="4335"/>
      <c r="I397" s="4335"/>
      <c r="J397" s="4335"/>
      <c r="K397" s="4335"/>
      <c r="L397" s="4335"/>
      <c r="M397" s="4335"/>
      <c r="N397" s="4335"/>
      <c r="O397" s="4335"/>
      <c r="P397" s="4335"/>
      <c r="Q397" s="4335"/>
      <c r="R397" s="4335"/>
      <c r="S397" s="4335"/>
      <c r="T397" s="4335"/>
      <c r="U397" s="4335"/>
      <c r="V397" s="4335"/>
      <c r="W397" s="4335"/>
      <c r="X397" s="4335"/>
      <c r="Y397" s="4335"/>
      <c r="Z397" s="4335"/>
      <c r="AA397" s="4335"/>
      <c r="AB397" s="4335"/>
      <c r="AC397" s="384"/>
      <c r="AD397" s="384"/>
      <c r="AE397" s="384"/>
    </row>
    <row r="398" spans="1:31" s="498" customFormat="1" ht="78.75" customHeight="1">
      <c r="A398" s="383">
        <v>17</v>
      </c>
      <c r="B398" s="383" t="s">
        <v>1770</v>
      </c>
      <c r="C398" s="623" t="s">
        <v>66</v>
      </c>
      <c r="D398" s="623" t="s">
        <v>196</v>
      </c>
      <c r="E398" s="623" t="s">
        <v>66</v>
      </c>
      <c r="F398" s="383">
        <v>27</v>
      </c>
      <c r="G398" s="383"/>
      <c r="H398" s="1236"/>
      <c r="I398" s="1237" t="s">
        <v>1885</v>
      </c>
      <c r="J398" s="384" t="s">
        <v>1886</v>
      </c>
      <c r="K398" s="1219">
        <v>1</v>
      </c>
      <c r="L398" s="1275">
        <f>SUM(L399:L403)</f>
        <v>5150000000</v>
      </c>
      <c r="M398" s="1219">
        <v>1</v>
      </c>
      <c r="N398" s="1221">
        <f>SUM(N399:N403)</f>
        <v>2068185380</v>
      </c>
      <c r="O398" s="1219">
        <v>1</v>
      </c>
      <c r="P398" s="1213">
        <f>SUM(P399:P407)</f>
        <v>15430433263.5</v>
      </c>
      <c r="Q398" s="1212">
        <v>0.02</v>
      </c>
      <c r="R398" s="1221">
        <f>SUM(R399:R407)</f>
        <v>24745374</v>
      </c>
      <c r="S398" s="1212"/>
      <c r="T398" s="1221"/>
      <c r="U398" s="1212"/>
      <c r="V398" s="1221"/>
      <c r="W398" s="1212"/>
      <c r="X398" s="1221"/>
      <c r="Y398" s="1214">
        <f t="shared" ref="Y398:Z401" si="96">Q398+S398+U398+W398</f>
        <v>0.02</v>
      </c>
      <c r="Z398" s="1211">
        <f t="shared" si="96"/>
        <v>24745374</v>
      </c>
      <c r="AA398" s="1214">
        <f t="shared" ref="AA398:AB407" si="97">M398+Y398</f>
        <v>1.02</v>
      </c>
      <c r="AB398" s="1215">
        <f t="shared" si="97"/>
        <v>2092930754</v>
      </c>
      <c r="AC398" s="1214">
        <f t="shared" ref="AC398:AD407" si="98">AA398/K398*100%</f>
        <v>1.02</v>
      </c>
      <c r="AD398" s="1223">
        <f t="shared" si="98"/>
        <v>0.40639432116504853</v>
      </c>
      <c r="AE398" s="384"/>
    </row>
    <row r="399" spans="1:31" s="494" customFormat="1" ht="51">
      <c r="A399" s="384"/>
      <c r="B399" s="384"/>
      <c r="C399" s="623" t="s">
        <v>66</v>
      </c>
      <c r="D399" s="623" t="s">
        <v>196</v>
      </c>
      <c r="E399" s="623" t="s">
        <v>66</v>
      </c>
      <c r="F399" s="383">
        <v>27</v>
      </c>
      <c r="G399" s="1236">
        <v>13</v>
      </c>
      <c r="H399" s="1236"/>
      <c r="I399" s="1276" t="s">
        <v>1887</v>
      </c>
      <c r="J399" s="1276" t="s">
        <v>1888</v>
      </c>
      <c r="K399" s="1219">
        <v>1</v>
      </c>
      <c r="L399" s="1202">
        <v>250000000</v>
      </c>
      <c r="M399" s="591">
        <v>1</v>
      </c>
      <c r="N399" s="1202">
        <v>95760780</v>
      </c>
      <c r="O399" s="591">
        <v>1</v>
      </c>
      <c r="P399" s="590">
        <v>479650012.5</v>
      </c>
      <c r="Q399" s="1195">
        <v>0</v>
      </c>
      <c r="R399" s="1202">
        <v>1669149</v>
      </c>
      <c r="S399" s="1195"/>
      <c r="T399" s="1202"/>
      <c r="U399" s="1195"/>
      <c r="V399" s="1202"/>
      <c r="W399" s="1214"/>
      <c r="X399" s="1221"/>
      <c r="Y399" s="1214">
        <f t="shared" si="96"/>
        <v>0</v>
      </c>
      <c r="Z399" s="1215">
        <f t="shared" si="96"/>
        <v>1669149</v>
      </c>
      <c r="AA399" s="1214">
        <f t="shared" si="97"/>
        <v>1</v>
      </c>
      <c r="AB399" s="1215">
        <f t="shared" si="97"/>
        <v>97429929</v>
      </c>
      <c r="AC399" s="1214">
        <f t="shared" si="98"/>
        <v>1</v>
      </c>
      <c r="AD399" s="1223">
        <f t="shared" si="98"/>
        <v>0.38971971599999999</v>
      </c>
      <c r="AE399" s="384"/>
    </row>
    <row r="400" spans="1:31" s="494" customFormat="1" ht="38.25">
      <c r="A400" s="384"/>
      <c r="B400" s="384"/>
      <c r="C400" s="623" t="s">
        <v>66</v>
      </c>
      <c r="D400" s="623" t="s">
        <v>196</v>
      </c>
      <c r="E400" s="623" t="s">
        <v>66</v>
      </c>
      <c r="F400" s="383">
        <v>27</v>
      </c>
      <c r="G400" s="384">
        <v>14</v>
      </c>
      <c r="H400" s="384"/>
      <c r="I400" s="1234" t="s">
        <v>1889</v>
      </c>
      <c r="J400" s="1276" t="s">
        <v>1890</v>
      </c>
      <c r="K400" s="1219">
        <v>1</v>
      </c>
      <c r="L400" s="1202">
        <v>3000000000</v>
      </c>
      <c r="M400" s="591">
        <v>1</v>
      </c>
      <c r="N400" s="1202">
        <v>471454900</v>
      </c>
      <c r="O400" s="591">
        <v>1</v>
      </c>
      <c r="P400" s="590">
        <v>0</v>
      </c>
      <c r="Q400" s="1195"/>
      <c r="R400" s="1202"/>
      <c r="S400" s="1195"/>
      <c r="T400" s="1202"/>
      <c r="U400" s="1195"/>
      <c r="V400" s="1202"/>
      <c r="W400" s="1214"/>
      <c r="X400" s="1221"/>
      <c r="Y400" s="1214">
        <f t="shared" si="96"/>
        <v>0</v>
      </c>
      <c r="Z400" s="1215">
        <f t="shared" si="96"/>
        <v>0</v>
      </c>
      <c r="AA400" s="1214">
        <f t="shared" si="97"/>
        <v>1</v>
      </c>
      <c r="AB400" s="1215">
        <f t="shared" si="97"/>
        <v>471454900</v>
      </c>
      <c r="AC400" s="1214">
        <f t="shared" si="98"/>
        <v>1</v>
      </c>
      <c r="AD400" s="1223">
        <f t="shared" si="98"/>
        <v>0.15715163333333335</v>
      </c>
      <c r="AE400" s="384"/>
    </row>
    <row r="401" spans="1:32" s="494" customFormat="1" ht="38.25">
      <c r="A401" s="384"/>
      <c r="B401" s="384"/>
      <c r="C401" s="623" t="s">
        <v>66</v>
      </c>
      <c r="D401" s="623" t="s">
        <v>196</v>
      </c>
      <c r="E401" s="623" t="s">
        <v>66</v>
      </c>
      <c r="F401" s="383">
        <v>27</v>
      </c>
      <c r="G401" s="1236">
        <v>19</v>
      </c>
      <c r="H401" s="1236"/>
      <c r="I401" s="1277" t="s">
        <v>1891</v>
      </c>
      <c r="J401" s="1277" t="s">
        <v>1892</v>
      </c>
      <c r="K401" s="1219">
        <v>1</v>
      </c>
      <c r="L401" s="1202">
        <v>200000000</v>
      </c>
      <c r="M401" s="591">
        <v>1</v>
      </c>
      <c r="N401" s="1202">
        <v>39014700</v>
      </c>
      <c r="O401" s="591">
        <v>1</v>
      </c>
      <c r="P401" s="590">
        <v>168125251</v>
      </c>
      <c r="Q401" s="1195">
        <v>0.1</v>
      </c>
      <c r="R401" s="1202">
        <v>18638539</v>
      </c>
      <c r="S401" s="1195"/>
      <c r="T401" s="1202"/>
      <c r="U401" s="1195"/>
      <c r="V401" s="1202"/>
      <c r="W401" s="1214"/>
      <c r="X401" s="1221"/>
      <c r="Y401" s="1214">
        <f t="shared" si="96"/>
        <v>0.1</v>
      </c>
      <c r="Z401" s="1215">
        <f t="shared" si="96"/>
        <v>18638539</v>
      </c>
      <c r="AA401" s="1214">
        <f t="shared" si="97"/>
        <v>1.1000000000000001</v>
      </c>
      <c r="AB401" s="1215">
        <f t="shared" si="97"/>
        <v>57653239</v>
      </c>
      <c r="AC401" s="1214">
        <f t="shared" si="98"/>
        <v>1.1000000000000001</v>
      </c>
      <c r="AD401" s="1223">
        <f t="shared" si="98"/>
        <v>0.288266195</v>
      </c>
      <c r="AE401" s="384"/>
    </row>
    <row r="402" spans="1:32" s="494" customFormat="1" ht="25.5">
      <c r="A402" s="384"/>
      <c r="B402" s="384"/>
      <c r="C402" s="623" t="s">
        <v>66</v>
      </c>
      <c r="D402" s="623" t="s">
        <v>196</v>
      </c>
      <c r="E402" s="623" t="s">
        <v>66</v>
      </c>
      <c r="F402" s="383">
        <v>27</v>
      </c>
      <c r="G402" s="384">
        <v>20</v>
      </c>
      <c r="H402" s="384"/>
      <c r="I402" s="1276" t="s">
        <v>1893</v>
      </c>
      <c r="J402" s="384"/>
      <c r="K402" s="1219">
        <v>1</v>
      </c>
      <c r="L402" s="1202">
        <v>1500000000</v>
      </c>
      <c r="M402" s="591">
        <v>1</v>
      </c>
      <c r="N402" s="1202">
        <v>1412394000</v>
      </c>
      <c r="O402" s="591">
        <v>1</v>
      </c>
      <c r="P402" s="590">
        <v>0</v>
      </c>
      <c r="Q402" s="1193"/>
      <c r="R402" s="1202"/>
      <c r="S402" s="1193"/>
      <c r="T402" s="1202"/>
      <c r="U402" s="1193"/>
      <c r="V402" s="1202"/>
      <c r="W402" s="1214"/>
      <c r="X402" s="1202"/>
      <c r="Y402" s="1195">
        <f>W402</f>
        <v>0</v>
      </c>
      <c r="Z402" s="1215">
        <f>X402</f>
        <v>0</v>
      </c>
      <c r="AA402" s="1214">
        <f t="shared" si="97"/>
        <v>1</v>
      </c>
      <c r="AB402" s="1215">
        <f t="shared" si="97"/>
        <v>1412394000</v>
      </c>
      <c r="AC402" s="1214">
        <f t="shared" si="98"/>
        <v>1</v>
      </c>
      <c r="AD402" s="1223">
        <f t="shared" si="98"/>
        <v>0.94159599999999999</v>
      </c>
      <c r="AE402" s="384"/>
    </row>
    <row r="403" spans="1:32" s="494" customFormat="1" ht="25.5">
      <c r="A403" s="384"/>
      <c r="B403" s="384"/>
      <c r="C403" s="623" t="s">
        <v>66</v>
      </c>
      <c r="D403" s="623" t="s">
        <v>196</v>
      </c>
      <c r="E403" s="623" t="s">
        <v>66</v>
      </c>
      <c r="F403" s="383">
        <v>27</v>
      </c>
      <c r="G403" s="384">
        <v>22</v>
      </c>
      <c r="H403" s="384"/>
      <c r="I403" s="1234" t="s">
        <v>1894</v>
      </c>
      <c r="J403" s="384" t="s">
        <v>1895</v>
      </c>
      <c r="K403" s="1219">
        <v>1</v>
      </c>
      <c r="L403" s="1202">
        <v>200000000</v>
      </c>
      <c r="M403" s="591">
        <v>1</v>
      </c>
      <c r="N403" s="1202">
        <v>49561000</v>
      </c>
      <c r="O403" s="591">
        <v>1</v>
      </c>
      <c r="P403" s="590">
        <v>0</v>
      </c>
      <c r="Q403" s="1193"/>
      <c r="R403" s="1202"/>
      <c r="S403" s="1193"/>
      <c r="T403" s="1202"/>
      <c r="U403" s="1193"/>
      <c r="V403" s="1202"/>
      <c r="W403" s="1214"/>
      <c r="X403" s="1202"/>
      <c r="Y403" s="1195">
        <f>W403</f>
        <v>0</v>
      </c>
      <c r="Z403" s="1215">
        <f>X403</f>
        <v>0</v>
      </c>
      <c r="AA403" s="1214">
        <f t="shared" si="97"/>
        <v>1</v>
      </c>
      <c r="AB403" s="1215">
        <f t="shared" si="97"/>
        <v>49561000</v>
      </c>
      <c r="AC403" s="1214">
        <f t="shared" si="98"/>
        <v>1</v>
      </c>
      <c r="AD403" s="1223">
        <f t="shared" si="98"/>
        <v>0.247805</v>
      </c>
      <c r="AE403" s="384"/>
    </row>
    <row r="404" spans="1:32" s="494" customFormat="1" ht="38.25">
      <c r="A404" s="384"/>
      <c r="B404" s="384"/>
      <c r="C404" s="623" t="s">
        <v>66</v>
      </c>
      <c r="D404" s="623" t="s">
        <v>196</v>
      </c>
      <c r="E404" s="623" t="s">
        <v>66</v>
      </c>
      <c r="F404" s="383">
        <v>27</v>
      </c>
      <c r="G404" s="1236">
        <v>23</v>
      </c>
      <c r="H404" s="1236"/>
      <c r="I404" s="1276" t="s">
        <v>1896</v>
      </c>
      <c r="J404" s="384" t="s">
        <v>1886</v>
      </c>
      <c r="K404" s="1219">
        <v>1</v>
      </c>
      <c r="L404" s="1202">
        <v>5500000000</v>
      </c>
      <c r="M404" s="591">
        <v>0</v>
      </c>
      <c r="N404" s="1202">
        <v>0</v>
      </c>
      <c r="O404" s="591">
        <v>1</v>
      </c>
      <c r="P404" s="590">
        <v>5471761000</v>
      </c>
      <c r="Q404" s="1195">
        <v>0</v>
      </c>
      <c r="R404" s="1202">
        <v>2523350</v>
      </c>
      <c r="S404" s="1195"/>
      <c r="T404" s="1202"/>
      <c r="U404" s="1195"/>
      <c r="V404" s="1202"/>
      <c r="W404" s="1214"/>
      <c r="X404" s="1221"/>
      <c r="Y404" s="1214">
        <f t="shared" ref="Y404:Z407" si="99">Q404+S404+U404+W404</f>
        <v>0</v>
      </c>
      <c r="Z404" s="1215">
        <f t="shared" si="99"/>
        <v>2523350</v>
      </c>
      <c r="AA404" s="1214">
        <f t="shared" si="97"/>
        <v>0</v>
      </c>
      <c r="AB404" s="1215">
        <f t="shared" si="97"/>
        <v>2523350</v>
      </c>
      <c r="AC404" s="1214">
        <f t="shared" si="98"/>
        <v>0</v>
      </c>
      <c r="AD404" s="1223">
        <f t="shared" si="98"/>
        <v>4.587909090909091E-4</v>
      </c>
      <c r="AE404" s="384"/>
    </row>
    <row r="405" spans="1:32" s="494" customFormat="1" ht="38.25">
      <c r="A405" s="384"/>
      <c r="B405" s="384"/>
      <c r="C405" s="623" t="s">
        <v>66</v>
      </c>
      <c r="D405" s="623" t="s">
        <v>196</v>
      </c>
      <c r="E405" s="623" t="s">
        <v>66</v>
      </c>
      <c r="F405" s="383">
        <v>27</v>
      </c>
      <c r="G405" s="1236">
        <v>24</v>
      </c>
      <c r="H405" s="1236"/>
      <c r="I405" s="1276" t="s">
        <v>1897</v>
      </c>
      <c r="J405" s="384" t="s">
        <v>1886</v>
      </c>
      <c r="K405" s="1219">
        <v>1</v>
      </c>
      <c r="L405" s="1202">
        <v>2000000000</v>
      </c>
      <c r="M405" s="591">
        <v>0</v>
      </c>
      <c r="N405" s="1202">
        <v>0</v>
      </c>
      <c r="O405" s="591">
        <v>1</v>
      </c>
      <c r="P405" s="590">
        <v>1592651000</v>
      </c>
      <c r="Q405" s="1195">
        <v>0</v>
      </c>
      <c r="R405" s="1202">
        <v>1189336</v>
      </c>
      <c r="S405" s="1195"/>
      <c r="T405" s="1202"/>
      <c r="U405" s="1195"/>
      <c r="V405" s="1202"/>
      <c r="W405" s="1214"/>
      <c r="X405" s="1221"/>
      <c r="Y405" s="1214">
        <f t="shared" si="99"/>
        <v>0</v>
      </c>
      <c r="Z405" s="1215">
        <f t="shared" si="99"/>
        <v>1189336</v>
      </c>
      <c r="AA405" s="1214">
        <f t="shared" si="97"/>
        <v>0</v>
      </c>
      <c r="AB405" s="1215">
        <f t="shared" si="97"/>
        <v>1189336</v>
      </c>
      <c r="AC405" s="1214">
        <f t="shared" si="98"/>
        <v>0</v>
      </c>
      <c r="AD405" s="1223">
        <f t="shared" si="98"/>
        <v>5.9466800000000002E-4</v>
      </c>
      <c r="AE405" s="384"/>
    </row>
    <row r="406" spans="1:32" s="494" customFormat="1" ht="25.5">
      <c r="A406" s="384"/>
      <c r="B406" s="384"/>
      <c r="C406" s="623" t="s">
        <v>66</v>
      </c>
      <c r="D406" s="623" t="s">
        <v>196</v>
      </c>
      <c r="E406" s="623" t="s">
        <v>66</v>
      </c>
      <c r="F406" s="383">
        <v>27</v>
      </c>
      <c r="G406" s="1236">
        <v>25</v>
      </c>
      <c r="H406" s="1236"/>
      <c r="I406" s="1276" t="s">
        <v>1898</v>
      </c>
      <c r="J406" s="384" t="s">
        <v>1899</v>
      </c>
      <c r="K406" s="1219">
        <v>1</v>
      </c>
      <c r="L406" s="1202">
        <v>2000000000</v>
      </c>
      <c r="M406" s="591">
        <v>0</v>
      </c>
      <c r="N406" s="1202">
        <v>0</v>
      </c>
      <c r="O406" s="591">
        <v>1</v>
      </c>
      <c r="P406" s="590">
        <v>1785376000</v>
      </c>
      <c r="Q406" s="1195">
        <v>0</v>
      </c>
      <c r="R406" s="1202">
        <v>725000</v>
      </c>
      <c r="S406" s="1195"/>
      <c r="T406" s="1202"/>
      <c r="U406" s="1195"/>
      <c r="V406" s="1202"/>
      <c r="W406" s="1214"/>
      <c r="X406" s="1221"/>
      <c r="Y406" s="1214">
        <f t="shared" si="99"/>
        <v>0</v>
      </c>
      <c r="Z406" s="1215">
        <f t="shared" si="99"/>
        <v>725000</v>
      </c>
      <c r="AA406" s="1214">
        <f t="shared" si="97"/>
        <v>0</v>
      </c>
      <c r="AB406" s="1215">
        <f t="shared" si="97"/>
        <v>725000</v>
      </c>
      <c r="AC406" s="1214">
        <f t="shared" si="98"/>
        <v>0</v>
      </c>
      <c r="AD406" s="1223">
        <f t="shared" si="98"/>
        <v>3.6249999999999998E-4</v>
      </c>
      <c r="AE406" s="384"/>
    </row>
    <row r="407" spans="1:32" s="494" customFormat="1" ht="38.25">
      <c r="A407" s="384"/>
      <c r="B407" s="384"/>
      <c r="C407" s="623" t="s">
        <v>66</v>
      </c>
      <c r="D407" s="623" t="s">
        <v>196</v>
      </c>
      <c r="E407" s="623" t="s">
        <v>66</v>
      </c>
      <c r="F407" s="383">
        <v>27</v>
      </c>
      <c r="G407" s="1236">
        <v>26</v>
      </c>
      <c r="H407" s="1236"/>
      <c r="I407" s="1276" t="s">
        <v>1900</v>
      </c>
      <c r="J407" s="384" t="s">
        <v>1899</v>
      </c>
      <c r="K407" s="1219">
        <v>1</v>
      </c>
      <c r="L407" s="1202">
        <v>6000000000</v>
      </c>
      <c r="M407" s="591">
        <v>0</v>
      </c>
      <c r="N407" s="1202">
        <v>0</v>
      </c>
      <c r="O407" s="591">
        <v>1</v>
      </c>
      <c r="P407" s="590">
        <v>5932870000</v>
      </c>
      <c r="Q407" s="1195">
        <v>0</v>
      </c>
      <c r="R407" s="1202"/>
      <c r="S407" s="1195"/>
      <c r="T407" s="1202"/>
      <c r="U407" s="1195"/>
      <c r="V407" s="1202"/>
      <c r="W407" s="1214"/>
      <c r="X407" s="1221"/>
      <c r="Y407" s="1214">
        <f t="shared" si="99"/>
        <v>0</v>
      </c>
      <c r="Z407" s="1215">
        <f t="shared" si="99"/>
        <v>0</v>
      </c>
      <c r="AA407" s="1214">
        <f t="shared" si="97"/>
        <v>0</v>
      </c>
      <c r="AB407" s="1215">
        <f t="shared" si="97"/>
        <v>0</v>
      </c>
      <c r="AC407" s="1214">
        <f t="shared" si="98"/>
        <v>0</v>
      </c>
      <c r="AD407" s="1223">
        <f t="shared" si="98"/>
        <v>0</v>
      </c>
      <c r="AE407" s="384"/>
    </row>
    <row r="408" spans="1:32" s="494" customFormat="1" ht="27.75" customHeight="1">
      <c r="A408" s="4335" t="s">
        <v>89</v>
      </c>
      <c r="B408" s="4335"/>
      <c r="C408" s="4335"/>
      <c r="D408" s="4335"/>
      <c r="E408" s="4335"/>
      <c r="F408" s="4335"/>
      <c r="G408" s="4335"/>
      <c r="H408" s="4335"/>
      <c r="I408" s="4335"/>
      <c r="J408" s="4335"/>
      <c r="K408" s="4335"/>
      <c r="L408" s="4335"/>
      <c r="M408" s="4335"/>
      <c r="N408" s="4335"/>
      <c r="O408" s="4335"/>
      <c r="P408" s="4335"/>
      <c r="Q408" s="4335"/>
      <c r="R408" s="4335"/>
      <c r="S408" s="4335"/>
      <c r="T408" s="4335"/>
      <c r="U408" s="4335"/>
      <c r="V408" s="4335"/>
      <c r="W408" s="4335"/>
      <c r="X408" s="4335"/>
      <c r="Y408" s="4335"/>
      <c r="Z408" s="4335"/>
      <c r="AA408" s="4335"/>
      <c r="AB408" s="4335"/>
      <c r="AC408" s="1195">
        <f>AVERAGE(AC399:AC407)</f>
        <v>0.56666666666666665</v>
      </c>
      <c r="AD408" s="1195">
        <f>AD398</f>
        <v>0.40639432116504853</v>
      </c>
      <c r="AE408" s="384"/>
    </row>
    <row r="409" spans="1:32" s="494" customFormat="1">
      <c r="A409" s="4335" t="s">
        <v>1679</v>
      </c>
      <c r="B409" s="4335"/>
      <c r="C409" s="4335"/>
      <c r="D409" s="4335"/>
      <c r="E409" s="4335"/>
      <c r="F409" s="4335"/>
      <c r="G409" s="4335"/>
      <c r="H409" s="4335"/>
      <c r="I409" s="4335"/>
      <c r="J409" s="4335"/>
      <c r="K409" s="4335"/>
      <c r="L409" s="4335"/>
      <c r="M409" s="4335"/>
      <c r="N409" s="4335"/>
      <c r="O409" s="4335"/>
      <c r="P409" s="4335"/>
      <c r="Q409" s="4335"/>
      <c r="R409" s="4335"/>
      <c r="S409" s="4335"/>
      <c r="T409" s="4335"/>
      <c r="U409" s="4335"/>
      <c r="V409" s="4335"/>
      <c r="W409" s="4335"/>
      <c r="X409" s="4335"/>
      <c r="Y409" s="4335"/>
      <c r="Z409" s="4335"/>
      <c r="AA409" s="4335"/>
      <c r="AB409" s="4335"/>
      <c r="AC409" s="384"/>
      <c r="AD409" s="384"/>
      <c r="AE409" s="384"/>
    </row>
    <row r="410" spans="1:32" s="498" customFormat="1" ht="91.5" customHeight="1">
      <c r="A410" s="383">
        <v>18</v>
      </c>
      <c r="B410" s="383"/>
      <c r="C410" s="623" t="s">
        <v>66</v>
      </c>
      <c r="D410" s="623" t="s">
        <v>196</v>
      </c>
      <c r="E410" s="623" t="s">
        <v>66</v>
      </c>
      <c r="F410" s="383">
        <v>16</v>
      </c>
      <c r="G410" s="383"/>
      <c r="H410" s="1236"/>
      <c r="I410" s="1261" t="s">
        <v>1901</v>
      </c>
      <c r="J410" s="1261" t="s">
        <v>1902</v>
      </c>
      <c r="K410" s="1219">
        <v>1</v>
      </c>
      <c r="L410" s="1202">
        <f>SUM(L411:L413)</f>
        <v>573444297</v>
      </c>
      <c r="M410" s="591">
        <v>1</v>
      </c>
      <c r="N410" s="629">
        <f>SUM(N411:N413)</f>
        <v>238729830</v>
      </c>
      <c r="O410" s="591">
        <v>1</v>
      </c>
      <c r="P410" s="590">
        <f>P411</f>
        <v>258267823.75</v>
      </c>
      <c r="Q410" s="1193">
        <f>Q411</f>
        <v>0.13</v>
      </c>
      <c r="R410" s="1202">
        <f>R411</f>
        <v>35912420</v>
      </c>
      <c r="S410" s="1193"/>
      <c r="T410" s="1202"/>
      <c r="U410" s="1193"/>
      <c r="V410" s="1202"/>
      <c r="W410" s="1214"/>
      <c r="X410" s="1221"/>
      <c r="Y410" s="1214">
        <f>Q410+S410+U410+W410</f>
        <v>0.13</v>
      </c>
      <c r="Z410" s="1211">
        <f>R410+T410+V410+X410</f>
        <v>35912420</v>
      </c>
      <c r="AA410" s="1214">
        <f t="shared" ref="AA410:AB412" si="100">M410+Y410</f>
        <v>1.1299999999999999</v>
      </c>
      <c r="AB410" s="1215">
        <f t="shared" si="100"/>
        <v>274642250</v>
      </c>
      <c r="AC410" s="1214">
        <f t="shared" ref="AC410:AD413" si="101">AA410/K410*100%</f>
        <v>1.1299999999999999</v>
      </c>
      <c r="AD410" s="1223">
        <f t="shared" si="101"/>
        <v>0.47893448663942334</v>
      </c>
      <c r="AE410" s="383"/>
      <c r="AF410" s="1278"/>
    </row>
    <row r="411" spans="1:32" s="494" customFormat="1" ht="21.75" customHeight="1">
      <c r="A411" s="384"/>
      <c r="B411" s="384"/>
      <c r="C411" s="623" t="s">
        <v>66</v>
      </c>
      <c r="D411" s="623" t="s">
        <v>196</v>
      </c>
      <c r="E411" s="623" t="s">
        <v>66</v>
      </c>
      <c r="F411" s="383">
        <v>16</v>
      </c>
      <c r="G411" s="1236">
        <v>59</v>
      </c>
      <c r="H411" s="1236"/>
      <c r="I411" s="1279" t="s">
        <v>1903</v>
      </c>
      <c r="J411" s="1279" t="s">
        <v>1903</v>
      </c>
      <c r="K411" s="1219">
        <v>1</v>
      </c>
      <c r="L411" s="1202">
        <v>373444297</v>
      </c>
      <c r="M411" s="591">
        <v>1</v>
      </c>
      <c r="N411" s="1202">
        <v>237510830</v>
      </c>
      <c r="O411" s="591">
        <v>1</v>
      </c>
      <c r="P411" s="590">
        <v>258267823.75</v>
      </c>
      <c r="Q411" s="1193">
        <v>0.13</v>
      </c>
      <c r="R411" s="1202">
        <v>35912420</v>
      </c>
      <c r="S411" s="1193"/>
      <c r="T411" s="1202"/>
      <c r="U411" s="1193"/>
      <c r="V411" s="1202"/>
      <c r="W411" s="1214"/>
      <c r="X411" s="1202"/>
      <c r="Y411" s="1214">
        <f>Q411+S411+U411+W411</f>
        <v>0.13</v>
      </c>
      <c r="Z411" s="1215">
        <f>R411+T411+V411+X411</f>
        <v>35912420</v>
      </c>
      <c r="AA411" s="1214">
        <f t="shared" si="100"/>
        <v>1.1299999999999999</v>
      </c>
      <c r="AB411" s="1215">
        <f t="shared" si="100"/>
        <v>273423250</v>
      </c>
      <c r="AC411" s="1214">
        <f t="shared" si="101"/>
        <v>1.1299999999999999</v>
      </c>
      <c r="AD411" s="1223">
        <f t="shared" si="101"/>
        <v>0.73216608794537297</v>
      </c>
      <c r="AE411" s="384"/>
      <c r="AF411" s="1280"/>
    </row>
    <row r="412" spans="1:32" s="494" customFormat="1" ht="33.75" customHeight="1">
      <c r="A412" s="384"/>
      <c r="B412" s="384"/>
      <c r="C412" s="623" t="s">
        <v>66</v>
      </c>
      <c r="D412" s="623" t="s">
        <v>196</v>
      </c>
      <c r="E412" s="623" t="s">
        <v>66</v>
      </c>
      <c r="F412" s="383">
        <v>16</v>
      </c>
      <c r="G412" s="421">
        <v>60</v>
      </c>
      <c r="H412" s="384"/>
      <c r="I412" s="1264" t="s">
        <v>1904</v>
      </c>
      <c r="J412" s="1263" t="s">
        <v>1905</v>
      </c>
      <c r="K412" s="1219">
        <v>1</v>
      </c>
      <c r="L412" s="1202">
        <v>150000000</v>
      </c>
      <c r="M412" s="384"/>
      <c r="N412" s="1202">
        <v>1219000</v>
      </c>
      <c r="O412" s="591"/>
      <c r="P412" s="1202"/>
      <c r="Q412" s="1195"/>
      <c r="R412" s="1202"/>
      <c r="S412" s="1195"/>
      <c r="T412" s="1202"/>
      <c r="U412" s="1229"/>
      <c r="V412" s="629"/>
      <c r="W412" s="1214"/>
      <c r="X412" s="1202"/>
      <c r="Y412" s="1214">
        <v>0</v>
      </c>
      <c r="Z412" s="1215">
        <f>R412+T412+V412+X412</f>
        <v>0</v>
      </c>
      <c r="AA412" s="1214">
        <f t="shared" si="100"/>
        <v>0</v>
      </c>
      <c r="AB412" s="1215">
        <f t="shared" si="100"/>
        <v>1219000</v>
      </c>
      <c r="AC412" s="1214">
        <f t="shared" si="101"/>
        <v>0</v>
      </c>
      <c r="AD412" s="1223">
        <f t="shared" si="101"/>
        <v>8.1266666666666675E-3</v>
      </c>
      <c r="AE412" s="384" t="s">
        <v>1906</v>
      </c>
    </row>
    <row r="413" spans="1:32" s="494" customFormat="1" ht="37.5" customHeight="1">
      <c r="A413" s="384"/>
      <c r="B413" s="384"/>
      <c r="C413" s="623" t="s">
        <v>66</v>
      </c>
      <c r="D413" s="623" t="s">
        <v>196</v>
      </c>
      <c r="E413" s="623" t="s">
        <v>66</v>
      </c>
      <c r="F413" s="383">
        <v>16</v>
      </c>
      <c r="G413" s="421">
        <v>61</v>
      </c>
      <c r="H413" s="384"/>
      <c r="I413" s="1264" t="s">
        <v>1907</v>
      </c>
      <c r="J413" s="1263" t="s">
        <v>1908</v>
      </c>
      <c r="K413" s="1219">
        <v>1</v>
      </c>
      <c r="L413" s="1202">
        <v>50000000</v>
      </c>
      <c r="M413" s="384"/>
      <c r="N413" s="1202">
        <v>0</v>
      </c>
      <c r="O413" s="591"/>
      <c r="P413" s="1202"/>
      <c r="Q413" s="1195"/>
      <c r="R413" s="1202"/>
      <c r="S413" s="591"/>
      <c r="T413" s="1202"/>
      <c r="U413" s="1229"/>
      <c r="V413" s="629"/>
      <c r="W413" s="1214"/>
      <c r="X413" s="629"/>
      <c r="Y413" s="1214">
        <f>Q413+S413+U413+W413</f>
        <v>0</v>
      </c>
      <c r="Z413" s="1227">
        <v>0</v>
      </c>
      <c r="AA413" s="1193">
        <v>0</v>
      </c>
      <c r="AB413" s="1215">
        <f>N413+Z413</f>
        <v>0</v>
      </c>
      <c r="AC413" s="1214">
        <f t="shared" si="101"/>
        <v>0</v>
      </c>
      <c r="AD413" s="1223">
        <f t="shared" si="101"/>
        <v>0</v>
      </c>
      <c r="AE413" s="384" t="s">
        <v>1765</v>
      </c>
    </row>
    <row r="414" spans="1:32" s="494" customFormat="1" ht="27.75" customHeight="1">
      <c r="A414" s="4335" t="s">
        <v>89</v>
      </c>
      <c r="B414" s="4335"/>
      <c r="C414" s="4335"/>
      <c r="D414" s="4335"/>
      <c r="E414" s="4335"/>
      <c r="F414" s="4335"/>
      <c r="G414" s="4335"/>
      <c r="H414" s="4335"/>
      <c r="I414" s="4335"/>
      <c r="J414" s="4335"/>
      <c r="K414" s="4335"/>
      <c r="L414" s="4335"/>
      <c r="M414" s="4335"/>
      <c r="N414" s="4335"/>
      <c r="O414" s="4335"/>
      <c r="P414" s="4335"/>
      <c r="Q414" s="4335"/>
      <c r="R414" s="4335"/>
      <c r="S414" s="4335"/>
      <c r="T414" s="4335"/>
      <c r="U414" s="4335"/>
      <c r="V414" s="4335"/>
      <c r="W414" s="4335"/>
      <c r="X414" s="4335"/>
      <c r="Y414" s="4335"/>
      <c r="Z414" s="4335"/>
      <c r="AA414" s="4335"/>
      <c r="AB414" s="4335"/>
      <c r="AC414" s="1195">
        <f>AVERAGE(AC411:AC413)</f>
        <v>0.37666666666666665</v>
      </c>
      <c r="AD414" s="1195">
        <f>AD405</f>
        <v>5.9466800000000002E-4</v>
      </c>
      <c r="AE414" s="384"/>
    </row>
    <row r="415" spans="1:32" s="494" customFormat="1">
      <c r="A415" s="4335" t="s">
        <v>1679</v>
      </c>
      <c r="B415" s="4335"/>
      <c r="C415" s="4335"/>
      <c r="D415" s="4335"/>
      <c r="E415" s="4335"/>
      <c r="F415" s="4335"/>
      <c r="G415" s="4335"/>
      <c r="H415" s="4335"/>
      <c r="I415" s="4335"/>
      <c r="J415" s="4335"/>
      <c r="K415" s="4335"/>
      <c r="L415" s="4335"/>
      <c r="M415" s="4335"/>
      <c r="N415" s="4335"/>
      <c r="O415" s="4335"/>
      <c r="P415" s="4335"/>
      <c r="Q415" s="4335"/>
      <c r="R415" s="4335"/>
      <c r="S415" s="4335"/>
      <c r="T415" s="4335"/>
      <c r="U415" s="4335"/>
      <c r="V415" s="4335"/>
      <c r="W415" s="4335"/>
      <c r="X415" s="4335"/>
      <c r="Y415" s="4335"/>
      <c r="Z415" s="4335"/>
      <c r="AA415" s="4335"/>
      <c r="AB415" s="4335"/>
      <c r="AC415" s="384"/>
      <c r="AD415" s="384"/>
      <c r="AE415" s="384"/>
    </row>
    <row r="416" spans="1:32" s="498" customFormat="1" ht="56.25" customHeight="1">
      <c r="A416" s="383">
        <v>19</v>
      </c>
      <c r="B416" s="383"/>
      <c r="C416" s="623" t="s">
        <v>146</v>
      </c>
      <c r="D416" s="623" t="s">
        <v>66</v>
      </c>
      <c r="E416" s="623" t="s">
        <v>196</v>
      </c>
      <c r="F416" s="1236" t="s">
        <v>66</v>
      </c>
      <c r="G416" s="1236">
        <v>15</v>
      </c>
      <c r="H416" s="1236"/>
      <c r="I416" s="1261" t="s">
        <v>1909</v>
      </c>
      <c r="J416" s="1261" t="s">
        <v>1910</v>
      </c>
      <c r="K416" s="1219">
        <v>1</v>
      </c>
      <c r="L416" s="629">
        <f>SUM(L417:L418)</f>
        <v>150000000</v>
      </c>
      <c r="M416" s="591">
        <v>1</v>
      </c>
      <c r="N416" s="1230">
        <f>SUM(N417:N418)</f>
        <v>139174840</v>
      </c>
      <c r="O416" s="591">
        <v>1</v>
      </c>
      <c r="P416" s="1202">
        <v>140921920</v>
      </c>
      <c r="Q416" s="1195">
        <v>0</v>
      </c>
      <c r="R416" s="1202">
        <v>0</v>
      </c>
      <c r="S416" s="1195"/>
      <c r="T416" s="1202"/>
      <c r="U416" s="1195"/>
      <c r="V416" s="1202"/>
      <c r="W416" s="1214"/>
      <c r="X416" s="1221"/>
      <c r="Y416" s="1214">
        <f t="shared" ref="Y416:Z419" si="102">Q416+S416+U416+W416</f>
        <v>0</v>
      </c>
      <c r="Z416" s="1215">
        <f t="shared" si="102"/>
        <v>0</v>
      </c>
      <c r="AA416" s="1281">
        <f>M416+Y416</f>
        <v>1</v>
      </c>
      <c r="AB416" s="1282">
        <f>N416+Z416</f>
        <v>139174840</v>
      </c>
      <c r="AC416" s="1214">
        <f t="shared" ref="AC416:AD419" si="103">AA416/K416*100%</f>
        <v>1</v>
      </c>
      <c r="AD416" s="1223">
        <f t="shared" si="103"/>
        <v>0.92783226666666663</v>
      </c>
      <c r="AE416" s="383"/>
    </row>
    <row r="417" spans="1:31" s="494" customFormat="1">
      <c r="A417" s="384"/>
      <c r="B417" s="384"/>
      <c r="C417" s="623" t="s">
        <v>146</v>
      </c>
      <c r="D417" s="623" t="s">
        <v>66</v>
      </c>
      <c r="E417" s="623" t="s">
        <v>196</v>
      </c>
      <c r="F417" s="1236" t="s">
        <v>66</v>
      </c>
      <c r="G417" s="1236">
        <v>15</v>
      </c>
      <c r="H417" s="1236">
        <v>14</v>
      </c>
      <c r="I417" s="1279" t="s">
        <v>1911</v>
      </c>
      <c r="J417" s="1279" t="s">
        <v>1912</v>
      </c>
      <c r="K417" s="1219">
        <v>1</v>
      </c>
      <c r="L417" s="1202">
        <v>50000000</v>
      </c>
      <c r="M417" s="591">
        <v>1</v>
      </c>
      <c r="N417" s="1207">
        <v>39999840</v>
      </c>
      <c r="O417" s="591">
        <v>1</v>
      </c>
      <c r="P417" s="1202">
        <v>16810000</v>
      </c>
      <c r="Q417" s="1195">
        <v>0</v>
      </c>
      <c r="R417" s="1202">
        <v>0</v>
      </c>
      <c r="S417" s="591"/>
      <c r="T417" s="1202"/>
      <c r="U417" s="1193"/>
      <c r="V417" s="629"/>
      <c r="W417" s="1229"/>
      <c r="X417" s="629"/>
      <c r="Y417" s="1214">
        <f t="shared" si="102"/>
        <v>0</v>
      </c>
      <c r="Z417" s="1211">
        <f t="shared" si="102"/>
        <v>0</v>
      </c>
      <c r="AA417" s="1212">
        <f>M416+Y417</f>
        <v>1</v>
      </c>
      <c r="AB417" s="1282">
        <f>N417+Z417</f>
        <v>39999840</v>
      </c>
      <c r="AC417" s="1214">
        <f t="shared" si="103"/>
        <v>1</v>
      </c>
      <c r="AD417" s="1223">
        <f t="shared" si="103"/>
        <v>0.79999679999999995</v>
      </c>
      <c r="AE417" s="384"/>
    </row>
    <row r="418" spans="1:31" s="494" customFormat="1">
      <c r="A418" s="384"/>
      <c r="B418" s="384"/>
      <c r="C418" s="623" t="s">
        <v>146</v>
      </c>
      <c r="D418" s="623" t="s">
        <v>66</v>
      </c>
      <c r="E418" s="623" t="s">
        <v>196</v>
      </c>
      <c r="F418" s="1236" t="s">
        <v>66</v>
      </c>
      <c r="G418" s="384">
        <v>15</v>
      </c>
      <c r="H418" s="384">
        <v>31</v>
      </c>
      <c r="I418" s="1264" t="s">
        <v>1913</v>
      </c>
      <c r="J418" s="1264" t="s">
        <v>1914</v>
      </c>
      <c r="K418" s="1219">
        <v>1</v>
      </c>
      <c r="L418" s="1202">
        <v>100000000</v>
      </c>
      <c r="M418" s="591">
        <v>1</v>
      </c>
      <c r="N418" s="1207">
        <v>99175000</v>
      </c>
      <c r="O418" s="591"/>
      <c r="P418" s="1202"/>
      <c r="Q418" s="1195"/>
      <c r="R418" s="1202"/>
      <c r="S418" s="1283"/>
      <c r="T418" s="1202"/>
      <c r="U418" s="1193"/>
      <c r="V418" s="629"/>
      <c r="W418" s="1193"/>
      <c r="X418" s="629"/>
      <c r="Y418" s="1214">
        <f t="shared" si="102"/>
        <v>0</v>
      </c>
      <c r="Z418" s="1211">
        <f t="shared" si="102"/>
        <v>0</v>
      </c>
      <c r="AA418" s="1212">
        <f>M417+Y418</f>
        <v>1</v>
      </c>
      <c r="AB418" s="1282">
        <f>N418+Z418</f>
        <v>99175000</v>
      </c>
      <c r="AC418" s="1214">
        <f t="shared" si="103"/>
        <v>1</v>
      </c>
      <c r="AD418" s="1223">
        <f t="shared" si="103"/>
        <v>0.99175000000000002</v>
      </c>
      <c r="AE418" s="384"/>
    </row>
    <row r="419" spans="1:31" s="494" customFormat="1" ht="25.5">
      <c r="A419" s="384"/>
      <c r="B419" s="384"/>
      <c r="C419" s="623" t="s">
        <v>146</v>
      </c>
      <c r="D419" s="623" t="s">
        <v>66</v>
      </c>
      <c r="E419" s="623" t="s">
        <v>196</v>
      </c>
      <c r="F419" s="1236" t="s">
        <v>66</v>
      </c>
      <c r="G419" s="1236">
        <v>15</v>
      </c>
      <c r="H419" s="1236">
        <v>37</v>
      </c>
      <c r="I419" s="1279" t="s">
        <v>1915</v>
      </c>
      <c r="J419" s="1279" t="s">
        <v>1916</v>
      </c>
      <c r="K419" s="1219">
        <v>1</v>
      </c>
      <c r="L419" s="1202">
        <v>50000000</v>
      </c>
      <c r="M419" s="591">
        <v>0</v>
      </c>
      <c r="N419" s="1207">
        <v>0</v>
      </c>
      <c r="O419" s="591">
        <v>1</v>
      </c>
      <c r="P419" s="1202">
        <v>50319157</v>
      </c>
      <c r="Q419" s="1195">
        <v>0</v>
      </c>
      <c r="R419" s="1202">
        <v>0</v>
      </c>
      <c r="S419" s="591"/>
      <c r="T419" s="1202"/>
      <c r="U419" s="1193"/>
      <c r="V419" s="629"/>
      <c r="W419" s="1229"/>
      <c r="X419" s="629"/>
      <c r="Y419" s="1214">
        <f t="shared" si="102"/>
        <v>0</v>
      </c>
      <c r="Z419" s="1211">
        <f t="shared" si="102"/>
        <v>0</v>
      </c>
      <c r="AA419" s="1212">
        <f>M418+Y419</f>
        <v>1</v>
      </c>
      <c r="AB419" s="1282">
        <f>N419+Z419</f>
        <v>0</v>
      </c>
      <c r="AC419" s="1214">
        <f t="shared" si="103"/>
        <v>1</v>
      </c>
      <c r="AD419" s="1223">
        <f t="shared" si="103"/>
        <v>0</v>
      </c>
      <c r="AE419" s="384"/>
    </row>
    <row r="420" spans="1:31" s="494" customFormat="1" ht="27.75" customHeight="1">
      <c r="A420" s="4335" t="s">
        <v>89</v>
      </c>
      <c r="B420" s="4335"/>
      <c r="C420" s="4335"/>
      <c r="D420" s="4335"/>
      <c r="E420" s="4335"/>
      <c r="F420" s="4335"/>
      <c r="G420" s="4335"/>
      <c r="H420" s="4335"/>
      <c r="I420" s="4335"/>
      <c r="J420" s="4335"/>
      <c r="K420" s="4335"/>
      <c r="L420" s="4335"/>
      <c r="M420" s="4335"/>
      <c r="N420" s="4335"/>
      <c r="O420" s="4335"/>
      <c r="P420" s="4335"/>
      <c r="Q420" s="4335"/>
      <c r="R420" s="4335"/>
      <c r="S420" s="4335"/>
      <c r="T420" s="4335"/>
      <c r="U420" s="4335"/>
      <c r="V420" s="4335"/>
      <c r="W420" s="4335"/>
      <c r="X420" s="4335"/>
      <c r="Y420" s="4335"/>
      <c r="Z420" s="4335"/>
      <c r="AA420" s="4335"/>
      <c r="AB420" s="4335"/>
      <c r="AC420" s="1195">
        <f>AVERAGE(AC417:AC419)</f>
        <v>1</v>
      </c>
      <c r="AD420" s="1195">
        <f>AD416</f>
        <v>0.92783226666666663</v>
      </c>
      <c r="AE420" s="384"/>
    </row>
    <row r="421" spans="1:31" s="494" customFormat="1">
      <c r="A421" s="4335" t="s">
        <v>1679</v>
      </c>
      <c r="B421" s="4335"/>
      <c r="C421" s="4335"/>
      <c r="D421" s="4335"/>
      <c r="E421" s="4335"/>
      <c r="F421" s="4335"/>
      <c r="G421" s="4335"/>
      <c r="H421" s="4335"/>
      <c r="I421" s="4335"/>
      <c r="J421" s="4335"/>
      <c r="K421" s="4335"/>
      <c r="L421" s="4335"/>
      <c r="M421" s="4335"/>
      <c r="N421" s="4335"/>
      <c r="O421" s="4335"/>
      <c r="P421" s="4335"/>
      <c r="Q421" s="4335"/>
      <c r="R421" s="4335"/>
      <c r="S421" s="4335"/>
      <c r="T421" s="4335"/>
      <c r="U421" s="4335"/>
      <c r="V421" s="4335"/>
      <c r="W421" s="4335"/>
      <c r="X421" s="4335"/>
      <c r="Y421" s="4335"/>
      <c r="Z421" s="4335"/>
      <c r="AA421" s="4335"/>
      <c r="AB421" s="4335"/>
      <c r="AC421" s="384"/>
      <c r="AD421" s="384"/>
      <c r="AE421" s="384"/>
    </row>
    <row r="422" spans="1:31" s="494" customFormat="1">
      <c r="A422" s="384"/>
      <c r="B422" s="384"/>
      <c r="C422" s="421"/>
      <c r="D422" s="421"/>
      <c r="E422" s="421"/>
      <c r="F422" s="421"/>
      <c r="G422" s="421"/>
      <c r="H422" s="384"/>
      <c r="I422" s="1284"/>
      <c r="J422" s="1284"/>
      <c r="K422" s="1219"/>
      <c r="L422" s="384"/>
      <c r="M422" s="384"/>
      <c r="N422" s="384"/>
      <c r="O422" s="591"/>
      <c r="P422" s="1202"/>
      <c r="Q422" s="1195"/>
      <c r="R422" s="1202"/>
      <c r="S422" s="1195"/>
      <c r="T422" s="1202"/>
      <c r="U422" s="1193"/>
      <c r="V422" s="629"/>
      <c r="W422" s="1193"/>
      <c r="X422" s="629"/>
      <c r="Y422" s="1193"/>
      <c r="Z422" s="1227"/>
      <c r="AA422" s="1193"/>
      <c r="AB422" s="1194"/>
      <c r="AC422" s="1214"/>
      <c r="AD422" s="384"/>
      <c r="AE422" s="384"/>
    </row>
    <row r="423" spans="1:31" s="494" customFormat="1" ht="81" customHeight="1">
      <c r="A423" s="384">
        <v>20</v>
      </c>
      <c r="B423" s="384"/>
      <c r="C423" s="623" t="s">
        <v>66</v>
      </c>
      <c r="D423" s="623" t="s">
        <v>196</v>
      </c>
      <c r="E423" s="623" t="s">
        <v>66</v>
      </c>
      <c r="F423" s="383">
        <v>36</v>
      </c>
      <c r="G423" s="383"/>
      <c r="H423" s="1236"/>
      <c r="I423" s="1261" t="s">
        <v>1917</v>
      </c>
      <c r="J423" s="1261" t="s">
        <v>1918</v>
      </c>
      <c r="K423" s="1219">
        <v>1</v>
      </c>
      <c r="L423" s="629">
        <f>L424</f>
        <v>100000000</v>
      </c>
      <c r="M423" s="1229">
        <f>M424</f>
        <v>1</v>
      </c>
      <c r="N423" s="629">
        <f>N424</f>
        <v>93473800</v>
      </c>
      <c r="O423" s="591"/>
      <c r="P423" s="1202"/>
      <c r="Q423" s="1195"/>
      <c r="R423" s="1202"/>
      <c r="S423" s="1195"/>
      <c r="T423" s="1202"/>
      <c r="U423" s="1195"/>
      <c r="V423" s="1202"/>
      <c r="W423" s="1193"/>
      <c r="X423" s="629"/>
      <c r="Y423" s="1214">
        <f>Q423+S423+U423+W423</f>
        <v>0</v>
      </c>
      <c r="Z423" s="1211">
        <f>R423+T423+V423+X423</f>
        <v>0</v>
      </c>
      <c r="AA423" s="1212">
        <f>M423+Y423</f>
        <v>1</v>
      </c>
      <c r="AB423" s="1211">
        <f>N423+Z423</f>
        <v>93473800</v>
      </c>
      <c r="AC423" s="1214">
        <f>AA423/K423*100%</f>
        <v>1</v>
      </c>
      <c r="AD423" s="1223">
        <f>AB423/L423*100%</f>
        <v>0.93473799999999996</v>
      </c>
      <c r="AE423" s="383"/>
    </row>
    <row r="424" spans="1:31" s="494" customFormat="1">
      <c r="A424" s="384"/>
      <c r="B424" s="384"/>
      <c r="C424" s="623" t="s">
        <v>66</v>
      </c>
      <c r="D424" s="623" t="s">
        <v>196</v>
      </c>
      <c r="E424" s="623" t="s">
        <v>66</v>
      </c>
      <c r="F424" s="383">
        <v>36</v>
      </c>
      <c r="G424" s="421" t="s">
        <v>95</v>
      </c>
      <c r="H424" s="384"/>
      <c r="I424" s="1264" t="s">
        <v>1919</v>
      </c>
      <c r="J424" s="1263" t="s">
        <v>1920</v>
      </c>
      <c r="K424" s="1219">
        <v>1</v>
      </c>
      <c r="L424" s="1202">
        <v>100000000</v>
      </c>
      <c r="M424" s="591">
        <v>1</v>
      </c>
      <c r="N424" s="1202">
        <v>93473800</v>
      </c>
      <c r="O424" s="591"/>
      <c r="P424" s="1202"/>
      <c r="Q424" s="1195"/>
      <c r="R424" s="1202"/>
      <c r="S424" s="1195"/>
      <c r="T424" s="1202"/>
      <c r="U424" s="1193"/>
      <c r="V424" s="629"/>
      <c r="W424" s="1193"/>
      <c r="X424" s="629"/>
      <c r="Y424" s="1214">
        <f>Q424+S424+U424+W424</f>
        <v>0</v>
      </c>
      <c r="Z424" s="1211">
        <f>R424+T424+V424+X424</f>
        <v>0</v>
      </c>
      <c r="AA424" s="1193">
        <f>M423+Y424</f>
        <v>1</v>
      </c>
      <c r="AB424" s="1194">
        <f>N423+Z424</f>
        <v>93473800</v>
      </c>
      <c r="AC424" s="1214">
        <f>AA424/K424*100%</f>
        <v>1</v>
      </c>
      <c r="AD424" s="1223">
        <f>AB424/L424*100%</f>
        <v>0.93473799999999996</v>
      </c>
      <c r="AE424" s="384"/>
    </row>
    <row r="425" spans="1:31" s="494" customFormat="1" ht="27.75" customHeight="1">
      <c r="A425" s="4335" t="s">
        <v>89</v>
      </c>
      <c r="B425" s="4335"/>
      <c r="C425" s="4335"/>
      <c r="D425" s="4335"/>
      <c r="E425" s="4335"/>
      <c r="F425" s="4335"/>
      <c r="G425" s="4335"/>
      <c r="H425" s="4335"/>
      <c r="I425" s="4335"/>
      <c r="J425" s="4335"/>
      <c r="K425" s="4335"/>
      <c r="L425" s="4335"/>
      <c r="M425" s="4335"/>
      <c r="N425" s="4335"/>
      <c r="O425" s="4335"/>
      <c r="P425" s="4335"/>
      <c r="Q425" s="4335"/>
      <c r="R425" s="4335"/>
      <c r="S425" s="4335"/>
      <c r="T425" s="4335"/>
      <c r="U425" s="4335"/>
      <c r="V425" s="4335"/>
      <c r="W425" s="4335"/>
      <c r="X425" s="4335"/>
      <c r="Y425" s="4335"/>
      <c r="Z425" s="4335"/>
      <c r="AA425" s="4335"/>
      <c r="AB425" s="4335"/>
      <c r="AC425" s="1195">
        <f>AVERAGE(AC424)</f>
        <v>1</v>
      </c>
      <c r="AD425" s="1195" t="e">
        <f>#REF!</f>
        <v>#REF!</v>
      </c>
      <c r="AE425" s="384"/>
    </row>
    <row r="426" spans="1:31" s="494" customFormat="1">
      <c r="A426" s="4335" t="s">
        <v>1679</v>
      </c>
      <c r="B426" s="4335"/>
      <c r="C426" s="4335"/>
      <c r="D426" s="4335"/>
      <c r="E426" s="4335"/>
      <c r="F426" s="4335"/>
      <c r="G426" s="4335"/>
      <c r="H426" s="4335"/>
      <c r="I426" s="4335"/>
      <c r="J426" s="4335"/>
      <c r="K426" s="4335"/>
      <c r="L426" s="4335"/>
      <c r="M426" s="4335"/>
      <c r="N426" s="4335"/>
      <c r="O426" s="4335"/>
      <c r="P426" s="4335"/>
      <c r="Q426" s="4335"/>
      <c r="R426" s="4335"/>
      <c r="S426" s="4335"/>
      <c r="T426" s="4335"/>
      <c r="U426" s="4335"/>
      <c r="V426" s="4335"/>
      <c r="W426" s="4335"/>
      <c r="X426" s="4335"/>
      <c r="Y426" s="4335"/>
      <c r="Z426" s="4335"/>
      <c r="AA426" s="4335"/>
      <c r="AB426" s="4335"/>
      <c r="AC426" s="384"/>
      <c r="AD426" s="384"/>
      <c r="AE426" s="384"/>
    </row>
    <row r="427" spans="1:31" s="494" customFormat="1">
      <c r="A427" s="384"/>
      <c r="B427" s="384"/>
      <c r="C427" s="421"/>
      <c r="D427" s="421"/>
      <c r="E427" s="421"/>
      <c r="F427" s="421"/>
      <c r="G427" s="421"/>
      <c r="H427" s="384"/>
      <c r="I427" s="1264"/>
      <c r="J427" s="1263"/>
      <c r="K427" s="1219"/>
      <c r="L427" s="384"/>
      <c r="M427" s="384"/>
      <c r="N427" s="384"/>
      <c r="O427" s="591"/>
      <c r="P427" s="1202"/>
      <c r="Q427" s="1195"/>
      <c r="R427" s="1202"/>
      <c r="S427" s="1195"/>
      <c r="T427" s="1202"/>
      <c r="U427" s="1193"/>
      <c r="V427" s="629"/>
      <c r="W427" s="1193"/>
      <c r="X427" s="629"/>
      <c r="Y427" s="1214"/>
      <c r="Z427" s="1211"/>
      <c r="AA427" s="1193"/>
      <c r="AB427" s="1194"/>
      <c r="AC427" s="1214"/>
      <c r="AD427" s="384"/>
      <c r="AE427" s="384"/>
    </row>
    <row r="428" spans="1:31" s="498" customFormat="1" ht="57.75" customHeight="1">
      <c r="A428" s="383">
        <v>21</v>
      </c>
      <c r="B428" s="383" t="s">
        <v>1795</v>
      </c>
      <c r="C428" s="623" t="s">
        <v>66</v>
      </c>
      <c r="D428" s="623" t="s">
        <v>196</v>
      </c>
      <c r="E428" s="623" t="s">
        <v>66</v>
      </c>
      <c r="F428" s="383">
        <v>15</v>
      </c>
      <c r="G428" s="383"/>
      <c r="H428" s="1237"/>
      <c r="I428" s="1237" t="s">
        <v>1040</v>
      </c>
      <c r="J428" s="1265" t="s">
        <v>1921</v>
      </c>
      <c r="K428" s="1219">
        <v>1</v>
      </c>
      <c r="L428" s="693">
        <f>SUM(L429:L432)</f>
        <v>5297069717</v>
      </c>
      <c r="M428" s="1250">
        <v>1</v>
      </c>
      <c r="N428" s="1210">
        <f>SUM(N429:N432)</f>
        <v>4344766570</v>
      </c>
      <c r="O428" s="1250">
        <v>1</v>
      </c>
      <c r="P428" s="1210">
        <f>SUM(P429:P432)</f>
        <v>4252302661.75</v>
      </c>
      <c r="Q428" s="1212">
        <v>0.2</v>
      </c>
      <c r="R428" s="1210">
        <f>SUM(R429:R431)</f>
        <v>1070524880</v>
      </c>
      <c r="S428" s="1212"/>
      <c r="T428" s="1210"/>
      <c r="U428" s="1212"/>
      <c r="V428" s="1210"/>
      <c r="W428" s="1212"/>
      <c r="X428" s="1210"/>
      <c r="Y428" s="1214">
        <f t="shared" ref="Y428:Z431" si="104">Q428+S428+U428+W428</f>
        <v>0.2</v>
      </c>
      <c r="Z428" s="1211">
        <f t="shared" si="104"/>
        <v>1070524880</v>
      </c>
      <c r="AA428" s="1212">
        <f t="shared" ref="AA428:AB432" si="105">M428+Y428</f>
        <v>1.2</v>
      </c>
      <c r="AB428" s="1211">
        <f t="shared" si="105"/>
        <v>5415291450</v>
      </c>
      <c r="AC428" s="1214">
        <f t="shared" ref="AC428:AD432" si="106">AA428/K428*100%</f>
        <v>1.2</v>
      </c>
      <c r="AD428" s="1223">
        <f t="shared" si="106"/>
        <v>1.022318326795018</v>
      </c>
      <c r="AE428" s="657" t="s">
        <v>1042</v>
      </c>
    </row>
    <row r="429" spans="1:31" s="498" customFormat="1" ht="33.75" customHeight="1">
      <c r="A429" s="383"/>
      <c r="B429" s="383"/>
      <c r="C429" s="623" t="s">
        <v>66</v>
      </c>
      <c r="D429" s="623" t="s">
        <v>196</v>
      </c>
      <c r="E429" s="623" t="s">
        <v>66</v>
      </c>
      <c r="F429" s="383">
        <v>15</v>
      </c>
      <c r="G429" s="383">
        <v>35</v>
      </c>
      <c r="H429" s="1237"/>
      <c r="I429" s="1200" t="s">
        <v>1922</v>
      </c>
      <c r="J429" s="1200" t="s">
        <v>1923</v>
      </c>
      <c r="K429" s="1219">
        <v>1</v>
      </c>
      <c r="L429" s="1246">
        <v>758135097</v>
      </c>
      <c r="M429" s="1285">
        <v>1</v>
      </c>
      <c r="N429" s="1221">
        <v>490204900</v>
      </c>
      <c r="O429" s="1285">
        <v>1</v>
      </c>
      <c r="P429" s="681">
        <v>647923854</v>
      </c>
      <c r="Q429" s="1195">
        <v>0.15</v>
      </c>
      <c r="R429" s="590">
        <v>83630550</v>
      </c>
      <c r="S429" s="1195"/>
      <c r="T429" s="1202"/>
      <c r="U429" s="1195"/>
      <c r="V429" s="1202"/>
      <c r="W429" s="1195"/>
      <c r="X429" s="1202"/>
      <c r="Y429" s="1214">
        <f t="shared" si="104"/>
        <v>0.15</v>
      </c>
      <c r="Z429" s="1211">
        <f t="shared" si="104"/>
        <v>83630550</v>
      </c>
      <c r="AA429" s="1193">
        <f t="shared" si="105"/>
        <v>1.1499999999999999</v>
      </c>
      <c r="AB429" s="1194">
        <f t="shared" si="105"/>
        <v>573835450</v>
      </c>
      <c r="AC429" s="1214">
        <f t="shared" si="106"/>
        <v>1.1499999999999999</v>
      </c>
      <c r="AD429" s="1223">
        <f t="shared" si="106"/>
        <v>0.75690395058969284</v>
      </c>
      <c r="AE429" s="657"/>
    </row>
    <row r="430" spans="1:31" s="498" customFormat="1" ht="33.75" customHeight="1">
      <c r="A430" s="383"/>
      <c r="B430" s="383"/>
      <c r="C430" s="623" t="s">
        <v>66</v>
      </c>
      <c r="D430" s="623" t="s">
        <v>196</v>
      </c>
      <c r="E430" s="623" t="s">
        <v>66</v>
      </c>
      <c r="F430" s="383">
        <v>15</v>
      </c>
      <c r="G430" s="383">
        <v>36</v>
      </c>
      <c r="H430" s="1237"/>
      <c r="I430" s="1200" t="s">
        <v>1924</v>
      </c>
      <c r="J430" s="1200" t="s">
        <v>1925</v>
      </c>
      <c r="K430" s="1219">
        <v>1</v>
      </c>
      <c r="L430" s="1246">
        <v>3188934620</v>
      </c>
      <c r="M430" s="1285">
        <v>1</v>
      </c>
      <c r="N430" s="1221">
        <v>2541615820</v>
      </c>
      <c r="O430" s="1285">
        <v>1</v>
      </c>
      <c r="P430" s="1221">
        <v>2576752907.75</v>
      </c>
      <c r="Q430" s="1195">
        <v>0.3</v>
      </c>
      <c r="R430" s="1202">
        <v>802181280</v>
      </c>
      <c r="S430" s="591"/>
      <c r="T430" s="1202"/>
      <c r="U430" s="1195"/>
      <c r="V430" s="1202"/>
      <c r="W430" s="1195"/>
      <c r="X430" s="1202"/>
      <c r="Y430" s="1214">
        <f t="shared" si="104"/>
        <v>0.3</v>
      </c>
      <c r="Z430" s="1211">
        <f t="shared" si="104"/>
        <v>802181280</v>
      </c>
      <c r="AA430" s="1193">
        <f t="shared" si="105"/>
        <v>1.3</v>
      </c>
      <c r="AB430" s="1194">
        <f t="shared" si="105"/>
        <v>3343797100</v>
      </c>
      <c r="AC430" s="1214">
        <f t="shared" si="106"/>
        <v>1.3</v>
      </c>
      <c r="AD430" s="1223">
        <f t="shared" si="106"/>
        <v>1.0485624506155602</v>
      </c>
      <c r="AE430" s="657"/>
    </row>
    <row r="431" spans="1:31" s="498" customFormat="1" ht="36" customHeight="1">
      <c r="A431" s="383"/>
      <c r="B431" s="383"/>
      <c r="C431" s="623" t="s">
        <v>66</v>
      </c>
      <c r="D431" s="623" t="s">
        <v>196</v>
      </c>
      <c r="E431" s="623" t="s">
        <v>66</v>
      </c>
      <c r="F431" s="383">
        <v>15</v>
      </c>
      <c r="G431" s="383">
        <v>37</v>
      </c>
      <c r="H431" s="1237"/>
      <c r="I431" s="1200" t="s">
        <v>1926</v>
      </c>
      <c r="J431" s="1200" t="s">
        <v>1927</v>
      </c>
      <c r="K431" s="1219">
        <v>1</v>
      </c>
      <c r="L431" s="1246">
        <v>1200000000</v>
      </c>
      <c r="M431" s="1285">
        <v>1</v>
      </c>
      <c r="N431" s="1221">
        <v>1085133050</v>
      </c>
      <c r="O431" s="1285">
        <v>1</v>
      </c>
      <c r="P431" s="1221">
        <v>1027625900</v>
      </c>
      <c r="Q431" s="1195">
        <v>0.18</v>
      </c>
      <c r="R431" s="1202">
        <v>184713050</v>
      </c>
      <c r="S431" s="1195"/>
      <c r="T431" s="1202"/>
      <c r="U431" s="1195"/>
      <c r="V431" s="1202"/>
      <c r="W431" s="1195"/>
      <c r="X431" s="1202"/>
      <c r="Y431" s="1214">
        <f t="shared" si="104"/>
        <v>0.18</v>
      </c>
      <c r="Z431" s="1211">
        <f t="shared" si="104"/>
        <v>184713050</v>
      </c>
      <c r="AA431" s="1193">
        <f t="shared" si="105"/>
        <v>1.18</v>
      </c>
      <c r="AB431" s="1194">
        <f t="shared" si="105"/>
        <v>1269846100</v>
      </c>
      <c r="AC431" s="1214">
        <f t="shared" si="106"/>
        <v>1.18</v>
      </c>
      <c r="AD431" s="1223">
        <f t="shared" si="106"/>
        <v>1.0582050833333334</v>
      </c>
      <c r="AE431" s="657"/>
    </row>
    <row r="432" spans="1:31" s="494" customFormat="1" ht="25.5">
      <c r="A432" s="384"/>
      <c r="B432" s="384"/>
      <c r="C432" s="623" t="s">
        <v>66</v>
      </c>
      <c r="D432" s="623" t="s">
        <v>196</v>
      </c>
      <c r="E432" s="623" t="s">
        <v>66</v>
      </c>
      <c r="F432" s="383">
        <v>15</v>
      </c>
      <c r="G432" s="383">
        <v>38</v>
      </c>
      <c r="H432" s="1236"/>
      <c r="I432" s="1200" t="s">
        <v>1928</v>
      </c>
      <c r="J432" s="384" t="s">
        <v>1929</v>
      </c>
      <c r="K432" s="1219">
        <v>1</v>
      </c>
      <c r="L432" s="1202">
        <v>150000000</v>
      </c>
      <c r="M432" s="1285">
        <v>1</v>
      </c>
      <c r="N432" s="1202">
        <v>227812800</v>
      </c>
      <c r="O432" s="1259"/>
      <c r="P432" s="629"/>
      <c r="Q432" s="384"/>
      <c r="R432" s="629"/>
      <c r="S432" s="1193"/>
      <c r="T432" s="629"/>
      <c r="U432" s="1193"/>
      <c r="V432" s="629"/>
      <c r="W432" s="1193"/>
      <c r="X432" s="1202"/>
      <c r="Y432" s="1195">
        <f>W432</f>
        <v>0</v>
      </c>
      <c r="Z432" s="1194">
        <f>X432</f>
        <v>0</v>
      </c>
      <c r="AA432" s="1193">
        <f t="shared" si="105"/>
        <v>1</v>
      </c>
      <c r="AB432" s="1194">
        <f t="shared" si="105"/>
        <v>227812800</v>
      </c>
      <c r="AC432" s="1214">
        <f t="shared" si="106"/>
        <v>1</v>
      </c>
      <c r="AD432" s="1223">
        <f t="shared" si="106"/>
        <v>1.5187520000000001</v>
      </c>
      <c r="AE432" s="384"/>
    </row>
    <row r="433" spans="1:31" s="494" customFormat="1" ht="27.75" customHeight="1">
      <c r="A433" s="4335" t="s">
        <v>89</v>
      </c>
      <c r="B433" s="4335"/>
      <c r="C433" s="4335"/>
      <c r="D433" s="4335"/>
      <c r="E433" s="4335"/>
      <c r="F433" s="4335"/>
      <c r="G433" s="4335"/>
      <c r="H433" s="4335"/>
      <c r="I433" s="4335"/>
      <c r="J433" s="4335"/>
      <c r="K433" s="4335"/>
      <c r="L433" s="4335"/>
      <c r="M433" s="4335"/>
      <c r="N433" s="4335"/>
      <c r="O433" s="4335"/>
      <c r="P433" s="4335"/>
      <c r="Q433" s="4335"/>
      <c r="R433" s="4335"/>
      <c r="S433" s="4335"/>
      <c r="T433" s="4335"/>
      <c r="U433" s="4335"/>
      <c r="V433" s="4335"/>
      <c r="W433" s="4335"/>
      <c r="X433" s="4335"/>
      <c r="Y433" s="4335"/>
      <c r="Z433" s="4335"/>
      <c r="AA433" s="4335"/>
      <c r="AB433" s="4335"/>
      <c r="AC433" s="1195">
        <f>AVERAGE(AC430:AC432)</f>
        <v>1.1599999999999999</v>
      </c>
      <c r="AD433" s="1195">
        <f>AD423</f>
        <v>0.93473799999999996</v>
      </c>
      <c r="AE433" s="384"/>
    </row>
    <row r="434" spans="1:31" s="494" customFormat="1">
      <c r="A434" s="4335" t="s">
        <v>1679</v>
      </c>
      <c r="B434" s="4335"/>
      <c r="C434" s="4335"/>
      <c r="D434" s="4335"/>
      <c r="E434" s="4335"/>
      <c r="F434" s="4335"/>
      <c r="G434" s="4335"/>
      <c r="H434" s="4335"/>
      <c r="I434" s="4335"/>
      <c r="J434" s="4335"/>
      <c r="K434" s="4335"/>
      <c r="L434" s="4335"/>
      <c r="M434" s="4335"/>
      <c r="N434" s="4335"/>
      <c r="O434" s="4335"/>
      <c r="P434" s="4335"/>
      <c r="Q434" s="4335"/>
      <c r="R434" s="4335"/>
      <c r="S434" s="4335"/>
      <c r="T434" s="4335"/>
      <c r="U434" s="4335"/>
      <c r="V434" s="4335"/>
      <c r="W434" s="4335"/>
      <c r="X434" s="4335"/>
      <c r="Y434" s="4335"/>
      <c r="Z434" s="4335"/>
      <c r="AA434" s="4335"/>
      <c r="AB434" s="4335"/>
      <c r="AC434" s="384"/>
      <c r="AD434" s="384"/>
      <c r="AE434" s="384"/>
    </row>
    <row r="435" spans="1:31" s="494" customFormat="1">
      <c r="A435" s="1286"/>
      <c r="B435" s="1286"/>
      <c r="C435" s="1286"/>
      <c r="D435" s="1286"/>
      <c r="E435" s="1286"/>
      <c r="F435" s="1286"/>
      <c r="G435" s="1286"/>
      <c r="H435" s="1286"/>
      <c r="I435" s="1287"/>
      <c r="J435" s="1286"/>
      <c r="K435" s="1286"/>
      <c r="L435" s="1286"/>
      <c r="M435" s="1286"/>
      <c r="N435" s="1286"/>
      <c r="O435" s="1288"/>
      <c r="P435" s="1289"/>
      <c r="Q435" s="1286"/>
      <c r="R435" s="1286"/>
      <c r="S435" s="1286"/>
      <c r="T435" s="1286"/>
      <c r="U435" s="1286"/>
      <c r="V435" s="1286"/>
      <c r="W435" s="1290"/>
      <c r="X435" s="1289"/>
      <c r="Y435" s="1291"/>
      <c r="Z435" s="1292"/>
      <c r="AA435" s="1290"/>
      <c r="AB435" s="1292"/>
      <c r="AC435" s="1286"/>
      <c r="AD435" s="1286"/>
      <c r="AE435" s="1286"/>
    </row>
    <row r="436" spans="1:31" s="494" customFormat="1" ht="13.5" thickBot="1">
      <c r="A436" s="4369"/>
      <c r="B436" s="4369"/>
      <c r="C436" s="4369"/>
      <c r="D436" s="4369"/>
      <c r="E436" s="4369"/>
      <c r="F436" s="4369"/>
      <c r="G436" s="4369"/>
      <c r="H436" s="4369"/>
      <c r="I436" s="4369"/>
      <c r="J436" s="4369"/>
      <c r="K436" s="4369"/>
      <c r="L436" s="4369"/>
      <c r="M436" s="4369"/>
      <c r="N436" s="4369"/>
      <c r="O436" s="4369"/>
      <c r="P436" s="4369"/>
      <c r="Q436" s="4369"/>
      <c r="R436" s="4369"/>
      <c r="S436" s="4369"/>
      <c r="T436" s="4369"/>
      <c r="U436" s="4369"/>
      <c r="V436" s="4369"/>
      <c r="W436" s="4369"/>
      <c r="X436" s="4369"/>
      <c r="Y436" s="4369"/>
      <c r="Z436" s="4370"/>
      <c r="AA436" s="493"/>
      <c r="AB436" s="493"/>
      <c r="AC436" s="385"/>
    </row>
    <row r="437" spans="1:31" s="494" customFormat="1" ht="18.75" customHeight="1" thickBot="1">
      <c r="A437" s="4366" t="s">
        <v>1230</v>
      </c>
      <c r="B437" s="4367"/>
      <c r="C437" s="1293"/>
      <c r="D437" s="1293"/>
      <c r="E437" s="1293"/>
      <c r="F437" s="1293"/>
      <c r="G437" s="1293"/>
      <c r="H437" s="1293"/>
      <c r="I437" s="1293"/>
      <c r="J437" s="1293"/>
      <c r="K437" s="1293"/>
      <c r="L437" s="1293"/>
      <c r="M437" s="1293"/>
      <c r="N437" s="1293"/>
      <c r="O437" s="1293"/>
      <c r="P437" s="1293"/>
      <c r="Q437" s="1294"/>
      <c r="R437" s="1294"/>
      <c r="S437" s="1294"/>
      <c r="T437" s="1294"/>
      <c r="U437" s="1294"/>
      <c r="V437" s="1294"/>
      <c r="W437" s="1294"/>
      <c r="X437" s="1294"/>
      <c r="Y437" s="1294"/>
      <c r="Z437" s="1294"/>
      <c r="AA437" s="1294"/>
      <c r="AB437" s="1294"/>
      <c r="AC437" s="1294"/>
      <c r="AD437" s="1294"/>
      <c r="AE437" s="1294"/>
    </row>
    <row r="438" spans="1:31" s="494" customFormat="1" ht="18.75" customHeight="1" thickBot="1">
      <c r="A438" s="4371" t="s">
        <v>1930</v>
      </c>
      <c r="B438" s="4372"/>
      <c r="C438" s="1293"/>
      <c r="D438" s="1293"/>
      <c r="E438" s="1293"/>
      <c r="F438" s="1293"/>
      <c r="G438" s="1293"/>
      <c r="H438" s="1293"/>
      <c r="I438" s="1293"/>
      <c r="J438" s="1293"/>
      <c r="K438" s="1293"/>
      <c r="L438" s="1293"/>
      <c r="M438" s="1293"/>
      <c r="N438" s="1293"/>
      <c r="O438" s="1293"/>
      <c r="P438" s="1293"/>
      <c r="Q438" s="1293"/>
      <c r="R438" s="1293"/>
      <c r="S438" s="1293"/>
      <c r="T438" s="1293"/>
      <c r="U438" s="1293"/>
      <c r="V438" s="1293"/>
      <c r="W438" s="1293"/>
      <c r="X438" s="1293"/>
      <c r="Y438" s="1293"/>
      <c r="Z438" s="1293"/>
      <c r="AA438" s="1293"/>
      <c r="AB438" s="1293"/>
      <c r="AC438" s="1293"/>
      <c r="AD438" s="1293"/>
      <c r="AE438" s="1293"/>
    </row>
    <row r="439" spans="1:31" s="494" customFormat="1" ht="34.5" customHeight="1" thickBot="1">
      <c r="A439" s="4371" t="s">
        <v>1931</v>
      </c>
      <c r="B439" s="4372"/>
      <c r="C439" s="1293"/>
      <c r="D439" s="1293"/>
      <c r="E439" s="1293"/>
      <c r="F439" s="1293"/>
      <c r="G439" s="1293"/>
      <c r="H439" s="1293"/>
      <c r="I439" s="4366" t="s">
        <v>1932</v>
      </c>
      <c r="J439" s="4373"/>
      <c r="K439" s="1295"/>
      <c r="L439" s="1295"/>
      <c r="M439" s="1295"/>
      <c r="N439" s="1295"/>
      <c r="O439" s="1295"/>
      <c r="P439" s="1295"/>
      <c r="Q439" s="1295"/>
      <c r="R439" s="1295"/>
      <c r="S439" s="1295"/>
      <c r="T439" s="1295"/>
      <c r="U439" s="1295"/>
      <c r="V439" s="1295"/>
      <c r="W439" s="1295"/>
      <c r="X439" s="1295"/>
      <c r="Y439" s="1295"/>
      <c r="Z439" s="1295"/>
      <c r="AA439" s="1295"/>
      <c r="AB439" s="1295"/>
      <c r="AC439" s="1295"/>
      <c r="AD439" s="1295"/>
      <c r="AE439" s="1296"/>
    </row>
    <row r="440" spans="1:31" s="494" customFormat="1" ht="55.5" customHeight="1" thickBot="1">
      <c r="A440" s="4366" t="s">
        <v>1933</v>
      </c>
      <c r="B440" s="4367"/>
      <c r="C440" s="1293"/>
      <c r="D440" s="1293"/>
      <c r="E440" s="1293"/>
      <c r="F440" s="1293"/>
      <c r="G440" s="1293"/>
      <c r="H440" s="1293"/>
      <c r="I440" s="1293"/>
      <c r="J440" s="1293"/>
      <c r="K440" s="1293"/>
      <c r="L440" s="1293"/>
      <c r="M440" s="1293"/>
      <c r="N440" s="1293"/>
      <c r="O440" s="1293"/>
      <c r="P440" s="1293"/>
      <c r="Q440" s="1293"/>
      <c r="R440" s="1293"/>
      <c r="S440" s="1293"/>
      <c r="T440" s="1293"/>
      <c r="U440" s="1293"/>
      <c r="V440" s="1293"/>
      <c r="W440" s="1293"/>
      <c r="X440" s="1293"/>
      <c r="Y440" s="1293"/>
      <c r="Z440" s="1293"/>
      <c r="AA440" s="1293"/>
      <c r="AB440" s="1293"/>
      <c r="AC440" s="1293"/>
      <c r="AD440" s="1293"/>
      <c r="AE440" s="1293"/>
    </row>
    <row r="441" spans="1:31" s="494" customFormat="1" ht="39" customHeight="1" thickBot="1">
      <c r="A441" s="4366" t="s">
        <v>1934</v>
      </c>
      <c r="B441" s="4367"/>
      <c r="C441" s="1293"/>
      <c r="D441" s="1293"/>
      <c r="E441" s="1293"/>
      <c r="F441" s="1293"/>
      <c r="G441" s="1293"/>
      <c r="H441" s="1293"/>
      <c r="I441" s="1293"/>
      <c r="J441" s="1293"/>
      <c r="K441" s="1293"/>
      <c r="L441" s="1293"/>
      <c r="M441" s="1293"/>
      <c r="N441" s="1293"/>
      <c r="O441" s="1293"/>
      <c r="P441" s="1293"/>
      <c r="Q441" s="1293"/>
      <c r="R441" s="1293"/>
      <c r="S441" s="1293"/>
      <c r="T441" s="1293"/>
      <c r="U441" s="1293"/>
      <c r="V441" s="1293"/>
      <c r="W441" s="1293"/>
      <c r="X441" s="1293"/>
      <c r="Y441" s="1293"/>
      <c r="Z441" s="1293"/>
      <c r="AA441" s="1293"/>
      <c r="AB441" s="1293"/>
      <c r="AC441" s="1293"/>
      <c r="AD441" s="1293"/>
      <c r="AE441" s="1293"/>
    </row>
    <row r="442" spans="1:31" ht="22.5" customHeight="1">
      <c r="A442" s="56"/>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382"/>
      <c r="Z442" s="56"/>
      <c r="AA442" s="56"/>
      <c r="AB442" s="56"/>
      <c r="AC442" s="56"/>
      <c r="AD442" s="56"/>
      <c r="AE442" s="56"/>
    </row>
    <row r="443" spans="1:31" s="69" customFormat="1" ht="38.25" customHeight="1">
      <c r="A443" s="731">
        <v>4</v>
      </c>
      <c r="B443" s="67"/>
      <c r="C443" s="67"/>
      <c r="D443" s="67"/>
      <c r="E443" s="67"/>
      <c r="F443" s="67"/>
      <c r="G443" s="67"/>
      <c r="H443" s="67"/>
      <c r="I443" s="68" t="s">
        <v>130</v>
      </c>
      <c r="J443" s="67"/>
      <c r="K443" s="67"/>
      <c r="L443" s="67"/>
      <c r="M443" s="67"/>
      <c r="N443" s="67"/>
      <c r="O443" s="67"/>
      <c r="P443" s="67"/>
      <c r="Q443" s="67"/>
      <c r="R443" s="67"/>
      <c r="S443" s="67"/>
      <c r="T443" s="67"/>
      <c r="U443" s="67"/>
      <c r="V443" s="67"/>
      <c r="W443" s="67"/>
      <c r="X443" s="67"/>
      <c r="Y443" s="366"/>
      <c r="Z443" s="67"/>
      <c r="AA443" s="67"/>
      <c r="AB443" s="67"/>
      <c r="AC443" s="67"/>
      <c r="AD443" s="67"/>
      <c r="AE443" s="67"/>
    </row>
    <row r="444" spans="1:31" ht="22.5" customHeight="1">
      <c r="A444" s="56"/>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382"/>
      <c r="Z444" s="56"/>
      <c r="AA444" s="56"/>
      <c r="AB444" s="56"/>
      <c r="AC444" s="56"/>
      <c r="AD444" s="56"/>
      <c r="AE444" s="56"/>
    </row>
    <row r="445" spans="1:31" s="69" customFormat="1" ht="64.5" customHeight="1">
      <c r="A445" s="731">
        <v>5</v>
      </c>
      <c r="B445" s="67"/>
      <c r="C445" s="67"/>
      <c r="D445" s="67"/>
      <c r="E445" s="67"/>
      <c r="F445" s="67"/>
      <c r="G445" s="67"/>
      <c r="H445" s="67"/>
      <c r="I445" s="68" t="s">
        <v>132</v>
      </c>
      <c r="J445" s="67"/>
      <c r="K445" s="67"/>
      <c r="L445" s="67"/>
      <c r="M445" s="67"/>
      <c r="N445" s="67"/>
      <c r="O445" s="67"/>
      <c r="P445" s="67"/>
      <c r="Q445" s="67"/>
      <c r="R445" s="67"/>
      <c r="S445" s="67"/>
      <c r="T445" s="67"/>
      <c r="U445" s="67"/>
      <c r="V445" s="67"/>
      <c r="W445" s="67"/>
      <c r="X445" s="67"/>
      <c r="Y445" s="366"/>
      <c r="Z445" s="67"/>
      <c r="AA445" s="67"/>
      <c r="AB445" s="67"/>
      <c r="AC445" s="67"/>
      <c r="AD445" s="67"/>
      <c r="AE445" s="67"/>
    </row>
    <row r="446" spans="1:31" ht="22.5" customHeight="1">
      <c r="A446" s="56"/>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382"/>
      <c r="Z446" s="56"/>
      <c r="AA446" s="56"/>
      <c r="AB446" s="56"/>
      <c r="AC446" s="56"/>
      <c r="AD446" s="56"/>
      <c r="AE446" s="56"/>
    </row>
    <row r="447" spans="1:31" s="69" customFormat="1" ht="23.25" customHeight="1">
      <c r="A447" s="67">
        <v>6</v>
      </c>
      <c r="B447" s="67"/>
      <c r="C447" s="67"/>
      <c r="D447" s="67"/>
      <c r="E447" s="67"/>
      <c r="F447" s="67"/>
      <c r="G447" s="67"/>
      <c r="H447" s="67"/>
      <c r="I447" s="68" t="s">
        <v>131</v>
      </c>
      <c r="J447" s="67"/>
      <c r="K447" s="67"/>
      <c r="L447" s="67"/>
      <c r="M447" s="67"/>
      <c r="N447" s="67"/>
      <c r="O447" s="67"/>
      <c r="P447" s="67"/>
      <c r="Q447" s="67"/>
      <c r="R447" s="67"/>
      <c r="S447" s="67"/>
      <c r="T447" s="67"/>
      <c r="U447" s="67"/>
      <c r="V447" s="67"/>
      <c r="W447" s="67"/>
      <c r="X447" s="67"/>
      <c r="Y447" s="366"/>
      <c r="Z447" s="67"/>
      <c r="AA447" s="67"/>
      <c r="AB447" s="67"/>
      <c r="AC447" s="67"/>
      <c r="AD447" s="67"/>
      <c r="AE447" s="67"/>
    </row>
    <row r="448" spans="1:31" ht="22.5" customHeight="1">
      <c r="A448" s="56"/>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382"/>
      <c r="Z448" s="56"/>
      <c r="AA448" s="56"/>
      <c r="AB448" s="56"/>
      <c r="AC448" s="56"/>
      <c r="AD448" s="56"/>
      <c r="AE448" s="56"/>
    </row>
    <row r="449" spans="1:33" s="69" customFormat="1" ht="56.25" customHeight="1">
      <c r="A449" s="72"/>
      <c r="B449" s="72"/>
      <c r="C449" s="72"/>
      <c r="D449" s="72"/>
      <c r="E449" s="72"/>
      <c r="F449" s="72"/>
      <c r="G449" s="72"/>
      <c r="H449" s="72"/>
      <c r="I449" s="73" t="s">
        <v>134</v>
      </c>
      <c r="J449" s="72"/>
      <c r="K449" s="72"/>
      <c r="L449" s="72"/>
      <c r="M449" s="72"/>
      <c r="N449" s="72"/>
      <c r="O449" s="72"/>
      <c r="P449" s="72"/>
      <c r="Q449" s="72"/>
      <c r="R449" s="72"/>
      <c r="S449" s="72"/>
      <c r="T449" s="72"/>
      <c r="U449" s="72"/>
      <c r="V449" s="72"/>
      <c r="W449" s="72"/>
      <c r="X449" s="72"/>
      <c r="Y449" s="561"/>
      <c r="Z449" s="72"/>
      <c r="AA449" s="72"/>
      <c r="AB449" s="72"/>
      <c r="AC449" s="72"/>
      <c r="AD449" s="72"/>
      <c r="AE449" s="72"/>
    </row>
    <row r="450" spans="1:33" s="69" customFormat="1" ht="24.75" customHeight="1">
      <c r="A450" s="67">
        <v>7</v>
      </c>
      <c r="B450" s="67"/>
      <c r="C450" s="67"/>
      <c r="D450" s="67"/>
      <c r="E450" s="67"/>
      <c r="F450" s="67"/>
      <c r="G450" s="67"/>
      <c r="H450" s="67"/>
      <c r="I450" s="68" t="s">
        <v>133</v>
      </c>
      <c r="J450" s="67"/>
      <c r="K450" s="67"/>
      <c r="L450" s="67"/>
      <c r="M450" s="67"/>
      <c r="N450" s="67"/>
      <c r="O450" s="67"/>
      <c r="P450" s="67"/>
      <c r="Q450" s="67"/>
      <c r="R450" s="67"/>
      <c r="S450" s="67"/>
      <c r="T450" s="67"/>
      <c r="U450" s="67"/>
      <c r="V450" s="67"/>
      <c r="W450" s="67"/>
      <c r="X450" s="67"/>
      <c r="Y450" s="366"/>
      <c r="Z450" s="67"/>
      <c r="AA450" s="67"/>
      <c r="AB450" s="67"/>
      <c r="AC450" s="67"/>
      <c r="AD450" s="67"/>
      <c r="AE450" s="67"/>
    </row>
    <row r="451" spans="1:33" s="1129" customFormat="1" ht="68.25" customHeight="1">
      <c r="A451" s="1115" t="s">
        <v>66</v>
      </c>
      <c r="B451" s="1131" t="s">
        <v>1520</v>
      </c>
      <c r="C451" s="1115" t="s">
        <v>65</v>
      </c>
      <c r="D451" s="1115" t="s">
        <v>66</v>
      </c>
      <c r="E451" s="1115" t="s">
        <v>66</v>
      </c>
      <c r="F451" s="1115" t="s">
        <v>66</v>
      </c>
      <c r="G451" s="1115"/>
      <c r="H451" s="1117"/>
      <c r="I451" s="1118" t="s">
        <v>221</v>
      </c>
      <c r="J451" s="1117"/>
      <c r="K451" s="1119">
        <v>72</v>
      </c>
      <c r="L451" s="1120">
        <f>SUM(L452:L476)</f>
        <v>3669760101</v>
      </c>
      <c r="M451" s="1121">
        <v>24</v>
      </c>
      <c r="N451" s="1122">
        <f>SUM(N452:N476)</f>
        <v>0</v>
      </c>
      <c r="O451" s="1123">
        <v>12</v>
      </c>
      <c r="P451" s="1124">
        <f>SUM(P452:P476)</f>
        <v>590536850</v>
      </c>
      <c r="Q451" s="1863">
        <v>3</v>
      </c>
      <c r="R451" s="1866">
        <f>SUM(R452:R476)</f>
        <v>102335695</v>
      </c>
      <c r="S451" s="1861"/>
      <c r="T451" s="1125"/>
      <c r="U451" s="1117"/>
      <c r="V451" s="1865"/>
      <c r="W451" s="1117"/>
      <c r="X451" s="1117"/>
      <c r="Y451" s="1126">
        <f>Q451+S451+U451+W451</f>
        <v>3</v>
      </c>
      <c r="Z451" s="1866">
        <f>R451+T451+V451+X451</f>
        <v>102335695</v>
      </c>
      <c r="AA451" s="1865">
        <f>Y451+M451</f>
        <v>27</v>
      </c>
      <c r="AB451" s="1866">
        <f>Z451+N451</f>
        <v>102335695</v>
      </c>
      <c r="AC451" s="1121">
        <f>AA451/K451*100</f>
        <v>37.5</v>
      </c>
      <c r="AD451" s="1127">
        <f>AB451/L451*100</f>
        <v>2.7886208412401072</v>
      </c>
      <c r="AE451" s="1861"/>
      <c r="AF451" s="1128"/>
      <c r="AG451" s="1128"/>
    </row>
    <row r="452" spans="1:33" s="1134" customFormat="1" ht="39.75" customHeight="1">
      <c r="A452" s="1130"/>
      <c r="B452" s="1131"/>
      <c r="C452" s="1115" t="s">
        <v>65</v>
      </c>
      <c r="D452" s="1115" t="s">
        <v>66</v>
      </c>
      <c r="E452" s="1115" t="s">
        <v>66</v>
      </c>
      <c r="F452" s="1115" t="s">
        <v>66</v>
      </c>
      <c r="G452" s="1115"/>
      <c r="H452" s="1132" t="s">
        <v>65</v>
      </c>
      <c r="I452" s="1189" t="s">
        <v>1521</v>
      </c>
      <c r="J452" s="1880" t="s">
        <v>1522</v>
      </c>
      <c r="K452" s="4359">
        <v>72</v>
      </c>
      <c r="L452" s="4364">
        <v>281676000</v>
      </c>
      <c r="M452" s="4359">
        <v>24</v>
      </c>
      <c r="N452" s="4368">
        <v>0</v>
      </c>
      <c r="O452" s="4359">
        <v>12</v>
      </c>
      <c r="P452" s="4376">
        <v>36000000</v>
      </c>
      <c r="Q452" s="4365">
        <v>3</v>
      </c>
      <c r="R452" s="4364">
        <v>6382445</v>
      </c>
      <c r="S452" s="4365"/>
      <c r="T452" s="4377"/>
      <c r="U452" s="4379"/>
      <c r="V452" s="4364"/>
      <c r="W452" s="4380"/>
      <c r="X452" s="4376"/>
      <c r="Y452" s="4375">
        <f>Q452+S452+U452+W452</f>
        <v>3</v>
      </c>
      <c r="Z452" s="4364">
        <f>R452+T452+V452+X452</f>
        <v>6382445</v>
      </c>
      <c r="AA452" s="4359">
        <f>M452+Y452</f>
        <v>27</v>
      </c>
      <c r="AB452" s="4360">
        <f>N452+Z452</f>
        <v>6382445</v>
      </c>
      <c r="AC452" s="4359">
        <f>AA452/K452*100</f>
        <v>37.5</v>
      </c>
      <c r="AD452" s="4364">
        <f>AB452/L452*100</f>
        <v>2.2658817222624577</v>
      </c>
      <c r="AE452" s="4365" t="s">
        <v>1523</v>
      </c>
      <c r="AF452" s="1133"/>
      <c r="AG452" s="1133"/>
    </row>
    <row r="453" spans="1:33" s="1134" customFormat="1" ht="25.5" customHeight="1">
      <c r="A453" s="1130"/>
      <c r="B453" s="1131"/>
      <c r="C453" s="1130"/>
      <c r="D453" s="1130"/>
      <c r="E453" s="1130"/>
      <c r="F453" s="1130"/>
      <c r="G453" s="1130"/>
      <c r="H453" s="1130"/>
      <c r="I453" s="1137"/>
      <c r="J453" s="1135" t="s">
        <v>1524</v>
      </c>
      <c r="K453" s="4359"/>
      <c r="L453" s="4364"/>
      <c r="M453" s="4359"/>
      <c r="N453" s="4368"/>
      <c r="O453" s="4359"/>
      <c r="P453" s="4376"/>
      <c r="Q453" s="4365"/>
      <c r="R453" s="4364"/>
      <c r="S453" s="4365"/>
      <c r="T453" s="4377"/>
      <c r="U453" s="4365"/>
      <c r="V453" s="4364"/>
      <c r="W453" s="4381"/>
      <c r="X453" s="4376"/>
      <c r="Y453" s="4375"/>
      <c r="Z453" s="4364"/>
      <c r="AA453" s="4359"/>
      <c r="AB453" s="4360"/>
      <c r="AC453" s="4359"/>
      <c r="AD453" s="4364"/>
      <c r="AE453" s="4365"/>
      <c r="AF453" s="1133"/>
      <c r="AG453" s="1133"/>
    </row>
    <row r="454" spans="1:33" s="1134" customFormat="1" ht="36.75" customHeight="1">
      <c r="A454" s="1130"/>
      <c r="B454" s="1131"/>
      <c r="C454" s="1115" t="s">
        <v>65</v>
      </c>
      <c r="D454" s="1115" t="s">
        <v>66</v>
      </c>
      <c r="E454" s="1115" t="s">
        <v>66</v>
      </c>
      <c r="F454" s="1115" t="s">
        <v>66</v>
      </c>
      <c r="G454" s="1115"/>
      <c r="H454" s="1132" t="s">
        <v>198</v>
      </c>
      <c r="I454" s="4378" t="s">
        <v>1287</v>
      </c>
      <c r="J454" s="1136" t="s">
        <v>1525</v>
      </c>
      <c r="K454" s="4359">
        <v>72</v>
      </c>
      <c r="L454" s="4364">
        <v>0</v>
      </c>
      <c r="M454" s="4359">
        <v>24</v>
      </c>
      <c r="N454" s="4368">
        <v>0</v>
      </c>
      <c r="O454" s="4359">
        <v>12</v>
      </c>
      <c r="P454" s="4376">
        <v>77500000</v>
      </c>
      <c r="Q454" s="4365">
        <v>3</v>
      </c>
      <c r="R454" s="4364">
        <v>12300000</v>
      </c>
      <c r="S454" s="4365"/>
      <c r="T454" s="4377"/>
      <c r="U454" s="4365"/>
      <c r="V454" s="4364"/>
      <c r="W454" s="4374"/>
      <c r="X454" s="4364"/>
      <c r="Y454" s="4375">
        <f>Q454+S454+U454+W454</f>
        <v>3</v>
      </c>
      <c r="Z454" s="4364">
        <f>R454+T454+V454+X454</f>
        <v>12300000</v>
      </c>
      <c r="AA454" s="4359">
        <f>M454+Y454</f>
        <v>27</v>
      </c>
      <c r="AB454" s="4360">
        <f>N454+Z454</f>
        <v>12300000</v>
      </c>
      <c r="AC454" s="4359">
        <f>AA454/K454*100</f>
        <v>37.5</v>
      </c>
      <c r="AD454" s="4364" t="e">
        <f>AB454/L454*100</f>
        <v>#DIV/0!</v>
      </c>
      <c r="AE454" s="4365" t="s">
        <v>1523</v>
      </c>
      <c r="AF454" s="1133"/>
      <c r="AG454" s="1133"/>
    </row>
    <row r="455" spans="1:33" s="1134" customFormat="1" ht="27" customHeight="1">
      <c r="A455" s="1130"/>
      <c r="B455" s="1137"/>
      <c r="C455" s="1117"/>
      <c r="D455" s="1117"/>
      <c r="E455" s="1117"/>
      <c r="F455" s="1117"/>
      <c r="G455" s="1117"/>
      <c r="H455" s="1130"/>
      <c r="I455" s="4378"/>
      <c r="J455" s="1135" t="s">
        <v>1526</v>
      </c>
      <c r="K455" s="4359"/>
      <c r="L455" s="4364"/>
      <c r="M455" s="4359"/>
      <c r="N455" s="4368"/>
      <c r="O455" s="4359"/>
      <c r="P455" s="4376"/>
      <c r="Q455" s="4365"/>
      <c r="R455" s="4364"/>
      <c r="S455" s="4365"/>
      <c r="T455" s="4377"/>
      <c r="U455" s="4365"/>
      <c r="V455" s="4364"/>
      <c r="W455" s="4365"/>
      <c r="X455" s="4364"/>
      <c r="Y455" s="4375"/>
      <c r="Z455" s="4364"/>
      <c r="AA455" s="4359"/>
      <c r="AB455" s="4360"/>
      <c r="AC455" s="4359"/>
      <c r="AD455" s="4364"/>
      <c r="AE455" s="4365"/>
      <c r="AF455" s="1133"/>
      <c r="AG455" s="1133"/>
    </row>
    <row r="456" spans="1:33" s="1134" customFormat="1" ht="18.600000000000001" customHeight="1">
      <c r="A456" s="1130"/>
      <c r="B456" s="1137"/>
      <c r="C456" s="1115" t="s">
        <v>65</v>
      </c>
      <c r="D456" s="1115" t="s">
        <v>66</v>
      </c>
      <c r="E456" s="1115" t="s">
        <v>66</v>
      </c>
      <c r="F456" s="1115" t="s">
        <v>66</v>
      </c>
      <c r="G456" s="1115"/>
      <c r="H456" s="1132" t="s">
        <v>93</v>
      </c>
      <c r="I456" s="4378" t="s">
        <v>149</v>
      </c>
      <c r="J456" s="1135" t="s">
        <v>1527</v>
      </c>
      <c r="K456" s="4359">
        <v>72</v>
      </c>
      <c r="L456" s="4364">
        <v>1024028824</v>
      </c>
      <c r="M456" s="4359">
        <v>24</v>
      </c>
      <c r="N456" s="4368">
        <v>0</v>
      </c>
      <c r="O456" s="4359">
        <v>12</v>
      </c>
      <c r="P456" s="4376">
        <v>162175700</v>
      </c>
      <c r="Q456" s="4365">
        <v>3</v>
      </c>
      <c r="R456" s="4364">
        <v>28307350</v>
      </c>
      <c r="S456" s="4365"/>
      <c r="T456" s="4377"/>
      <c r="U456" s="4365"/>
      <c r="V456" s="4364"/>
      <c r="W456" s="4382"/>
      <c r="X456" s="4364"/>
      <c r="Y456" s="4375">
        <f>Q456+S456+U456+W456</f>
        <v>3</v>
      </c>
      <c r="Z456" s="4364">
        <f>R456+T456+V456+X456</f>
        <v>28307350</v>
      </c>
      <c r="AA456" s="4359">
        <f>M456+Y456</f>
        <v>27</v>
      </c>
      <c r="AB456" s="4360">
        <f>N456+Z456</f>
        <v>28307350</v>
      </c>
      <c r="AC456" s="4359">
        <f>AA456/K456*100</f>
        <v>37.5</v>
      </c>
      <c r="AD456" s="4364">
        <f>AB456/L456*100</f>
        <v>2.7643118373785152</v>
      </c>
      <c r="AE456" s="4365" t="s">
        <v>1523</v>
      </c>
      <c r="AF456" s="1133"/>
      <c r="AG456" s="1133"/>
    </row>
    <row r="457" spans="1:33" s="1134" customFormat="1" ht="27.75" customHeight="1">
      <c r="A457" s="1130"/>
      <c r="B457" s="1137"/>
      <c r="C457" s="1117"/>
      <c r="D457" s="1117"/>
      <c r="E457" s="1117"/>
      <c r="F457" s="1117"/>
      <c r="G457" s="1117"/>
      <c r="H457" s="1873"/>
      <c r="I457" s="4378"/>
      <c r="J457" s="1135" t="s">
        <v>1528</v>
      </c>
      <c r="K457" s="4359"/>
      <c r="L457" s="4364"/>
      <c r="M457" s="4359"/>
      <c r="N457" s="4368"/>
      <c r="O457" s="4359"/>
      <c r="P457" s="4376"/>
      <c r="Q457" s="4365"/>
      <c r="R457" s="4364"/>
      <c r="S457" s="4365"/>
      <c r="T457" s="4377"/>
      <c r="U457" s="4365"/>
      <c r="V457" s="4364"/>
      <c r="W457" s="4365"/>
      <c r="X457" s="4364"/>
      <c r="Y457" s="4375"/>
      <c r="Z457" s="4364"/>
      <c r="AA457" s="4359"/>
      <c r="AB457" s="4360"/>
      <c r="AC457" s="4359"/>
      <c r="AD457" s="4364"/>
      <c r="AE457" s="4365"/>
      <c r="AF457" s="1133"/>
      <c r="AG457" s="1133"/>
    </row>
    <row r="458" spans="1:33" s="1134" customFormat="1" ht="27.6" customHeight="1">
      <c r="A458" s="1130"/>
      <c r="B458" s="1137"/>
      <c r="C458" s="1115" t="s">
        <v>65</v>
      </c>
      <c r="D458" s="1115" t="s">
        <v>66</v>
      </c>
      <c r="E458" s="1115" t="s">
        <v>66</v>
      </c>
      <c r="F458" s="1115" t="s">
        <v>66</v>
      </c>
      <c r="G458" s="1115"/>
      <c r="H458" s="1873">
        <v>10</v>
      </c>
      <c r="I458" s="4378" t="s">
        <v>1529</v>
      </c>
      <c r="J458" s="1130" t="s">
        <v>1530</v>
      </c>
      <c r="K458" s="4359">
        <v>72</v>
      </c>
      <c r="L458" s="4364">
        <v>222114913</v>
      </c>
      <c r="M458" s="4359">
        <v>24</v>
      </c>
      <c r="N458" s="4368">
        <v>0</v>
      </c>
      <c r="O458" s="4359">
        <v>12</v>
      </c>
      <c r="P458" s="4376">
        <v>32221550</v>
      </c>
      <c r="Q458" s="4365">
        <v>3</v>
      </c>
      <c r="R458" s="4364">
        <v>11349200</v>
      </c>
      <c r="S458" s="4365"/>
      <c r="T458" s="4377"/>
      <c r="U458" s="4365"/>
      <c r="V458" s="4364"/>
      <c r="W458" s="4365"/>
      <c r="X458" s="4364"/>
      <c r="Y458" s="4375">
        <f>Q458+S458+U458+W458</f>
        <v>3</v>
      </c>
      <c r="Z458" s="4364">
        <f>R458+T458+V458+X458</f>
        <v>11349200</v>
      </c>
      <c r="AA458" s="4359">
        <f>M458+Y458</f>
        <v>27</v>
      </c>
      <c r="AB458" s="4360">
        <f>N458+Z458</f>
        <v>11349200</v>
      </c>
      <c r="AC458" s="4359">
        <f>AA458/K458*100</f>
        <v>37.5</v>
      </c>
      <c r="AD458" s="4364">
        <f>AB458/L458*100</f>
        <v>5.1096073859750248</v>
      </c>
      <c r="AE458" s="4365" t="s">
        <v>1523</v>
      </c>
      <c r="AF458" s="1133"/>
      <c r="AG458" s="1133"/>
    </row>
    <row r="459" spans="1:33" s="1134" customFormat="1" ht="22.5" customHeight="1">
      <c r="A459" s="1130"/>
      <c r="B459" s="1137"/>
      <c r="C459" s="1117"/>
      <c r="D459" s="1117"/>
      <c r="E459" s="1117"/>
      <c r="F459" s="1117"/>
      <c r="G459" s="1117"/>
      <c r="H459" s="1873"/>
      <c r="I459" s="4378"/>
      <c r="J459" s="1135" t="s">
        <v>1531</v>
      </c>
      <c r="K459" s="4359"/>
      <c r="L459" s="4364"/>
      <c r="M459" s="4359"/>
      <c r="N459" s="4368"/>
      <c r="O459" s="4359"/>
      <c r="P459" s="4376"/>
      <c r="Q459" s="4365"/>
      <c r="R459" s="4364"/>
      <c r="S459" s="4365"/>
      <c r="T459" s="4377"/>
      <c r="U459" s="4365"/>
      <c r="V459" s="4364"/>
      <c r="W459" s="4365"/>
      <c r="X459" s="4364"/>
      <c r="Y459" s="4375"/>
      <c r="Z459" s="4364"/>
      <c r="AA459" s="4359"/>
      <c r="AB459" s="4360"/>
      <c r="AC459" s="4359"/>
      <c r="AD459" s="4364"/>
      <c r="AE459" s="4365"/>
      <c r="AF459" s="1133"/>
      <c r="AG459" s="1133"/>
    </row>
    <row r="460" spans="1:33" s="1134" customFormat="1" ht="27" customHeight="1">
      <c r="A460" s="1130"/>
      <c r="B460" s="1137"/>
      <c r="C460" s="1115" t="s">
        <v>65</v>
      </c>
      <c r="D460" s="1115" t="s">
        <v>66</v>
      </c>
      <c r="E460" s="1115" t="s">
        <v>66</v>
      </c>
      <c r="F460" s="1115" t="s">
        <v>66</v>
      </c>
      <c r="G460" s="1115"/>
      <c r="H460" s="1873">
        <v>11</v>
      </c>
      <c r="I460" s="4378" t="s">
        <v>1532</v>
      </c>
      <c r="J460" s="1135" t="s">
        <v>1533</v>
      </c>
      <c r="K460" s="4359">
        <v>72</v>
      </c>
      <c r="L460" s="4364">
        <v>168834688</v>
      </c>
      <c r="M460" s="4359">
        <v>24</v>
      </c>
      <c r="N460" s="4368">
        <v>0</v>
      </c>
      <c r="O460" s="4359">
        <v>12</v>
      </c>
      <c r="P460" s="4376">
        <v>24583600</v>
      </c>
      <c r="Q460" s="4365">
        <v>3</v>
      </c>
      <c r="R460" s="4364">
        <v>6143700</v>
      </c>
      <c r="S460" s="4365"/>
      <c r="T460" s="4377"/>
      <c r="U460" s="4365"/>
      <c r="V460" s="4364"/>
      <c r="W460" s="4374"/>
      <c r="X460" s="4364"/>
      <c r="Y460" s="4375">
        <f>Q460+S460+U460+W460</f>
        <v>3</v>
      </c>
      <c r="Z460" s="4364">
        <f>R460+T460+V460+X460</f>
        <v>6143700</v>
      </c>
      <c r="AA460" s="4359">
        <f>M460+Y460</f>
        <v>27</v>
      </c>
      <c r="AB460" s="4360">
        <f>N460+Z460</f>
        <v>6143700</v>
      </c>
      <c r="AC460" s="4359">
        <f>AA460/K460*100</f>
        <v>37.5</v>
      </c>
      <c r="AD460" s="4364">
        <f>AB460/L460*100</f>
        <v>3.6388849191938561</v>
      </c>
      <c r="AE460" s="4365" t="s">
        <v>1523</v>
      </c>
      <c r="AF460" s="1133"/>
      <c r="AG460" s="1133"/>
    </row>
    <row r="461" spans="1:33" s="1134" customFormat="1" ht="30" customHeight="1">
      <c r="A461" s="1130"/>
      <c r="B461" s="1137"/>
      <c r="C461" s="1117"/>
      <c r="D461" s="1117"/>
      <c r="E461" s="1117"/>
      <c r="F461" s="1117"/>
      <c r="G461" s="1117"/>
      <c r="H461" s="1873"/>
      <c r="I461" s="4378"/>
      <c r="J461" s="1135" t="s">
        <v>1534</v>
      </c>
      <c r="K461" s="4359"/>
      <c r="L461" s="4364"/>
      <c r="M461" s="4359"/>
      <c r="N461" s="4368"/>
      <c r="O461" s="4359"/>
      <c r="P461" s="4376"/>
      <c r="Q461" s="4365"/>
      <c r="R461" s="4364"/>
      <c r="S461" s="4365"/>
      <c r="T461" s="4377"/>
      <c r="U461" s="4365"/>
      <c r="V461" s="4364"/>
      <c r="W461" s="4365"/>
      <c r="X461" s="4364"/>
      <c r="Y461" s="4375"/>
      <c r="Z461" s="4364"/>
      <c r="AA461" s="4359"/>
      <c r="AB461" s="4360"/>
      <c r="AC461" s="4359"/>
      <c r="AD461" s="4364"/>
      <c r="AE461" s="4365"/>
      <c r="AF461" s="1133"/>
      <c r="AG461" s="1133"/>
    </row>
    <row r="462" spans="1:33" s="1134" customFormat="1" ht="18.95" customHeight="1">
      <c r="A462" s="1130"/>
      <c r="B462" s="1137"/>
      <c r="C462" s="1115" t="s">
        <v>65</v>
      </c>
      <c r="D462" s="1115" t="s">
        <v>66</v>
      </c>
      <c r="E462" s="1115" t="s">
        <v>66</v>
      </c>
      <c r="F462" s="1115" t="s">
        <v>66</v>
      </c>
      <c r="G462" s="1115"/>
      <c r="H462" s="1873">
        <v>12</v>
      </c>
      <c r="I462" s="4378" t="s">
        <v>1535</v>
      </c>
      <c r="J462" s="1135" t="s">
        <v>1536</v>
      </c>
      <c r="K462" s="4359">
        <v>72</v>
      </c>
      <c r="L462" s="4364">
        <v>101626351</v>
      </c>
      <c r="M462" s="4359">
        <v>24</v>
      </c>
      <c r="N462" s="4368">
        <v>0</v>
      </c>
      <c r="O462" s="4359">
        <v>12</v>
      </c>
      <c r="P462" s="4376">
        <v>17311000</v>
      </c>
      <c r="Q462" s="4365">
        <v>3</v>
      </c>
      <c r="R462" s="4364">
        <v>3476000</v>
      </c>
      <c r="S462" s="4365"/>
      <c r="T462" s="4377"/>
      <c r="U462" s="4374"/>
      <c r="V462" s="4364"/>
      <c r="W462" s="4383"/>
      <c r="X462" s="4364"/>
      <c r="Y462" s="4375">
        <f>Q462+S462+U462+W462</f>
        <v>3</v>
      </c>
      <c r="Z462" s="4364">
        <f>R462+T462+V462+X462</f>
        <v>3476000</v>
      </c>
      <c r="AA462" s="4359">
        <f>M462+Y462</f>
        <v>27</v>
      </c>
      <c r="AB462" s="4360">
        <f>N462+Z462</f>
        <v>3476000</v>
      </c>
      <c r="AC462" s="4359">
        <f>AA462/K462*100</f>
        <v>37.5</v>
      </c>
      <c r="AD462" s="4364">
        <f>AB462/L462*100</f>
        <v>3.4203727338394745</v>
      </c>
      <c r="AE462" s="4365" t="s">
        <v>1523</v>
      </c>
      <c r="AF462" s="1133"/>
      <c r="AG462" s="1133"/>
    </row>
    <row r="463" spans="1:33" s="1134" customFormat="1" ht="30" customHeight="1">
      <c r="A463" s="1130"/>
      <c r="B463" s="1137"/>
      <c r="C463" s="1117"/>
      <c r="D463" s="1117"/>
      <c r="E463" s="1117"/>
      <c r="F463" s="1117"/>
      <c r="G463" s="1117"/>
      <c r="H463" s="1873"/>
      <c r="I463" s="4378"/>
      <c r="J463" s="1135" t="s">
        <v>1537</v>
      </c>
      <c r="K463" s="4359"/>
      <c r="L463" s="4364"/>
      <c r="M463" s="4359"/>
      <c r="N463" s="4368"/>
      <c r="O463" s="4359"/>
      <c r="P463" s="4376"/>
      <c r="Q463" s="4365"/>
      <c r="R463" s="4364"/>
      <c r="S463" s="4365"/>
      <c r="T463" s="4377"/>
      <c r="U463" s="4365"/>
      <c r="V463" s="4364"/>
      <c r="W463" s="4383"/>
      <c r="X463" s="4364"/>
      <c r="Y463" s="4375"/>
      <c r="Z463" s="4364"/>
      <c r="AA463" s="4359"/>
      <c r="AB463" s="4360"/>
      <c r="AC463" s="4359"/>
      <c r="AD463" s="4364"/>
      <c r="AE463" s="4365"/>
      <c r="AF463" s="1138"/>
      <c r="AG463" s="1133"/>
    </row>
    <row r="464" spans="1:33" s="1134" customFormat="1" ht="24.95" customHeight="1">
      <c r="A464" s="1130"/>
      <c r="B464" s="1137"/>
      <c r="C464" s="1115" t="s">
        <v>65</v>
      </c>
      <c r="D464" s="1115" t="s">
        <v>66</v>
      </c>
      <c r="E464" s="1115" t="s">
        <v>66</v>
      </c>
      <c r="F464" s="1115" t="s">
        <v>66</v>
      </c>
      <c r="G464" s="1115"/>
      <c r="H464" s="1873">
        <v>15</v>
      </c>
      <c r="I464" s="4385" t="s">
        <v>1538</v>
      </c>
      <c r="J464" s="1135" t="s">
        <v>1539</v>
      </c>
      <c r="K464" s="4359">
        <v>72</v>
      </c>
      <c r="L464" s="4364">
        <v>74939200</v>
      </c>
      <c r="M464" s="4359">
        <v>24</v>
      </c>
      <c r="N464" s="4368">
        <v>0</v>
      </c>
      <c r="O464" s="4359">
        <v>12</v>
      </c>
      <c r="P464" s="4376">
        <v>14320000</v>
      </c>
      <c r="Q464" s="4365">
        <v>3</v>
      </c>
      <c r="R464" s="4364">
        <v>785000</v>
      </c>
      <c r="S464" s="4365"/>
      <c r="T464" s="4377"/>
      <c r="U464" s="4379"/>
      <c r="V464" s="4360"/>
      <c r="W464" s="4365"/>
      <c r="X464" s="4364"/>
      <c r="Y464" s="4375">
        <f>Q464+S464+U464+W464</f>
        <v>3</v>
      </c>
      <c r="Z464" s="4364">
        <f>R464+T464+V464+X464</f>
        <v>785000</v>
      </c>
      <c r="AA464" s="4359">
        <f>M464+Y464</f>
        <v>27</v>
      </c>
      <c r="AB464" s="4360">
        <f>N464+Z464</f>
        <v>785000</v>
      </c>
      <c r="AC464" s="4359">
        <f>AA464/K464*100</f>
        <v>37.5</v>
      </c>
      <c r="AD464" s="4364">
        <f>AB464/L464*100</f>
        <v>1.0475158528513782</v>
      </c>
      <c r="AE464" s="4365" t="s">
        <v>1523</v>
      </c>
      <c r="AF464" s="1139"/>
      <c r="AG464" s="1133"/>
    </row>
    <row r="465" spans="1:33" s="1134" customFormat="1" ht="26.1" customHeight="1">
      <c r="A465" s="1130"/>
      <c r="B465" s="1137"/>
      <c r="C465" s="1117"/>
      <c r="D465" s="1117"/>
      <c r="E465" s="1117"/>
      <c r="F465" s="1117"/>
      <c r="G465" s="1117"/>
      <c r="H465" s="1873"/>
      <c r="I465" s="4385"/>
      <c r="J465" s="1135" t="s">
        <v>1540</v>
      </c>
      <c r="K465" s="4359"/>
      <c r="L465" s="4364"/>
      <c r="M465" s="4359"/>
      <c r="N465" s="4368"/>
      <c r="O465" s="4359"/>
      <c r="P465" s="4376"/>
      <c r="Q465" s="4365"/>
      <c r="R465" s="4364"/>
      <c r="S465" s="4365"/>
      <c r="T465" s="4377"/>
      <c r="U465" s="4365"/>
      <c r="V465" s="4359"/>
      <c r="W465" s="4365"/>
      <c r="X465" s="4364"/>
      <c r="Y465" s="4375"/>
      <c r="Z465" s="4364"/>
      <c r="AA465" s="4359"/>
      <c r="AB465" s="4360"/>
      <c r="AC465" s="4359"/>
      <c r="AD465" s="4364"/>
      <c r="AE465" s="4365"/>
      <c r="AF465" s="1133"/>
      <c r="AG465" s="1133"/>
    </row>
    <row r="466" spans="1:33" s="1129" customFormat="1" ht="26.1" customHeight="1">
      <c r="A466" s="1117"/>
      <c r="B466" s="1117"/>
      <c r="C466" s="1115" t="s">
        <v>65</v>
      </c>
      <c r="D466" s="1115" t="s">
        <v>66</v>
      </c>
      <c r="E466" s="1115" t="s">
        <v>66</v>
      </c>
      <c r="F466" s="1115" t="s">
        <v>66</v>
      </c>
      <c r="G466" s="1115"/>
      <c r="H466" s="1117">
        <v>17</v>
      </c>
      <c r="I466" s="4378" t="s">
        <v>1541</v>
      </c>
      <c r="J466" s="1879" t="s">
        <v>1542</v>
      </c>
      <c r="K466" s="4359">
        <v>72</v>
      </c>
      <c r="L466" s="4364">
        <v>184488800</v>
      </c>
      <c r="M466" s="4359">
        <v>24</v>
      </c>
      <c r="N466" s="4384">
        <v>0</v>
      </c>
      <c r="O466" s="4359">
        <v>12</v>
      </c>
      <c r="P466" s="4386">
        <v>31800000</v>
      </c>
      <c r="Q466" s="4365">
        <v>3</v>
      </c>
      <c r="R466" s="4387">
        <v>4675000</v>
      </c>
      <c r="S466" s="4365"/>
      <c r="T466" s="4377"/>
      <c r="U466" s="4365"/>
      <c r="V466" s="4364"/>
      <c r="W466" s="4365"/>
      <c r="X466" s="4364"/>
      <c r="Y466" s="4375">
        <f>Q466+S466+U466+W466</f>
        <v>3</v>
      </c>
      <c r="Z466" s="4364">
        <f>R466+T466+V466+X466</f>
        <v>4675000</v>
      </c>
      <c r="AA466" s="4359">
        <f>M466+Y466</f>
        <v>27</v>
      </c>
      <c r="AB466" s="4360">
        <f>N466+Z466</f>
        <v>4675000</v>
      </c>
      <c r="AC466" s="4359">
        <f>AA466/K466*100</f>
        <v>37.5</v>
      </c>
      <c r="AD466" s="4364">
        <f>AB466/L466*100</f>
        <v>2.5340291659981529</v>
      </c>
      <c r="AE466" s="4365" t="s">
        <v>1523</v>
      </c>
      <c r="AF466" s="1128"/>
      <c r="AG466" s="1128"/>
    </row>
    <row r="467" spans="1:33" s="1134" customFormat="1" ht="26.1" customHeight="1">
      <c r="A467" s="1130"/>
      <c r="B467" s="1130"/>
      <c r="C467" s="1130"/>
      <c r="D467" s="1130"/>
      <c r="E467" s="1130"/>
      <c r="F467" s="1130"/>
      <c r="G467" s="1130"/>
      <c r="H467" s="1130"/>
      <c r="I467" s="4378"/>
      <c r="J467" s="1879" t="s">
        <v>1543</v>
      </c>
      <c r="K467" s="4359"/>
      <c r="L467" s="4364"/>
      <c r="M467" s="4359"/>
      <c r="N467" s="4384"/>
      <c r="O467" s="4359"/>
      <c r="P467" s="4386"/>
      <c r="Q467" s="4365"/>
      <c r="R467" s="4387"/>
      <c r="S467" s="4365"/>
      <c r="T467" s="4377"/>
      <c r="U467" s="4365"/>
      <c r="V467" s="4364"/>
      <c r="W467" s="4365"/>
      <c r="X467" s="4364"/>
      <c r="Y467" s="4375"/>
      <c r="Z467" s="4364"/>
      <c r="AA467" s="4359"/>
      <c r="AB467" s="4360"/>
      <c r="AC467" s="4359"/>
      <c r="AD467" s="4364"/>
      <c r="AE467" s="4365"/>
      <c r="AF467" s="1133"/>
      <c r="AG467" s="1133"/>
    </row>
    <row r="468" spans="1:33" s="1134" customFormat="1" ht="26.45" customHeight="1">
      <c r="A468" s="1130"/>
      <c r="B468" s="1130"/>
      <c r="C468" s="1115" t="s">
        <v>65</v>
      </c>
      <c r="D468" s="1115" t="s">
        <v>66</v>
      </c>
      <c r="E468" s="1115" t="s">
        <v>66</v>
      </c>
      <c r="F468" s="1115" t="s">
        <v>66</v>
      </c>
      <c r="G468" s="1115"/>
      <c r="H468" s="1130">
        <v>18</v>
      </c>
      <c r="I468" s="1137" t="s">
        <v>1544</v>
      </c>
      <c r="J468" s="1140" t="s">
        <v>1545</v>
      </c>
      <c r="K468" s="4359">
        <v>72</v>
      </c>
      <c r="L468" s="4364">
        <v>748497500</v>
      </c>
      <c r="M468" s="4359">
        <v>24</v>
      </c>
      <c r="N468" s="4368">
        <v>0</v>
      </c>
      <c r="O468" s="4359">
        <v>12</v>
      </c>
      <c r="P468" s="4376">
        <v>97500000</v>
      </c>
      <c r="Q468" s="4365">
        <v>3</v>
      </c>
      <c r="R468" s="4364">
        <v>17572000</v>
      </c>
      <c r="S468" s="1135"/>
      <c r="T468" s="1141"/>
      <c r="U468" s="1142"/>
      <c r="V468" s="1143"/>
      <c r="W468" s="1144"/>
      <c r="X468" s="1145"/>
      <c r="Y468" s="4375">
        <f>Q468+S468+U468+W468</f>
        <v>3</v>
      </c>
      <c r="Z468" s="4364">
        <f>R468+T468+V468+X468</f>
        <v>17572000</v>
      </c>
      <c r="AA468" s="4359">
        <f>M468+Y468</f>
        <v>27</v>
      </c>
      <c r="AB468" s="4360">
        <f>N468+Z468</f>
        <v>17572000</v>
      </c>
      <c r="AC468" s="4359">
        <f>AA468/K468*100</f>
        <v>37.5</v>
      </c>
      <c r="AD468" s="4364">
        <f>AB468/L468*100</f>
        <v>2.347636431651408</v>
      </c>
      <c r="AE468" s="1856" t="s">
        <v>1523</v>
      </c>
      <c r="AF468" s="1133"/>
      <c r="AG468" s="1133"/>
    </row>
    <row r="469" spans="1:33" s="1134" customFormat="1" ht="27.6" customHeight="1">
      <c r="A469" s="1130"/>
      <c r="B469" s="1130"/>
      <c r="C469" s="1117"/>
      <c r="D469" s="1117"/>
      <c r="E469" s="1117"/>
      <c r="F469" s="1117"/>
      <c r="G469" s="1117"/>
      <c r="H469" s="1873"/>
      <c r="I469" s="1137"/>
      <c r="J469" s="1130" t="s">
        <v>1546</v>
      </c>
      <c r="K469" s="4359"/>
      <c r="L469" s="4364"/>
      <c r="M469" s="4359"/>
      <c r="N469" s="4368"/>
      <c r="O469" s="4359"/>
      <c r="P469" s="4376"/>
      <c r="Q469" s="4365"/>
      <c r="R469" s="4364"/>
      <c r="S469" s="1135"/>
      <c r="T469" s="1141"/>
      <c r="U469" s="1135"/>
      <c r="V469" s="1135"/>
      <c r="W469" s="1135"/>
      <c r="X469" s="1145"/>
      <c r="Y469" s="4375"/>
      <c r="Z469" s="4364"/>
      <c r="AA469" s="4359"/>
      <c r="AB469" s="4360"/>
      <c r="AC469" s="4359"/>
      <c r="AD469" s="4364"/>
      <c r="AE469" s="1130"/>
      <c r="AF469" s="1133"/>
      <c r="AG469" s="1133"/>
    </row>
    <row r="470" spans="1:33" s="1134" customFormat="1" ht="27.95" customHeight="1">
      <c r="A470" s="1130"/>
      <c r="B470" s="1130"/>
      <c r="C470" s="1115" t="s">
        <v>65</v>
      </c>
      <c r="D470" s="1115" t="s">
        <v>66</v>
      </c>
      <c r="E470" s="1115" t="s">
        <v>66</v>
      </c>
      <c r="F470" s="1115" t="s">
        <v>66</v>
      </c>
      <c r="G470" s="1115"/>
      <c r="H470" s="1873">
        <v>31</v>
      </c>
      <c r="I470" s="4378" t="s">
        <v>1191</v>
      </c>
      <c r="J470" s="1135" t="s">
        <v>1547</v>
      </c>
      <c r="K470" s="4359">
        <v>72</v>
      </c>
      <c r="L470" s="4364">
        <v>50873070</v>
      </c>
      <c r="M470" s="4359">
        <v>24</v>
      </c>
      <c r="N470" s="4368">
        <v>0</v>
      </c>
      <c r="O470" s="4359">
        <v>0</v>
      </c>
      <c r="P470" s="4376">
        <v>0</v>
      </c>
      <c r="Q470" s="4365">
        <v>0</v>
      </c>
      <c r="R470" s="4364">
        <v>0</v>
      </c>
      <c r="S470" s="4365"/>
      <c r="T470" s="4377"/>
      <c r="U470" s="4374"/>
      <c r="V470" s="4360"/>
      <c r="W470" s="4382"/>
      <c r="X470" s="4364"/>
      <c r="Y470" s="4375">
        <f>Q470+S470+U470+W470</f>
        <v>0</v>
      </c>
      <c r="Z470" s="4364">
        <f>R470+T470+V470+X470</f>
        <v>0</v>
      </c>
      <c r="AA470" s="4359">
        <f>M470+Y470</f>
        <v>24</v>
      </c>
      <c r="AB470" s="4360">
        <f>N470+Z470</f>
        <v>0</v>
      </c>
      <c r="AC470" s="4359">
        <f>AA470/K470*100</f>
        <v>33.333333333333329</v>
      </c>
      <c r="AD470" s="4364">
        <f>AB470/L470*100</f>
        <v>0</v>
      </c>
      <c r="AE470" s="4365" t="s">
        <v>1523</v>
      </c>
      <c r="AF470" s="1133"/>
      <c r="AG470" s="1133"/>
    </row>
    <row r="471" spans="1:33" s="1134" customFormat="1" ht="37.5" customHeight="1">
      <c r="A471" s="1130"/>
      <c r="B471" s="1130"/>
      <c r="C471" s="1117"/>
      <c r="D471" s="1117"/>
      <c r="E471" s="1117"/>
      <c r="F471" s="1117"/>
      <c r="G471" s="1117"/>
      <c r="H471" s="1873"/>
      <c r="I471" s="4378"/>
      <c r="J471" s="1135" t="s">
        <v>1548</v>
      </c>
      <c r="K471" s="4359"/>
      <c r="L471" s="4364"/>
      <c r="M471" s="4359"/>
      <c r="N471" s="4368"/>
      <c r="O471" s="4359"/>
      <c r="P471" s="4376"/>
      <c r="Q471" s="4365"/>
      <c r="R471" s="4364"/>
      <c r="S471" s="4365"/>
      <c r="T471" s="4377"/>
      <c r="U471" s="4365"/>
      <c r="V471" s="4365"/>
      <c r="W471" s="4365"/>
      <c r="X471" s="4364"/>
      <c r="Y471" s="4375"/>
      <c r="Z471" s="4364"/>
      <c r="AA471" s="4359"/>
      <c r="AB471" s="4360"/>
      <c r="AC471" s="4359"/>
      <c r="AD471" s="4364"/>
      <c r="AE471" s="4365"/>
      <c r="AF471" s="1133"/>
      <c r="AG471" s="1133"/>
    </row>
    <row r="472" spans="1:33" s="1134" customFormat="1" ht="27.95" customHeight="1">
      <c r="A472" s="1130"/>
      <c r="B472" s="1130"/>
      <c r="C472" s="1115" t="s">
        <v>65</v>
      </c>
      <c r="D472" s="1115" t="s">
        <v>66</v>
      </c>
      <c r="E472" s="1115" t="s">
        <v>66</v>
      </c>
      <c r="F472" s="1115" t="s">
        <v>66</v>
      </c>
      <c r="G472" s="1115"/>
      <c r="H472" s="1873">
        <v>20</v>
      </c>
      <c r="I472" s="4378" t="s">
        <v>1549</v>
      </c>
      <c r="J472" s="1135" t="s">
        <v>1545</v>
      </c>
      <c r="K472" s="4359">
        <v>72</v>
      </c>
      <c r="L472" s="4364">
        <v>532365000</v>
      </c>
      <c r="M472" s="4359">
        <v>24</v>
      </c>
      <c r="N472" s="4368">
        <v>0</v>
      </c>
      <c r="O472" s="4359">
        <v>12</v>
      </c>
      <c r="P472" s="4376">
        <v>55725000</v>
      </c>
      <c r="Q472" s="4365">
        <v>3</v>
      </c>
      <c r="R472" s="4364">
        <v>4000000</v>
      </c>
      <c r="S472" s="4365"/>
      <c r="T472" s="4377"/>
      <c r="U472" s="4388"/>
      <c r="V472" s="4360"/>
      <c r="W472" s="4365"/>
      <c r="X472" s="4364"/>
      <c r="Y472" s="4375">
        <f>Q472+S472+U472+W472</f>
        <v>3</v>
      </c>
      <c r="Z472" s="4364">
        <f>R472+T472+V472+X472</f>
        <v>4000000</v>
      </c>
      <c r="AA472" s="4359">
        <f>M472+Y472</f>
        <v>27</v>
      </c>
      <c r="AB472" s="4360">
        <f>N472+Z472</f>
        <v>4000000</v>
      </c>
      <c r="AC472" s="4359">
        <f>AA472/K472*100</f>
        <v>37.5</v>
      </c>
      <c r="AD472" s="4364">
        <f>AB472/L472*100</f>
        <v>0.75136419561766832</v>
      </c>
      <c r="AE472" s="4365" t="s">
        <v>1523</v>
      </c>
      <c r="AF472" s="1133"/>
      <c r="AG472" s="1133"/>
    </row>
    <row r="473" spans="1:33" s="1134" customFormat="1" ht="26.1" customHeight="1">
      <c r="A473" s="1130"/>
      <c r="B473" s="1130"/>
      <c r="C473" s="1117"/>
      <c r="D473" s="1117"/>
      <c r="E473" s="1117"/>
      <c r="F473" s="1117"/>
      <c r="G473" s="1117"/>
      <c r="H473" s="1873"/>
      <c r="I473" s="4378"/>
      <c r="J473" s="1135" t="s">
        <v>1550</v>
      </c>
      <c r="K473" s="4359"/>
      <c r="L473" s="4364"/>
      <c r="M473" s="4359"/>
      <c r="N473" s="4368"/>
      <c r="O473" s="4359"/>
      <c r="P473" s="4376"/>
      <c r="Q473" s="4365"/>
      <c r="R473" s="4364"/>
      <c r="S473" s="4365"/>
      <c r="T473" s="4377"/>
      <c r="U473" s="4365"/>
      <c r="V473" s="4365"/>
      <c r="W473" s="4365"/>
      <c r="X473" s="4364"/>
      <c r="Y473" s="4375"/>
      <c r="Z473" s="4364"/>
      <c r="AA473" s="4359"/>
      <c r="AB473" s="4360"/>
      <c r="AC473" s="4359"/>
      <c r="AD473" s="4364"/>
      <c r="AE473" s="4365"/>
      <c r="AF473" s="1133"/>
      <c r="AG473" s="1133"/>
    </row>
    <row r="474" spans="1:33" s="1134" customFormat="1" ht="29.1" customHeight="1">
      <c r="A474" s="1130"/>
      <c r="B474" s="1130"/>
      <c r="C474" s="1115" t="s">
        <v>65</v>
      </c>
      <c r="D474" s="1115" t="s">
        <v>66</v>
      </c>
      <c r="E474" s="1115" t="s">
        <v>66</v>
      </c>
      <c r="F474" s="1115" t="s">
        <v>66</v>
      </c>
      <c r="G474" s="1115"/>
      <c r="H474" s="1873">
        <v>38</v>
      </c>
      <c r="I474" s="4378" t="s">
        <v>1551</v>
      </c>
      <c r="J474" s="1135" t="s">
        <v>1552</v>
      </c>
      <c r="K474" s="4359">
        <v>72</v>
      </c>
      <c r="L474" s="4364">
        <v>280315755</v>
      </c>
      <c r="M474" s="4359">
        <v>24</v>
      </c>
      <c r="N474" s="4368">
        <v>0</v>
      </c>
      <c r="O474" s="4359">
        <v>12</v>
      </c>
      <c r="P474" s="4376">
        <v>41400000</v>
      </c>
      <c r="Q474" s="4359">
        <v>3</v>
      </c>
      <c r="R474" s="4364">
        <v>7345000</v>
      </c>
      <c r="S474" s="4365"/>
      <c r="T474" s="4377"/>
      <c r="U474" s="4365"/>
      <c r="V474" s="4360"/>
      <c r="W474" s="4374"/>
      <c r="X474" s="4364"/>
      <c r="Y474" s="4359">
        <v>3</v>
      </c>
      <c r="Z474" s="4364">
        <f>R474+T474+V474+X474</f>
        <v>7345000</v>
      </c>
      <c r="AA474" s="4359">
        <v>27</v>
      </c>
      <c r="AB474" s="4360">
        <v>59882445</v>
      </c>
      <c r="AC474" s="4359">
        <v>37.5</v>
      </c>
      <c r="AD474" s="4364">
        <v>42.9509241113904</v>
      </c>
      <c r="AE474" s="4389" t="s">
        <v>1523</v>
      </c>
      <c r="AF474" s="1133"/>
      <c r="AG474" s="1133"/>
    </row>
    <row r="475" spans="1:33" s="1134" customFormat="1" ht="17.100000000000001" customHeight="1">
      <c r="A475" s="1130"/>
      <c r="B475" s="1130"/>
      <c r="C475" s="1130"/>
      <c r="D475" s="1130"/>
      <c r="E475" s="1130"/>
      <c r="F475" s="1130"/>
      <c r="G475" s="1130"/>
      <c r="H475" s="1130"/>
      <c r="I475" s="4378"/>
      <c r="J475" s="4390" t="s">
        <v>1553</v>
      </c>
      <c r="K475" s="4359"/>
      <c r="L475" s="4364"/>
      <c r="M475" s="4359"/>
      <c r="N475" s="4368"/>
      <c r="O475" s="4359"/>
      <c r="P475" s="4376"/>
      <c r="Q475" s="4359"/>
      <c r="R475" s="4364"/>
      <c r="S475" s="4365"/>
      <c r="T475" s="4377"/>
      <c r="U475" s="4365"/>
      <c r="V475" s="4365"/>
      <c r="W475" s="4365"/>
      <c r="X475" s="4364"/>
      <c r="Y475" s="4359"/>
      <c r="Z475" s="4364"/>
      <c r="AA475" s="4359"/>
      <c r="AB475" s="4360"/>
      <c r="AC475" s="4359"/>
      <c r="AD475" s="4364"/>
      <c r="AE475" s="4389"/>
      <c r="AF475" s="1133"/>
      <c r="AG475" s="1133"/>
    </row>
    <row r="476" spans="1:33" s="1134" customFormat="1" ht="10.5" customHeight="1">
      <c r="A476" s="1130"/>
      <c r="B476" s="1130"/>
      <c r="C476" s="1130"/>
      <c r="D476" s="1130"/>
      <c r="E476" s="1130"/>
      <c r="F476" s="1130"/>
      <c r="G476" s="1130"/>
      <c r="H476" s="1130"/>
      <c r="I476" s="4378"/>
      <c r="J476" s="4390"/>
      <c r="K476" s="4359"/>
      <c r="L476" s="4364"/>
      <c r="M476" s="4359"/>
      <c r="N476" s="4368"/>
      <c r="O476" s="4359"/>
      <c r="P476" s="4376"/>
      <c r="Q476" s="4359"/>
      <c r="R476" s="4364"/>
      <c r="S476" s="4365"/>
      <c r="T476" s="4377"/>
      <c r="U476" s="4365"/>
      <c r="V476" s="4365"/>
      <c r="W476" s="4365"/>
      <c r="X476" s="4364"/>
      <c r="Y476" s="4359"/>
      <c r="Z476" s="4364"/>
      <c r="AA476" s="4359"/>
      <c r="AB476" s="4360"/>
      <c r="AC476" s="4359"/>
      <c r="AD476" s="4364"/>
      <c r="AE476" s="4389"/>
      <c r="AF476" s="1133"/>
      <c r="AG476" s="1133"/>
    </row>
    <row r="477" spans="1:33" s="1150" customFormat="1" ht="30.6" customHeight="1">
      <c r="A477" s="1130"/>
      <c r="B477" s="1130"/>
      <c r="C477" s="1115" t="s">
        <v>65</v>
      </c>
      <c r="D477" s="1115" t="s">
        <v>65</v>
      </c>
      <c r="E477" s="1115" t="s">
        <v>66</v>
      </c>
      <c r="F477" s="1115" t="s">
        <v>65</v>
      </c>
      <c r="G477" s="1115"/>
      <c r="H477" s="1130"/>
      <c r="I477" s="1116"/>
      <c r="J477" s="1117"/>
      <c r="K477" s="1876">
        <v>72</v>
      </c>
      <c r="L477" s="1866">
        <f>L478+L480+L482+L484+L486+L488+L490+L492+L494+L496+L498+L500+L502+L504</f>
        <v>13206973616</v>
      </c>
      <c r="M477" s="1876">
        <v>24</v>
      </c>
      <c r="N477" s="1146">
        <f>N478+N480+N482+N484+N486+N488+N490+N492+N494+N496+N498+N500+N502+N504</f>
        <v>0</v>
      </c>
      <c r="O477" s="1876">
        <v>12</v>
      </c>
      <c r="P477" s="1147">
        <f>P478+P480+P482+P484+P486+P488+P490+P492+P494+P496+P498+P500+P502+P504</f>
        <v>1069453000</v>
      </c>
      <c r="Q477" s="1876">
        <v>3</v>
      </c>
      <c r="R477" s="1122">
        <f>R478+R480+R482+R484+R486+R488+R490+R492+R494+R496+R498+R500+R502+R504</f>
        <v>133863700</v>
      </c>
      <c r="S477" s="1865"/>
      <c r="T477" s="1864"/>
      <c r="U477" s="1865"/>
      <c r="V477" s="1865"/>
      <c r="W477" s="1865"/>
      <c r="X477" s="1122"/>
      <c r="Y477" s="1126">
        <f>Q477+S477+U477+W477</f>
        <v>3</v>
      </c>
      <c r="Z477" s="1875">
        <f>R477+T477+V477+X477</f>
        <v>133863700</v>
      </c>
      <c r="AA477" s="1121">
        <f>M477+Y477</f>
        <v>27</v>
      </c>
      <c r="AB477" s="1864">
        <f>Z477+N477</f>
        <v>133863700</v>
      </c>
      <c r="AC477" s="1121">
        <f>AA477/K477*100</f>
        <v>37.5</v>
      </c>
      <c r="AD477" s="1121">
        <f>AB477/L477*100</f>
        <v>1.0135834589525237</v>
      </c>
      <c r="AE477" s="1861"/>
      <c r="AF477" s="1148"/>
      <c r="AG477" s="1149"/>
    </row>
    <row r="478" spans="1:33" s="1150" customFormat="1" ht="27" customHeight="1">
      <c r="A478" s="1130"/>
      <c r="B478" s="1130"/>
      <c r="C478" s="1115" t="s">
        <v>65</v>
      </c>
      <c r="D478" s="1115" t="s">
        <v>66</v>
      </c>
      <c r="E478" s="1115" t="s">
        <v>66</v>
      </c>
      <c r="F478" s="1115" t="s">
        <v>65</v>
      </c>
      <c r="G478" s="1115"/>
      <c r="H478" s="1132" t="s">
        <v>165</v>
      </c>
      <c r="I478" s="4391" t="s">
        <v>1554</v>
      </c>
      <c r="J478" s="1135" t="s">
        <v>1555</v>
      </c>
      <c r="K478" s="4392">
        <v>72</v>
      </c>
      <c r="L478" s="4364">
        <v>732991008</v>
      </c>
      <c r="M478" s="4359">
        <v>24</v>
      </c>
      <c r="N478" s="4368">
        <v>0</v>
      </c>
      <c r="O478" s="4359">
        <v>12</v>
      </c>
      <c r="P478" s="4376">
        <v>127060000</v>
      </c>
      <c r="Q478" s="4365">
        <v>3</v>
      </c>
      <c r="R478" s="4393">
        <v>21293400</v>
      </c>
      <c r="S478" s="4365"/>
      <c r="T478" s="4377"/>
      <c r="U478" s="4379"/>
      <c r="V478" s="4359"/>
      <c r="W478" s="4374"/>
      <c r="X478" s="4364"/>
      <c r="Y478" s="4375">
        <f>Q478+S478+U478+W478</f>
        <v>3</v>
      </c>
      <c r="Z478" s="4364">
        <f>R478+T478+V478+X478</f>
        <v>21293400</v>
      </c>
      <c r="AA478" s="4359">
        <f>M478+Y478</f>
        <v>27</v>
      </c>
      <c r="AB478" s="4360">
        <f>N478+Z478</f>
        <v>21293400</v>
      </c>
      <c r="AC478" s="4359">
        <f>AA478/K478*100</f>
        <v>37.5</v>
      </c>
      <c r="AD478" s="4364">
        <f>AB478/L478*100</f>
        <v>2.9050015303871231</v>
      </c>
      <c r="AE478" s="4389" t="s">
        <v>1523</v>
      </c>
      <c r="AF478" s="1149"/>
      <c r="AG478" s="1149"/>
    </row>
    <row r="479" spans="1:33" s="1151" customFormat="1" ht="28.5" customHeight="1">
      <c r="A479" s="1117"/>
      <c r="B479" s="1117"/>
      <c r="C479" s="1117"/>
      <c r="D479" s="1117"/>
      <c r="E479" s="1117"/>
      <c r="F479" s="1117"/>
      <c r="G479" s="1117"/>
      <c r="H479" s="1117"/>
      <c r="I479" s="4391"/>
      <c r="J479" s="1135" t="s">
        <v>1556</v>
      </c>
      <c r="K479" s="4392"/>
      <c r="L479" s="4364"/>
      <c r="M479" s="4359"/>
      <c r="N479" s="4368"/>
      <c r="O479" s="4359"/>
      <c r="P479" s="4376"/>
      <c r="Q479" s="4365"/>
      <c r="R479" s="4393"/>
      <c r="S479" s="4365"/>
      <c r="T479" s="4377"/>
      <c r="U479" s="4365"/>
      <c r="V479" s="4359"/>
      <c r="W479" s="4365"/>
      <c r="X479" s="4364"/>
      <c r="Y479" s="4375"/>
      <c r="Z479" s="4364"/>
      <c r="AA479" s="4359"/>
      <c r="AB479" s="4360"/>
      <c r="AC479" s="4359"/>
      <c r="AD479" s="4364"/>
      <c r="AE479" s="4389"/>
      <c r="AF479" s="1148"/>
      <c r="AG479" s="1148"/>
    </row>
    <row r="480" spans="1:33" s="1150" customFormat="1" ht="26.1" customHeight="1">
      <c r="A480" s="1130"/>
      <c r="B480" s="1130"/>
      <c r="C480" s="1115" t="s">
        <v>65</v>
      </c>
      <c r="D480" s="1115" t="s">
        <v>66</v>
      </c>
      <c r="E480" s="1115" t="s">
        <v>66</v>
      </c>
      <c r="F480" s="1115" t="s">
        <v>65</v>
      </c>
      <c r="G480" s="1115"/>
      <c r="H480" s="1132" t="s">
        <v>201</v>
      </c>
      <c r="I480" s="4391" t="s">
        <v>1557</v>
      </c>
      <c r="J480" s="1135" t="s">
        <v>1558</v>
      </c>
      <c r="K480" s="4359">
        <v>72</v>
      </c>
      <c r="L480" s="4364">
        <v>732991008</v>
      </c>
      <c r="M480" s="4359">
        <v>24</v>
      </c>
      <c r="N480" s="4368">
        <v>0</v>
      </c>
      <c r="O480" s="4359">
        <v>12</v>
      </c>
      <c r="P480" s="4376">
        <v>102895800</v>
      </c>
      <c r="Q480" s="4365">
        <v>3</v>
      </c>
      <c r="R480" s="4364">
        <v>89870700</v>
      </c>
      <c r="S480" s="4365"/>
      <c r="T480" s="4377"/>
      <c r="U480" s="4379"/>
      <c r="V480" s="4360"/>
      <c r="W480" s="4365" t="s">
        <v>228</v>
      </c>
      <c r="X480" s="4364"/>
      <c r="Y480" s="4375">
        <v>3</v>
      </c>
      <c r="Z480" s="4364">
        <f>R480+T480+V480+X480</f>
        <v>89870700</v>
      </c>
      <c r="AA480" s="4359">
        <f>M480+Y480</f>
        <v>27</v>
      </c>
      <c r="AB480" s="4360">
        <f>N480+Z480</f>
        <v>89870700</v>
      </c>
      <c r="AC480" s="4359">
        <f>AA480/K480*100</f>
        <v>37.5</v>
      </c>
      <c r="AD480" s="4364">
        <f>AB480/L480*100</f>
        <v>12.260818893974754</v>
      </c>
      <c r="AE480" s="4365" t="s">
        <v>1523</v>
      </c>
      <c r="AF480" s="1149"/>
      <c r="AG480" s="1149"/>
    </row>
    <row r="481" spans="1:33" s="1150" customFormat="1" ht="23.45" customHeight="1">
      <c r="A481" s="1130"/>
      <c r="B481" s="1130"/>
      <c r="C481" s="1117"/>
      <c r="D481" s="1117"/>
      <c r="E481" s="1117"/>
      <c r="F481" s="1117"/>
      <c r="G481" s="1117"/>
      <c r="H481" s="1130"/>
      <c r="I481" s="4391"/>
      <c r="J481" s="1135" t="s">
        <v>1559</v>
      </c>
      <c r="K481" s="4359"/>
      <c r="L481" s="4364"/>
      <c r="M481" s="4359"/>
      <c r="N481" s="4368"/>
      <c r="O481" s="4359"/>
      <c r="P481" s="4376"/>
      <c r="Q481" s="4365"/>
      <c r="R481" s="4364"/>
      <c r="S481" s="4365"/>
      <c r="T481" s="4377"/>
      <c r="U481" s="4365"/>
      <c r="V481" s="4365"/>
      <c r="W481" s="4365"/>
      <c r="X481" s="4364"/>
      <c r="Y481" s="4375"/>
      <c r="Z481" s="4364"/>
      <c r="AA481" s="4359"/>
      <c r="AB481" s="4360"/>
      <c r="AC481" s="4359"/>
      <c r="AD481" s="4364"/>
      <c r="AE481" s="4365"/>
      <c r="AF481" s="1149"/>
      <c r="AG481" s="1149"/>
    </row>
    <row r="482" spans="1:33" s="1150" customFormat="1" ht="29.1" customHeight="1">
      <c r="A482" s="1130"/>
      <c r="B482" s="1130"/>
      <c r="C482" s="1115" t="s">
        <v>65</v>
      </c>
      <c r="D482" s="1115" t="s">
        <v>66</v>
      </c>
      <c r="E482" s="1115" t="s">
        <v>66</v>
      </c>
      <c r="F482" s="1115" t="s">
        <v>65</v>
      </c>
      <c r="G482" s="1115"/>
      <c r="H482" s="1132" t="s">
        <v>178</v>
      </c>
      <c r="I482" s="1879" t="s">
        <v>1560</v>
      </c>
      <c r="J482" s="1135" t="s">
        <v>1561</v>
      </c>
      <c r="K482" s="1858">
        <v>72</v>
      </c>
      <c r="L482" s="1859">
        <v>136499400</v>
      </c>
      <c r="M482" s="1858">
        <v>24</v>
      </c>
      <c r="N482" s="1870">
        <v>0</v>
      </c>
      <c r="O482" s="1858">
        <v>12</v>
      </c>
      <c r="P482" s="1872">
        <v>23400000</v>
      </c>
      <c r="Q482" s="1860">
        <v>3</v>
      </c>
      <c r="R482" s="1859">
        <v>10275000</v>
      </c>
      <c r="S482" s="1135"/>
      <c r="T482" s="1141"/>
      <c r="U482" s="1135"/>
      <c r="V482" s="1143"/>
      <c r="W482" s="1144"/>
      <c r="X482" s="1145"/>
      <c r="Y482" s="4375">
        <f>Q482+S482+U482+W482</f>
        <v>3</v>
      </c>
      <c r="Z482" s="4364">
        <f>R482+T482+V482+X482</f>
        <v>10275000</v>
      </c>
      <c r="AA482" s="4359">
        <v>27</v>
      </c>
      <c r="AB482" s="4360">
        <f>N482+Z482</f>
        <v>10275000</v>
      </c>
      <c r="AC482" s="4359">
        <f>AA482/K482*100</f>
        <v>37.5</v>
      </c>
      <c r="AD482" s="4364">
        <f>AB482/L482*100</f>
        <v>7.5275056154092983</v>
      </c>
      <c r="AE482" s="4365" t="s">
        <v>1523</v>
      </c>
      <c r="AF482" s="1149"/>
      <c r="AG482" s="1149"/>
    </row>
    <row r="483" spans="1:33" s="1150" customFormat="1" ht="28.5" customHeight="1">
      <c r="A483" s="1130"/>
      <c r="B483" s="1130"/>
      <c r="C483" s="1130"/>
      <c r="D483" s="1130"/>
      <c r="E483" s="1130"/>
      <c r="F483" s="1130"/>
      <c r="G483" s="1130"/>
      <c r="H483" s="1130"/>
      <c r="I483" s="1879"/>
      <c r="J483" s="1135" t="s">
        <v>1562</v>
      </c>
      <c r="K483" s="1858"/>
      <c r="L483" s="1859"/>
      <c r="M483" s="1858"/>
      <c r="N483" s="1870"/>
      <c r="O483" s="1858"/>
      <c r="P483" s="1872"/>
      <c r="Q483" s="1860"/>
      <c r="R483" s="1859"/>
      <c r="S483" s="1135"/>
      <c r="T483" s="1141"/>
      <c r="U483" s="1135"/>
      <c r="V483" s="1135"/>
      <c r="W483" s="1135"/>
      <c r="X483" s="1145"/>
      <c r="Y483" s="4375"/>
      <c r="Z483" s="4364"/>
      <c r="AA483" s="4359"/>
      <c r="AB483" s="4360"/>
      <c r="AC483" s="4359"/>
      <c r="AD483" s="4364"/>
      <c r="AE483" s="4365"/>
      <c r="AF483" s="1149"/>
      <c r="AG483" s="1149"/>
    </row>
    <row r="484" spans="1:33" s="1151" customFormat="1" ht="27.6" customHeight="1">
      <c r="A484" s="1117"/>
      <c r="B484" s="1117"/>
      <c r="C484" s="1115" t="s">
        <v>65</v>
      </c>
      <c r="D484" s="1115" t="s">
        <v>65</v>
      </c>
      <c r="E484" s="1115" t="s">
        <v>66</v>
      </c>
      <c r="F484" s="1115" t="s">
        <v>65</v>
      </c>
      <c r="G484" s="1115"/>
      <c r="H484" s="1115" t="s">
        <v>202</v>
      </c>
      <c r="I484" s="4391" t="s">
        <v>1563</v>
      </c>
      <c r="J484" s="1135" t="s">
        <v>1564</v>
      </c>
      <c r="K484" s="4359">
        <v>24</v>
      </c>
      <c r="L484" s="4364">
        <v>127105000</v>
      </c>
      <c r="M484" s="4359">
        <v>24</v>
      </c>
      <c r="N484" s="4368">
        <v>0</v>
      </c>
      <c r="O484" s="4359">
        <v>0</v>
      </c>
      <c r="P484" s="4376">
        <v>0</v>
      </c>
      <c r="Q484" s="4365">
        <v>0</v>
      </c>
      <c r="R484" s="4364">
        <v>0</v>
      </c>
      <c r="S484" s="4365"/>
      <c r="T484" s="4360"/>
      <c r="U484" s="4374"/>
      <c r="V484" s="4360"/>
      <c r="W484" s="4374"/>
      <c r="X484" s="4364"/>
      <c r="Y484" s="4375">
        <f>Q484+S484+U484+W484</f>
        <v>0</v>
      </c>
      <c r="Z484" s="4364">
        <f>R484+T484+V484+X484</f>
        <v>0</v>
      </c>
      <c r="AA484" s="4359">
        <v>27</v>
      </c>
      <c r="AB484" s="4360">
        <f>N484+Z484</f>
        <v>0</v>
      </c>
      <c r="AC484" s="4359">
        <f>AA484/K484*100</f>
        <v>112.5</v>
      </c>
      <c r="AD484" s="4364">
        <f>AB484/L484*100</f>
        <v>0</v>
      </c>
      <c r="AE484" s="4365" t="s">
        <v>1523</v>
      </c>
      <c r="AF484" s="1148"/>
      <c r="AG484" s="1148"/>
    </row>
    <row r="485" spans="1:33" s="1150" customFormat="1" ht="21.95" customHeight="1">
      <c r="A485" s="1130"/>
      <c r="B485" s="1130"/>
      <c r="C485" s="1130"/>
      <c r="D485" s="1130"/>
      <c r="E485" s="1130"/>
      <c r="F485" s="1130"/>
      <c r="G485" s="1130"/>
      <c r="H485" s="1130"/>
      <c r="I485" s="4391"/>
      <c r="J485" s="1135" t="s">
        <v>1565</v>
      </c>
      <c r="K485" s="4359"/>
      <c r="L485" s="4364"/>
      <c r="M485" s="4359"/>
      <c r="N485" s="4368"/>
      <c r="O485" s="4359"/>
      <c r="P485" s="4376"/>
      <c r="Q485" s="4365"/>
      <c r="R485" s="4364"/>
      <c r="S485" s="4365"/>
      <c r="T485" s="4360"/>
      <c r="U485" s="4365"/>
      <c r="V485" s="4365"/>
      <c r="W485" s="4365"/>
      <c r="X485" s="4364"/>
      <c r="Y485" s="4375"/>
      <c r="Z485" s="4364"/>
      <c r="AA485" s="4359"/>
      <c r="AB485" s="4360"/>
      <c r="AC485" s="4359"/>
      <c r="AD485" s="4364"/>
      <c r="AE485" s="4365"/>
      <c r="AF485" s="1149"/>
      <c r="AG485" s="1149"/>
    </row>
    <row r="486" spans="1:33" s="1150" customFormat="1" ht="26.1" customHeight="1">
      <c r="A486" s="1130"/>
      <c r="B486" s="1130"/>
      <c r="C486" s="1115" t="s">
        <v>65</v>
      </c>
      <c r="D486" s="1115" t="s">
        <v>66</v>
      </c>
      <c r="E486" s="1115" t="s">
        <v>66</v>
      </c>
      <c r="F486" s="1115" t="s">
        <v>65</v>
      </c>
      <c r="G486" s="1115"/>
      <c r="H486" s="1132" t="s">
        <v>163</v>
      </c>
      <c r="I486" s="1879" t="s">
        <v>1566</v>
      </c>
      <c r="J486" s="1135" t="s">
        <v>1561</v>
      </c>
      <c r="K486" s="4359">
        <v>72</v>
      </c>
      <c r="L486" s="4364">
        <v>796867700</v>
      </c>
      <c r="M486" s="4359">
        <v>24</v>
      </c>
      <c r="N486" s="4368">
        <v>0</v>
      </c>
      <c r="O486" s="4359">
        <v>12</v>
      </c>
      <c r="P486" s="4376">
        <v>126867700</v>
      </c>
      <c r="Q486" s="4365">
        <v>3</v>
      </c>
      <c r="R486" s="4364">
        <v>12424600</v>
      </c>
      <c r="S486" s="1135"/>
      <c r="T486" s="1141"/>
      <c r="U486" s="1144"/>
      <c r="V486" s="1143"/>
      <c r="W486" s="1135"/>
      <c r="X486" s="1145"/>
      <c r="Y486" s="4375">
        <f>Q486+S486+U486+W486</f>
        <v>3</v>
      </c>
      <c r="Z486" s="4364">
        <f>R486+T486+V486+X486</f>
        <v>12424600</v>
      </c>
      <c r="AA486" s="4359">
        <f>M486+Y486</f>
        <v>27</v>
      </c>
      <c r="AB486" s="4360">
        <f>N486+Z486</f>
        <v>12424600</v>
      </c>
      <c r="AC486" s="4359">
        <f>AA486/K486*100</f>
        <v>37.5</v>
      </c>
      <c r="AD486" s="4364">
        <f>AB486/L486*100</f>
        <v>1.5591797735056898</v>
      </c>
      <c r="AE486" s="4365" t="s">
        <v>1523</v>
      </c>
      <c r="AF486" s="1149"/>
      <c r="AG486" s="1149"/>
    </row>
    <row r="487" spans="1:33" s="1150" customFormat="1" ht="25.5" customHeight="1">
      <c r="A487" s="1130"/>
      <c r="B487" s="1130"/>
      <c r="C487" s="1130"/>
      <c r="D487" s="1130"/>
      <c r="E487" s="1130"/>
      <c r="F487" s="1130"/>
      <c r="G487" s="1130"/>
      <c r="H487" s="1130"/>
      <c r="I487" s="1879"/>
      <c r="J487" s="1135" t="s">
        <v>1567</v>
      </c>
      <c r="K487" s="4359"/>
      <c r="L487" s="4364"/>
      <c r="M487" s="4359"/>
      <c r="N487" s="4368"/>
      <c r="O487" s="4359"/>
      <c r="P487" s="4376"/>
      <c r="Q487" s="4365"/>
      <c r="R487" s="4364"/>
      <c r="S487" s="1135"/>
      <c r="T487" s="1141"/>
      <c r="U487" s="1135"/>
      <c r="V487" s="1135"/>
      <c r="W487" s="1135"/>
      <c r="X487" s="1145"/>
      <c r="Y487" s="4375"/>
      <c r="Z487" s="4364"/>
      <c r="AA487" s="4359"/>
      <c r="AB487" s="4360"/>
      <c r="AC487" s="4359"/>
      <c r="AD487" s="4364"/>
      <c r="AE487" s="4365"/>
      <c r="AF487" s="1149"/>
      <c r="AG487" s="1149"/>
    </row>
    <row r="488" spans="1:33" s="1150" customFormat="1" ht="26.45" customHeight="1">
      <c r="A488" s="1130"/>
      <c r="B488" s="1130"/>
      <c r="C488" s="1115" t="s">
        <v>65</v>
      </c>
      <c r="D488" s="1115" t="s">
        <v>66</v>
      </c>
      <c r="E488" s="1115" t="s">
        <v>66</v>
      </c>
      <c r="F488" s="1115" t="s">
        <v>65</v>
      </c>
      <c r="G488" s="1115"/>
      <c r="H488" s="1115" t="s">
        <v>164</v>
      </c>
      <c r="I488" s="4395" t="s">
        <v>1568</v>
      </c>
      <c r="J488" s="1880" t="s">
        <v>1569</v>
      </c>
      <c r="K488" s="1858">
        <v>12</v>
      </c>
      <c r="L488" s="1859">
        <v>720729500</v>
      </c>
      <c r="M488" s="1858">
        <v>12</v>
      </c>
      <c r="N488" s="1859">
        <v>0</v>
      </c>
      <c r="O488" s="1858">
        <v>12</v>
      </c>
      <c r="P488" s="1872">
        <v>689229500</v>
      </c>
      <c r="Q488" s="1858">
        <v>0</v>
      </c>
      <c r="R488" s="1878">
        <v>0</v>
      </c>
      <c r="S488" s="1860"/>
      <c r="T488" s="1867"/>
      <c r="U488" s="1860"/>
      <c r="V488" s="1860"/>
      <c r="W488" s="1860"/>
      <c r="X488" s="1859"/>
      <c r="Y488" s="1868">
        <f>Q488+S488+U488+W488</f>
        <v>0</v>
      </c>
      <c r="Z488" s="4364">
        <f>R488+T488+V488+X488</f>
        <v>0</v>
      </c>
      <c r="AA488" s="1858">
        <f>M488+Y488</f>
        <v>12</v>
      </c>
      <c r="AB488" s="1857">
        <f>N488+Z488</f>
        <v>0</v>
      </c>
      <c r="AC488" s="1858">
        <f>AA488/K488*100</f>
        <v>100</v>
      </c>
      <c r="AD488" s="1859">
        <f>AB488/L488*100</f>
        <v>0</v>
      </c>
      <c r="AE488" s="1135" t="s">
        <v>1523</v>
      </c>
      <c r="AF488" s="1149"/>
      <c r="AG488" s="1149"/>
    </row>
    <row r="489" spans="1:33" s="1150" customFormat="1" ht="25.5" customHeight="1">
      <c r="A489" s="1130"/>
      <c r="B489" s="1130"/>
      <c r="C489" s="1130"/>
      <c r="D489" s="1130"/>
      <c r="E489" s="1130"/>
      <c r="F489" s="1130"/>
      <c r="G489" s="1130"/>
      <c r="H489" s="1130"/>
      <c r="I489" s="4395"/>
      <c r="J489" s="1135" t="s">
        <v>1570</v>
      </c>
      <c r="K489" s="1152"/>
      <c r="L489" s="1145"/>
      <c r="M489" s="1152"/>
      <c r="N489" s="1145"/>
      <c r="O489" s="1152"/>
      <c r="P489" s="1153"/>
      <c r="Q489" s="1152"/>
      <c r="R489" s="1154"/>
      <c r="S489" s="1135"/>
      <c r="T489" s="1867"/>
      <c r="U489" s="1860"/>
      <c r="V489" s="1860"/>
      <c r="W489" s="1860"/>
      <c r="X489" s="1859"/>
      <c r="Y489" s="1868"/>
      <c r="Z489" s="4364"/>
      <c r="AA489" s="1152"/>
      <c r="AB489" s="1143"/>
      <c r="AC489" s="1152"/>
      <c r="AD489" s="1145"/>
      <c r="AE489" s="1135"/>
      <c r="AF489" s="1149"/>
      <c r="AG489" s="1149"/>
    </row>
    <row r="490" spans="1:33" s="1150" customFormat="1" ht="25.5" customHeight="1">
      <c r="A490" s="1130"/>
      <c r="B490" s="1130"/>
      <c r="C490" s="1130"/>
      <c r="D490" s="1130"/>
      <c r="E490" s="1130"/>
      <c r="F490" s="1130"/>
      <c r="G490" s="1130"/>
      <c r="H490" s="1130"/>
      <c r="I490" s="4395" t="s">
        <v>1571</v>
      </c>
      <c r="J490" s="1135" t="s">
        <v>1572</v>
      </c>
      <c r="K490" s="4359">
        <v>36</v>
      </c>
      <c r="L490" s="4364">
        <v>8275000000</v>
      </c>
      <c r="M490" s="4359">
        <v>0</v>
      </c>
      <c r="N490" s="4364">
        <v>0</v>
      </c>
      <c r="O490" s="4359">
        <v>0</v>
      </c>
      <c r="P490" s="4376">
        <v>0</v>
      </c>
      <c r="Q490" s="4359">
        <v>0</v>
      </c>
      <c r="R490" s="4394">
        <v>0</v>
      </c>
      <c r="S490" s="4365"/>
      <c r="T490" s="4377"/>
      <c r="U490" s="4365"/>
      <c r="V490" s="4365"/>
      <c r="W490" s="4365"/>
      <c r="X490" s="1859"/>
      <c r="Y490" s="4375">
        <f>Q490+S490+U490+W490</f>
        <v>0</v>
      </c>
      <c r="Z490" s="4364">
        <f>R490+T490+V490+X490</f>
        <v>0</v>
      </c>
      <c r="AA490" s="4359">
        <f>M490+Y490</f>
        <v>0</v>
      </c>
      <c r="AB490" s="4360">
        <f>N490+Z490</f>
        <v>0</v>
      </c>
      <c r="AC490" s="4359">
        <f>AA490/K490*100</f>
        <v>0</v>
      </c>
      <c r="AD490" s="4364">
        <f>AB490/L490*100</f>
        <v>0</v>
      </c>
      <c r="AE490" s="4365" t="s">
        <v>1523</v>
      </c>
      <c r="AF490" s="1149"/>
      <c r="AG490" s="1149"/>
    </row>
    <row r="491" spans="1:33" s="1150" customFormat="1" ht="25.5" customHeight="1">
      <c r="A491" s="1130"/>
      <c r="B491" s="1130"/>
      <c r="C491" s="1130"/>
      <c r="D491" s="1130"/>
      <c r="E491" s="1130"/>
      <c r="F491" s="1130"/>
      <c r="G491" s="1130"/>
      <c r="H491" s="1130"/>
      <c r="I491" s="4395"/>
      <c r="J491" s="1135" t="s">
        <v>1573</v>
      </c>
      <c r="K491" s="4359"/>
      <c r="L491" s="4364"/>
      <c r="M491" s="4359"/>
      <c r="N491" s="4364"/>
      <c r="O491" s="4359"/>
      <c r="P491" s="4376"/>
      <c r="Q491" s="4359"/>
      <c r="R491" s="4394"/>
      <c r="S491" s="4365"/>
      <c r="T491" s="4377"/>
      <c r="U491" s="4365"/>
      <c r="V491" s="4365"/>
      <c r="W491" s="4365"/>
      <c r="X491" s="1859"/>
      <c r="Y491" s="4375"/>
      <c r="Z491" s="4364"/>
      <c r="AA491" s="4359"/>
      <c r="AB491" s="4360"/>
      <c r="AC491" s="4359"/>
      <c r="AD491" s="4364"/>
      <c r="AE491" s="4365"/>
      <c r="AF491" s="1149"/>
      <c r="AG491" s="1149"/>
    </row>
    <row r="492" spans="1:33" s="1150" customFormat="1" ht="33" customHeight="1">
      <c r="A492" s="1130"/>
      <c r="B492" s="1130"/>
      <c r="C492" s="1130"/>
      <c r="D492" s="1130"/>
      <c r="E492" s="1130"/>
      <c r="F492" s="1130"/>
      <c r="G492" s="1130"/>
      <c r="H492" s="1130"/>
      <c r="I492" s="4395" t="s">
        <v>1574</v>
      </c>
      <c r="J492" s="1135" t="s">
        <v>1575</v>
      </c>
      <c r="K492" s="4359">
        <v>36</v>
      </c>
      <c r="L492" s="4364">
        <v>248250000</v>
      </c>
      <c r="M492" s="4359">
        <v>0</v>
      </c>
      <c r="N492" s="4364">
        <v>0</v>
      </c>
      <c r="O492" s="4359">
        <v>0</v>
      </c>
      <c r="P492" s="4376">
        <v>0</v>
      </c>
      <c r="Q492" s="4359">
        <v>0</v>
      </c>
      <c r="R492" s="4394">
        <v>0</v>
      </c>
      <c r="S492" s="4365"/>
      <c r="T492" s="4377"/>
      <c r="U492" s="4365"/>
      <c r="V492" s="1860"/>
      <c r="W492" s="1860"/>
      <c r="X492" s="1859"/>
      <c r="Y492" s="4375">
        <f>Q492+S492+U492+W492</f>
        <v>0</v>
      </c>
      <c r="Z492" s="4364">
        <f>R492+T492+V492+X492</f>
        <v>0</v>
      </c>
      <c r="AA492" s="4359">
        <f>M492+Y492</f>
        <v>0</v>
      </c>
      <c r="AB492" s="4360">
        <f>N492+Z492</f>
        <v>0</v>
      </c>
      <c r="AC492" s="4359">
        <f>AA492/K492*100</f>
        <v>0</v>
      </c>
      <c r="AD492" s="4364">
        <f>AB492/L492*100</f>
        <v>0</v>
      </c>
      <c r="AE492" s="4365" t="s">
        <v>1523</v>
      </c>
      <c r="AF492" s="1149"/>
      <c r="AG492" s="1149"/>
    </row>
    <row r="493" spans="1:33" s="1150" customFormat="1" ht="25.5" customHeight="1">
      <c r="A493" s="1130"/>
      <c r="B493" s="1130"/>
      <c r="C493" s="1130"/>
      <c r="D493" s="1130"/>
      <c r="E493" s="1130"/>
      <c r="F493" s="1130"/>
      <c r="G493" s="1130"/>
      <c r="H493" s="1130"/>
      <c r="I493" s="4395"/>
      <c r="J493" s="1135" t="s">
        <v>1576</v>
      </c>
      <c r="K493" s="4359"/>
      <c r="L493" s="4364"/>
      <c r="M493" s="4359"/>
      <c r="N493" s="4364"/>
      <c r="O493" s="4359"/>
      <c r="P493" s="4376"/>
      <c r="Q493" s="4359"/>
      <c r="R493" s="4394"/>
      <c r="S493" s="4365"/>
      <c r="T493" s="4377"/>
      <c r="U493" s="4365"/>
      <c r="V493" s="1860"/>
      <c r="W493" s="1860"/>
      <c r="X493" s="1859"/>
      <c r="Y493" s="4375"/>
      <c r="Z493" s="4364"/>
      <c r="AA493" s="4359"/>
      <c r="AB493" s="4360"/>
      <c r="AC493" s="4359"/>
      <c r="AD493" s="4364"/>
      <c r="AE493" s="4365"/>
      <c r="AF493" s="1149"/>
      <c r="AG493" s="1149"/>
    </row>
    <row r="494" spans="1:33" s="1150" customFormat="1" ht="28.5" customHeight="1">
      <c r="A494" s="1130"/>
      <c r="B494" s="1130"/>
      <c r="C494" s="1130"/>
      <c r="D494" s="1130"/>
      <c r="E494" s="1130"/>
      <c r="F494" s="1130"/>
      <c r="G494" s="1130"/>
      <c r="H494" s="1130"/>
      <c r="I494" s="1879" t="s">
        <v>773</v>
      </c>
      <c r="J494" s="1135" t="s">
        <v>1577</v>
      </c>
      <c r="K494" s="1155">
        <v>36</v>
      </c>
      <c r="L494" s="1859">
        <v>157225000</v>
      </c>
      <c r="M494" s="1858">
        <v>0</v>
      </c>
      <c r="N494" s="1859">
        <v>0</v>
      </c>
      <c r="O494" s="1859">
        <v>0</v>
      </c>
      <c r="P494" s="1872">
        <v>0</v>
      </c>
      <c r="Q494" s="1858">
        <v>0</v>
      </c>
      <c r="R494" s="1878">
        <v>0</v>
      </c>
      <c r="S494" s="4365"/>
      <c r="T494" s="4377"/>
      <c r="U494" s="1860"/>
      <c r="V494" s="1860"/>
      <c r="W494" s="1860"/>
      <c r="X494" s="1859"/>
      <c r="Y494" s="1868">
        <f>Q494+S494+U494+W494</f>
        <v>0</v>
      </c>
      <c r="Z494" s="4364">
        <f>R494+T494+V494+X494</f>
        <v>0</v>
      </c>
      <c r="AA494" s="4364">
        <f>S494+U494+W494+Y494</f>
        <v>0</v>
      </c>
      <c r="AB494" s="4359">
        <f>N494+Z494</f>
        <v>0</v>
      </c>
      <c r="AC494" s="1152">
        <f>AA494/K494*100</f>
        <v>0</v>
      </c>
      <c r="AD494" s="1156">
        <f>AB494/L494*100</f>
        <v>0</v>
      </c>
      <c r="AE494" s="4365" t="s">
        <v>1523</v>
      </c>
      <c r="AF494" s="1149"/>
      <c r="AG494" s="1149"/>
    </row>
    <row r="495" spans="1:33" s="1150" customFormat="1" ht="25.5" customHeight="1">
      <c r="A495" s="1130"/>
      <c r="B495" s="1130"/>
      <c r="C495" s="1130"/>
      <c r="D495" s="1130"/>
      <c r="E495" s="1130"/>
      <c r="F495" s="1130"/>
      <c r="G495" s="1130"/>
      <c r="H495" s="1130"/>
      <c r="I495" s="1879"/>
      <c r="J495" s="1135" t="s">
        <v>1578</v>
      </c>
      <c r="K495" s="1152"/>
      <c r="L495" s="1145"/>
      <c r="M495" s="1152"/>
      <c r="N495" s="1145"/>
      <c r="O495" s="1145"/>
      <c r="P495" s="1153"/>
      <c r="Q495" s="1152"/>
      <c r="R495" s="1154"/>
      <c r="S495" s="4365"/>
      <c r="T495" s="4377"/>
      <c r="U495" s="1860"/>
      <c r="V495" s="1860"/>
      <c r="W495" s="1860"/>
      <c r="X495" s="1859"/>
      <c r="Y495" s="1868"/>
      <c r="Z495" s="4364"/>
      <c r="AA495" s="4364"/>
      <c r="AB495" s="4359"/>
      <c r="AC495" s="1152"/>
      <c r="AD495" s="1145"/>
      <c r="AE495" s="4365"/>
      <c r="AF495" s="1149"/>
      <c r="AG495" s="1149"/>
    </row>
    <row r="496" spans="1:33" s="1150" customFormat="1" ht="25.5" customHeight="1">
      <c r="A496" s="1130"/>
      <c r="B496" s="1130"/>
      <c r="C496" s="1130"/>
      <c r="D496" s="1130"/>
      <c r="E496" s="1130"/>
      <c r="F496" s="1130"/>
      <c r="G496" s="1130"/>
      <c r="H496" s="1130"/>
      <c r="I496" s="4395" t="s">
        <v>1579</v>
      </c>
      <c r="J496" s="1135" t="s">
        <v>1580</v>
      </c>
      <c r="K496" s="4359">
        <v>36</v>
      </c>
      <c r="L496" s="4364">
        <v>119160000</v>
      </c>
      <c r="M496" s="4359">
        <v>0</v>
      </c>
      <c r="N496" s="4364">
        <v>0</v>
      </c>
      <c r="O496" s="4364"/>
      <c r="P496" s="4376">
        <v>0</v>
      </c>
      <c r="Q496" s="4359">
        <v>0</v>
      </c>
      <c r="R496" s="4394">
        <v>0</v>
      </c>
      <c r="S496" s="4365"/>
      <c r="T496" s="4377"/>
      <c r="U496" s="4365"/>
      <c r="V496" s="4365"/>
      <c r="W496" s="1860"/>
      <c r="X496" s="1859"/>
      <c r="Y496" s="4364">
        <f>Q496+S496+U496+W496</f>
        <v>0</v>
      </c>
      <c r="Z496" s="4364">
        <f>R496+T496+V496+X496</f>
        <v>0</v>
      </c>
      <c r="AA496" s="4359">
        <f>M496+Y496</f>
        <v>0</v>
      </c>
      <c r="AB496" s="4360">
        <f>N496+Z496</f>
        <v>0</v>
      </c>
      <c r="AC496" s="4359">
        <f>AA496/K496*100</f>
        <v>0</v>
      </c>
      <c r="AD496" s="4364">
        <f>AB496/L496*100</f>
        <v>0</v>
      </c>
      <c r="AE496" s="4365" t="s">
        <v>1523</v>
      </c>
      <c r="AF496" s="1149"/>
      <c r="AG496" s="1149"/>
    </row>
    <row r="497" spans="1:33" s="1150" customFormat="1" ht="25.5" customHeight="1">
      <c r="A497" s="1130"/>
      <c r="B497" s="1130"/>
      <c r="C497" s="1130"/>
      <c r="D497" s="1130"/>
      <c r="E497" s="1130"/>
      <c r="F497" s="1130"/>
      <c r="G497" s="1130"/>
      <c r="H497" s="1130"/>
      <c r="I497" s="4395"/>
      <c r="J497" s="1135" t="s">
        <v>1559</v>
      </c>
      <c r="K497" s="4359"/>
      <c r="L497" s="4364"/>
      <c r="M497" s="4359"/>
      <c r="N497" s="4364"/>
      <c r="O497" s="4364"/>
      <c r="P497" s="4376"/>
      <c r="Q497" s="4359"/>
      <c r="R497" s="4394"/>
      <c r="S497" s="4365"/>
      <c r="T497" s="4377"/>
      <c r="U497" s="4365"/>
      <c r="V497" s="4365"/>
      <c r="W497" s="1860"/>
      <c r="X497" s="1859"/>
      <c r="Y497" s="4364"/>
      <c r="Z497" s="4364"/>
      <c r="AA497" s="4359"/>
      <c r="AB497" s="4360"/>
      <c r="AC497" s="4359"/>
      <c r="AD497" s="4364"/>
      <c r="AE497" s="4365"/>
      <c r="AF497" s="1149"/>
      <c r="AG497" s="1149"/>
    </row>
    <row r="498" spans="1:33" s="1150" customFormat="1" ht="25.5" customHeight="1">
      <c r="A498" s="1130"/>
      <c r="B498" s="1130"/>
      <c r="C498" s="1130"/>
      <c r="D498" s="1130"/>
      <c r="E498" s="1130"/>
      <c r="F498" s="1130"/>
      <c r="G498" s="1130"/>
      <c r="H498" s="1130"/>
      <c r="I498" s="4395" t="s">
        <v>1581</v>
      </c>
      <c r="J498" s="1135" t="s">
        <v>1580</v>
      </c>
      <c r="K498" s="4359">
        <v>36</v>
      </c>
      <c r="L498" s="4364">
        <v>49650000</v>
      </c>
      <c r="M498" s="4359">
        <v>0</v>
      </c>
      <c r="N498" s="4364">
        <v>0</v>
      </c>
      <c r="O498" s="4364">
        <v>0</v>
      </c>
      <c r="P498" s="4376">
        <v>0</v>
      </c>
      <c r="Q498" s="4359">
        <v>0</v>
      </c>
      <c r="R498" s="4394">
        <v>0</v>
      </c>
      <c r="S498" s="4365"/>
      <c r="T498" s="4377"/>
      <c r="U498" s="1860"/>
      <c r="V498" s="1860"/>
      <c r="W498" s="1860"/>
      <c r="X498" s="1859"/>
      <c r="Y498" s="4364">
        <f>Q498+S498+U498+W498</f>
        <v>0</v>
      </c>
      <c r="Z498" s="4364">
        <f>R498+T498+V498+X498</f>
        <v>0</v>
      </c>
      <c r="AA498" s="4359">
        <f>M498+Y498</f>
        <v>0</v>
      </c>
      <c r="AB498" s="4360">
        <f>N498+Z498</f>
        <v>0</v>
      </c>
      <c r="AC498" s="4359">
        <f>AA498/K498*100</f>
        <v>0</v>
      </c>
      <c r="AD498" s="4364">
        <f>AB498/L498*100</f>
        <v>0</v>
      </c>
      <c r="AE498" s="4365" t="s">
        <v>1523</v>
      </c>
      <c r="AF498" s="1149"/>
      <c r="AG498" s="1149"/>
    </row>
    <row r="499" spans="1:33" s="1150" customFormat="1" ht="25.5" customHeight="1">
      <c r="A499" s="1130"/>
      <c r="B499" s="1130"/>
      <c r="C499" s="1130"/>
      <c r="D499" s="1130"/>
      <c r="E499" s="1130"/>
      <c r="F499" s="1130"/>
      <c r="G499" s="1130"/>
      <c r="H499" s="1130"/>
      <c r="I499" s="4395"/>
      <c r="J499" s="1135" t="s">
        <v>1582</v>
      </c>
      <c r="K499" s="4359"/>
      <c r="L499" s="4364"/>
      <c r="M499" s="4359"/>
      <c r="N499" s="4364"/>
      <c r="O499" s="4364"/>
      <c r="P499" s="4376"/>
      <c r="Q499" s="4359"/>
      <c r="R499" s="4394"/>
      <c r="S499" s="4365"/>
      <c r="T499" s="4377"/>
      <c r="U499" s="1860"/>
      <c r="V499" s="1860"/>
      <c r="W499" s="1860"/>
      <c r="X499" s="1859"/>
      <c r="Y499" s="4364"/>
      <c r="Z499" s="4364"/>
      <c r="AA499" s="4359"/>
      <c r="AB499" s="4360"/>
      <c r="AC499" s="4359"/>
      <c r="AD499" s="4364"/>
      <c r="AE499" s="4365"/>
      <c r="AF499" s="1149"/>
      <c r="AG499" s="1149"/>
    </row>
    <row r="500" spans="1:33" s="1150" customFormat="1" ht="25.5" customHeight="1">
      <c r="A500" s="1130"/>
      <c r="B500" s="1130"/>
      <c r="C500" s="1130"/>
      <c r="D500" s="1130"/>
      <c r="E500" s="1130"/>
      <c r="F500" s="1130"/>
      <c r="G500" s="1130"/>
      <c r="H500" s="1130"/>
      <c r="I500" s="4395" t="s">
        <v>1583</v>
      </c>
      <c r="J500" s="1135" t="s">
        <v>1584</v>
      </c>
      <c r="K500" s="4359">
        <v>36</v>
      </c>
      <c r="L500" s="4364">
        <v>31445000</v>
      </c>
      <c r="M500" s="4359">
        <v>0</v>
      </c>
      <c r="N500" s="4364">
        <v>0</v>
      </c>
      <c r="O500" s="4364">
        <v>0</v>
      </c>
      <c r="P500" s="4376">
        <v>0</v>
      </c>
      <c r="Q500" s="4359">
        <v>0</v>
      </c>
      <c r="R500" s="4394">
        <v>0</v>
      </c>
      <c r="S500" s="4365"/>
      <c r="T500" s="1867"/>
      <c r="U500" s="1860"/>
      <c r="V500" s="1860"/>
      <c r="W500" s="1860"/>
      <c r="X500" s="1859"/>
      <c r="Y500" s="4364">
        <f>Q500+S500+U500+W500</f>
        <v>0</v>
      </c>
      <c r="Z500" s="4364">
        <f>R500+T500+V500+X500</f>
        <v>0</v>
      </c>
      <c r="AA500" s="4359">
        <f>M500+Y500</f>
        <v>0</v>
      </c>
      <c r="AB500" s="4360">
        <f>N500+Z500</f>
        <v>0</v>
      </c>
      <c r="AC500" s="4359">
        <f>AA500/K500*100</f>
        <v>0</v>
      </c>
      <c r="AD500" s="4364">
        <f>AB500/L500*100</f>
        <v>0</v>
      </c>
      <c r="AE500" s="4365" t="s">
        <v>1523</v>
      </c>
      <c r="AF500" s="1149"/>
      <c r="AG500" s="1149"/>
    </row>
    <row r="501" spans="1:33" s="1150" customFormat="1" ht="25.5" customHeight="1">
      <c r="A501" s="1130"/>
      <c r="B501" s="1130"/>
      <c r="C501" s="1130"/>
      <c r="D501" s="1130"/>
      <c r="E501" s="1130"/>
      <c r="F501" s="1130"/>
      <c r="G501" s="1130"/>
      <c r="H501" s="1130"/>
      <c r="I501" s="4395"/>
      <c r="J501" s="1135" t="s">
        <v>1559</v>
      </c>
      <c r="K501" s="4359"/>
      <c r="L501" s="4364"/>
      <c r="M501" s="4359"/>
      <c r="N501" s="4364"/>
      <c r="O501" s="4364"/>
      <c r="P501" s="4376"/>
      <c r="Q501" s="4359"/>
      <c r="R501" s="4394"/>
      <c r="S501" s="4365"/>
      <c r="T501" s="1867"/>
      <c r="U501" s="1860"/>
      <c r="V501" s="1860"/>
      <c r="W501" s="1860"/>
      <c r="X501" s="1859"/>
      <c r="Y501" s="4364"/>
      <c r="Z501" s="4364"/>
      <c r="AA501" s="4359"/>
      <c r="AB501" s="4360"/>
      <c r="AC501" s="4359"/>
      <c r="AD501" s="4364"/>
      <c r="AE501" s="4365"/>
      <c r="AF501" s="1149"/>
      <c r="AG501" s="1149"/>
    </row>
    <row r="502" spans="1:33" s="1150" customFormat="1" ht="27.75" customHeight="1">
      <c r="A502" s="1130"/>
      <c r="B502" s="1130"/>
      <c r="C502" s="1130"/>
      <c r="D502" s="1130"/>
      <c r="E502" s="1130"/>
      <c r="F502" s="1130"/>
      <c r="G502" s="1130"/>
      <c r="H502" s="1130"/>
      <c r="I502" s="4395" t="s">
        <v>1585</v>
      </c>
      <c r="J502" s="1135" t="s">
        <v>1586</v>
      </c>
      <c r="K502" s="4359">
        <v>36</v>
      </c>
      <c r="L502" s="4364">
        <v>251560000</v>
      </c>
      <c r="M502" s="4359">
        <v>0</v>
      </c>
      <c r="N502" s="4364">
        <v>0</v>
      </c>
      <c r="O502" s="4359"/>
      <c r="P502" s="4376">
        <v>0</v>
      </c>
      <c r="Q502" s="4359">
        <v>0</v>
      </c>
      <c r="R502" s="4394">
        <v>0</v>
      </c>
      <c r="S502" s="4365"/>
      <c r="T502" s="1867"/>
      <c r="U502" s="1860"/>
      <c r="V502" s="1860"/>
      <c r="W502" s="1860"/>
      <c r="X502" s="1859"/>
      <c r="Y502" s="4364">
        <f>Q502+S502+U502+W502</f>
        <v>0</v>
      </c>
      <c r="Z502" s="4364">
        <f>R502+T502+V502+X502</f>
        <v>0</v>
      </c>
      <c r="AA502" s="4359">
        <f>M502+Y502</f>
        <v>0</v>
      </c>
      <c r="AB502" s="4360">
        <f>N502+Z502</f>
        <v>0</v>
      </c>
      <c r="AC502" s="4359">
        <f>AA502/K502*100</f>
        <v>0</v>
      </c>
      <c r="AD502" s="4364">
        <f>AB502/L502*100</f>
        <v>0</v>
      </c>
      <c r="AE502" s="4365" t="s">
        <v>1523</v>
      </c>
      <c r="AF502" s="1149"/>
      <c r="AG502" s="1149"/>
    </row>
    <row r="503" spans="1:33" s="1150" customFormat="1" ht="25.5" customHeight="1">
      <c r="A503" s="1130"/>
      <c r="B503" s="1130"/>
      <c r="C503" s="1130"/>
      <c r="D503" s="1130"/>
      <c r="E503" s="1130"/>
      <c r="F503" s="1130"/>
      <c r="G503" s="1130"/>
      <c r="H503" s="1130"/>
      <c r="I503" s="4395"/>
      <c r="J503" s="1135" t="s">
        <v>1587</v>
      </c>
      <c r="K503" s="4359"/>
      <c r="L503" s="4364"/>
      <c r="M503" s="4359"/>
      <c r="N503" s="4364"/>
      <c r="O503" s="4359"/>
      <c r="P503" s="4376"/>
      <c r="Q503" s="4359"/>
      <c r="R503" s="4394"/>
      <c r="S503" s="4365"/>
      <c r="T503" s="1867"/>
      <c r="U503" s="1860"/>
      <c r="V503" s="1860"/>
      <c r="W503" s="1860"/>
      <c r="X503" s="1859"/>
      <c r="Y503" s="4364"/>
      <c r="Z503" s="4364"/>
      <c r="AA503" s="4359"/>
      <c r="AB503" s="4360"/>
      <c r="AC503" s="4359"/>
      <c r="AD503" s="4364"/>
      <c r="AE503" s="4365"/>
      <c r="AF503" s="1149"/>
      <c r="AG503" s="1149"/>
    </row>
    <row r="504" spans="1:33" s="1150" customFormat="1" ht="25.5" customHeight="1">
      <c r="A504" s="1130"/>
      <c r="B504" s="1130"/>
      <c r="C504" s="1130"/>
      <c r="D504" s="1130"/>
      <c r="E504" s="1130"/>
      <c r="F504" s="1130"/>
      <c r="G504" s="1130"/>
      <c r="H504" s="1130"/>
      <c r="I504" s="4395" t="s">
        <v>1588</v>
      </c>
      <c r="J504" s="1135" t="s">
        <v>1589</v>
      </c>
      <c r="K504" s="4359">
        <v>36</v>
      </c>
      <c r="L504" s="4364">
        <v>827500000</v>
      </c>
      <c r="M504" s="4359">
        <v>0</v>
      </c>
      <c r="N504" s="4364">
        <v>0</v>
      </c>
      <c r="O504" s="4359">
        <v>0</v>
      </c>
      <c r="P504" s="4376">
        <v>0</v>
      </c>
      <c r="Q504" s="4359">
        <v>0</v>
      </c>
      <c r="R504" s="4394">
        <v>0</v>
      </c>
      <c r="S504" s="4365"/>
      <c r="T504" s="1867"/>
      <c r="U504" s="1860"/>
      <c r="V504" s="1860"/>
      <c r="W504" s="1860"/>
      <c r="X504" s="1859"/>
      <c r="Y504" s="4364">
        <f>Q504+S504+U504+W504</f>
        <v>0</v>
      </c>
      <c r="Z504" s="4364">
        <f>R504+T504+V504+X504</f>
        <v>0</v>
      </c>
      <c r="AA504" s="4359">
        <f>M504+Y504</f>
        <v>0</v>
      </c>
      <c r="AB504" s="4360">
        <f>N504+Z504</f>
        <v>0</v>
      </c>
      <c r="AC504" s="4359">
        <f>AA504/K504*100</f>
        <v>0</v>
      </c>
      <c r="AD504" s="4364">
        <f>AB504/L504*100</f>
        <v>0</v>
      </c>
      <c r="AE504" s="4365" t="s">
        <v>1523</v>
      </c>
      <c r="AF504" s="1149"/>
      <c r="AG504" s="1149"/>
    </row>
    <row r="505" spans="1:33" s="1150" customFormat="1" ht="25.5" customHeight="1">
      <c r="A505" s="1130"/>
      <c r="B505" s="1130"/>
      <c r="C505" s="1130"/>
      <c r="D505" s="1130"/>
      <c r="E505" s="1130"/>
      <c r="F505" s="1130"/>
      <c r="G505" s="1130"/>
      <c r="H505" s="1130"/>
      <c r="I505" s="4395"/>
      <c r="J505" s="1135" t="s">
        <v>1590</v>
      </c>
      <c r="K505" s="4359"/>
      <c r="L505" s="4364"/>
      <c r="M505" s="4359"/>
      <c r="N505" s="4364"/>
      <c r="O505" s="4359"/>
      <c r="P505" s="4376"/>
      <c r="Q505" s="4359"/>
      <c r="R505" s="4394"/>
      <c r="S505" s="4365"/>
      <c r="T505" s="1867"/>
      <c r="U505" s="1860"/>
      <c r="V505" s="1860"/>
      <c r="W505" s="1860"/>
      <c r="X505" s="1859"/>
      <c r="Y505" s="4364"/>
      <c r="Z505" s="4364"/>
      <c r="AA505" s="4359"/>
      <c r="AB505" s="4360"/>
      <c r="AC505" s="4359"/>
      <c r="AD505" s="4364"/>
      <c r="AE505" s="4365"/>
      <c r="AF505" s="1149"/>
      <c r="AG505" s="1149"/>
    </row>
    <row r="506" spans="1:33" s="1150" customFormat="1" ht="10.5" customHeight="1">
      <c r="A506" s="1130"/>
      <c r="B506" s="1130"/>
      <c r="C506" s="1130"/>
      <c r="D506" s="1130"/>
      <c r="E506" s="1130"/>
      <c r="F506" s="1130"/>
      <c r="G506" s="1130"/>
      <c r="H506" s="1130"/>
      <c r="I506" s="1877"/>
      <c r="J506" s="1135"/>
      <c r="K506" s="1858"/>
      <c r="L506" s="1859"/>
      <c r="M506" s="1858"/>
      <c r="N506" s="1859"/>
      <c r="O506" s="1858"/>
      <c r="P506" s="1872"/>
      <c r="Q506" s="1881"/>
      <c r="R506" s="1859"/>
      <c r="S506" s="1860"/>
      <c r="T506" s="1867"/>
      <c r="U506" s="1860"/>
      <c r="V506" s="1860"/>
      <c r="W506" s="1860"/>
      <c r="X506" s="1859"/>
      <c r="Y506" s="1882"/>
      <c r="Z506" s="1859"/>
      <c r="AA506" s="1858"/>
      <c r="AB506" s="1857"/>
      <c r="AC506" s="1881"/>
      <c r="AD506" s="1859"/>
      <c r="AE506" s="1860"/>
      <c r="AF506" s="1149"/>
      <c r="AG506" s="1149"/>
    </row>
    <row r="507" spans="1:33" s="1151" customFormat="1" ht="26.1" customHeight="1">
      <c r="A507" s="1117"/>
      <c r="B507" s="1117"/>
      <c r="C507" s="1115" t="s">
        <v>65</v>
      </c>
      <c r="D507" s="1115" t="s">
        <v>66</v>
      </c>
      <c r="E507" s="1115" t="s">
        <v>66</v>
      </c>
      <c r="F507" s="1115" t="s">
        <v>161</v>
      </c>
      <c r="G507" s="1115"/>
      <c r="H507" s="1117"/>
      <c r="I507" s="1157"/>
      <c r="J507" s="1117"/>
      <c r="K507" s="1876">
        <v>72</v>
      </c>
      <c r="L507" s="1866">
        <f t="shared" ref="L507:R507" si="107">L508</f>
        <v>260500000</v>
      </c>
      <c r="M507" s="1876">
        <f t="shared" si="107"/>
        <v>24</v>
      </c>
      <c r="N507" s="1875">
        <f t="shared" si="107"/>
        <v>0</v>
      </c>
      <c r="O507" s="1876">
        <f t="shared" si="107"/>
        <v>0</v>
      </c>
      <c r="P507" s="1158">
        <f t="shared" si="107"/>
        <v>0</v>
      </c>
      <c r="Q507" s="1863">
        <f t="shared" si="107"/>
        <v>0</v>
      </c>
      <c r="R507" s="1875">
        <f t="shared" si="107"/>
        <v>0</v>
      </c>
      <c r="S507" s="1863"/>
      <c r="T507" s="1866"/>
      <c r="U507" s="1863"/>
      <c r="V507" s="1863"/>
      <c r="W507" s="1863"/>
      <c r="X507" s="1875"/>
      <c r="Y507" s="1126">
        <f>Q507+S507+U507+W507</f>
        <v>0</v>
      </c>
      <c r="Z507" s="1875">
        <f>R507+T507+V507+X507</f>
        <v>0</v>
      </c>
      <c r="AA507" s="1876">
        <f>M507+Y507</f>
        <v>24</v>
      </c>
      <c r="AB507" s="1866">
        <f>Z507+N507</f>
        <v>0</v>
      </c>
      <c r="AC507" s="1876">
        <f>AA507/K507*100</f>
        <v>33.333333333333329</v>
      </c>
      <c r="AD507" s="1159">
        <f>AB507/L507*100</f>
        <v>0</v>
      </c>
      <c r="AE507" s="1861"/>
      <c r="AF507" s="1148"/>
      <c r="AG507" s="1148"/>
    </row>
    <row r="508" spans="1:33" s="1150" customFormat="1" ht="32.25" customHeight="1">
      <c r="A508" s="1130"/>
      <c r="B508" s="1130"/>
      <c r="C508" s="1115" t="s">
        <v>65</v>
      </c>
      <c r="D508" s="1115" t="s">
        <v>66</v>
      </c>
      <c r="E508" s="1115" t="s">
        <v>66</v>
      </c>
      <c r="F508" s="1115" t="s">
        <v>161</v>
      </c>
      <c r="G508" s="1115"/>
      <c r="H508" s="1132" t="s">
        <v>196</v>
      </c>
      <c r="I508" s="4395" t="s">
        <v>1591</v>
      </c>
      <c r="J508" s="1135" t="s">
        <v>1592</v>
      </c>
      <c r="K508" s="4359">
        <v>72</v>
      </c>
      <c r="L508" s="4364">
        <v>260500000</v>
      </c>
      <c r="M508" s="4359">
        <v>24</v>
      </c>
      <c r="N508" s="4368">
        <v>0</v>
      </c>
      <c r="O508" s="4359">
        <v>0</v>
      </c>
      <c r="P508" s="4376">
        <v>0</v>
      </c>
      <c r="Q508" s="4365">
        <v>0</v>
      </c>
      <c r="R508" s="4364">
        <v>0</v>
      </c>
      <c r="S508" s="4365"/>
      <c r="T508" s="4377"/>
      <c r="U508" s="4374"/>
      <c r="V508" s="4360"/>
      <c r="W508" s="4374"/>
      <c r="X508" s="4364"/>
      <c r="Y508" s="4375">
        <f>Q508+S508+U508+W508</f>
        <v>0</v>
      </c>
      <c r="Z508" s="4364">
        <f>R508+T508+V508+X508</f>
        <v>0</v>
      </c>
      <c r="AA508" s="4359">
        <f>M508+Y508</f>
        <v>24</v>
      </c>
      <c r="AB508" s="4360">
        <f>N508+Z508</f>
        <v>0</v>
      </c>
      <c r="AC508" s="4359">
        <f>AA508/K508*100</f>
        <v>33.333333333333329</v>
      </c>
      <c r="AD508" s="4364">
        <f>AB508/L508*100</f>
        <v>0</v>
      </c>
      <c r="AE508" s="4389" t="s">
        <v>1523</v>
      </c>
      <c r="AF508" s="1149"/>
      <c r="AG508" s="1149"/>
    </row>
    <row r="509" spans="1:33" s="1150" customFormat="1" ht="37.5" customHeight="1">
      <c r="A509" s="1130"/>
      <c r="B509" s="1130"/>
      <c r="C509" s="1117"/>
      <c r="D509" s="1117"/>
      <c r="E509" s="1117"/>
      <c r="F509" s="1117"/>
      <c r="G509" s="1117"/>
      <c r="H509" s="1130"/>
      <c r="I509" s="4395"/>
      <c r="J509" s="1135" t="s">
        <v>1593</v>
      </c>
      <c r="K509" s="4359"/>
      <c r="L509" s="4364"/>
      <c r="M509" s="4359"/>
      <c r="N509" s="4368"/>
      <c r="O509" s="4359"/>
      <c r="P509" s="4376"/>
      <c r="Q509" s="4365"/>
      <c r="R509" s="4364"/>
      <c r="S509" s="4365"/>
      <c r="T509" s="4377"/>
      <c r="U509" s="4365"/>
      <c r="V509" s="4365"/>
      <c r="W509" s="4365"/>
      <c r="X509" s="4364"/>
      <c r="Y509" s="4375"/>
      <c r="Z509" s="4364"/>
      <c r="AA509" s="4359"/>
      <c r="AB509" s="4360"/>
      <c r="AC509" s="4359"/>
      <c r="AD509" s="4364"/>
      <c r="AE509" s="4389"/>
      <c r="AF509" s="1149"/>
      <c r="AG509" s="1149"/>
    </row>
    <row r="510" spans="1:33" s="1150" customFormat="1" ht="2.4500000000000002" hidden="1" customHeight="1">
      <c r="A510" s="1130"/>
      <c r="B510" s="1130"/>
      <c r="C510" s="1130"/>
      <c r="D510" s="1130"/>
      <c r="E510" s="1130"/>
      <c r="F510" s="1130"/>
      <c r="G510" s="1130"/>
      <c r="H510" s="1130"/>
      <c r="I510" s="4395"/>
      <c r="J510" s="1130"/>
      <c r="K510" s="1152"/>
      <c r="L510" s="1860"/>
      <c r="M510" s="1152"/>
      <c r="N510" s="1145"/>
      <c r="O510" s="1152"/>
      <c r="P510" s="1153"/>
      <c r="Q510" s="1160"/>
      <c r="R510" s="1145"/>
      <c r="S510" s="1135"/>
      <c r="T510" s="1143"/>
      <c r="U510" s="1135"/>
      <c r="V510" s="1135"/>
      <c r="W510" s="1135"/>
      <c r="X510" s="1145"/>
      <c r="Y510" s="1882"/>
      <c r="Z510" s="1859"/>
      <c r="AA510" s="1152"/>
      <c r="AB510" s="1857">
        <f>N510+Z510</f>
        <v>0</v>
      </c>
      <c r="AC510" s="1160"/>
      <c r="AD510" s="1152"/>
      <c r="AE510" s="1856"/>
      <c r="AF510" s="1149"/>
      <c r="AG510" s="1149"/>
    </row>
    <row r="511" spans="1:33" s="1151" customFormat="1" ht="40.5" customHeight="1">
      <c r="A511" s="1117"/>
      <c r="B511" s="1130" t="s">
        <v>1594</v>
      </c>
      <c r="C511" s="1115" t="s">
        <v>65</v>
      </c>
      <c r="D511" s="1115" t="s">
        <v>66</v>
      </c>
      <c r="E511" s="1115" t="s">
        <v>66</v>
      </c>
      <c r="F511" s="1115" t="s">
        <v>155</v>
      </c>
      <c r="G511" s="1115"/>
      <c r="H511" s="1117"/>
      <c r="I511" s="1157"/>
      <c r="J511" s="1161" t="s">
        <v>1595</v>
      </c>
      <c r="K511" s="1162">
        <v>144</v>
      </c>
      <c r="L511" s="1163">
        <v>1643591.84167461</v>
      </c>
      <c r="M511" s="1164">
        <v>160</v>
      </c>
      <c r="N511" s="1165">
        <v>637025.48</v>
      </c>
      <c r="O511" s="1876">
        <v>112</v>
      </c>
      <c r="P511" s="1166">
        <v>242399.17499999999</v>
      </c>
      <c r="Q511" s="1863">
        <v>3</v>
      </c>
      <c r="R511" s="1875">
        <f>R513+R515+R517+R520</f>
        <v>12257405</v>
      </c>
      <c r="S511" s="1863"/>
      <c r="T511" s="1864"/>
      <c r="U511" s="1865"/>
      <c r="V511" s="1865"/>
      <c r="W511" s="1865"/>
      <c r="X511" s="4396"/>
      <c r="Y511" s="1126">
        <f>Q511+S511+U511+W511</f>
        <v>3</v>
      </c>
      <c r="Z511" s="1875">
        <f>R511+T511+V511+X511</f>
        <v>12257405</v>
      </c>
      <c r="AA511" s="1866">
        <f>M511+Y511</f>
        <v>163</v>
      </c>
      <c r="AB511" s="1866">
        <f>N511+Z511</f>
        <v>12894430.48</v>
      </c>
      <c r="AC511" s="4392">
        <f>AA511/K511*100</f>
        <v>113.19444444444444</v>
      </c>
      <c r="AD511" s="4396">
        <f>AB511/L511*100</f>
        <v>784.5275300747553</v>
      </c>
      <c r="AE511" s="4389" t="s">
        <v>1523</v>
      </c>
      <c r="AF511" s="1148"/>
      <c r="AG511" s="1148"/>
    </row>
    <row r="512" spans="1:33" s="1150" customFormat="1" ht="0.95" hidden="1" customHeight="1">
      <c r="A512" s="1130"/>
      <c r="B512" s="1130"/>
      <c r="C512" s="1130"/>
      <c r="D512" s="1130"/>
      <c r="E512" s="1130"/>
      <c r="F512" s="1130"/>
      <c r="G512" s="1130"/>
      <c r="H512" s="1130"/>
      <c r="I512" s="1140"/>
      <c r="J512" s="1130"/>
      <c r="K512" s="1121"/>
      <c r="L512" s="1863"/>
      <c r="M512" s="1121"/>
      <c r="N512" s="1122"/>
      <c r="O512" s="1121"/>
      <c r="P512" s="1147"/>
      <c r="Q512" s="1865"/>
      <c r="R512" s="1122"/>
      <c r="S512" s="1865"/>
      <c r="T512" s="1864"/>
      <c r="U512" s="1865"/>
      <c r="V512" s="1865"/>
      <c r="W512" s="1865"/>
      <c r="X512" s="4396"/>
      <c r="Y512" s="1167"/>
      <c r="Z512" s="1875"/>
      <c r="AA512" s="1121"/>
      <c r="AB512" s="1866">
        <f>N512+Z512</f>
        <v>0</v>
      </c>
      <c r="AC512" s="4392"/>
      <c r="AD512" s="4396"/>
      <c r="AE512" s="4389"/>
      <c r="AF512" s="1149"/>
      <c r="AG512" s="1149"/>
    </row>
    <row r="513" spans="1:33" s="1150" customFormat="1" ht="42.75" customHeight="1">
      <c r="A513" s="1130"/>
      <c r="B513" s="1130"/>
      <c r="C513" s="1115" t="s">
        <v>65</v>
      </c>
      <c r="D513" s="1115" t="s">
        <v>66</v>
      </c>
      <c r="E513" s="1115" t="s">
        <v>66</v>
      </c>
      <c r="F513" s="1115" t="s">
        <v>155</v>
      </c>
      <c r="G513" s="1115"/>
      <c r="H513" s="1132" t="s">
        <v>197</v>
      </c>
      <c r="I513" s="4378" t="s">
        <v>1596</v>
      </c>
      <c r="J513" s="1130" t="s">
        <v>1597</v>
      </c>
      <c r="K513" s="4359">
        <v>60</v>
      </c>
      <c r="L513" s="4364">
        <v>8570504825</v>
      </c>
      <c r="M513" s="4359">
        <v>20</v>
      </c>
      <c r="N513" s="4368">
        <v>0</v>
      </c>
      <c r="O513" s="4359">
        <v>10</v>
      </c>
      <c r="P513" s="4376">
        <v>754996500</v>
      </c>
      <c r="Q513" s="4365">
        <v>3</v>
      </c>
      <c r="R513" s="4364">
        <v>6748405</v>
      </c>
      <c r="S513" s="4365"/>
      <c r="T513" s="4377"/>
      <c r="U513" s="4374"/>
      <c r="V513" s="4360"/>
      <c r="W513" s="4374"/>
      <c r="X513" s="4364"/>
      <c r="Y513" s="4375">
        <f>Q513+S513+U513+W513</f>
        <v>3</v>
      </c>
      <c r="Z513" s="4364">
        <f>R513+T513+V513+X513</f>
        <v>6748405</v>
      </c>
      <c r="AA513" s="4359">
        <f>M513+Y513</f>
        <v>23</v>
      </c>
      <c r="AB513" s="4360">
        <f>N513+Z513</f>
        <v>6748405</v>
      </c>
      <c r="AC513" s="4359">
        <f>AA513/K513*100</f>
        <v>38.333333333333336</v>
      </c>
      <c r="AD513" s="4364">
        <f>AB513/L513*100</f>
        <v>7.8739877496072697E-2</v>
      </c>
      <c r="AE513" s="4365" t="s">
        <v>1523</v>
      </c>
      <c r="AF513" s="1149"/>
      <c r="AG513" s="1149"/>
    </row>
    <row r="514" spans="1:33" s="1150" customFormat="1" ht="27.95" customHeight="1">
      <c r="A514" s="1130"/>
      <c r="B514" s="1130"/>
      <c r="C514" s="1130"/>
      <c r="D514" s="1130"/>
      <c r="E514" s="1130"/>
      <c r="F514" s="1130"/>
      <c r="G514" s="1130"/>
      <c r="H514" s="1130"/>
      <c r="I514" s="4378"/>
      <c r="J514" s="1135" t="s">
        <v>1598</v>
      </c>
      <c r="K514" s="4359"/>
      <c r="L514" s="4364"/>
      <c r="M514" s="4359"/>
      <c r="N514" s="4368"/>
      <c r="O514" s="4359"/>
      <c r="P514" s="4376"/>
      <c r="Q514" s="4365"/>
      <c r="R514" s="4364"/>
      <c r="S514" s="4365"/>
      <c r="T514" s="4377"/>
      <c r="U514" s="4365"/>
      <c r="V514" s="4365"/>
      <c r="W514" s="4365"/>
      <c r="X514" s="4364"/>
      <c r="Y514" s="4375"/>
      <c r="Z514" s="4364"/>
      <c r="AA514" s="4359"/>
      <c r="AB514" s="4360"/>
      <c r="AC514" s="4359"/>
      <c r="AD514" s="4364"/>
      <c r="AE514" s="4365"/>
      <c r="AF514" s="1149"/>
      <c r="AG514" s="1149"/>
    </row>
    <row r="515" spans="1:33" s="1150" customFormat="1" ht="27.95" customHeight="1">
      <c r="A515" s="1130"/>
      <c r="B515" s="1130"/>
      <c r="C515" s="1130"/>
      <c r="D515" s="1130"/>
      <c r="E515" s="1130"/>
      <c r="F515" s="1130"/>
      <c r="G515" s="1130"/>
      <c r="H515" s="1130"/>
      <c r="I515" s="4378" t="s">
        <v>1599</v>
      </c>
      <c r="J515" s="1135" t="s">
        <v>1600</v>
      </c>
      <c r="K515" s="4359">
        <v>36</v>
      </c>
      <c r="L515" s="4364">
        <v>0</v>
      </c>
      <c r="M515" s="4359">
        <v>0</v>
      </c>
      <c r="N515" s="4368">
        <v>0</v>
      </c>
      <c r="O515" s="4359">
        <v>0</v>
      </c>
      <c r="P515" s="4376">
        <v>0</v>
      </c>
      <c r="Q515" s="4365">
        <v>0</v>
      </c>
      <c r="R515" s="4364">
        <v>0</v>
      </c>
      <c r="S515" s="1860"/>
      <c r="T515" s="1867"/>
      <c r="U515" s="1860"/>
      <c r="V515" s="1860"/>
      <c r="W515" s="1860"/>
      <c r="X515" s="1859"/>
      <c r="Y515" s="4375">
        <f>Q515+S515+U515+W515</f>
        <v>0</v>
      </c>
      <c r="Z515" s="4364">
        <f>R515+T515+V515+X515</f>
        <v>0</v>
      </c>
      <c r="AA515" s="4359">
        <f>M515+Y515</f>
        <v>0</v>
      </c>
      <c r="AB515" s="4360">
        <f>N515+Z515</f>
        <v>0</v>
      </c>
      <c r="AC515" s="4359">
        <f>AA515/K515*100</f>
        <v>0</v>
      </c>
      <c r="AD515" s="4364" t="e">
        <f>AB515/L515*100</f>
        <v>#DIV/0!</v>
      </c>
      <c r="AE515" s="4365" t="s">
        <v>1523</v>
      </c>
      <c r="AF515" s="1149"/>
      <c r="AG515" s="1149"/>
    </row>
    <row r="516" spans="1:33" s="1150" customFormat="1" ht="27.95" customHeight="1">
      <c r="A516" s="1130"/>
      <c r="B516" s="1130"/>
      <c r="C516" s="1130"/>
      <c r="D516" s="1130"/>
      <c r="E516" s="1130"/>
      <c r="F516" s="1130"/>
      <c r="G516" s="1130"/>
      <c r="H516" s="1130"/>
      <c r="I516" s="4378"/>
      <c r="J516" s="1135" t="s">
        <v>1601</v>
      </c>
      <c r="K516" s="4359"/>
      <c r="L516" s="4364"/>
      <c r="M516" s="4359"/>
      <c r="N516" s="4368"/>
      <c r="O516" s="4359"/>
      <c r="P516" s="4376"/>
      <c r="Q516" s="4365"/>
      <c r="R516" s="4364"/>
      <c r="S516" s="1860"/>
      <c r="T516" s="1867"/>
      <c r="U516" s="1860"/>
      <c r="V516" s="1860"/>
      <c r="W516" s="1860"/>
      <c r="X516" s="1859"/>
      <c r="Y516" s="4375"/>
      <c r="Z516" s="4364"/>
      <c r="AA516" s="4359"/>
      <c r="AB516" s="4360"/>
      <c r="AC516" s="4359"/>
      <c r="AD516" s="4364"/>
      <c r="AE516" s="4365"/>
      <c r="AF516" s="1149"/>
      <c r="AG516" s="1149"/>
    </row>
    <row r="517" spans="1:33" s="1150" customFormat="1" ht="27.95" customHeight="1">
      <c r="A517" s="1130"/>
      <c r="B517" s="1130"/>
      <c r="C517" s="1130"/>
      <c r="D517" s="1130"/>
      <c r="E517" s="1130"/>
      <c r="F517" s="1130"/>
      <c r="G517" s="1130"/>
      <c r="H517" s="1130"/>
      <c r="I517" s="4378" t="s">
        <v>1602</v>
      </c>
      <c r="J517" s="1135" t="s">
        <v>1603</v>
      </c>
      <c r="K517" s="4359">
        <v>36</v>
      </c>
      <c r="L517" s="4364">
        <v>0</v>
      </c>
      <c r="M517" s="4368">
        <v>0</v>
      </c>
      <c r="N517" s="4368">
        <v>0</v>
      </c>
      <c r="O517" s="4359">
        <v>0</v>
      </c>
      <c r="P517" s="4376">
        <v>0</v>
      </c>
      <c r="Q517" s="4365">
        <v>0</v>
      </c>
      <c r="R517" s="4364">
        <v>0</v>
      </c>
      <c r="S517" s="1860"/>
      <c r="T517" s="1867"/>
      <c r="U517" s="1860"/>
      <c r="V517" s="1860"/>
      <c r="W517" s="1860"/>
      <c r="X517" s="1859"/>
      <c r="Y517" s="4375">
        <f>Q517+S517+U517+W517</f>
        <v>0</v>
      </c>
      <c r="Z517" s="4364">
        <f>R517+T517+V517+X517</f>
        <v>0</v>
      </c>
      <c r="AA517" s="4359">
        <f>M517+Y517</f>
        <v>0</v>
      </c>
      <c r="AB517" s="4360">
        <f>N517+Z517</f>
        <v>0</v>
      </c>
      <c r="AC517" s="4359">
        <f>AA517/K517*100</f>
        <v>0</v>
      </c>
      <c r="AD517" s="4364" t="e">
        <f>AB517/L517*100</f>
        <v>#DIV/0!</v>
      </c>
      <c r="AE517" s="4365" t="s">
        <v>1523</v>
      </c>
      <c r="AF517" s="1149"/>
      <c r="AG517" s="1149"/>
    </row>
    <row r="518" spans="1:33" s="1150" customFormat="1" ht="27.95" customHeight="1">
      <c r="A518" s="1130"/>
      <c r="B518" s="1130"/>
      <c r="C518" s="1130"/>
      <c r="D518" s="1130"/>
      <c r="E518" s="1130"/>
      <c r="F518" s="1130"/>
      <c r="G518" s="1130"/>
      <c r="H518" s="1130"/>
      <c r="I518" s="4378"/>
      <c r="J518" s="1135" t="s">
        <v>1604</v>
      </c>
      <c r="K518" s="4359"/>
      <c r="L518" s="4364"/>
      <c r="M518" s="4368"/>
      <c r="N518" s="4368"/>
      <c r="O518" s="4359"/>
      <c r="P518" s="4376"/>
      <c r="Q518" s="4365"/>
      <c r="R518" s="4364"/>
      <c r="S518" s="1860"/>
      <c r="T518" s="1867"/>
      <c r="U518" s="1860"/>
      <c r="V518" s="1860"/>
      <c r="W518" s="1860"/>
      <c r="X518" s="1859"/>
      <c r="Y518" s="4375"/>
      <c r="Z518" s="4364"/>
      <c r="AA518" s="4359"/>
      <c r="AB518" s="4360"/>
      <c r="AC518" s="4359"/>
      <c r="AD518" s="4364"/>
      <c r="AE518" s="4365"/>
      <c r="AF518" s="1149"/>
      <c r="AG518" s="1149"/>
    </row>
    <row r="519" spans="1:33" s="1150" customFormat="1" ht="13.5" customHeight="1">
      <c r="A519" s="1130"/>
      <c r="B519" s="1130"/>
      <c r="C519" s="1130"/>
      <c r="D519" s="1130"/>
      <c r="E519" s="1130"/>
      <c r="F519" s="1130"/>
      <c r="G519" s="1130"/>
      <c r="H519" s="1130"/>
      <c r="I519" s="1871"/>
      <c r="J519" s="1135"/>
      <c r="K519" s="1858"/>
      <c r="L519" s="1859"/>
      <c r="M519" s="1858"/>
      <c r="N519" s="1870"/>
      <c r="O519" s="1858"/>
      <c r="P519" s="1872"/>
      <c r="Q519" s="1860"/>
      <c r="R519" s="1859"/>
      <c r="S519" s="1860"/>
      <c r="T519" s="1867"/>
      <c r="U519" s="1860"/>
      <c r="V519" s="1860"/>
      <c r="W519" s="1860"/>
      <c r="X519" s="1859"/>
      <c r="Y519" s="1868"/>
      <c r="Z519" s="1859"/>
      <c r="AA519" s="1858"/>
      <c r="AB519" s="1857"/>
      <c r="AC519" s="1858"/>
      <c r="AD519" s="1859"/>
      <c r="AE519" s="1860"/>
      <c r="AF519" s="1149"/>
      <c r="AG519" s="1149"/>
    </row>
    <row r="520" spans="1:33" s="1150" customFormat="1" ht="27" customHeight="1">
      <c r="A520" s="1130"/>
      <c r="B520" s="1130"/>
      <c r="C520" s="1115" t="s">
        <v>65</v>
      </c>
      <c r="D520" s="1115" t="s">
        <v>66</v>
      </c>
      <c r="E520" s="1115" t="s">
        <v>66</v>
      </c>
      <c r="F520" s="1115" t="s">
        <v>155</v>
      </c>
      <c r="G520" s="1115"/>
      <c r="H520" s="1115" t="s">
        <v>391</v>
      </c>
      <c r="I520" s="4378" t="s">
        <v>1605</v>
      </c>
      <c r="J520" s="1135" t="s">
        <v>1606</v>
      </c>
      <c r="K520" s="4359">
        <v>54</v>
      </c>
      <c r="L520" s="4364">
        <v>0</v>
      </c>
      <c r="M520" s="4359">
        <v>18</v>
      </c>
      <c r="N520" s="4364">
        <v>0</v>
      </c>
      <c r="O520" s="4359">
        <v>9</v>
      </c>
      <c r="P520" s="4376">
        <v>19498000</v>
      </c>
      <c r="Q520" s="4365">
        <v>3</v>
      </c>
      <c r="R520" s="4364">
        <v>5509000</v>
      </c>
      <c r="S520" s="1860"/>
      <c r="T520" s="1867"/>
      <c r="U520" s="1860"/>
      <c r="V520" s="1860"/>
      <c r="W520" s="1860"/>
      <c r="X520" s="1859"/>
      <c r="Y520" s="4375">
        <f>Q520+S520+U520+W520</f>
        <v>3</v>
      </c>
      <c r="Z520" s="4364">
        <f>R521+T521+V521+X521</f>
        <v>0</v>
      </c>
      <c r="AA520" s="4359">
        <f>M520+Y520</f>
        <v>21</v>
      </c>
      <c r="AB520" s="4360">
        <f>N520+Z520</f>
        <v>0</v>
      </c>
      <c r="AC520" s="4359">
        <f>AA520/K520*100</f>
        <v>38.888888888888893</v>
      </c>
      <c r="AD520" s="4364" t="e">
        <f>AB520/L520*100</f>
        <v>#DIV/0!</v>
      </c>
      <c r="AE520" s="4365" t="s">
        <v>1523</v>
      </c>
      <c r="AF520" s="1149"/>
      <c r="AG520" s="1149"/>
    </row>
    <row r="521" spans="1:33" s="1150" customFormat="1" ht="29.1" customHeight="1">
      <c r="A521" s="1130"/>
      <c r="B521" s="1130"/>
      <c r="C521" s="1130"/>
      <c r="D521" s="1130"/>
      <c r="E521" s="1130"/>
      <c r="F521" s="1130"/>
      <c r="G521" s="1130"/>
      <c r="H521" s="1130"/>
      <c r="I521" s="4378"/>
      <c r="J521" s="1135" t="s">
        <v>1607</v>
      </c>
      <c r="K521" s="4359"/>
      <c r="L521" s="4364"/>
      <c r="M521" s="4359"/>
      <c r="N521" s="4364"/>
      <c r="O521" s="4359"/>
      <c r="P521" s="4376"/>
      <c r="Q521" s="4365"/>
      <c r="R521" s="4364"/>
      <c r="S521" s="1860"/>
      <c r="T521" s="1867"/>
      <c r="U521" s="1860"/>
      <c r="V521" s="1860"/>
      <c r="W521" s="1860"/>
      <c r="X521" s="1859"/>
      <c r="Y521" s="4375"/>
      <c r="Z521" s="4364"/>
      <c r="AA521" s="4359"/>
      <c r="AB521" s="4360"/>
      <c r="AC521" s="4359"/>
      <c r="AD521" s="4364"/>
      <c r="AE521" s="4365"/>
      <c r="AF521" s="1149"/>
      <c r="AG521" s="1149"/>
    </row>
    <row r="522" spans="1:33" s="1150" customFormat="1" ht="6.95" customHeight="1">
      <c r="A522" s="1130"/>
      <c r="B522" s="1130"/>
      <c r="C522" s="1130"/>
      <c r="D522" s="1130"/>
      <c r="E522" s="1130"/>
      <c r="F522" s="1130"/>
      <c r="G522" s="1130"/>
      <c r="H522" s="1130"/>
      <c r="I522" s="1168"/>
      <c r="J522" s="1130"/>
      <c r="K522" s="1152"/>
      <c r="L522" s="1860"/>
      <c r="M522" s="1121"/>
      <c r="N522" s="1122"/>
      <c r="O522" s="1121"/>
      <c r="P522" s="1122"/>
      <c r="Q522" s="1865"/>
      <c r="R522" s="1122"/>
      <c r="S522" s="1865"/>
      <c r="T522" s="1864"/>
      <c r="U522" s="1865"/>
      <c r="V522" s="1865"/>
      <c r="W522" s="1865"/>
      <c r="X522" s="4396"/>
      <c r="Y522" s="1167"/>
      <c r="Z522" s="1875"/>
      <c r="AA522" s="1121"/>
      <c r="AB522" s="4397">
        <f>N523+Z523</f>
        <v>12593611.25</v>
      </c>
      <c r="AC522" s="1169"/>
      <c r="AD522" s="4396">
        <f>AB522/L523*100</f>
        <v>1055.6526377351609</v>
      </c>
      <c r="AE522" s="1861"/>
      <c r="AF522" s="1149"/>
      <c r="AG522" s="1149"/>
    </row>
    <row r="523" spans="1:33" s="1151" customFormat="1" ht="39.75" customHeight="1">
      <c r="A523" s="1117"/>
      <c r="B523" s="1130" t="s">
        <v>1608</v>
      </c>
      <c r="C523" s="1115" t="s">
        <v>65</v>
      </c>
      <c r="D523" s="1115" t="s">
        <v>66</v>
      </c>
      <c r="E523" s="1115" t="s">
        <v>66</v>
      </c>
      <c r="F523" s="1115" t="s">
        <v>166</v>
      </c>
      <c r="G523" s="1115"/>
      <c r="H523" s="1117"/>
      <c r="I523" s="1116"/>
      <c r="J523" s="1877" t="s">
        <v>1609</v>
      </c>
      <c r="K523" s="1170">
        <v>326</v>
      </c>
      <c r="L523" s="1171">
        <v>1192969.24005408</v>
      </c>
      <c r="M523" s="1172">
        <v>350</v>
      </c>
      <c r="N523" s="1173">
        <v>283611.25</v>
      </c>
      <c r="O523" s="1174">
        <v>150</v>
      </c>
      <c r="P523" s="1173">
        <v>218989.66125</v>
      </c>
      <c r="Q523" s="1175">
        <v>3</v>
      </c>
      <c r="R523" s="1122">
        <f>R524+R526+R528+R530</f>
        <v>12310000</v>
      </c>
      <c r="S523" s="1865"/>
      <c r="T523" s="1864"/>
      <c r="U523" s="1865"/>
      <c r="V523" s="1865"/>
      <c r="W523" s="1865"/>
      <c r="X523" s="4396"/>
      <c r="Y523" s="1176">
        <f>Q523+S523+U523+W523</f>
        <v>3</v>
      </c>
      <c r="Z523" s="1875">
        <f>R523+T523+V523+X522</f>
        <v>12310000</v>
      </c>
      <c r="AA523" s="1177">
        <f>M523+Y523</f>
        <v>353</v>
      </c>
      <c r="AB523" s="4397"/>
      <c r="AC523" s="1177">
        <f>AA523/K523*100</f>
        <v>108.28220858895705</v>
      </c>
      <c r="AD523" s="4396"/>
      <c r="AE523" s="1861"/>
      <c r="AF523" s="1148"/>
      <c r="AG523" s="1148"/>
    </row>
    <row r="524" spans="1:33" s="1151" customFormat="1" ht="42" customHeight="1">
      <c r="A524" s="1117"/>
      <c r="B524" s="1117"/>
      <c r="C524" s="1115" t="s">
        <v>65</v>
      </c>
      <c r="D524" s="1115" t="s">
        <v>66</v>
      </c>
      <c r="E524" s="1115" t="s">
        <v>66</v>
      </c>
      <c r="F524" s="1115" t="s">
        <v>166</v>
      </c>
      <c r="G524" s="1115"/>
      <c r="H524" s="1115" t="s">
        <v>65</v>
      </c>
      <c r="I524" s="4378" t="s">
        <v>1610</v>
      </c>
      <c r="J524" s="1880" t="s">
        <v>1611</v>
      </c>
      <c r="K524" s="4359">
        <v>72</v>
      </c>
      <c r="L524" s="4364">
        <v>0</v>
      </c>
      <c r="M524" s="4359">
        <v>24</v>
      </c>
      <c r="N524" s="4368">
        <v>0</v>
      </c>
      <c r="O524" s="4359">
        <v>12</v>
      </c>
      <c r="P524" s="4376">
        <v>114337650</v>
      </c>
      <c r="Q524" s="4365">
        <v>3</v>
      </c>
      <c r="R524" s="4393">
        <v>12310000</v>
      </c>
      <c r="S524" s="4365"/>
      <c r="T524" s="4377"/>
      <c r="U524" s="4374"/>
      <c r="V524" s="4360"/>
      <c r="W524" s="4374"/>
      <c r="X524" s="4364"/>
      <c r="Y524" s="4375">
        <f>Q524+S524+U524+W524</f>
        <v>3</v>
      </c>
      <c r="Z524" s="4364">
        <f>R524+T524+V524+X524</f>
        <v>12310000</v>
      </c>
      <c r="AA524" s="4359">
        <f>M524+Y524</f>
        <v>27</v>
      </c>
      <c r="AB524" s="4360">
        <f>N524+Z524</f>
        <v>12310000</v>
      </c>
      <c r="AC524" s="4359">
        <f>AA524/K524*100</f>
        <v>37.5</v>
      </c>
      <c r="AD524" s="4364" t="e">
        <f>AB524/L524*100</f>
        <v>#DIV/0!</v>
      </c>
      <c r="AE524" s="4365" t="s">
        <v>1523</v>
      </c>
      <c r="AF524" s="1148"/>
      <c r="AG524" s="1148"/>
    </row>
    <row r="525" spans="1:33" s="1151" customFormat="1" ht="27" customHeight="1">
      <c r="A525" s="1117"/>
      <c r="B525" s="1117"/>
      <c r="C525" s="1117"/>
      <c r="D525" s="1117"/>
      <c r="E525" s="1117"/>
      <c r="F525" s="1117"/>
      <c r="G525" s="1117"/>
      <c r="H525" s="1117"/>
      <c r="I525" s="4378"/>
      <c r="J525" s="1880" t="s">
        <v>1612</v>
      </c>
      <c r="K525" s="4359"/>
      <c r="L525" s="4364"/>
      <c r="M525" s="4359"/>
      <c r="N525" s="4368"/>
      <c r="O525" s="4359"/>
      <c r="P525" s="4376"/>
      <c r="Q525" s="4365"/>
      <c r="R525" s="4393"/>
      <c r="S525" s="4365"/>
      <c r="T525" s="4377"/>
      <c r="U525" s="4365"/>
      <c r="V525" s="4365"/>
      <c r="W525" s="4365"/>
      <c r="X525" s="4364"/>
      <c r="Y525" s="4375"/>
      <c r="Z525" s="4364"/>
      <c r="AA525" s="4359"/>
      <c r="AB525" s="4360"/>
      <c r="AC525" s="4359"/>
      <c r="AD525" s="4364"/>
      <c r="AE525" s="4365"/>
      <c r="AF525" s="1148"/>
      <c r="AG525" s="1148"/>
    </row>
    <row r="526" spans="1:33" s="1151" customFormat="1" ht="71.25" customHeight="1">
      <c r="A526" s="1117"/>
      <c r="B526" s="1117"/>
      <c r="C526" s="1115" t="s">
        <v>65</v>
      </c>
      <c r="D526" s="1115" t="s">
        <v>66</v>
      </c>
      <c r="E526" s="1115" t="s">
        <v>66</v>
      </c>
      <c r="F526" s="1115" t="s">
        <v>166</v>
      </c>
      <c r="G526" s="1115"/>
      <c r="H526" s="1115" t="s">
        <v>160</v>
      </c>
      <c r="I526" s="1869" t="s">
        <v>1613</v>
      </c>
      <c r="J526" s="1880" t="s">
        <v>1614</v>
      </c>
      <c r="K526" s="1858">
        <v>12</v>
      </c>
      <c r="L526" s="1145">
        <v>0</v>
      </c>
      <c r="M526" s="1858">
        <v>12</v>
      </c>
      <c r="N526" s="1178">
        <v>0</v>
      </c>
      <c r="O526" s="1152">
        <v>0</v>
      </c>
      <c r="P526" s="1153">
        <v>0</v>
      </c>
      <c r="Q526" s="1145">
        <v>0</v>
      </c>
      <c r="R526" s="1145">
        <v>0</v>
      </c>
      <c r="S526" s="1135"/>
      <c r="T526" s="1143"/>
      <c r="U526" s="1135"/>
      <c r="V526" s="1135"/>
      <c r="W526" s="1144"/>
      <c r="X526" s="1145"/>
      <c r="Y526" s="1868">
        <f>Q526+S526+U526+W526</f>
        <v>0</v>
      </c>
      <c r="Z526" s="4364">
        <f>R526+T526+V526+X526</f>
        <v>0</v>
      </c>
      <c r="AA526" s="1858">
        <f>M526+Y526</f>
        <v>12</v>
      </c>
      <c r="AB526" s="1143">
        <f>N526+Z526</f>
        <v>0</v>
      </c>
      <c r="AC526" s="1152">
        <f>AA526/K526*100</f>
        <v>100</v>
      </c>
      <c r="AD526" s="1859" t="e">
        <f>AB526/L526*100</f>
        <v>#DIV/0!</v>
      </c>
      <c r="AE526" s="1860" t="s">
        <v>1523</v>
      </c>
      <c r="AF526" s="1148"/>
      <c r="AG526" s="1148"/>
    </row>
    <row r="527" spans="1:33" s="1151" customFormat="1" ht="44.25" customHeight="1">
      <c r="A527" s="1117"/>
      <c r="B527" s="1117"/>
      <c r="C527" s="1117"/>
      <c r="D527" s="1117"/>
      <c r="E527" s="1117"/>
      <c r="F527" s="1117"/>
      <c r="G527" s="1117"/>
      <c r="H527" s="1117"/>
      <c r="I527" s="1869"/>
      <c r="J527" s="1880" t="s">
        <v>1615</v>
      </c>
      <c r="K527" s="1858"/>
      <c r="L527" s="1145"/>
      <c r="M527" s="1152"/>
      <c r="N527" s="1178"/>
      <c r="O527" s="1152"/>
      <c r="P527" s="1153"/>
      <c r="Q527" s="1145"/>
      <c r="R527" s="1145"/>
      <c r="S527" s="1135"/>
      <c r="T527" s="1143"/>
      <c r="U527" s="1135"/>
      <c r="V527" s="1135"/>
      <c r="W527" s="1135"/>
      <c r="X527" s="1145"/>
      <c r="Y527" s="1868"/>
      <c r="Z527" s="4364"/>
      <c r="AA527" s="1858"/>
      <c r="AB527" s="1143"/>
      <c r="AC527" s="1152"/>
      <c r="AD527" s="1859"/>
      <c r="AE527" s="1135"/>
      <c r="AF527" s="1148"/>
      <c r="AG527" s="1148"/>
    </row>
    <row r="528" spans="1:33" s="1151" customFormat="1" ht="25.5" customHeight="1">
      <c r="A528" s="1117"/>
      <c r="B528" s="1117"/>
      <c r="C528" s="1115" t="s">
        <v>66</v>
      </c>
      <c r="D528" s="1115" t="s">
        <v>65</v>
      </c>
      <c r="E528" s="1115" t="s">
        <v>66</v>
      </c>
      <c r="F528" s="1115" t="s">
        <v>166</v>
      </c>
      <c r="G528" s="1115"/>
      <c r="H528" s="1115" t="s">
        <v>396</v>
      </c>
      <c r="I528" s="1869" t="s">
        <v>1616</v>
      </c>
      <c r="J528" s="1880" t="s">
        <v>1617</v>
      </c>
      <c r="K528" s="1858">
        <v>12</v>
      </c>
      <c r="L528" s="1145">
        <v>0</v>
      </c>
      <c r="M528" s="1878">
        <v>12</v>
      </c>
      <c r="N528" s="1145">
        <v>0</v>
      </c>
      <c r="O528" s="1152">
        <v>0</v>
      </c>
      <c r="P528" s="1153">
        <v>0</v>
      </c>
      <c r="Q528" s="1145">
        <v>0</v>
      </c>
      <c r="R528" s="1145">
        <v>0</v>
      </c>
      <c r="S528" s="4365"/>
      <c r="T528" s="4360"/>
      <c r="U528" s="4365"/>
      <c r="V528" s="4365"/>
      <c r="W528" s="4374"/>
      <c r="X528" s="4364"/>
      <c r="Y528" s="1868">
        <f>Q528+S528+U528+W528</f>
        <v>0</v>
      </c>
      <c r="Z528" s="4364">
        <f>R528+T528+V528+X528</f>
        <v>0</v>
      </c>
      <c r="AA528" s="1858">
        <f>M528+Y528</f>
        <v>12</v>
      </c>
      <c r="AB528" s="1143">
        <f>N528+Z528</f>
        <v>0</v>
      </c>
      <c r="AC528" s="1152">
        <f>AA528/K528*100</f>
        <v>100</v>
      </c>
      <c r="AD528" s="1859" t="e">
        <f>AB528/L528*100</f>
        <v>#DIV/0!</v>
      </c>
      <c r="AE528" s="4365" t="s">
        <v>1523</v>
      </c>
      <c r="AF528" s="1148"/>
      <c r="AG528" s="1148"/>
    </row>
    <row r="529" spans="1:33" s="1151" customFormat="1" ht="26.25" customHeight="1">
      <c r="A529" s="1117"/>
      <c r="B529" s="1117"/>
      <c r="C529" s="1117"/>
      <c r="D529" s="1117"/>
      <c r="E529" s="1117"/>
      <c r="F529" s="1117"/>
      <c r="G529" s="1117"/>
      <c r="H529" s="1117"/>
      <c r="I529" s="1179"/>
      <c r="J529" s="1880" t="s">
        <v>1618</v>
      </c>
      <c r="K529" s="1858"/>
      <c r="L529" s="1145"/>
      <c r="M529" s="1152"/>
      <c r="N529" s="1145"/>
      <c r="O529" s="1152"/>
      <c r="P529" s="1153"/>
      <c r="Q529" s="1145"/>
      <c r="R529" s="1145"/>
      <c r="S529" s="4365"/>
      <c r="T529" s="4360"/>
      <c r="U529" s="4365"/>
      <c r="V529" s="4365"/>
      <c r="W529" s="4365"/>
      <c r="X529" s="4364"/>
      <c r="Y529" s="1868"/>
      <c r="Z529" s="4364"/>
      <c r="AA529" s="1152"/>
      <c r="AB529" s="1143"/>
      <c r="AC529" s="1152"/>
      <c r="AD529" s="1859"/>
      <c r="AE529" s="4365"/>
      <c r="AF529" s="1148"/>
      <c r="AG529" s="1148"/>
    </row>
    <row r="530" spans="1:33" s="1151" customFormat="1" ht="26.25" customHeight="1">
      <c r="A530" s="1117"/>
      <c r="B530" s="1117"/>
      <c r="C530" s="1117"/>
      <c r="D530" s="1117"/>
      <c r="E530" s="1117"/>
      <c r="F530" s="1117"/>
      <c r="G530" s="1117"/>
      <c r="H530" s="1117"/>
      <c r="I530" s="4378" t="s">
        <v>1619</v>
      </c>
      <c r="J530" s="1880" t="s">
        <v>1620</v>
      </c>
      <c r="K530" s="4359">
        <v>72</v>
      </c>
      <c r="L530" s="4364">
        <v>0</v>
      </c>
      <c r="M530" s="4359">
        <v>24</v>
      </c>
      <c r="N530" s="4364">
        <v>0</v>
      </c>
      <c r="O530" s="4359">
        <v>0</v>
      </c>
      <c r="P530" s="4376">
        <v>0</v>
      </c>
      <c r="Q530" s="4364">
        <v>0</v>
      </c>
      <c r="R530" s="4364">
        <v>0</v>
      </c>
      <c r="S530" s="1860"/>
      <c r="T530" s="1857"/>
      <c r="U530" s="1860"/>
      <c r="V530" s="1860"/>
      <c r="W530" s="1860"/>
      <c r="X530" s="1859"/>
      <c r="Y530" s="4375">
        <f>Q530+S530+U530+W530</f>
        <v>0</v>
      </c>
      <c r="Z530" s="4364">
        <f>R530+T530+V530+X530</f>
        <v>0</v>
      </c>
      <c r="AA530" s="4359">
        <f>M530+Y530</f>
        <v>24</v>
      </c>
      <c r="AB530" s="4360">
        <f>N530+Z530</f>
        <v>0</v>
      </c>
      <c r="AC530" s="4359">
        <f>AA530/K530*100</f>
        <v>33.333333333333329</v>
      </c>
      <c r="AD530" s="1859" t="e">
        <f>AB530/L530*100</f>
        <v>#DIV/0!</v>
      </c>
      <c r="AE530" s="4389" t="s">
        <v>1523</v>
      </c>
      <c r="AF530" s="1148"/>
      <c r="AG530" s="1148"/>
    </row>
    <row r="531" spans="1:33" s="1151" customFormat="1" ht="26.25" customHeight="1">
      <c r="A531" s="1117"/>
      <c r="B531" s="1117"/>
      <c r="C531" s="1117"/>
      <c r="D531" s="1117"/>
      <c r="E531" s="1117"/>
      <c r="F531" s="1117"/>
      <c r="G531" s="1117"/>
      <c r="H531" s="1117"/>
      <c r="I531" s="4378"/>
      <c r="J531" s="1880" t="s">
        <v>1621</v>
      </c>
      <c r="K531" s="4359"/>
      <c r="L531" s="4364"/>
      <c r="M531" s="4359"/>
      <c r="N531" s="4364"/>
      <c r="O531" s="4359"/>
      <c r="P531" s="4376"/>
      <c r="Q531" s="4364"/>
      <c r="R531" s="4364"/>
      <c r="S531" s="1860"/>
      <c r="T531" s="1857"/>
      <c r="U531" s="1860"/>
      <c r="V531" s="1860"/>
      <c r="W531" s="1860"/>
      <c r="X531" s="1859"/>
      <c r="Y531" s="4375"/>
      <c r="Z531" s="4364"/>
      <c r="AA531" s="4359"/>
      <c r="AB531" s="4360"/>
      <c r="AC531" s="4359"/>
      <c r="AD531" s="1859"/>
      <c r="AE531" s="4389"/>
      <c r="AF531" s="1148"/>
      <c r="AG531" s="1148"/>
    </row>
    <row r="532" spans="1:33" s="1151" customFormat="1" ht="12" customHeight="1">
      <c r="A532" s="1117"/>
      <c r="B532" s="1117"/>
      <c r="C532" s="1117"/>
      <c r="D532" s="1117"/>
      <c r="E532" s="1117"/>
      <c r="F532" s="1117"/>
      <c r="G532" s="1117"/>
      <c r="H532" s="1117"/>
      <c r="I532" s="1871"/>
      <c r="J532" s="1880"/>
      <c r="K532" s="1858"/>
      <c r="L532" s="1859"/>
      <c r="M532" s="1858"/>
      <c r="N532" s="1859"/>
      <c r="O532" s="1858"/>
      <c r="P532" s="1872"/>
      <c r="Q532" s="1859"/>
      <c r="R532" s="1859"/>
      <c r="S532" s="1860"/>
      <c r="T532" s="1857"/>
      <c r="U532" s="1860"/>
      <c r="V532" s="1860"/>
      <c r="W532" s="1860"/>
      <c r="X532" s="1859"/>
      <c r="Y532" s="1868"/>
      <c r="Z532" s="1859"/>
      <c r="AA532" s="1858"/>
      <c r="AB532" s="1857"/>
      <c r="AC532" s="1858"/>
      <c r="AD532" s="1859"/>
      <c r="AE532" s="1860"/>
      <c r="AF532" s="1148"/>
      <c r="AG532" s="1148"/>
    </row>
    <row r="533" spans="1:33" s="1151" customFormat="1" ht="44.25" customHeight="1">
      <c r="A533" s="1117"/>
      <c r="B533" s="1117"/>
      <c r="C533" s="1115" t="s">
        <v>65</v>
      </c>
      <c r="D533" s="1115" t="s">
        <v>66</v>
      </c>
      <c r="E533" s="1115" t="s">
        <v>66</v>
      </c>
      <c r="F533" s="1117">
        <v>17</v>
      </c>
      <c r="G533" s="1117"/>
      <c r="H533" s="1117"/>
      <c r="I533" s="1180"/>
      <c r="J533" s="1877" t="s">
        <v>1622</v>
      </c>
      <c r="K533" s="1162">
        <v>20</v>
      </c>
      <c r="L533" s="1181">
        <v>362510.53463085898</v>
      </c>
      <c r="M533" s="1121">
        <v>40</v>
      </c>
      <c r="N533" s="1173">
        <v>100086.6</v>
      </c>
      <c r="O533" s="1121">
        <v>20</v>
      </c>
      <c r="P533" s="1182">
        <v>63196.375</v>
      </c>
      <c r="Q533" s="1175">
        <v>3</v>
      </c>
      <c r="R533" s="1122">
        <f>R534+R536+R538</f>
        <v>1775000</v>
      </c>
      <c r="S533" s="1865"/>
      <c r="T533" s="1864"/>
      <c r="U533" s="1865"/>
      <c r="V533" s="1183"/>
      <c r="W533" s="1863"/>
      <c r="X533" s="1122"/>
      <c r="Y533" s="1184">
        <f>Q533+S533+U533+W533</f>
        <v>3</v>
      </c>
      <c r="Z533" s="1875">
        <f>R533+T533+V533+X533</f>
        <v>1775000</v>
      </c>
      <c r="AA533" s="1127">
        <f>M533+Y533</f>
        <v>43</v>
      </c>
      <c r="AB533" s="1866">
        <f>N533+Z533</f>
        <v>1875086.6</v>
      </c>
      <c r="AC533" s="1127">
        <f>AA533/K533*100</f>
        <v>215</v>
      </c>
      <c r="AD533" s="1862">
        <f>AB533/L533*100</f>
        <v>517.25023713017958</v>
      </c>
      <c r="AE533" s="1861"/>
      <c r="AF533" s="1148"/>
      <c r="AG533" s="1148"/>
    </row>
    <row r="534" spans="1:33" s="1151" customFormat="1" ht="41.45" customHeight="1">
      <c r="A534" s="1117"/>
      <c r="B534" s="1117"/>
      <c r="C534" s="1115" t="s">
        <v>65</v>
      </c>
      <c r="D534" s="1115" t="s">
        <v>66</v>
      </c>
      <c r="E534" s="1115" t="s">
        <v>66</v>
      </c>
      <c r="F534" s="1115" t="s">
        <v>448</v>
      </c>
      <c r="G534" s="1115"/>
      <c r="H534" s="1115" t="s">
        <v>161</v>
      </c>
      <c r="I534" s="4398" t="s">
        <v>1623</v>
      </c>
      <c r="J534" s="1877" t="s">
        <v>1624</v>
      </c>
      <c r="K534" s="4359">
        <v>72</v>
      </c>
      <c r="L534" s="4364">
        <v>0</v>
      </c>
      <c r="M534" s="4359">
        <v>24</v>
      </c>
      <c r="N534" s="4368">
        <v>0</v>
      </c>
      <c r="O534" s="4359">
        <v>12</v>
      </c>
      <c r="P534" s="4376">
        <v>62265000</v>
      </c>
      <c r="Q534" s="4365">
        <v>3</v>
      </c>
      <c r="R534" s="4393">
        <v>1775000</v>
      </c>
      <c r="S534" s="4365"/>
      <c r="T534" s="4377"/>
      <c r="U534" s="4374"/>
      <c r="V534" s="4360"/>
      <c r="W534" s="4374"/>
      <c r="X534" s="4364"/>
      <c r="Y534" s="4375">
        <f>Q534+S534+U534+W534</f>
        <v>3</v>
      </c>
      <c r="Z534" s="4364">
        <f>R534+T534+V534+X534</f>
        <v>1775000</v>
      </c>
      <c r="AA534" s="4359">
        <f>M534+Y534</f>
        <v>27</v>
      </c>
      <c r="AB534" s="4360">
        <f>N534+Z534</f>
        <v>1775000</v>
      </c>
      <c r="AC534" s="4359">
        <f>AA534/K534*100</f>
        <v>37.5</v>
      </c>
      <c r="AD534" s="4364" t="e">
        <f>AB534/L534*100</f>
        <v>#DIV/0!</v>
      </c>
      <c r="AE534" s="4389" t="s">
        <v>1523</v>
      </c>
      <c r="AF534" s="1148"/>
      <c r="AG534" s="1148"/>
    </row>
    <row r="535" spans="1:33" s="1151" customFormat="1" ht="45.75" customHeight="1">
      <c r="A535" s="1117"/>
      <c r="B535" s="1117"/>
      <c r="C535" s="1117"/>
      <c r="D535" s="1117"/>
      <c r="E535" s="1117"/>
      <c r="F535" s="1117"/>
      <c r="G535" s="1117"/>
      <c r="H535" s="1117"/>
      <c r="I535" s="4398"/>
      <c r="J535" s="1185" t="s">
        <v>1625</v>
      </c>
      <c r="K535" s="4359"/>
      <c r="L535" s="4364"/>
      <c r="M535" s="4359"/>
      <c r="N535" s="4368"/>
      <c r="O535" s="4359"/>
      <c r="P535" s="4376"/>
      <c r="Q535" s="4365"/>
      <c r="R535" s="4393"/>
      <c r="S535" s="4365"/>
      <c r="T535" s="4377"/>
      <c r="U535" s="4365"/>
      <c r="V535" s="4365"/>
      <c r="W535" s="4365"/>
      <c r="X535" s="4364"/>
      <c r="Y535" s="4375"/>
      <c r="Z535" s="4364"/>
      <c r="AA535" s="4359"/>
      <c r="AB535" s="4360"/>
      <c r="AC535" s="4359"/>
      <c r="AD535" s="4364"/>
      <c r="AE535" s="4389"/>
      <c r="AF535" s="1148"/>
      <c r="AG535" s="1148"/>
    </row>
    <row r="536" spans="1:33" s="1151" customFormat="1" ht="56.25" customHeight="1">
      <c r="A536" s="1117"/>
      <c r="B536" s="1117"/>
      <c r="C536" s="1117"/>
      <c r="D536" s="1117"/>
      <c r="E536" s="1117"/>
      <c r="F536" s="1117"/>
      <c r="G536" s="1117"/>
      <c r="H536" s="1117"/>
      <c r="I536" s="4398" t="s">
        <v>1626</v>
      </c>
      <c r="J536" s="1185" t="s">
        <v>1627</v>
      </c>
      <c r="K536" s="4359">
        <v>72</v>
      </c>
      <c r="L536" s="4364">
        <v>0</v>
      </c>
      <c r="M536" s="4359">
        <v>24</v>
      </c>
      <c r="N536" s="4368">
        <v>0</v>
      </c>
      <c r="O536" s="4359">
        <v>0</v>
      </c>
      <c r="P536" s="4359">
        <v>0</v>
      </c>
      <c r="Q536" s="4359">
        <v>0</v>
      </c>
      <c r="R536" s="4359">
        <v>0</v>
      </c>
      <c r="S536" s="1860"/>
      <c r="T536" s="1867"/>
      <c r="U536" s="1860"/>
      <c r="V536" s="1860"/>
      <c r="W536" s="1860"/>
      <c r="X536" s="1859"/>
      <c r="Y536" s="4375">
        <f>Q536+S536+U536+W536</f>
        <v>0</v>
      </c>
      <c r="Z536" s="4364">
        <f>R536+T536+V536+X536</f>
        <v>0</v>
      </c>
      <c r="AA536" s="4359">
        <f>M536+Y536</f>
        <v>24</v>
      </c>
      <c r="AB536" s="4360">
        <f>N536+Z536</f>
        <v>0</v>
      </c>
      <c r="AC536" s="4359">
        <f>AA536/K536*100</f>
        <v>33.333333333333329</v>
      </c>
      <c r="AD536" s="4364" t="e">
        <f>AB536/L536*100</f>
        <v>#DIV/0!</v>
      </c>
      <c r="AE536" s="4389" t="s">
        <v>1523</v>
      </c>
      <c r="AF536" s="1148"/>
      <c r="AG536" s="1148"/>
    </row>
    <row r="537" spans="1:33" s="1151" customFormat="1" ht="42.75" customHeight="1">
      <c r="A537" s="1117"/>
      <c r="B537" s="1117"/>
      <c r="C537" s="1117"/>
      <c r="D537" s="1117"/>
      <c r="E537" s="1117"/>
      <c r="F537" s="1117"/>
      <c r="G537" s="1117"/>
      <c r="H537" s="1117"/>
      <c r="I537" s="4398"/>
      <c r="J537" s="1185" t="s">
        <v>1628</v>
      </c>
      <c r="K537" s="4359"/>
      <c r="L537" s="4364"/>
      <c r="M537" s="4359"/>
      <c r="N537" s="4368"/>
      <c r="O537" s="4359"/>
      <c r="P537" s="4359"/>
      <c r="Q537" s="4359"/>
      <c r="R537" s="4359"/>
      <c r="S537" s="1860"/>
      <c r="T537" s="1867"/>
      <c r="U537" s="1860"/>
      <c r="V537" s="1860"/>
      <c r="W537" s="1860"/>
      <c r="X537" s="1859"/>
      <c r="Y537" s="4375"/>
      <c r="Z537" s="4364"/>
      <c r="AA537" s="4359"/>
      <c r="AB537" s="4360"/>
      <c r="AC537" s="4359"/>
      <c r="AD537" s="4364"/>
      <c r="AE537" s="4389"/>
      <c r="AF537" s="1148"/>
      <c r="AG537" s="1148"/>
    </row>
    <row r="538" spans="1:33" s="1151" customFormat="1" ht="27.75" customHeight="1">
      <c r="A538" s="1117"/>
      <c r="B538" s="1117"/>
      <c r="C538" s="1117"/>
      <c r="D538" s="1117"/>
      <c r="E538" s="1117"/>
      <c r="F538" s="1117"/>
      <c r="G538" s="1117"/>
      <c r="H538" s="1117"/>
      <c r="I538" s="4398" t="s">
        <v>1629</v>
      </c>
      <c r="J538" s="1185" t="s">
        <v>1630</v>
      </c>
      <c r="K538" s="4359">
        <v>36</v>
      </c>
      <c r="L538" s="4364">
        <v>0</v>
      </c>
      <c r="M538" s="4359">
        <v>0</v>
      </c>
      <c r="N538" s="4368">
        <v>0</v>
      </c>
      <c r="O538" s="4359">
        <v>0</v>
      </c>
      <c r="P538" s="4359">
        <v>0</v>
      </c>
      <c r="Q538" s="4359">
        <v>0</v>
      </c>
      <c r="R538" s="4359">
        <v>0</v>
      </c>
      <c r="S538" s="1860"/>
      <c r="T538" s="1867"/>
      <c r="U538" s="1860"/>
      <c r="V538" s="1860"/>
      <c r="W538" s="1860"/>
      <c r="X538" s="1859"/>
      <c r="Y538" s="4375">
        <f>Q538+S538+U538+W538</f>
        <v>0</v>
      </c>
      <c r="Z538" s="4364">
        <f>R538+T538+V538+X538</f>
        <v>0</v>
      </c>
      <c r="AA538" s="4359">
        <f>M538+Y538</f>
        <v>0</v>
      </c>
      <c r="AB538" s="4360">
        <f>N538+Z538</f>
        <v>0</v>
      </c>
      <c r="AC538" s="4359">
        <f>AA538/K538*100</f>
        <v>0</v>
      </c>
      <c r="AD538" s="4364" t="e">
        <f>AB538/L538*100</f>
        <v>#DIV/0!</v>
      </c>
      <c r="AE538" s="4389" t="s">
        <v>1523</v>
      </c>
      <c r="AF538" s="1148"/>
      <c r="AG538" s="1148"/>
    </row>
    <row r="539" spans="1:33" s="1151" customFormat="1" ht="27" customHeight="1">
      <c r="A539" s="1117"/>
      <c r="B539" s="1117"/>
      <c r="C539" s="1117"/>
      <c r="D539" s="1117"/>
      <c r="E539" s="1117"/>
      <c r="F539" s="1117"/>
      <c r="G539" s="1117"/>
      <c r="H539" s="1117"/>
      <c r="I539" s="4398"/>
      <c r="J539" s="1185"/>
      <c r="K539" s="4359"/>
      <c r="L539" s="4364"/>
      <c r="M539" s="4359"/>
      <c r="N539" s="4368"/>
      <c r="O539" s="4359"/>
      <c r="P539" s="4359"/>
      <c r="Q539" s="4359"/>
      <c r="R539" s="4359"/>
      <c r="S539" s="1860"/>
      <c r="T539" s="1867"/>
      <c r="U539" s="1860"/>
      <c r="V539" s="1860"/>
      <c r="W539" s="1860"/>
      <c r="X539" s="1859"/>
      <c r="Y539" s="4375"/>
      <c r="Z539" s="4364"/>
      <c r="AA539" s="4359"/>
      <c r="AB539" s="4360"/>
      <c r="AC539" s="4359"/>
      <c r="AD539" s="4364"/>
      <c r="AE539" s="4389"/>
      <c r="AF539" s="1148"/>
      <c r="AG539" s="1148"/>
    </row>
    <row r="540" spans="1:33" s="1150" customFormat="1" ht="58.5" customHeight="1">
      <c r="A540" s="1130"/>
      <c r="B540" s="1186" t="s">
        <v>1631</v>
      </c>
      <c r="C540" s="1117"/>
      <c r="D540" s="1117"/>
      <c r="E540" s="1117"/>
      <c r="F540" s="1117"/>
      <c r="G540" s="1117"/>
      <c r="H540" s="1130"/>
      <c r="I540" s="1116"/>
      <c r="J540" s="1880" t="s">
        <v>1632</v>
      </c>
      <c r="K540" s="1187">
        <v>100</v>
      </c>
      <c r="L540" s="1171">
        <v>5520318.8140000002</v>
      </c>
      <c r="M540" s="1121">
        <v>60</v>
      </c>
      <c r="N540" s="1165">
        <v>1810829.0179999999</v>
      </c>
      <c r="O540" s="1121">
        <v>70</v>
      </c>
      <c r="P540" s="1182">
        <v>778036.33600000001</v>
      </c>
      <c r="Q540" s="1123">
        <v>1</v>
      </c>
      <c r="R540" s="1122">
        <f>R541+R543+R545+R547+R549+R551+R553+R555+R557+R559</f>
        <v>43811400</v>
      </c>
      <c r="S540" s="1865"/>
      <c r="T540" s="1864"/>
      <c r="U540" s="1865"/>
      <c r="V540" s="1865"/>
      <c r="W540" s="1865"/>
      <c r="X540" s="1122"/>
      <c r="Y540" s="1123">
        <f>Q540+S540+U540+W540</f>
        <v>1</v>
      </c>
      <c r="Z540" s="1875">
        <f>R540+T540+V540+X540</f>
        <v>43811400</v>
      </c>
      <c r="AA540" s="1121">
        <f>M540+Y540</f>
        <v>61</v>
      </c>
      <c r="AB540" s="1866">
        <f>N540+Z540</f>
        <v>45622229.017999999</v>
      </c>
      <c r="AC540" s="1121">
        <f>AA540/K540*100</f>
        <v>61</v>
      </c>
      <c r="AD540" s="1121">
        <f>AB540/L540*100</f>
        <v>826.44192401167356</v>
      </c>
      <c r="AE540" s="1117"/>
    </row>
    <row r="541" spans="1:33" s="1150" customFormat="1" ht="27.75" customHeight="1">
      <c r="A541" s="1130"/>
      <c r="B541" s="1186"/>
      <c r="C541" s="1115" t="s">
        <v>65</v>
      </c>
      <c r="D541" s="1115" t="s">
        <v>66</v>
      </c>
      <c r="E541" s="1115" t="s">
        <v>66</v>
      </c>
      <c r="F541" s="1115" t="s">
        <v>155</v>
      </c>
      <c r="G541" s="1115"/>
      <c r="H541" s="1132" t="s">
        <v>197</v>
      </c>
      <c r="I541" s="1874" t="s">
        <v>1633</v>
      </c>
      <c r="J541" s="1880" t="s">
        <v>1634</v>
      </c>
      <c r="K541" s="4359">
        <v>12</v>
      </c>
      <c r="L541" s="4364">
        <v>0</v>
      </c>
      <c r="M541" s="4359">
        <v>4</v>
      </c>
      <c r="N541" s="4364">
        <v>0</v>
      </c>
      <c r="O541" s="4359">
        <v>2</v>
      </c>
      <c r="P541" s="4376">
        <v>342248000</v>
      </c>
      <c r="Q541" s="4365">
        <v>1</v>
      </c>
      <c r="R541" s="4364">
        <v>11225000</v>
      </c>
      <c r="S541" s="1135"/>
      <c r="T541" s="1143"/>
      <c r="U541" s="1135"/>
      <c r="V541" s="1135"/>
      <c r="W541" s="1135"/>
      <c r="X541" s="1145"/>
      <c r="Y541" s="4375">
        <f>Q541+S541+U541+W541</f>
        <v>1</v>
      </c>
      <c r="Z541" s="4364">
        <f>R541+T541+V541+X541</f>
        <v>11225000</v>
      </c>
      <c r="AA541" s="4359">
        <f>M541+Y541</f>
        <v>5</v>
      </c>
      <c r="AB541" s="4360">
        <f>N541+Z541</f>
        <v>11225000</v>
      </c>
      <c r="AC541" s="4359">
        <f>AA541/K541*100</f>
        <v>41.666666666666671</v>
      </c>
      <c r="AD541" s="4364" t="e">
        <f>AB541/L541*100</f>
        <v>#DIV/0!</v>
      </c>
      <c r="AE541" s="4389" t="s">
        <v>1523</v>
      </c>
    </row>
    <row r="542" spans="1:33" s="1150" customFormat="1" ht="20.100000000000001" customHeight="1">
      <c r="A542" s="1130"/>
      <c r="B542" s="1186"/>
      <c r="C542" s="1117"/>
      <c r="D542" s="1117"/>
      <c r="E542" s="1117"/>
      <c r="F542" s="1117"/>
      <c r="G542" s="1117"/>
      <c r="H542" s="1130"/>
      <c r="I542" s="1116"/>
      <c r="J542" s="1880" t="s">
        <v>1635</v>
      </c>
      <c r="K542" s="4359"/>
      <c r="L542" s="4364"/>
      <c r="M542" s="4359"/>
      <c r="N542" s="4364"/>
      <c r="O542" s="4359"/>
      <c r="P542" s="4376"/>
      <c r="Q542" s="4365"/>
      <c r="R542" s="4364"/>
      <c r="S542" s="1135"/>
      <c r="T542" s="1143"/>
      <c r="U542" s="1135"/>
      <c r="V542" s="1135"/>
      <c r="W542" s="1135"/>
      <c r="X542" s="1145"/>
      <c r="Y542" s="4375"/>
      <c r="Z542" s="4364"/>
      <c r="AA542" s="4359"/>
      <c r="AB542" s="4360"/>
      <c r="AC542" s="4359"/>
      <c r="AD542" s="4364"/>
      <c r="AE542" s="4389"/>
    </row>
    <row r="543" spans="1:33" s="1150" customFormat="1" ht="39.950000000000003" customHeight="1">
      <c r="A543" s="1130"/>
      <c r="B543" s="1130"/>
      <c r="C543" s="1115" t="s">
        <v>65</v>
      </c>
      <c r="D543" s="1115" t="s">
        <v>66</v>
      </c>
      <c r="E543" s="1115" t="s">
        <v>66</v>
      </c>
      <c r="F543" s="1115" t="s">
        <v>155</v>
      </c>
      <c r="G543" s="1115"/>
      <c r="H543" s="1132" t="s">
        <v>198</v>
      </c>
      <c r="I543" s="4385" t="s">
        <v>1636</v>
      </c>
      <c r="J543" s="1880" t="s">
        <v>1637</v>
      </c>
      <c r="K543" s="4359">
        <v>6</v>
      </c>
      <c r="L543" s="4364">
        <v>0</v>
      </c>
      <c r="M543" s="4359">
        <v>2</v>
      </c>
      <c r="N543" s="4368">
        <v>0</v>
      </c>
      <c r="O543" s="4359">
        <v>1</v>
      </c>
      <c r="P543" s="4376">
        <v>108725900</v>
      </c>
      <c r="Q543" s="4365">
        <v>1</v>
      </c>
      <c r="R543" s="4364">
        <v>21426400</v>
      </c>
      <c r="S543" s="4365"/>
      <c r="T543" s="4377"/>
      <c r="U543" s="4374"/>
      <c r="V543" s="4360"/>
      <c r="W543" s="4374"/>
      <c r="X543" s="4364"/>
      <c r="Y543" s="4375">
        <f>Q543+S543+U543+W543</f>
        <v>1</v>
      </c>
      <c r="Z543" s="4364">
        <f>R543+T543+V543+X543</f>
        <v>21426400</v>
      </c>
      <c r="AA543" s="4359">
        <f>M543+Y543</f>
        <v>3</v>
      </c>
      <c r="AB543" s="4360">
        <f>N543+Z543</f>
        <v>21426400</v>
      </c>
      <c r="AC543" s="4359">
        <f>AA543/K543*100</f>
        <v>50</v>
      </c>
      <c r="AD543" s="4364" t="e">
        <f>AB543/L543*100</f>
        <v>#DIV/0!</v>
      </c>
      <c r="AE543" s="4365" t="s">
        <v>1523</v>
      </c>
    </row>
    <row r="544" spans="1:33" s="1150" customFormat="1" ht="27.95" customHeight="1">
      <c r="A544" s="1130"/>
      <c r="B544" s="1130"/>
      <c r="C544" s="1117"/>
      <c r="D544" s="1117"/>
      <c r="E544" s="1117"/>
      <c r="F544" s="1117"/>
      <c r="G544" s="1117"/>
      <c r="H544" s="1130"/>
      <c r="I544" s="4385"/>
      <c r="J544" s="1880" t="s">
        <v>1638</v>
      </c>
      <c r="K544" s="4359"/>
      <c r="L544" s="4364"/>
      <c r="M544" s="4359"/>
      <c r="N544" s="4368"/>
      <c r="O544" s="4359"/>
      <c r="P544" s="4376"/>
      <c r="Q544" s="4365"/>
      <c r="R544" s="4364"/>
      <c r="S544" s="4365"/>
      <c r="T544" s="4377"/>
      <c r="U544" s="4365"/>
      <c r="V544" s="4365"/>
      <c r="W544" s="4365"/>
      <c r="X544" s="4364"/>
      <c r="Y544" s="4375"/>
      <c r="Z544" s="4364"/>
      <c r="AA544" s="4359"/>
      <c r="AB544" s="4360"/>
      <c r="AC544" s="4359"/>
      <c r="AD544" s="4364"/>
      <c r="AE544" s="4365"/>
    </row>
    <row r="545" spans="1:31" s="1150" customFormat="1" ht="30" customHeight="1">
      <c r="A545" s="1130"/>
      <c r="B545" s="4399" t="s">
        <v>1639</v>
      </c>
      <c r="C545" s="1115" t="s">
        <v>65</v>
      </c>
      <c r="D545" s="1115" t="s">
        <v>66</v>
      </c>
      <c r="E545" s="1115" t="s">
        <v>66</v>
      </c>
      <c r="F545" s="1115" t="s">
        <v>155</v>
      </c>
      <c r="G545" s="1115"/>
      <c r="H545" s="1132" t="s">
        <v>160</v>
      </c>
      <c r="I545" s="4385" t="s">
        <v>1640</v>
      </c>
      <c r="J545" s="1880" t="s">
        <v>1641</v>
      </c>
      <c r="K545" s="4359">
        <v>6</v>
      </c>
      <c r="L545" s="4364">
        <v>0</v>
      </c>
      <c r="M545" s="4359">
        <v>2</v>
      </c>
      <c r="N545" s="4368">
        <v>0</v>
      </c>
      <c r="O545" s="4359">
        <v>1</v>
      </c>
      <c r="P545" s="4376">
        <v>115165600</v>
      </c>
      <c r="Q545" s="4365">
        <v>1</v>
      </c>
      <c r="R545" s="4364">
        <v>11160000</v>
      </c>
      <c r="S545" s="4365"/>
      <c r="T545" s="4377"/>
      <c r="U545" s="4374"/>
      <c r="V545" s="4360"/>
      <c r="W545" s="4374"/>
      <c r="X545" s="4364"/>
      <c r="Y545" s="4375">
        <f>Q545+S545+U545+W545</f>
        <v>1</v>
      </c>
      <c r="Z545" s="4364">
        <f>R545+T545+V545+X545</f>
        <v>11160000</v>
      </c>
      <c r="AA545" s="4359">
        <f>M545+Y545</f>
        <v>3</v>
      </c>
      <c r="AB545" s="4360">
        <f>N545+Z545</f>
        <v>11160000</v>
      </c>
      <c r="AC545" s="4359">
        <f>AA545/K545*100</f>
        <v>50</v>
      </c>
      <c r="AD545" s="4364" t="e">
        <f>AB545/L545*100</f>
        <v>#DIV/0!</v>
      </c>
      <c r="AE545" s="4365" t="s">
        <v>1523</v>
      </c>
    </row>
    <row r="546" spans="1:31" s="1150" customFormat="1" ht="36" customHeight="1">
      <c r="A546" s="1130"/>
      <c r="B546" s="4399"/>
      <c r="C546" s="1117"/>
      <c r="D546" s="1117"/>
      <c r="E546" s="1117"/>
      <c r="F546" s="1117"/>
      <c r="G546" s="1117"/>
      <c r="H546" s="1130"/>
      <c r="I546" s="4385"/>
      <c r="J546" s="1880" t="s">
        <v>1642</v>
      </c>
      <c r="K546" s="4359"/>
      <c r="L546" s="4364"/>
      <c r="M546" s="4359"/>
      <c r="N546" s="4368"/>
      <c r="O546" s="4359"/>
      <c r="P546" s="4376"/>
      <c r="Q546" s="4365"/>
      <c r="R546" s="4364"/>
      <c r="S546" s="4365"/>
      <c r="T546" s="4377"/>
      <c r="U546" s="4365"/>
      <c r="V546" s="4365"/>
      <c r="W546" s="4365"/>
      <c r="X546" s="4364"/>
      <c r="Y546" s="4375"/>
      <c r="Z546" s="4364"/>
      <c r="AA546" s="4359"/>
      <c r="AB546" s="4360"/>
      <c r="AC546" s="4359"/>
      <c r="AD546" s="4364"/>
      <c r="AE546" s="4365"/>
    </row>
    <row r="547" spans="1:31" s="1150" customFormat="1" ht="37.5" customHeight="1">
      <c r="A547" s="1130"/>
      <c r="B547" s="1130"/>
      <c r="C547" s="1115" t="s">
        <v>65</v>
      </c>
      <c r="D547" s="1115" t="s">
        <v>66</v>
      </c>
      <c r="E547" s="1115" t="s">
        <v>66</v>
      </c>
      <c r="F547" s="1115" t="s">
        <v>155</v>
      </c>
      <c r="G547" s="1115"/>
      <c r="H547" s="1132" t="s">
        <v>417</v>
      </c>
      <c r="I547" s="4385" t="s">
        <v>1643</v>
      </c>
      <c r="J547" s="1880" t="s">
        <v>1644</v>
      </c>
      <c r="K547" s="4359">
        <v>6</v>
      </c>
      <c r="L547" s="4364">
        <v>0</v>
      </c>
      <c r="M547" s="4359">
        <v>2</v>
      </c>
      <c r="N547" s="4368">
        <v>0</v>
      </c>
      <c r="O547" s="4359">
        <v>1</v>
      </c>
      <c r="P547" s="4376">
        <v>129203200</v>
      </c>
      <c r="Q547" s="4365">
        <v>0</v>
      </c>
      <c r="R547" s="4364">
        <v>0</v>
      </c>
      <c r="S547" s="4365"/>
      <c r="T547" s="4377"/>
      <c r="U547" s="4374"/>
      <c r="V547" s="4360"/>
      <c r="W547" s="4374"/>
      <c r="X547" s="4364"/>
      <c r="Y547" s="4375">
        <f>Q547+S547+U547+W547</f>
        <v>0</v>
      </c>
      <c r="Z547" s="4364">
        <f>R547+T547+V547+X547</f>
        <v>0</v>
      </c>
      <c r="AA547" s="4359">
        <v>27</v>
      </c>
      <c r="AB547" s="4360">
        <f>N547+Z547</f>
        <v>0</v>
      </c>
      <c r="AC547" s="4359">
        <f>AA547/K547*100</f>
        <v>450</v>
      </c>
      <c r="AD547" s="4364" t="e">
        <f>AB547/L547*100</f>
        <v>#DIV/0!</v>
      </c>
      <c r="AE547" s="4365" t="s">
        <v>1523</v>
      </c>
    </row>
    <row r="548" spans="1:31" s="1150" customFormat="1" ht="27.6" customHeight="1">
      <c r="A548" s="1130"/>
      <c r="B548" s="1130"/>
      <c r="C548" s="1117"/>
      <c r="D548" s="1117"/>
      <c r="E548" s="1117"/>
      <c r="F548" s="1117"/>
      <c r="G548" s="1117"/>
      <c r="H548" s="1130"/>
      <c r="I548" s="4385"/>
      <c r="J548" s="1880" t="s">
        <v>1645</v>
      </c>
      <c r="K548" s="4359"/>
      <c r="L548" s="4364"/>
      <c r="M548" s="4359"/>
      <c r="N548" s="4368"/>
      <c r="O548" s="4359"/>
      <c r="P548" s="4376"/>
      <c r="Q548" s="4365"/>
      <c r="R548" s="4364"/>
      <c r="S548" s="4365"/>
      <c r="T548" s="4377"/>
      <c r="U548" s="4365"/>
      <c r="V548" s="4365"/>
      <c r="W548" s="4365"/>
      <c r="X548" s="4364"/>
      <c r="Y548" s="4375"/>
      <c r="Z548" s="4364"/>
      <c r="AA548" s="4359"/>
      <c r="AB548" s="4360"/>
      <c r="AC548" s="4359"/>
      <c r="AD548" s="4364"/>
      <c r="AE548" s="4365"/>
    </row>
    <row r="549" spans="1:31" s="1150" customFormat="1" ht="27.75" customHeight="1">
      <c r="A549" s="1130"/>
      <c r="B549" s="1130"/>
      <c r="C549" s="1115" t="s">
        <v>65</v>
      </c>
      <c r="D549" s="1115" t="s">
        <v>66</v>
      </c>
      <c r="E549" s="1115" t="s">
        <v>66</v>
      </c>
      <c r="F549" s="1115" t="s">
        <v>155</v>
      </c>
      <c r="G549" s="1115"/>
      <c r="H549" s="1132" t="s">
        <v>357</v>
      </c>
      <c r="I549" s="4385" t="s">
        <v>1646</v>
      </c>
      <c r="J549" s="1880" t="s">
        <v>1647</v>
      </c>
      <c r="K549" s="4359">
        <v>4</v>
      </c>
      <c r="L549" s="4364">
        <v>0</v>
      </c>
      <c r="M549" s="4359">
        <v>4</v>
      </c>
      <c r="N549" s="4368">
        <v>0</v>
      </c>
      <c r="O549" s="4359">
        <v>0</v>
      </c>
      <c r="P549" s="4376">
        <v>0</v>
      </c>
      <c r="Q549" s="4359">
        <v>0</v>
      </c>
      <c r="R549" s="4364">
        <v>0</v>
      </c>
      <c r="S549" s="4365"/>
      <c r="T549" s="4377"/>
      <c r="U549" s="4374"/>
      <c r="V549" s="4360"/>
      <c r="W549" s="4374"/>
      <c r="X549" s="4364"/>
      <c r="Y549" s="4375">
        <f>Q549+S549+U549+W549</f>
        <v>0</v>
      </c>
      <c r="Z549" s="4364">
        <f>R549+T549+V549+X549</f>
        <v>0</v>
      </c>
      <c r="AA549" s="4359">
        <f>M549+Y549</f>
        <v>4</v>
      </c>
      <c r="AB549" s="4360">
        <f>N549+Z549</f>
        <v>0</v>
      </c>
      <c r="AC549" s="4359">
        <f>AA549/K549*100</f>
        <v>100</v>
      </c>
      <c r="AD549" s="4364" t="e">
        <f>AB549/L549*100</f>
        <v>#DIV/0!</v>
      </c>
      <c r="AE549" s="4365" t="s">
        <v>1523</v>
      </c>
    </row>
    <row r="550" spans="1:31" s="1150" customFormat="1" ht="25.5" customHeight="1">
      <c r="A550" s="1130"/>
      <c r="B550" s="1130"/>
      <c r="C550" s="1117"/>
      <c r="D550" s="1117"/>
      <c r="E550" s="1117"/>
      <c r="F550" s="1117"/>
      <c r="G550" s="1117"/>
      <c r="H550" s="1130"/>
      <c r="I550" s="4385"/>
      <c r="J550" s="1880" t="s">
        <v>1648</v>
      </c>
      <c r="K550" s="4359"/>
      <c r="L550" s="4364"/>
      <c r="M550" s="4359"/>
      <c r="N550" s="4368"/>
      <c r="O550" s="4359"/>
      <c r="P550" s="4376"/>
      <c r="Q550" s="4359"/>
      <c r="R550" s="4364"/>
      <c r="S550" s="4365"/>
      <c r="T550" s="4377"/>
      <c r="U550" s="4365"/>
      <c r="V550" s="4365"/>
      <c r="W550" s="4365"/>
      <c r="X550" s="4364"/>
      <c r="Y550" s="4375"/>
      <c r="Z550" s="4364"/>
      <c r="AA550" s="4359"/>
      <c r="AB550" s="4360"/>
      <c r="AC550" s="4359"/>
      <c r="AD550" s="4364"/>
      <c r="AE550" s="4365"/>
    </row>
    <row r="551" spans="1:31" s="1150" customFormat="1" ht="25.5" customHeight="1">
      <c r="A551" s="1130"/>
      <c r="B551" s="1130"/>
      <c r="C551" s="1115" t="s">
        <v>65</v>
      </c>
      <c r="D551" s="1115" t="s">
        <v>66</v>
      </c>
      <c r="E551" s="1115" t="s">
        <v>66</v>
      </c>
      <c r="F551" s="1115" t="s">
        <v>155</v>
      </c>
      <c r="G551" s="1115"/>
      <c r="H551" s="1132" t="s">
        <v>167</v>
      </c>
      <c r="I551" s="4385" t="s">
        <v>1649</v>
      </c>
      <c r="J551" s="1880" t="s">
        <v>1650</v>
      </c>
      <c r="K551" s="4359">
        <v>4</v>
      </c>
      <c r="L551" s="4364">
        <v>0</v>
      </c>
      <c r="M551" s="4359">
        <v>4</v>
      </c>
      <c r="N551" s="4368">
        <v>0</v>
      </c>
      <c r="O551" s="4359">
        <v>0</v>
      </c>
      <c r="P551" s="4359">
        <v>0</v>
      </c>
      <c r="Q551" s="4359">
        <v>0</v>
      </c>
      <c r="R551" s="4359">
        <v>0</v>
      </c>
      <c r="S551" s="1860"/>
      <c r="T551" s="1867"/>
      <c r="U551" s="1860"/>
      <c r="V551" s="1860"/>
      <c r="W551" s="1860"/>
      <c r="X551" s="1859"/>
      <c r="Y551" s="4375">
        <f>Q551+S551+U551+W551</f>
        <v>0</v>
      </c>
      <c r="Z551" s="4364">
        <f>R551+T551+V551+X551</f>
        <v>0</v>
      </c>
      <c r="AA551" s="4359">
        <f>M551+Y551</f>
        <v>4</v>
      </c>
      <c r="AB551" s="4360">
        <f>N551+Z551</f>
        <v>0</v>
      </c>
      <c r="AC551" s="4359">
        <f>AA551/K551*100</f>
        <v>100</v>
      </c>
      <c r="AD551" s="4364" t="e">
        <f>AB551/L551*100</f>
        <v>#DIV/0!</v>
      </c>
      <c r="AE551" s="4365" t="s">
        <v>1523</v>
      </c>
    </row>
    <row r="552" spans="1:31" s="1150" customFormat="1" ht="26.25" customHeight="1">
      <c r="A552" s="1130"/>
      <c r="B552" s="1130"/>
      <c r="C552" s="1117"/>
      <c r="D552" s="1117"/>
      <c r="E552" s="1117"/>
      <c r="F552" s="1117"/>
      <c r="G552" s="1117"/>
      <c r="H552" s="1130"/>
      <c r="I552" s="4385"/>
      <c r="J552" s="1880" t="s">
        <v>1651</v>
      </c>
      <c r="K552" s="4359"/>
      <c r="L552" s="4364"/>
      <c r="M552" s="4359"/>
      <c r="N552" s="4368"/>
      <c r="O552" s="4359"/>
      <c r="P552" s="4359"/>
      <c r="Q552" s="4359"/>
      <c r="R552" s="4359"/>
      <c r="S552" s="1860"/>
      <c r="T552" s="1867"/>
      <c r="U552" s="1860"/>
      <c r="V552" s="1860"/>
      <c r="W552" s="1860"/>
      <c r="X552" s="1859"/>
      <c r="Y552" s="4375"/>
      <c r="Z552" s="4364"/>
      <c r="AA552" s="4359"/>
      <c r="AB552" s="4360"/>
      <c r="AC552" s="4359"/>
      <c r="AD552" s="4364"/>
      <c r="AE552" s="4365"/>
    </row>
    <row r="553" spans="1:31" s="1150" customFormat="1" ht="26.25" customHeight="1">
      <c r="A553" s="1130"/>
      <c r="B553" s="1130"/>
      <c r="C553" s="1117"/>
      <c r="D553" s="1117"/>
      <c r="E553" s="1117"/>
      <c r="F553" s="1117"/>
      <c r="G553" s="1117"/>
      <c r="H553" s="1130"/>
      <c r="I553" s="4378" t="s">
        <v>1652</v>
      </c>
      <c r="J553" s="1880" t="s">
        <v>1653</v>
      </c>
      <c r="K553" s="4359">
        <v>4</v>
      </c>
      <c r="L553" s="4364">
        <v>0</v>
      </c>
      <c r="M553" s="4359">
        <v>4</v>
      </c>
      <c r="N553" s="4368">
        <v>0</v>
      </c>
      <c r="O553" s="4359">
        <v>0</v>
      </c>
      <c r="P553" s="4359">
        <v>0</v>
      </c>
      <c r="Q553" s="4359">
        <v>0</v>
      </c>
      <c r="R553" s="4359">
        <v>0</v>
      </c>
      <c r="S553" s="1860"/>
      <c r="T553" s="1867"/>
      <c r="U553" s="1860"/>
      <c r="V553" s="1860"/>
      <c r="W553" s="1860"/>
      <c r="X553" s="1859"/>
      <c r="Y553" s="4375">
        <f>Q553+S553+U553+W553</f>
        <v>0</v>
      </c>
      <c r="Z553" s="4364">
        <f>R553+T553+V553+X553</f>
        <v>0</v>
      </c>
      <c r="AA553" s="4359">
        <f>M553+Y553</f>
        <v>4</v>
      </c>
      <c r="AB553" s="4360">
        <f>N553+Z553</f>
        <v>0</v>
      </c>
      <c r="AC553" s="4359">
        <f>AA553/K553*100</f>
        <v>100</v>
      </c>
      <c r="AD553" s="4364" t="e">
        <f>AB553/L553*100</f>
        <v>#DIV/0!</v>
      </c>
      <c r="AE553" s="4365" t="s">
        <v>1523</v>
      </c>
    </row>
    <row r="554" spans="1:31" s="1150" customFormat="1" ht="26.25" customHeight="1">
      <c r="A554" s="1130"/>
      <c r="B554" s="1130"/>
      <c r="C554" s="1117"/>
      <c r="D554" s="1117"/>
      <c r="E554" s="1117"/>
      <c r="F554" s="1117"/>
      <c r="G554" s="1117"/>
      <c r="H554" s="1130"/>
      <c r="I554" s="4378"/>
      <c r="J554" s="1880"/>
      <c r="K554" s="4359"/>
      <c r="L554" s="4364"/>
      <c r="M554" s="4359"/>
      <c r="N554" s="4368"/>
      <c r="O554" s="4359"/>
      <c r="P554" s="4359"/>
      <c r="Q554" s="4359"/>
      <c r="R554" s="4359"/>
      <c r="S554" s="1860"/>
      <c r="T554" s="1867"/>
      <c r="U554" s="1860"/>
      <c r="V554" s="1860"/>
      <c r="W554" s="1860"/>
      <c r="X554" s="1859"/>
      <c r="Y554" s="4375"/>
      <c r="Z554" s="4364"/>
      <c r="AA554" s="4359"/>
      <c r="AB554" s="4360"/>
      <c r="AC554" s="4359"/>
      <c r="AD554" s="4364"/>
      <c r="AE554" s="4365"/>
    </row>
    <row r="555" spans="1:31" s="1150" customFormat="1" ht="26.25" customHeight="1">
      <c r="A555" s="1130"/>
      <c r="B555" s="1130"/>
      <c r="C555" s="1117"/>
      <c r="D555" s="1117"/>
      <c r="E555" s="1117"/>
      <c r="F555" s="1117"/>
      <c r="G555" s="1117"/>
      <c r="H555" s="1130"/>
      <c r="I555" s="4378" t="s">
        <v>1654</v>
      </c>
      <c r="J555" s="1880" t="s">
        <v>1655</v>
      </c>
      <c r="K555" s="4359">
        <v>36</v>
      </c>
      <c r="L555" s="4364">
        <v>0</v>
      </c>
      <c r="M555" s="4359">
        <v>0</v>
      </c>
      <c r="N555" s="4368">
        <v>0</v>
      </c>
      <c r="O555" s="4359">
        <v>0</v>
      </c>
      <c r="P555" s="4359">
        <v>0</v>
      </c>
      <c r="Q555" s="4359">
        <v>0</v>
      </c>
      <c r="R555" s="4359">
        <v>0</v>
      </c>
      <c r="S555" s="1860"/>
      <c r="T555" s="1867"/>
      <c r="U555" s="1860"/>
      <c r="V555" s="1860"/>
      <c r="W555" s="1860"/>
      <c r="X555" s="1859"/>
      <c r="Y555" s="4375">
        <f>Q555+S555+U555+W555</f>
        <v>0</v>
      </c>
      <c r="Z555" s="4364">
        <f>R555+T555+V555+X555</f>
        <v>0</v>
      </c>
      <c r="AA555" s="4359">
        <f>M555+Y555</f>
        <v>0</v>
      </c>
      <c r="AB555" s="4360">
        <f>N555+Z555</f>
        <v>0</v>
      </c>
      <c r="AC555" s="4359">
        <f>AA555/K555*100</f>
        <v>0</v>
      </c>
      <c r="AD555" s="4364" t="e">
        <f>AB555/L555*100</f>
        <v>#DIV/0!</v>
      </c>
      <c r="AE555" s="4365" t="s">
        <v>1523</v>
      </c>
    </row>
    <row r="556" spans="1:31" s="1150" customFormat="1" ht="26.25" customHeight="1">
      <c r="A556" s="1130"/>
      <c r="B556" s="1130"/>
      <c r="C556" s="1117"/>
      <c r="D556" s="1117"/>
      <c r="E556" s="1117"/>
      <c r="F556" s="1117"/>
      <c r="G556" s="1117"/>
      <c r="H556" s="1130"/>
      <c r="I556" s="4378"/>
      <c r="J556" s="1880" t="s">
        <v>1655</v>
      </c>
      <c r="K556" s="4359"/>
      <c r="L556" s="4364"/>
      <c r="M556" s="4359"/>
      <c r="N556" s="4368"/>
      <c r="O556" s="4359"/>
      <c r="P556" s="4359"/>
      <c r="Q556" s="4359"/>
      <c r="R556" s="4359"/>
      <c r="S556" s="1860"/>
      <c r="T556" s="1867"/>
      <c r="U556" s="1860"/>
      <c r="V556" s="1860"/>
      <c r="W556" s="1860"/>
      <c r="X556" s="1859"/>
      <c r="Y556" s="4375"/>
      <c r="Z556" s="4364"/>
      <c r="AA556" s="4359"/>
      <c r="AB556" s="4360"/>
      <c r="AC556" s="4359"/>
      <c r="AD556" s="4364"/>
      <c r="AE556" s="4365"/>
    </row>
    <row r="557" spans="1:31" s="1150" customFormat="1" ht="26.25" customHeight="1">
      <c r="A557" s="1130"/>
      <c r="B557" s="1130"/>
      <c r="C557" s="1117"/>
      <c r="D557" s="1117"/>
      <c r="E557" s="1117"/>
      <c r="F557" s="1117"/>
      <c r="G557" s="1117"/>
      <c r="H557" s="1130"/>
      <c r="I557" s="4378" t="s">
        <v>1656</v>
      </c>
      <c r="J557" s="1880" t="s">
        <v>1657</v>
      </c>
      <c r="K557" s="4359">
        <v>36</v>
      </c>
      <c r="L557" s="4364">
        <v>0</v>
      </c>
      <c r="M557" s="4359">
        <v>0</v>
      </c>
      <c r="N557" s="4368">
        <v>0</v>
      </c>
      <c r="O557" s="4359">
        <v>0</v>
      </c>
      <c r="P557" s="4359">
        <v>0</v>
      </c>
      <c r="Q557" s="4359">
        <v>0</v>
      </c>
      <c r="R557" s="4359">
        <v>0</v>
      </c>
      <c r="S557" s="1860"/>
      <c r="T557" s="1867"/>
      <c r="U557" s="1860"/>
      <c r="V557" s="1860"/>
      <c r="W557" s="1860"/>
      <c r="X557" s="1859"/>
      <c r="Y557" s="4375">
        <f>Q557+S557+U557+W557</f>
        <v>0</v>
      </c>
      <c r="Z557" s="4364">
        <f>R557+T557+V557+X557</f>
        <v>0</v>
      </c>
      <c r="AA557" s="4359">
        <f>M557+Y557</f>
        <v>0</v>
      </c>
      <c r="AB557" s="4360">
        <f>N557+Z557</f>
        <v>0</v>
      </c>
      <c r="AC557" s="4359">
        <f>AA557/K557*100</f>
        <v>0</v>
      </c>
      <c r="AD557" s="4364" t="e">
        <f>AB557/L557*100</f>
        <v>#DIV/0!</v>
      </c>
      <c r="AE557" s="4365" t="s">
        <v>1523</v>
      </c>
    </row>
    <row r="558" spans="1:31" s="1150" customFormat="1" ht="26.25" customHeight="1">
      <c r="A558" s="1130"/>
      <c r="B558" s="1130"/>
      <c r="C558" s="1117"/>
      <c r="D558" s="1117"/>
      <c r="E558" s="1117"/>
      <c r="F558" s="1117"/>
      <c r="G558" s="1117"/>
      <c r="H558" s="1130"/>
      <c r="I558" s="4378"/>
      <c r="J558" s="1880" t="s">
        <v>1658</v>
      </c>
      <c r="K558" s="4359"/>
      <c r="L558" s="4364"/>
      <c r="M558" s="4359"/>
      <c r="N558" s="4368"/>
      <c r="O558" s="4359"/>
      <c r="P558" s="4359"/>
      <c r="Q558" s="4359"/>
      <c r="R558" s="4359"/>
      <c r="S558" s="1860"/>
      <c r="T558" s="1867"/>
      <c r="U558" s="1860"/>
      <c r="V558" s="1860"/>
      <c r="W558" s="1860"/>
      <c r="X558" s="1859"/>
      <c r="Y558" s="4375"/>
      <c r="Z558" s="4364"/>
      <c r="AA558" s="4359"/>
      <c r="AB558" s="4360"/>
      <c r="AC558" s="4359"/>
      <c r="AD558" s="4364"/>
      <c r="AE558" s="4365"/>
    </row>
    <row r="559" spans="1:31" s="1150" customFormat="1" ht="26.25" customHeight="1">
      <c r="A559" s="1130"/>
      <c r="B559" s="1130"/>
      <c r="C559" s="1117"/>
      <c r="D559" s="1117"/>
      <c r="E559" s="1117"/>
      <c r="F559" s="1117"/>
      <c r="G559" s="1117"/>
      <c r="H559" s="1130"/>
      <c r="I559" s="4385" t="s">
        <v>1659</v>
      </c>
      <c r="J559" s="1880" t="s">
        <v>1660</v>
      </c>
      <c r="K559" s="4359">
        <v>36</v>
      </c>
      <c r="L559" s="4364">
        <v>0</v>
      </c>
      <c r="M559" s="4359">
        <v>0</v>
      </c>
      <c r="N559" s="4368">
        <v>0</v>
      </c>
      <c r="O559" s="4359">
        <v>0</v>
      </c>
      <c r="P559" s="4359">
        <v>0</v>
      </c>
      <c r="Q559" s="4359">
        <v>0</v>
      </c>
      <c r="R559" s="4359">
        <v>0</v>
      </c>
      <c r="S559" s="4365"/>
      <c r="T559" s="4377"/>
      <c r="U559" s="4374"/>
      <c r="V559" s="4360"/>
      <c r="W559" s="4374"/>
      <c r="X559" s="4364"/>
      <c r="Y559" s="4375">
        <f>Q559+S559+U559+W559</f>
        <v>0</v>
      </c>
      <c r="Z559" s="4364">
        <f>R559+T559+V559+X559</f>
        <v>0</v>
      </c>
      <c r="AA559" s="4359">
        <f>M559+Y559</f>
        <v>0</v>
      </c>
      <c r="AB559" s="4360">
        <f>N559+Z559</f>
        <v>0</v>
      </c>
      <c r="AC559" s="4359">
        <f>AA559/K559*100</f>
        <v>0</v>
      </c>
      <c r="AD559" s="4364" t="e">
        <f>AB559/L559*100</f>
        <v>#DIV/0!</v>
      </c>
      <c r="AE559" s="4365" t="s">
        <v>1523</v>
      </c>
    </row>
    <row r="560" spans="1:31" s="1150" customFormat="1" ht="30.6" customHeight="1">
      <c r="A560" s="1130"/>
      <c r="B560" s="1130"/>
      <c r="C560" s="1117"/>
      <c r="D560" s="1117"/>
      <c r="E560" s="1117"/>
      <c r="F560" s="1117"/>
      <c r="G560" s="1117"/>
      <c r="H560" s="1130"/>
      <c r="I560" s="4385"/>
      <c r="J560" s="1880" t="s">
        <v>1661</v>
      </c>
      <c r="K560" s="4359"/>
      <c r="L560" s="4364"/>
      <c r="M560" s="4359"/>
      <c r="N560" s="4368"/>
      <c r="O560" s="4359"/>
      <c r="P560" s="4359"/>
      <c r="Q560" s="4359"/>
      <c r="R560" s="4359"/>
      <c r="S560" s="4365"/>
      <c r="T560" s="4377"/>
      <c r="U560" s="4365"/>
      <c r="V560" s="4365"/>
      <c r="W560" s="4365"/>
      <c r="X560" s="4364"/>
      <c r="Y560" s="4375"/>
      <c r="Z560" s="4364"/>
      <c r="AA560" s="4359"/>
      <c r="AB560" s="4360"/>
      <c r="AC560" s="4359"/>
      <c r="AD560" s="4364"/>
      <c r="AE560" s="4365"/>
    </row>
    <row r="561" spans="1:31" s="1150" customFormat="1" ht="14.1" customHeight="1">
      <c r="A561" s="1188"/>
      <c r="B561" s="1137"/>
      <c r="C561" s="1137"/>
      <c r="D561" s="1137"/>
      <c r="E561" s="1137"/>
      <c r="F561" s="1137"/>
      <c r="G561" s="1137"/>
      <c r="H561" s="1137"/>
      <c r="I561" s="4400"/>
      <c r="J561" s="4400"/>
      <c r="K561" s="4400">
        <f t="shared" ref="K561:R561" si="108">K451+K477+K507+K511+K523+K533+K540/7</f>
        <v>720.28571428571433</v>
      </c>
      <c r="L561" s="4401">
        <f t="shared" si="108"/>
        <v>17141221405.589788</v>
      </c>
      <c r="M561" s="4402">
        <f t="shared" si="108"/>
        <v>630.57142857142856</v>
      </c>
      <c r="N561" s="4401">
        <f t="shared" si="108"/>
        <v>1279413.1897142855</v>
      </c>
      <c r="O561" s="4400">
        <f t="shared" si="108"/>
        <v>316</v>
      </c>
      <c r="P561" s="4401">
        <f t="shared" si="108"/>
        <v>1660625583.2592502</v>
      </c>
      <c r="Q561" s="4403">
        <f t="shared" si="108"/>
        <v>15.142857142857142</v>
      </c>
      <c r="R561" s="4421">
        <f t="shared" si="108"/>
        <v>268800571.4285714</v>
      </c>
      <c r="S561" s="4404"/>
      <c r="T561" s="4422"/>
      <c r="U561" s="4404"/>
      <c r="V561" s="4404"/>
      <c r="W561" s="4404"/>
      <c r="X561" s="4404"/>
      <c r="Y561" s="4415">
        <f>Y451+Y477+Y507+Y511+Y523+Y533+Y540/7</f>
        <v>15.142857142857142</v>
      </c>
      <c r="Z561" s="4417">
        <f>Z451+Z477+Z507+Z511+Z523+Z533+Z540/7</f>
        <v>268800571.4285714</v>
      </c>
      <c r="AA561" s="4419">
        <f>AA451+AA477+AA507+AA511+AA523+AA533+AA540/7</f>
        <v>645.71428571428567</v>
      </c>
      <c r="AB561" s="4397">
        <f>AB451+AB477+AB507+AB511+AB522+AB533+AB540/7</f>
        <v>270079984.61828572</v>
      </c>
      <c r="AC561" s="4420">
        <f>AC451+AC477+AC507+AC511+AC523+AC533+AC540/7</f>
        <v>553.52427208102051</v>
      </c>
      <c r="AD561" s="4410">
        <f>AD451+AD477+AD507+AD511+AD522+AD533+AD540/7</f>
        <v>2479.295741241956</v>
      </c>
      <c r="AE561" s="4389"/>
    </row>
    <row r="562" spans="1:31" s="1150" customFormat="1" ht="14.1" customHeight="1">
      <c r="A562" s="1188"/>
      <c r="B562" s="1137"/>
      <c r="C562" s="1137"/>
      <c r="D562" s="1137"/>
      <c r="E562" s="1137"/>
      <c r="F562" s="1137"/>
      <c r="G562" s="1137"/>
      <c r="H562" s="1137"/>
      <c r="I562" s="1137"/>
      <c r="J562" s="1137"/>
      <c r="K562" s="4400"/>
      <c r="L562" s="4400"/>
      <c r="M562" s="4400"/>
      <c r="N562" s="4400"/>
      <c r="O562" s="4400"/>
      <c r="P562" s="4400"/>
      <c r="Q562" s="4404"/>
      <c r="R562" s="4421"/>
      <c r="S562" s="4404"/>
      <c r="T562" s="4422"/>
      <c r="U562" s="4404"/>
      <c r="V562" s="4404"/>
      <c r="W562" s="4404"/>
      <c r="X562" s="4404"/>
      <c r="Y562" s="4416"/>
      <c r="Z562" s="4418"/>
      <c r="AA562" s="4416"/>
      <c r="AB562" s="4416"/>
      <c r="AC562" s="4420"/>
      <c r="AD562" s="4411"/>
      <c r="AE562" s="4389"/>
    </row>
    <row r="563" spans="1:31" ht="22.5" customHeight="1">
      <c r="A563" s="56"/>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382"/>
      <c r="Z563" s="56"/>
      <c r="AA563" s="56"/>
      <c r="AB563" s="56"/>
      <c r="AC563" s="56"/>
      <c r="AD563" s="56"/>
      <c r="AE563" s="56"/>
    </row>
    <row r="564" spans="1:31" s="69" customFormat="1" ht="56.25" customHeight="1">
      <c r="A564" s="67">
        <v>8</v>
      </c>
      <c r="B564" s="67"/>
      <c r="C564" s="67"/>
      <c r="D564" s="67"/>
      <c r="E564" s="67"/>
      <c r="F564" s="67"/>
      <c r="G564" s="67"/>
      <c r="H564" s="67"/>
      <c r="I564" s="68" t="s">
        <v>135</v>
      </c>
      <c r="J564" s="67"/>
      <c r="K564" s="67"/>
      <c r="L564" s="67"/>
      <c r="M564" s="67"/>
      <c r="N564" s="67"/>
      <c r="O564" s="67"/>
      <c r="P564" s="67"/>
      <c r="Q564" s="67"/>
      <c r="R564" s="67"/>
      <c r="S564" s="67"/>
      <c r="T564" s="67"/>
      <c r="U564" s="67"/>
      <c r="V564" s="67"/>
      <c r="W564" s="67"/>
      <c r="X564" s="67"/>
      <c r="Y564" s="366"/>
      <c r="Z564" s="67"/>
      <c r="AA564" s="67"/>
      <c r="AB564" s="67"/>
      <c r="AC564" s="67"/>
      <c r="AD564" s="67"/>
      <c r="AE564" s="67"/>
    </row>
    <row r="565" spans="1:31" ht="22.5" customHeight="1">
      <c r="A565" s="56"/>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382"/>
      <c r="Z565" s="56"/>
      <c r="AA565" s="56"/>
      <c r="AB565" s="56"/>
      <c r="AC565" s="56"/>
      <c r="AD565" s="56"/>
      <c r="AE565" s="56"/>
    </row>
    <row r="566" spans="1:31" s="69" customFormat="1" ht="27.75" customHeight="1">
      <c r="A566" s="67">
        <v>9</v>
      </c>
      <c r="B566" s="67"/>
      <c r="C566" s="67"/>
      <c r="D566" s="67"/>
      <c r="E566" s="67"/>
      <c r="F566" s="67"/>
      <c r="G566" s="67"/>
      <c r="H566" s="67"/>
      <c r="I566" s="68" t="s">
        <v>136</v>
      </c>
      <c r="J566" s="67"/>
      <c r="K566" s="67"/>
      <c r="L566" s="67"/>
      <c r="M566" s="67"/>
      <c r="N566" s="67"/>
      <c r="O566" s="67"/>
      <c r="P566" s="67"/>
      <c r="Q566" s="67"/>
      <c r="R566" s="67"/>
      <c r="S566" s="67"/>
      <c r="T566" s="67"/>
      <c r="U566" s="67"/>
      <c r="V566" s="67"/>
      <c r="W566" s="67"/>
      <c r="X566" s="67"/>
      <c r="Y566" s="366"/>
      <c r="Z566" s="67"/>
      <c r="AA566" s="67"/>
      <c r="AB566" s="67"/>
      <c r="AC566" s="67"/>
      <c r="AD566" s="67"/>
      <c r="AE566" s="67"/>
    </row>
    <row r="567" spans="1:31" s="63" customFormat="1" ht="51">
      <c r="A567" s="1904">
        <v>1</v>
      </c>
      <c r="B567" s="1906" t="s">
        <v>438</v>
      </c>
      <c r="C567" s="1905">
        <v>1</v>
      </c>
      <c r="D567" s="1905" t="s">
        <v>65</v>
      </c>
      <c r="E567" s="1905" t="s">
        <v>196</v>
      </c>
      <c r="F567" s="1905" t="s">
        <v>66</v>
      </c>
      <c r="G567" s="1905" t="s">
        <v>66</v>
      </c>
      <c r="H567" s="1904"/>
      <c r="I567" s="383" t="s">
        <v>221</v>
      </c>
      <c r="J567" s="384" t="s">
        <v>439</v>
      </c>
      <c r="K567" s="385">
        <v>72</v>
      </c>
      <c r="L567" s="386">
        <f>SUM(L568:L577)</f>
        <v>720000</v>
      </c>
      <c r="M567" s="385">
        <v>24</v>
      </c>
      <c r="N567" s="386">
        <f>SUM(N568:N577)</f>
        <v>451143.50199999998</v>
      </c>
      <c r="O567" s="385">
        <v>12</v>
      </c>
      <c r="P567" s="386">
        <f>SUM(P568:P577)</f>
        <v>300631.33100000001</v>
      </c>
      <c r="Q567" s="385">
        <v>3</v>
      </c>
      <c r="R567" s="387">
        <f>SUM(R568:R577)</f>
        <v>89316.807000000001</v>
      </c>
      <c r="S567" s="385"/>
      <c r="T567" s="385"/>
      <c r="U567" s="385"/>
      <c r="V567" s="385"/>
      <c r="W567" s="385"/>
      <c r="X567" s="385"/>
      <c r="Y567" s="1904">
        <v>3</v>
      </c>
      <c r="Z567" s="387">
        <f>R567+T567+V567+X567</f>
        <v>89316.807000000001</v>
      </c>
      <c r="AA567" s="385">
        <f>Y567+M567</f>
        <v>27</v>
      </c>
      <c r="AB567" s="386">
        <f>N567+Z567</f>
        <v>540460.30900000001</v>
      </c>
      <c r="AC567" s="388">
        <v>25</v>
      </c>
      <c r="AD567" s="389">
        <f>AB567/L567*100</f>
        <v>75.063931805555555</v>
      </c>
      <c r="AE567" s="390" t="s">
        <v>440</v>
      </c>
    </row>
    <row r="568" spans="1:31" s="63" customFormat="1" ht="63.75">
      <c r="A568" s="391"/>
      <c r="B568" s="392"/>
      <c r="C568" s="393" t="s">
        <v>146</v>
      </c>
      <c r="D568" s="393" t="s">
        <v>65</v>
      </c>
      <c r="E568" s="393" t="s">
        <v>196</v>
      </c>
      <c r="F568" s="393" t="s">
        <v>66</v>
      </c>
      <c r="G568" s="394" t="s">
        <v>66</v>
      </c>
      <c r="H568" s="393" t="s">
        <v>65</v>
      </c>
      <c r="I568" s="392" t="s">
        <v>147</v>
      </c>
      <c r="J568" s="395" t="s">
        <v>441</v>
      </c>
      <c r="K568" s="396">
        <v>72</v>
      </c>
      <c r="L568" s="397">
        <v>90000</v>
      </c>
      <c r="M568" s="396">
        <v>24</v>
      </c>
      <c r="N568" s="397">
        <v>58509.35</v>
      </c>
      <c r="O568" s="396">
        <v>12</v>
      </c>
      <c r="P568" s="397">
        <v>45480</v>
      </c>
      <c r="Q568" s="396">
        <v>3</v>
      </c>
      <c r="R568" s="398">
        <v>9347.3870000000006</v>
      </c>
      <c r="S568" s="396"/>
      <c r="T568" s="396"/>
      <c r="U568" s="396"/>
      <c r="V568" s="396"/>
      <c r="W568" s="396"/>
      <c r="X568" s="396"/>
      <c r="Y568" s="391">
        <f>Q568+S568+U568+W568</f>
        <v>3</v>
      </c>
      <c r="Z568" s="398">
        <f>R568+T568+V568+X568</f>
        <v>9347.3870000000006</v>
      </c>
      <c r="AA568" s="396">
        <f>M568+Y568</f>
        <v>27</v>
      </c>
      <c r="AB568" s="399">
        <f t="shared" ref="AB568:AB577" si="109">N568+Z568</f>
        <v>67856.736999999994</v>
      </c>
      <c r="AC568" s="400">
        <f>AA568/K568*100</f>
        <v>37.5</v>
      </c>
      <c r="AD568" s="401">
        <f t="shared" ref="AD568:AD608" si="110">AB568/L568*100</f>
        <v>75.396374444444433</v>
      </c>
      <c r="AE568" s="396"/>
    </row>
    <row r="569" spans="1:31" s="63" customFormat="1" ht="63.75">
      <c r="A569" s="402"/>
      <c r="B569" s="1910"/>
      <c r="C569" s="403" t="s">
        <v>146</v>
      </c>
      <c r="D569" s="403" t="s">
        <v>65</v>
      </c>
      <c r="E569" s="403" t="s">
        <v>196</v>
      </c>
      <c r="F569" s="403" t="s">
        <v>66</v>
      </c>
      <c r="G569" s="404" t="s">
        <v>66</v>
      </c>
      <c r="H569" s="403" t="s">
        <v>198</v>
      </c>
      <c r="I569" s="1910" t="s">
        <v>148</v>
      </c>
      <c r="J569" s="405" t="s">
        <v>442</v>
      </c>
      <c r="K569" s="406">
        <v>72</v>
      </c>
      <c r="L569" s="407">
        <v>80000</v>
      </c>
      <c r="M569" s="406">
        <v>24</v>
      </c>
      <c r="N569" s="407">
        <v>51500</v>
      </c>
      <c r="O569" s="406">
        <v>12</v>
      </c>
      <c r="P569" s="407">
        <v>77850</v>
      </c>
      <c r="Q569" s="406">
        <v>3</v>
      </c>
      <c r="R569" s="408">
        <v>8750</v>
      </c>
      <c r="S569" s="406"/>
      <c r="T569" s="406"/>
      <c r="U569" s="406"/>
      <c r="V569" s="406"/>
      <c r="W569" s="406"/>
      <c r="X569" s="406"/>
      <c r="Y569" s="402">
        <f t="shared" ref="Y569:Z595" si="111">Q569+S569+U569+W569</f>
        <v>3</v>
      </c>
      <c r="Z569" s="408">
        <f t="shared" si="111"/>
        <v>8750</v>
      </c>
      <c r="AA569" s="396">
        <f t="shared" ref="AA569:AA577" si="112">M569+Y569</f>
        <v>27</v>
      </c>
      <c r="AB569" s="407">
        <f t="shared" si="109"/>
        <v>60250</v>
      </c>
      <c r="AC569" s="400">
        <f t="shared" ref="AC569:AC608" si="113">AA569/K569*100</f>
        <v>37.5</v>
      </c>
      <c r="AD569" s="409">
        <f t="shared" si="110"/>
        <v>75.3125</v>
      </c>
      <c r="AE569" s="406"/>
    </row>
    <row r="570" spans="1:31" s="63" customFormat="1" ht="36" customHeight="1">
      <c r="A570" s="402"/>
      <c r="B570" s="1910"/>
      <c r="C570" s="403" t="s">
        <v>146</v>
      </c>
      <c r="D570" s="403" t="s">
        <v>65</v>
      </c>
      <c r="E570" s="403" t="s">
        <v>196</v>
      </c>
      <c r="F570" s="403" t="s">
        <v>66</v>
      </c>
      <c r="G570" s="404" t="s">
        <v>66</v>
      </c>
      <c r="H570" s="403" t="s">
        <v>202</v>
      </c>
      <c r="I570" s="1910" t="s">
        <v>150</v>
      </c>
      <c r="J570" s="1910" t="s">
        <v>443</v>
      </c>
      <c r="K570" s="406">
        <v>72</v>
      </c>
      <c r="L570" s="407">
        <v>50000</v>
      </c>
      <c r="M570" s="406">
        <v>24</v>
      </c>
      <c r="N570" s="407">
        <v>36563</v>
      </c>
      <c r="O570" s="406">
        <v>12</v>
      </c>
      <c r="P570" s="407">
        <v>19407.631000000001</v>
      </c>
      <c r="Q570" s="406">
        <v>3</v>
      </c>
      <c r="R570" s="408">
        <v>8418.42</v>
      </c>
      <c r="S570" s="406"/>
      <c r="T570" s="406"/>
      <c r="U570" s="406"/>
      <c r="V570" s="406"/>
      <c r="W570" s="406"/>
      <c r="X570" s="406"/>
      <c r="Y570" s="402">
        <f t="shared" si="111"/>
        <v>3</v>
      </c>
      <c r="Z570" s="408">
        <f t="shared" si="111"/>
        <v>8418.42</v>
      </c>
      <c r="AA570" s="396">
        <f t="shared" si="112"/>
        <v>27</v>
      </c>
      <c r="AB570" s="407">
        <f t="shared" si="109"/>
        <v>44981.42</v>
      </c>
      <c r="AC570" s="400">
        <f t="shared" si="113"/>
        <v>37.5</v>
      </c>
      <c r="AD570" s="409">
        <f t="shared" si="110"/>
        <v>89.96284</v>
      </c>
      <c r="AE570" s="406"/>
    </row>
    <row r="571" spans="1:31" s="63" customFormat="1" ht="66" customHeight="1">
      <c r="A571" s="402"/>
      <c r="B571" s="1910"/>
      <c r="C571" s="403" t="s">
        <v>146</v>
      </c>
      <c r="D571" s="403" t="s">
        <v>65</v>
      </c>
      <c r="E571" s="403" t="s">
        <v>196</v>
      </c>
      <c r="F571" s="403" t="s">
        <v>66</v>
      </c>
      <c r="G571" s="404" t="s">
        <v>66</v>
      </c>
      <c r="H571" s="403" t="s">
        <v>417</v>
      </c>
      <c r="I571" s="1910" t="s">
        <v>151</v>
      </c>
      <c r="J571" s="1910" t="s">
        <v>444</v>
      </c>
      <c r="K571" s="406">
        <v>72</v>
      </c>
      <c r="L571" s="407">
        <v>60000</v>
      </c>
      <c r="M571" s="406">
        <v>24</v>
      </c>
      <c r="N571" s="407">
        <v>30392</v>
      </c>
      <c r="O571" s="406">
        <v>12</v>
      </c>
      <c r="P571" s="407">
        <v>20589.7</v>
      </c>
      <c r="Q571" s="406">
        <v>3</v>
      </c>
      <c r="R571" s="408">
        <v>3995.5</v>
      </c>
      <c r="S571" s="406"/>
      <c r="T571" s="406"/>
      <c r="U571" s="406"/>
      <c r="V571" s="406"/>
      <c r="W571" s="406"/>
      <c r="X571" s="406"/>
      <c r="Y571" s="402">
        <f t="shared" si="111"/>
        <v>3</v>
      </c>
      <c r="Z571" s="408">
        <f t="shared" si="111"/>
        <v>3995.5</v>
      </c>
      <c r="AA571" s="396">
        <f t="shared" si="112"/>
        <v>27</v>
      </c>
      <c r="AB571" s="407">
        <f t="shared" si="109"/>
        <v>34387.5</v>
      </c>
      <c r="AC571" s="400">
        <f t="shared" si="113"/>
        <v>37.5</v>
      </c>
      <c r="AD571" s="409">
        <f t="shared" si="110"/>
        <v>57.3125</v>
      </c>
      <c r="AE571" s="406"/>
    </row>
    <row r="572" spans="1:31" s="63" customFormat="1" ht="51">
      <c r="A572" s="402"/>
      <c r="B572" s="1910"/>
      <c r="C572" s="403" t="s">
        <v>146</v>
      </c>
      <c r="D572" s="403" t="s">
        <v>65</v>
      </c>
      <c r="E572" s="403" t="s">
        <v>196</v>
      </c>
      <c r="F572" s="403" t="s">
        <v>66</v>
      </c>
      <c r="G572" s="404" t="s">
        <v>66</v>
      </c>
      <c r="H572" s="403" t="s">
        <v>160</v>
      </c>
      <c r="I572" s="1910" t="s">
        <v>152</v>
      </c>
      <c r="J572" s="1910" t="s">
        <v>445</v>
      </c>
      <c r="K572" s="406">
        <v>72</v>
      </c>
      <c r="L572" s="407">
        <v>10000</v>
      </c>
      <c r="M572" s="406">
        <v>24</v>
      </c>
      <c r="N572" s="407">
        <v>3112.5</v>
      </c>
      <c r="O572" s="406">
        <v>12</v>
      </c>
      <c r="P572" s="407">
        <v>5124</v>
      </c>
      <c r="Q572" s="406">
        <v>3</v>
      </c>
      <c r="R572" s="408">
        <v>493</v>
      </c>
      <c r="S572" s="406"/>
      <c r="T572" s="406"/>
      <c r="U572" s="406"/>
      <c r="V572" s="406"/>
      <c r="W572" s="406"/>
      <c r="X572" s="406"/>
      <c r="Y572" s="402">
        <f t="shared" si="111"/>
        <v>3</v>
      </c>
      <c r="Z572" s="408">
        <f t="shared" si="111"/>
        <v>493</v>
      </c>
      <c r="AA572" s="396">
        <f t="shared" si="112"/>
        <v>27</v>
      </c>
      <c r="AB572" s="407">
        <f t="shared" si="109"/>
        <v>3605.5</v>
      </c>
      <c r="AC572" s="400">
        <f t="shared" si="113"/>
        <v>37.5</v>
      </c>
      <c r="AD572" s="409">
        <f t="shared" si="110"/>
        <v>36.055</v>
      </c>
      <c r="AE572" s="406"/>
    </row>
    <row r="573" spans="1:31" s="63" customFormat="1" ht="63.75" customHeight="1">
      <c r="A573" s="402"/>
      <c r="B573" s="1910"/>
      <c r="C573" s="403" t="s">
        <v>146</v>
      </c>
      <c r="D573" s="403" t="s">
        <v>65</v>
      </c>
      <c r="E573" s="403" t="s">
        <v>196</v>
      </c>
      <c r="F573" s="403" t="s">
        <v>66</v>
      </c>
      <c r="G573" s="404" t="s">
        <v>66</v>
      </c>
      <c r="H573" s="403" t="s">
        <v>391</v>
      </c>
      <c r="I573" s="1910" t="s">
        <v>149</v>
      </c>
      <c r="J573" s="1910" t="s">
        <v>446</v>
      </c>
      <c r="K573" s="406">
        <v>72</v>
      </c>
      <c r="L573" s="407">
        <v>80000</v>
      </c>
      <c r="M573" s="406">
        <v>24</v>
      </c>
      <c r="N573" s="407">
        <v>43175.5</v>
      </c>
      <c r="O573" s="406">
        <v>12</v>
      </c>
      <c r="P573" s="407">
        <v>44050</v>
      </c>
      <c r="Q573" s="406">
        <v>3</v>
      </c>
      <c r="R573" s="408">
        <v>7825</v>
      </c>
      <c r="S573" s="406"/>
      <c r="T573" s="406"/>
      <c r="U573" s="406"/>
      <c r="V573" s="406"/>
      <c r="W573" s="406"/>
      <c r="X573" s="406"/>
      <c r="Y573" s="402">
        <f t="shared" si="111"/>
        <v>3</v>
      </c>
      <c r="Z573" s="408">
        <f t="shared" si="111"/>
        <v>7825</v>
      </c>
      <c r="AA573" s="396">
        <f t="shared" si="112"/>
        <v>27</v>
      </c>
      <c r="AB573" s="407">
        <f t="shared" si="109"/>
        <v>51000.5</v>
      </c>
      <c r="AC573" s="400">
        <f t="shared" si="113"/>
        <v>37.5</v>
      </c>
      <c r="AD573" s="409">
        <f t="shared" si="110"/>
        <v>63.750625000000007</v>
      </c>
      <c r="AE573" s="406"/>
    </row>
    <row r="574" spans="1:31" s="63" customFormat="1" ht="63.75">
      <c r="A574" s="402"/>
      <c r="B574" s="1910"/>
      <c r="C574" s="403" t="s">
        <v>146</v>
      </c>
      <c r="D574" s="403" t="s">
        <v>65</v>
      </c>
      <c r="E574" s="403" t="s">
        <v>196</v>
      </c>
      <c r="F574" s="403" t="s">
        <v>66</v>
      </c>
      <c r="G574" s="1899" t="s">
        <v>66</v>
      </c>
      <c r="H574" s="403" t="s">
        <v>155</v>
      </c>
      <c r="I574" s="1910" t="s">
        <v>156</v>
      </c>
      <c r="J574" s="1910" t="s">
        <v>447</v>
      </c>
      <c r="K574" s="406">
        <v>72</v>
      </c>
      <c r="L574" s="407">
        <v>10000</v>
      </c>
      <c r="M574" s="406">
        <v>24</v>
      </c>
      <c r="N574" s="407">
        <v>8435</v>
      </c>
      <c r="O574" s="406">
        <v>12</v>
      </c>
      <c r="P574" s="407">
        <v>2600</v>
      </c>
      <c r="Q574" s="406">
        <v>3</v>
      </c>
      <c r="R574" s="408">
        <v>460</v>
      </c>
      <c r="S574" s="406"/>
      <c r="T574" s="406"/>
      <c r="U574" s="406"/>
      <c r="V574" s="406"/>
      <c r="W574" s="406"/>
      <c r="X574" s="406"/>
      <c r="Y574" s="402">
        <f t="shared" si="111"/>
        <v>3</v>
      </c>
      <c r="Z574" s="408">
        <f t="shared" si="111"/>
        <v>460</v>
      </c>
      <c r="AA574" s="396">
        <f t="shared" si="112"/>
        <v>27</v>
      </c>
      <c r="AB574" s="407">
        <f t="shared" si="109"/>
        <v>8895</v>
      </c>
      <c r="AC574" s="400">
        <f t="shared" si="113"/>
        <v>37.5</v>
      </c>
      <c r="AD574" s="409">
        <f t="shared" si="110"/>
        <v>88.949999999999989</v>
      </c>
      <c r="AE574" s="406"/>
    </row>
    <row r="575" spans="1:31" s="63" customFormat="1" ht="38.25">
      <c r="A575" s="402"/>
      <c r="B575" s="1910"/>
      <c r="C575" s="403" t="s">
        <v>146</v>
      </c>
      <c r="D575" s="403" t="s">
        <v>65</v>
      </c>
      <c r="E575" s="403" t="s">
        <v>196</v>
      </c>
      <c r="F575" s="403" t="s">
        <v>66</v>
      </c>
      <c r="G575" s="410" t="s">
        <v>66</v>
      </c>
      <c r="H575" s="403" t="s">
        <v>448</v>
      </c>
      <c r="I575" s="1910" t="s">
        <v>157</v>
      </c>
      <c r="J575" s="1910" t="s">
        <v>449</v>
      </c>
      <c r="K575" s="406">
        <v>72</v>
      </c>
      <c r="L575" s="407">
        <v>25000</v>
      </c>
      <c r="M575" s="406">
        <v>24</v>
      </c>
      <c r="N575" s="407">
        <v>19387.5</v>
      </c>
      <c r="O575" s="406">
        <v>12</v>
      </c>
      <c r="P575" s="407">
        <v>14630</v>
      </c>
      <c r="Q575" s="406">
        <v>3</v>
      </c>
      <c r="R575" s="408">
        <v>2767.5</v>
      </c>
      <c r="S575" s="406"/>
      <c r="T575" s="406"/>
      <c r="U575" s="406"/>
      <c r="V575" s="406"/>
      <c r="W575" s="406"/>
      <c r="X575" s="406"/>
      <c r="Y575" s="402">
        <f t="shared" si="111"/>
        <v>3</v>
      </c>
      <c r="Z575" s="408">
        <f t="shared" si="111"/>
        <v>2767.5</v>
      </c>
      <c r="AA575" s="396">
        <f t="shared" si="112"/>
        <v>27</v>
      </c>
      <c r="AB575" s="407">
        <f t="shared" si="109"/>
        <v>22155</v>
      </c>
      <c r="AC575" s="400">
        <f t="shared" si="113"/>
        <v>37.5</v>
      </c>
      <c r="AD575" s="409">
        <f t="shared" si="110"/>
        <v>88.62</v>
      </c>
      <c r="AE575" s="406"/>
    </row>
    <row r="576" spans="1:31" s="63" customFormat="1" ht="63.75">
      <c r="A576" s="402"/>
      <c r="B576" s="1910"/>
      <c r="C576" s="403" t="s">
        <v>146</v>
      </c>
      <c r="D576" s="403" t="s">
        <v>65</v>
      </c>
      <c r="E576" s="403" t="s">
        <v>196</v>
      </c>
      <c r="F576" s="403" t="s">
        <v>66</v>
      </c>
      <c r="G576" s="410" t="s">
        <v>66</v>
      </c>
      <c r="H576" s="403" t="s">
        <v>167</v>
      </c>
      <c r="I576" s="1910" t="s">
        <v>158</v>
      </c>
      <c r="J576" s="1910" t="s">
        <v>450</v>
      </c>
      <c r="K576" s="406">
        <v>72</v>
      </c>
      <c r="L576" s="407">
        <v>180000</v>
      </c>
      <c r="M576" s="406">
        <v>24</v>
      </c>
      <c r="N576" s="407">
        <v>124083.652</v>
      </c>
      <c r="O576" s="406">
        <v>12</v>
      </c>
      <c r="P576" s="407">
        <v>42825</v>
      </c>
      <c r="Q576" s="406">
        <v>3</v>
      </c>
      <c r="R576" s="408">
        <v>32590</v>
      </c>
      <c r="S576" s="406"/>
      <c r="T576" s="406"/>
      <c r="U576" s="406"/>
      <c r="V576" s="406"/>
      <c r="W576" s="406"/>
      <c r="X576" s="406"/>
      <c r="Y576" s="402">
        <f t="shared" si="111"/>
        <v>3</v>
      </c>
      <c r="Z576" s="408">
        <f t="shared" si="111"/>
        <v>32590</v>
      </c>
      <c r="AA576" s="396">
        <f t="shared" si="112"/>
        <v>27</v>
      </c>
      <c r="AB576" s="407">
        <f t="shared" si="109"/>
        <v>156673.652</v>
      </c>
      <c r="AC576" s="400">
        <f t="shared" si="113"/>
        <v>37.5</v>
      </c>
      <c r="AD576" s="409">
        <f t="shared" si="110"/>
        <v>87.040917777777778</v>
      </c>
      <c r="AE576" s="406"/>
    </row>
    <row r="577" spans="1:31" s="63" customFormat="1" ht="63.75">
      <c r="A577" s="411"/>
      <c r="B577" s="412"/>
      <c r="C577" s="413" t="s">
        <v>146</v>
      </c>
      <c r="D577" s="413" t="s">
        <v>65</v>
      </c>
      <c r="E577" s="413" t="s">
        <v>196</v>
      </c>
      <c r="F577" s="413" t="s">
        <v>66</v>
      </c>
      <c r="G577" s="394" t="s">
        <v>66</v>
      </c>
      <c r="H577" s="413" t="s">
        <v>376</v>
      </c>
      <c r="I577" s="412" t="s">
        <v>159</v>
      </c>
      <c r="J577" s="412" t="s">
        <v>451</v>
      </c>
      <c r="K577" s="414">
        <v>72</v>
      </c>
      <c r="L577" s="415">
        <v>135000</v>
      </c>
      <c r="M577" s="414">
        <v>24</v>
      </c>
      <c r="N577" s="415">
        <v>75985</v>
      </c>
      <c r="O577" s="414">
        <v>12</v>
      </c>
      <c r="P577" s="415">
        <v>28075</v>
      </c>
      <c r="Q577" s="414">
        <v>3</v>
      </c>
      <c r="R577" s="416">
        <v>14670</v>
      </c>
      <c r="S577" s="414"/>
      <c r="T577" s="414"/>
      <c r="U577" s="414"/>
      <c r="V577" s="414"/>
      <c r="W577" s="414"/>
      <c r="X577" s="414"/>
      <c r="Y577" s="411">
        <f t="shared" si="111"/>
        <v>3</v>
      </c>
      <c r="Z577" s="408">
        <f t="shared" si="111"/>
        <v>14670</v>
      </c>
      <c r="AA577" s="396">
        <f t="shared" si="112"/>
        <v>27</v>
      </c>
      <c r="AB577" s="417">
        <f t="shared" si="109"/>
        <v>90655</v>
      </c>
      <c r="AC577" s="418">
        <f t="shared" si="113"/>
        <v>37.5</v>
      </c>
      <c r="AD577" s="419">
        <f t="shared" si="110"/>
        <v>67.151851851851845</v>
      </c>
      <c r="AE577" s="414"/>
    </row>
    <row r="578" spans="1:31" s="63" customFormat="1" ht="63.75">
      <c r="A578" s="1904">
        <v>2</v>
      </c>
      <c r="B578" s="420" t="s">
        <v>452</v>
      </c>
      <c r="C578" s="421" t="s">
        <v>146</v>
      </c>
      <c r="D578" s="421" t="s">
        <v>65</v>
      </c>
      <c r="E578" s="421" t="s">
        <v>196</v>
      </c>
      <c r="F578" s="421" t="s">
        <v>66</v>
      </c>
      <c r="G578" s="421" t="s">
        <v>65</v>
      </c>
      <c r="H578" s="421"/>
      <c r="I578" s="1906" t="s">
        <v>257</v>
      </c>
      <c r="J578" s="1906" t="s">
        <v>453</v>
      </c>
      <c r="K578" s="422">
        <v>100</v>
      </c>
      <c r="L578" s="386">
        <f>SUM(L579:L582)</f>
        <v>2120000</v>
      </c>
      <c r="M578" s="385">
        <v>33</v>
      </c>
      <c r="N578" s="386">
        <f>SUM(N579:N582)</f>
        <v>319770.75</v>
      </c>
      <c r="O578" s="385">
        <v>16</v>
      </c>
      <c r="P578" s="386">
        <f>SUM(P580+P581+P582+P579)</f>
        <v>159162.5</v>
      </c>
      <c r="Q578" s="386">
        <v>6</v>
      </c>
      <c r="R578" s="386">
        <f>SUM(R580+R581+R582+R579)</f>
        <v>25710.799999999999</v>
      </c>
      <c r="S578" s="385"/>
      <c r="T578" s="385"/>
      <c r="U578" s="385"/>
      <c r="V578" s="385"/>
      <c r="W578" s="385"/>
      <c r="X578" s="385"/>
      <c r="Y578" s="1904">
        <v>3</v>
      </c>
      <c r="Z578" s="387">
        <f>R578</f>
        <v>25710.799999999999</v>
      </c>
      <c r="AA578" s="385">
        <f>M578+Y578</f>
        <v>36</v>
      </c>
      <c r="AB578" s="386">
        <f>N578+Z578</f>
        <v>345481.55</v>
      </c>
      <c r="AC578" s="388">
        <f t="shared" si="113"/>
        <v>36</v>
      </c>
      <c r="AD578" s="389">
        <f t="shared" si="110"/>
        <v>16.296299528301887</v>
      </c>
      <c r="AE578" s="384" t="s">
        <v>440</v>
      </c>
    </row>
    <row r="579" spans="1:31" s="63" customFormat="1" ht="38.25">
      <c r="A579" s="391"/>
      <c r="B579" s="423"/>
      <c r="C579" s="393" t="s">
        <v>146</v>
      </c>
      <c r="D579" s="393" t="s">
        <v>65</v>
      </c>
      <c r="E579" s="393" t="s">
        <v>196</v>
      </c>
      <c r="F579" s="424" t="s">
        <v>66</v>
      </c>
      <c r="G579" s="424" t="s">
        <v>65</v>
      </c>
      <c r="H579" s="393" t="s">
        <v>201</v>
      </c>
      <c r="I579" s="392" t="s">
        <v>454</v>
      </c>
      <c r="J579" s="392" t="s">
        <v>455</v>
      </c>
      <c r="K579" s="425">
        <v>60</v>
      </c>
      <c r="L579" s="397">
        <f>300000*6</f>
        <v>1800000</v>
      </c>
      <c r="M579" s="396">
        <v>23</v>
      </c>
      <c r="N579" s="397">
        <v>136827</v>
      </c>
      <c r="O579" s="396">
        <v>2</v>
      </c>
      <c r="P579" s="397">
        <v>13000</v>
      </c>
      <c r="Q579" s="396">
        <v>0</v>
      </c>
      <c r="R579" s="398">
        <v>0</v>
      </c>
      <c r="S579" s="396"/>
      <c r="T579" s="396"/>
      <c r="U579" s="396"/>
      <c r="V579" s="396"/>
      <c r="W579" s="396"/>
      <c r="X579" s="396"/>
      <c r="Y579" s="391">
        <f t="shared" si="111"/>
        <v>0</v>
      </c>
      <c r="Z579" s="398">
        <v>0</v>
      </c>
      <c r="AA579" s="426">
        <f>M579+Y579</f>
        <v>23</v>
      </c>
      <c r="AB579" s="399">
        <f>N579+Z579</f>
        <v>136827</v>
      </c>
      <c r="AC579" s="400">
        <f t="shared" si="113"/>
        <v>38.333333333333336</v>
      </c>
      <c r="AD579" s="401">
        <f t="shared" si="110"/>
        <v>7.6014999999999997</v>
      </c>
      <c r="AE579" s="396"/>
    </row>
    <row r="580" spans="1:31" s="63" customFormat="1" ht="38.25">
      <c r="A580" s="402"/>
      <c r="B580" s="427"/>
      <c r="C580" s="403" t="s">
        <v>146</v>
      </c>
      <c r="D580" s="403" t="s">
        <v>65</v>
      </c>
      <c r="E580" s="403" t="s">
        <v>196</v>
      </c>
      <c r="F580" s="428" t="s">
        <v>66</v>
      </c>
      <c r="G580" s="428" t="s">
        <v>65</v>
      </c>
      <c r="H580" s="403" t="s">
        <v>163</v>
      </c>
      <c r="I580" s="1910" t="s">
        <v>258</v>
      </c>
      <c r="J580" s="1910" t="s">
        <v>456</v>
      </c>
      <c r="K580" s="429">
        <v>72</v>
      </c>
      <c r="L580" s="407">
        <v>150000</v>
      </c>
      <c r="M580" s="406">
        <v>24</v>
      </c>
      <c r="N580" s="407">
        <v>63955</v>
      </c>
      <c r="O580" s="406">
        <v>12</v>
      </c>
      <c r="P580" s="407">
        <v>36000</v>
      </c>
      <c r="Q580" s="406">
        <v>30</v>
      </c>
      <c r="R580" s="408">
        <v>5435</v>
      </c>
      <c r="S580" s="406"/>
      <c r="T580" s="406"/>
      <c r="U580" s="406"/>
      <c r="V580" s="406"/>
      <c r="W580" s="406"/>
      <c r="X580" s="406"/>
      <c r="Y580" s="402">
        <f t="shared" si="111"/>
        <v>30</v>
      </c>
      <c r="Z580" s="398">
        <f>R580</f>
        <v>5435</v>
      </c>
      <c r="AA580" s="406">
        <f t="shared" ref="AA580:AB582" si="114">M580+Y580</f>
        <v>54</v>
      </c>
      <c r="AB580" s="407">
        <f t="shared" si="114"/>
        <v>69390</v>
      </c>
      <c r="AC580" s="400">
        <f t="shared" si="113"/>
        <v>75</v>
      </c>
      <c r="AD580" s="409">
        <f t="shared" si="110"/>
        <v>46.26</v>
      </c>
      <c r="AE580" s="406"/>
    </row>
    <row r="581" spans="1:31" s="63" customFormat="1" ht="76.5">
      <c r="A581" s="402"/>
      <c r="B581" s="427"/>
      <c r="C581" s="403" t="s">
        <v>146</v>
      </c>
      <c r="D581" s="403" t="s">
        <v>65</v>
      </c>
      <c r="E581" s="403" t="s">
        <v>196</v>
      </c>
      <c r="F581" s="403" t="s">
        <v>66</v>
      </c>
      <c r="G581" s="403" t="s">
        <v>65</v>
      </c>
      <c r="H581" s="403" t="s">
        <v>165</v>
      </c>
      <c r="I581" s="1910" t="s">
        <v>457</v>
      </c>
      <c r="J581" s="1910" t="s">
        <v>458</v>
      </c>
      <c r="K581" s="429">
        <v>72</v>
      </c>
      <c r="L581" s="407">
        <v>150000</v>
      </c>
      <c r="M581" s="406">
        <v>24</v>
      </c>
      <c r="N581" s="407">
        <v>100788.75</v>
      </c>
      <c r="O581" s="406">
        <v>12</v>
      </c>
      <c r="P581" s="407">
        <v>99312.5</v>
      </c>
      <c r="Q581" s="406">
        <v>30</v>
      </c>
      <c r="R581" s="407">
        <v>19624.8</v>
      </c>
      <c r="S581" s="406"/>
      <c r="T581" s="406"/>
      <c r="U581" s="406"/>
      <c r="V581" s="406"/>
      <c r="W581" s="406"/>
      <c r="X581" s="406"/>
      <c r="Y581" s="402">
        <f t="shared" si="111"/>
        <v>30</v>
      </c>
      <c r="Z581" s="398">
        <f>R581</f>
        <v>19624.8</v>
      </c>
      <c r="AA581" s="406">
        <f t="shared" si="114"/>
        <v>54</v>
      </c>
      <c r="AB581" s="407">
        <f t="shared" si="114"/>
        <v>120413.55</v>
      </c>
      <c r="AC581" s="400">
        <f t="shared" si="113"/>
        <v>75</v>
      </c>
      <c r="AD581" s="409">
        <f t="shared" si="110"/>
        <v>80.275700000000001</v>
      </c>
      <c r="AE581" s="406"/>
    </row>
    <row r="582" spans="1:31" s="63" customFormat="1" ht="38.25">
      <c r="A582" s="402"/>
      <c r="B582" s="427"/>
      <c r="C582" s="403" t="s">
        <v>146</v>
      </c>
      <c r="D582" s="403" t="s">
        <v>65</v>
      </c>
      <c r="E582" s="403" t="s">
        <v>196</v>
      </c>
      <c r="F582" s="430" t="s">
        <v>66</v>
      </c>
      <c r="G582" s="430" t="s">
        <v>65</v>
      </c>
      <c r="H582" s="403" t="s">
        <v>459</v>
      </c>
      <c r="I582" s="1910" t="s">
        <v>225</v>
      </c>
      <c r="J582" s="1910" t="s">
        <v>460</v>
      </c>
      <c r="K582" s="429">
        <v>72</v>
      </c>
      <c r="L582" s="407">
        <v>20000</v>
      </c>
      <c r="M582" s="406">
        <v>24</v>
      </c>
      <c r="N582" s="407">
        <v>18200</v>
      </c>
      <c r="O582" s="406">
        <v>12</v>
      </c>
      <c r="P582" s="407">
        <v>10850</v>
      </c>
      <c r="Q582" s="406">
        <v>30</v>
      </c>
      <c r="R582" s="408">
        <v>651</v>
      </c>
      <c r="S582" s="406"/>
      <c r="T582" s="406"/>
      <c r="U582" s="406"/>
      <c r="V582" s="406"/>
      <c r="W582" s="406"/>
      <c r="X582" s="406"/>
      <c r="Y582" s="411">
        <v>3</v>
      </c>
      <c r="Z582" s="398">
        <f>R582</f>
        <v>651</v>
      </c>
      <c r="AA582" s="431">
        <f t="shared" si="114"/>
        <v>27</v>
      </c>
      <c r="AB582" s="417">
        <f t="shared" si="114"/>
        <v>18851</v>
      </c>
      <c r="AC582" s="418">
        <f t="shared" si="113"/>
        <v>37.5</v>
      </c>
      <c r="AD582" s="432">
        <f t="shared" si="110"/>
        <v>94.254999999999995</v>
      </c>
      <c r="AE582" s="406"/>
    </row>
    <row r="583" spans="1:31" s="63" customFormat="1" ht="49.5" customHeight="1">
      <c r="A583" s="4412">
        <v>2</v>
      </c>
      <c r="B583" s="4406" t="s">
        <v>461</v>
      </c>
      <c r="C583" s="1899" t="s">
        <v>146</v>
      </c>
      <c r="D583" s="1899" t="s">
        <v>65</v>
      </c>
      <c r="E583" s="1899" t="s">
        <v>196</v>
      </c>
      <c r="F583" s="1899" t="s">
        <v>66</v>
      </c>
      <c r="G583" s="1899" t="s">
        <v>166</v>
      </c>
      <c r="H583" s="1899"/>
      <c r="I583" s="4248" t="s">
        <v>462</v>
      </c>
      <c r="J583" s="433" t="s">
        <v>463</v>
      </c>
      <c r="K583" s="433">
        <v>2400</v>
      </c>
      <c r="L583" s="434">
        <f>SUM(L585:L595)</f>
        <v>301680000</v>
      </c>
      <c r="M583" s="433">
        <v>3955</v>
      </c>
      <c r="N583" s="435">
        <f>SUM(N585:N595)</f>
        <v>751712.93900000001</v>
      </c>
      <c r="O583" s="433">
        <f>K583</f>
        <v>2400</v>
      </c>
      <c r="P583" s="436">
        <f>SUM(P585:P595)</f>
        <v>501386.32400000002</v>
      </c>
      <c r="Q583" s="437">
        <v>0</v>
      </c>
      <c r="R583" s="438">
        <f>R585+R586+R587+R588+R589+R590+R591+R593+R592+R594+R595</f>
        <v>58273</v>
      </c>
      <c r="S583" s="439"/>
      <c r="T583" s="439"/>
      <c r="U583" s="439"/>
      <c r="V583" s="439"/>
      <c r="W583" s="439"/>
      <c r="X583" s="439"/>
      <c r="Y583" s="1897">
        <v>0</v>
      </c>
      <c r="Z583" s="434">
        <f>R583+T583+V583+X583</f>
        <v>58273</v>
      </c>
      <c r="AA583" s="439">
        <v>2400</v>
      </c>
      <c r="AB583" s="434">
        <f>N583+Z583</f>
        <v>809985.93900000001</v>
      </c>
      <c r="AC583" s="440">
        <f>AA583/K583*100</f>
        <v>100</v>
      </c>
      <c r="AD583" s="441">
        <f>AB583/L583*100</f>
        <v>0.26849175914876688</v>
      </c>
      <c r="AE583" s="4238" t="s">
        <v>440</v>
      </c>
    </row>
    <row r="584" spans="1:31" s="63" customFormat="1" ht="65.25" customHeight="1">
      <c r="A584" s="4413"/>
      <c r="B584" s="4414"/>
      <c r="C584" s="1900"/>
      <c r="D584" s="1900"/>
      <c r="E584" s="1900"/>
      <c r="F584" s="1900"/>
      <c r="G584" s="1900"/>
      <c r="H584" s="1900"/>
      <c r="I584" s="4249"/>
      <c r="J584" s="58" t="s">
        <v>464</v>
      </c>
      <c r="K584" s="58">
        <v>63</v>
      </c>
      <c r="L584" s="60"/>
      <c r="M584" s="58">
        <v>77</v>
      </c>
      <c r="N584" s="442"/>
      <c r="O584" s="58">
        <v>63</v>
      </c>
      <c r="P584" s="61"/>
      <c r="Q584" s="443"/>
      <c r="R584" s="444"/>
      <c r="S584" s="59"/>
      <c r="T584" s="59"/>
      <c r="U584" s="59"/>
      <c r="V584" s="59"/>
      <c r="W584" s="59"/>
      <c r="X584" s="59"/>
      <c r="Y584" s="1898">
        <v>0</v>
      </c>
      <c r="Z584" s="60">
        <f>R584+T584+V584+X584</f>
        <v>0</v>
      </c>
      <c r="AA584" s="59">
        <v>63</v>
      </c>
      <c r="AB584" s="60">
        <f t="shared" ref="AB584:AB608" si="115">N584+Z584</f>
        <v>0</v>
      </c>
      <c r="AC584" s="445">
        <f>AA584/K584*100</f>
        <v>100</v>
      </c>
      <c r="AD584" s="62"/>
      <c r="AE584" s="4239"/>
    </row>
    <row r="585" spans="1:31" s="63" customFormat="1" ht="51">
      <c r="A585" s="391"/>
      <c r="B585" s="446"/>
      <c r="C585" s="394" t="s">
        <v>146</v>
      </c>
      <c r="D585" s="394" t="s">
        <v>65</v>
      </c>
      <c r="E585" s="394" t="s">
        <v>196</v>
      </c>
      <c r="F585" s="394" t="s">
        <v>66</v>
      </c>
      <c r="G585" s="447" t="s">
        <v>166</v>
      </c>
      <c r="H585" s="448" t="s">
        <v>66</v>
      </c>
      <c r="I585" s="449" t="s">
        <v>465</v>
      </c>
      <c r="J585" s="392" t="s">
        <v>466</v>
      </c>
      <c r="K585" s="395">
        <v>60</v>
      </c>
      <c r="L585" s="397">
        <f>50000000*6</f>
        <v>300000000</v>
      </c>
      <c r="M585" s="395">
        <v>11</v>
      </c>
      <c r="N585" s="450">
        <v>56158.92</v>
      </c>
      <c r="O585" s="395">
        <v>10</v>
      </c>
      <c r="P585" s="398">
        <v>42240.12</v>
      </c>
      <c r="Q585" s="451">
        <v>0</v>
      </c>
      <c r="R585" s="452">
        <v>1525</v>
      </c>
      <c r="S585" s="396"/>
      <c r="T585" s="396"/>
      <c r="U585" s="396"/>
      <c r="V585" s="396"/>
      <c r="W585" s="396"/>
      <c r="X585" s="396"/>
      <c r="Y585" s="391">
        <f t="shared" si="111"/>
        <v>0</v>
      </c>
      <c r="Z585" s="397">
        <f>R585</f>
        <v>1525</v>
      </c>
      <c r="AA585" s="426">
        <f>M585+Y585</f>
        <v>11</v>
      </c>
      <c r="AB585" s="399">
        <f t="shared" si="115"/>
        <v>57683.92</v>
      </c>
      <c r="AC585" s="400">
        <f t="shared" si="113"/>
        <v>18.333333333333332</v>
      </c>
      <c r="AD585" s="453">
        <f>AB585/L585*100</f>
        <v>1.9227973333333332E-2</v>
      </c>
      <c r="AE585" s="396"/>
    </row>
    <row r="586" spans="1:31" s="63" customFormat="1" ht="38.25">
      <c r="A586" s="402"/>
      <c r="B586" s="454"/>
      <c r="C586" s="410" t="s">
        <v>146</v>
      </c>
      <c r="D586" s="410" t="s">
        <v>65</v>
      </c>
      <c r="E586" s="410" t="s">
        <v>196</v>
      </c>
      <c r="F586" s="410" t="s">
        <v>66</v>
      </c>
      <c r="G586" s="455" t="s">
        <v>166</v>
      </c>
      <c r="H586" s="456" t="s">
        <v>396</v>
      </c>
      <c r="I586" s="457" t="s">
        <v>467</v>
      </c>
      <c r="J586" s="1910" t="s">
        <v>468</v>
      </c>
      <c r="K586" s="405">
        <v>14</v>
      </c>
      <c r="L586" s="407">
        <v>160000</v>
      </c>
      <c r="M586" s="405">
        <v>14</v>
      </c>
      <c r="N586" s="458">
        <v>80271.360000000001</v>
      </c>
      <c r="O586" s="405">
        <v>14</v>
      </c>
      <c r="P586" s="408">
        <v>29949.69</v>
      </c>
      <c r="Q586" s="459">
        <v>0</v>
      </c>
      <c r="R586" s="460">
        <v>5293</v>
      </c>
      <c r="S586" s="406"/>
      <c r="T586" s="406"/>
      <c r="U586" s="406"/>
      <c r="V586" s="406"/>
      <c r="W586" s="406"/>
      <c r="X586" s="406"/>
      <c r="Y586" s="402">
        <f t="shared" si="111"/>
        <v>0</v>
      </c>
      <c r="Z586" s="397">
        <f t="shared" ref="Z586:Z595" si="116">R586</f>
        <v>5293</v>
      </c>
      <c r="AA586" s="406">
        <f t="shared" ref="AA586:AA595" si="117">M586+Y586</f>
        <v>14</v>
      </c>
      <c r="AB586" s="407">
        <f t="shared" si="115"/>
        <v>85564.36</v>
      </c>
      <c r="AC586" s="400">
        <f t="shared" si="113"/>
        <v>100</v>
      </c>
      <c r="AD586" s="409">
        <f t="shared" si="110"/>
        <v>53.477725</v>
      </c>
      <c r="AE586" s="406"/>
    </row>
    <row r="587" spans="1:31" s="63" customFormat="1" ht="51">
      <c r="A587" s="402"/>
      <c r="B587" s="454"/>
      <c r="C587" s="410" t="s">
        <v>146</v>
      </c>
      <c r="D587" s="410" t="s">
        <v>65</v>
      </c>
      <c r="E587" s="410" t="s">
        <v>196</v>
      </c>
      <c r="F587" s="410" t="s">
        <v>66</v>
      </c>
      <c r="G587" s="455" t="s">
        <v>166</v>
      </c>
      <c r="H587" s="456" t="s">
        <v>469</v>
      </c>
      <c r="I587" s="457" t="s">
        <v>470</v>
      </c>
      <c r="J587" s="1910" t="s">
        <v>471</v>
      </c>
      <c r="K587" s="405">
        <v>23</v>
      </c>
      <c r="L587" s="407">
        <v>130000</v>
      </c>
      <c r="M587" s="405">
        <v>23</v>
      </c>
      <c r="N587" s="458">
        <v>54679.85</v>
      </c>
      <c r="O587" s="405">
        <v>23</v>
      </c>
      <c r="P587" s="408">
        <v>71889.895000000004</v>
      </c>
      <c r="Q587" s="459">
        <v>0</v>
      </c>
      <c r="R587" s="460">
        <v>6767.3</v>
      </c>
      <c r="S587" s="406"/>
      <c r="T587" s="406"/>
      <c r="U587" s="406"/>
      <c r="V587" s="406"/>
      <c r="W587" s="406"/>
      <c r="X587" s="406"/>
      <c r="Y587" s="402">
        <f t="shared" si="111"/>
        <v>0</v>
      </c>
      <c r="Z587" s="397">
        <f t="shared" si="116"/>
        <v>6767.3</v>
      </c>
      <c r="AA587" s="406">
        <f t="shared" si="117"/>
        <v>23</v>
      </c>
      <c r="AB587" s="407">
        <f t="shared" si="115"/>
        <v>61447.15</v>
      </c>
      <c r="AC587" s="400">
        <f t="shared" si="113"/>
        <v>100</v>
      </c>
      <c r="AD587" s="409">
        <f t="shared" si="110"/>
        <v>47.267038461538462</v>
      </c>
      <c r="AE587" s="406"/>
    </row>
    <row r="588" spans="1:31" s="63" customFormat="1" ht="89.25">
      <c r="A588" s="402"/>
      <c r="B588" s="454"/>
      <c r="C588" s="410" t="s">
        <v>146</v>
      </c>
      <c r="D588" s="410" t="s">
        <v>65</v>
      </c>
      <c r="E588" s="410" t="s">
        <v>196</v>
      </c>
      <c r="F588" s="410" t="s">
        <v>66</v>
      </c>
      <c r="G588" s="455" t="s">
        <v>166</v>
      </c>
      <c r="H588" s="456" t="s">
        <v>345</v>
      </c>
      <c r="I588" s="461" t="s">
        <v>472</v>
      </c>
      <c r="J588" s="457" t="s">
        <v>473</v>
      </c>
      <c r="K588" s="405">
        <v>15</v>
      </c>
      <c r="L588" s="407">
        <v>80000</v>
      </c>
      <c r="M588" s="405">
        <v>15</v>
      </c>
      <c r="N588" s="458">
        <v>45334.79</v>
      </c>
      <c r="O588" s="405">
        <v>15</v>
      </c>
      <c r="P588" s="408">
        <v>59586.760999999999</v>
      </c>
      <c r="Q588" s="459">
        <v>0</v>
      </c>
      <c r="R588" s="460">
        <v>4217</v>
      </c>
      <c r="S588" s="406"/>
      <c r="T588" s="406"/>
      <c r="U588" s="406"/>
      <c r="V588" s="406"/>
      <c r="W588" s="406"/>
      <c r="X588" s="406"/>
      <c r="Y588" s="402">
        <f t="shared" si="111"/>
        <v>0</v>
      </c>
      <c r="Z588" s="397">
        <f t="shared" si="116"/>
        <v>4217</v>
      </c>
      <c r="AA588" s="406">
        <f t="shared" si="117"/>
        <v>15</v>
      </c>
      <c r="AB588" s="407">
        <f t="shared" si="115"/>
        <v>49551.79</v>
      </c>
      <c r="AC588" s="400">
        <f t="shared" si="113"/>
        <v>100</v>
      </c>
      <c r="AD588" s="409">
        <f t="shared" si="110"/>
        <v>61.9397375</v>
      </c>
      <c r="AE588" s="406"/>
    </row>
    <row r="589" spans="1:31" s="63" customFormat="1" ht="63.75">
      <c r="A589" s="402"/>
      <c r="B589" s="454"/>
      <c r="C589" s="410" t="s">
        <v>146</v>
      </c>
      <c r="D589" s="410" t="s">
        <v>65</v>
      </c>
      <c r="E589" s="410" t="s">
        <v>196</v>
      </c>
      <c r="F589" s="410" t="s">
        <v>66</v>
      </c>
      <c r="G589" s="455" t="s">
        <v>166</v>
      </c>
      <c r="H589" s="456" t="s">
        <v>183</v>
      </c>
      <c r="I589" s="461" t="s">
        <v>474</v>
      </c>
      <c r="J589" s="457" t="s">
        <v>475</v>
      </c>
      <c r="K589" s="405">
        <v>100</v>
      </c>
      <c r="L589" s="407">
        <v>250000</v>
      </c>
      <c r="M589" s="405">
        <v>46.5</v>
      </c>
      <c r="N589" s="458">
        <v>84791.48</v>
      </c>
      <c r="O589" s="405">
        <v>6</v>
      </c>
      <c r="P589" s="408">
        <v>98189.418999999994</v>
      </c>
      <c r="Q589" s="459">
        <v>0</v>
      </c>
      <c r="R589" s="460">
        <v>7670.1</v>
      </c>
      <c r="S589" s="406"/>
      <c r="T589" s="406"/>
      <c r="U589" s="406"/>
      <c r="V589" s="406"/>
      <c r="W589" s="406"/>
      <c r="X589" s="406"/>
      <c r="Y589" s="402">
        <f t="shared" si="111"/>
        <v>0</v>
      </c>
      <c r="Z589" s="397">
        <f t="shared" si="116"/>
        <v>7670.1</v>
      </c>
      <c r="AA589" s="406">
        <f t="shared" si="117"/>
        <v>46.5</v>
      </c>
      <c r="AB589" s="407">
        <f t="shared" si="115"/>
        <v>92461.58</v>
      </c>
      <c r="AC589" s="400">
        <f t="shared" si="113"/>
        <v>46.5</v>
      </c>
      <c r="AD589" s="409">
        <f t="shared" si="110"/>
        <v>36.984631999999998</v>
      </c>
      <c r="AE589" s="406"/>
    </row>
    <row r="590" spans="1:31" s="63" customFormat="1" ht="38.25">
      <c r="A590" s="402"/>
      <c r="B590" s="454"/>
      <c r="C590" s="410" t="s">
        <v>146</v>
      </c>
      <c r="D590" s="410" t="s">
        <v>65</v>
      </c>
      <c r="E590" s="410" t="s">
        <v>196</v>
      </c>
      <c r="F590" s="410" t="s">
        <v>66</v>
      </c>
      <c r="G590" s="455" t="s">
        <v>166</v>
      </c>
      <c r="H590" s="456" t="s">
        <v>476</v>
      </c>
      <c r="I590" s="461" t="s">
        <v>477</v>
      </c>
      <c r="J590" s="457" t="s">
        <v>478</v>
      </c>
      <c r="K590" s="405">
        <v>6</v>
      </c>
      <c r="L590" s="407">
        <v>75000</v>
      </c>
      <c r="M590" s="405">
        <v>6</v>
      </c>
      <c r="N590" s="458">
        <v>36549.199999999997</v>
      </c>
      <c r="O590" s="405">
        <v>6</v>
      </c>
      <c r="P590" s="408">
        <v>32450.29</v>
      </c>
      <c r="Q590" s="459">
        <v>0</v>
      </c>
      <c r="R590" s="460">
        <v>6831.5</v>
      </c>
      <c r="S590" s="406"/>
      <c r="T590" s="406"/>
      <c r="U590" s="406"/>
      <c r="V590" s="406"/>
      <c r="W590" s="406"/>
      <c r="X590" s="406"/>
      <c r="Y590" s="402">
        <f t="shared" si="111"/>
        <v>0</v>
      </c>
      <c r="Z590" s="397">
        <f t="shared" si="116"/>
        <v>6831.5</v>
      </c>
      <c r="AA590" s="406">
        <f t="shared" si="117"/>
        <v>6</v>
      </c>
      <c r="AB590" s="407">
        <f t="shared" si="115"/>
        <v>43380.7</v>
      </c>
      <c r="AC590" s="400">
        <f t="shared" si="113"/>
        <v>100</v>
      </c>
      <c r="AD590" s="409">
        <f t="shared" si="110"/>
        <v>57.840933333333332</v>
      </c>
      <c r="AE590" s="406"/>
    </row>
    <row r="591" spans="1:31" s="63" customFormat="1" ht="51" customHeight="1">
      <c r="A591" s="402"/>
      <c r="B591" s="454"/>
      <c r="C591" s="410" t="s">
        <v>146</v>
      </c>
      <c r="D591" s="410" t="s">
        <v>65</v>
      </c>
      <c r="E591" s="410" t="s">
        <v>196</v>
      </c>
      <c r="F591" s="410" t="s">
        <v>66</v>
      </c>
      <c r="G591" s="455" t="s">
        <v>166</v>
      </c>
      <c r="H591" s="456" t="s">
        <v>479</v>
      </c>
      <c r="I591" s="461" t="s">
        <v>480</v>
      </c>
      <c r="J591" s="457" t="s">
        <v>481</v>
      </c>
      <c r="K591" s="405">
        <v>12</v>
      </c>
      <c r="L591" s="407">
        <v>300000</v>
      </c>
      <c r="M591" s="405">
        <v>2</v>
      </c>
      <c r="N591" s="458">
        <v>36549.199999999997</v>
      </c>
      <c r="O591" s="405">
        <v>2</v>
      </c>
      <c r="P591" s="408">
        <v>49163.281999999999</v>
      </c>
      <c r="Q591" s="459">
        <v>0</v>
      </c>
      <c r="R591" s="460">
        <v>4985.8</v>
      </c>
      <c r="S591" s="406"/>
      <c r="T591" s="406"/>
      <c r="U591" s="406"/>
      <c r="V591" s="406"/>
      <c r="W591" s="406"/>
      <c r="X591" s="406"/>
      <c r="Y591" s="402">
        <f t="shared" si="111"/>
        <v>0</v>
      </c>
      <c r="Z591" s="397">
        <f t="shared" si="116"/>
        <v>4985.8</v>
      </c>
      <c r="AA591" s="406">
        <f t="shared" si="117"/>
        <v>2</v>
      </c>
      <c r="AB591" s="407">
        <f t="shared" si="115"/>
        <v>41535</v>
      </c>
      <c r="AC591" s="400">
        <f t="shared" si="113"/>
        <v>16.666666666666664</v>
      </c>
      <c r="AD591" s="409">
        <f t="shared" si="110"/>
        <v>13.844999999999999</v>
      </c>
      <c r="AE591" s="406"/>
    </row>
    <row r="592" spans="1:31" s="63" customFormat="1" ht="48.75" customHeight="1">
      <c r="A592" s="411"/>
      <c r="B592" s="462"/>
      <c r="C592" s="410" t="s">
        <v>146</v>
      </c>
      <c r="D592" s="410" t="s">
        <v>65</v>
      </c>
      <c r="E592" s="410" t="s">
        <v>196</v>
      </c>
      <c r="F592" s="410" t="s">
        <v>66</v>
      </c>
      <c r="G592" s="455" t="s">
        <v>166</v>
      </c>
      <c r="H592" s="456" t="s">
        <v>482</v>
      </c>
      <c r="I592" s="463" t="s">
        <v>483</v>
      </c>
      <c r="J592" s="464" t="s">
        <v>484</v>
      </c>
      <c r="K592" s="465">
        <v>5</v>
      </c>
      <c r="L592" s="415">
        <v>50000</v>
      </c>
      <c r="M592" s="465">
        <v>0</v>
      </c>
      <c r="N592" s="466">
        <v>0</v>
      </c>
      <c r="O592" s="465">
        <v>1</v>
      </c>
      <c r="P592" s="416">
        <v>24175.5</v>
      </c>
      <c r="Q592" s="467">
        <v>0</v>
      </c>
      <c r="R592" s="468">
        <v>0</v>
      </c>
      <c r="S592" s="414"/>
      <c r="T592" s="414"/>
      <c r="U592" s="414"/>
      <c r="V592" s="414"/>
      <c r="W592" s="414"/>
      <c r="X592" s="414"/>
      <c r="Y592" s="402">
        <f t="shared" si="111"/>
        <v>0</v>
      </c>
      <c r="Z592" s="397">
        <f t="shared" si="116"/>
        <v>0</v>
      </c>
      <c r="AA592" s="406">
        <f t="shared" si="117"/>
        <v>0</v>
      </c>
      <c r="AB592" s="407">
        <f t="shared" si="115"/>
        <v>0</v>
      </c>
      <c r="AC592" s="400">
        <f t="shared" si="113"/>
        <v>0</v>
      </c>
      <c r="AD592" s="409">
        <f t="shared" si="110"/>
        <v>0</v>
      </c>
      <c r="AE592" s="414"/>
    </row>
    <row r="593" spans="1:31" s="63" customFormat="1" ht="68.25" customHeight="1">
      <c r="A593" s="411"/>
      <c r="B593" s="462"/>
      <c r="C593" s="469" t="s">
        <v>146</v>
      </c>
      <c r="D593" s="469" t="s">
        <v>65</v>
      </c>
      <c r="E593" s="469" t="s">
        <v>196</v>
      </c>
      <c r="F593" s="469" t="s">
        <v>66</v>
      </c>
      <c r="G593" s="470" t="s">
        <v>166</v>
      </c>
      <c r="H593" s="471" t="s">
        <v>485</v>
      </c>
      <c r="I593" s="463" t="s">
        <v>486</v>
      </c>
      <c r="J593" s="464" t="s">
        <v>487</v>
      </c>
      <c r="K593" s="465">
        <v>5</v>
      </c>
      <c r="L593" s="415">
        <v>200000</v>
      </c>
      <c r="M593" s="465">
        <v>5</v>
      </c>
      <c r="N593" s="466">
        <v>29568.138999999999</v>
      </c>
      <c r="O593" s="465">
        <v>5</v>
      </c>
      <c r="P593" s="416">
        <v>26277.699000000001</v>
      </c>
      <c r="Q593" s="467">
        <v>1</v>
      </c>
      <c r="R593" s="472">
        <v>10121.1</v>
      </c>
      <c r="S593" s="414"/>
      <c r="T593" s="414"/>
      <c r="U593" s="414"/>
      <c r="V593" s="414"/>
      <c r="W593" s="414"/>
      <c r="X593" s="414"/>
      <c r="Y593" s="402">
        <f t="shared" si="111"/>
        <v>1</v>
      </c>
      <c r="Z593" s="397">
        <f t="shared" si="116"/>
        <v>10121.1</v>
      </c>
      <c r="AA593" s="406">
        <f t="shared" si="117"/>
        <v>6</v>
      </c>
      <c r="AB593" s="407">
        <f t="shared" si="115"/>
        <v>39689.239000000001</v>
      </c>
      <c r="AC593" s="400">
        <f t="shared" si="113"/>
        <v>120</v>
      </c>
      <c r="AD593" s="409">
        <f t="shared" si="110"/>
        <v>19.8446195</v>
      </c>
      <c r="AE593" s="414"/>
    </row>
    <row r="594" spans="1:31" s="475" customFormat="1" ht="38.25">
      <c r="A594" s="405"/>
      <c r="B594" s="473"/>
      <c r="C594" s="410">
        <v>1</v>
      </c>
      <c r="D594" s="410" t="s">
        <v>65</v>
      </c>
      <c r="E594" s="410" t="s">
        <v>196</v>
      </c>
      <c r="F594" s="410" t="s">
        <v>66</v>
      </c>
      <c r="G594" s="455" t="s">
        <v>166</v>
      </c>
      <c r="H594" s="456" t="s">
        <v>488</v>
      </c>
      <c r="I594" s="461" t="s">
        <v>489</v>
      </c>
      <c r="J594" s="457" t="s">
        <v>490</v>
      </c>
      <c r="K594" s="405">
        <v>6</v>
      </c>
      <c r="L594" s="474">
        <v>250000</v>
      </c>
      <c r="M594" s="405">
        <v>1</v>
      </c>
      <c r="N594" s="474">
        <f>64810+98000</f>
        <v>162810</v>
      </c>
      <c r="O594" s="405">
        <v>4</v>
      </c>
      <c r="P594" s="474">
        <v>36680.584999999999</v>
      </c>
      <c r="Q594" s="405">
        <v>0</v>
      </c>
      <c r="R594" s="474">
        <v>9351.7000000000007</v>
      </c>
      <c r="S594" s="405"/>
      <c r="T594" s="405"/>
      <c r="U594" s="405"/>
      <c r="V594" s="405"/>
      <c r="W594" s="405"/>
      <c r="X594" s="405"/>
      <c r="Y594" s="402">
        <f t="shared" si="111"/>
        <v>0</v>
      </c>
      <c r="Z594" s="397">
        <f t="shared" si="116"/>
        <v>9351.7000000000007</v>
      </c>
      <c r="AA594" s="406">
        <f t="shared" si="117"/>
        <v>1</v>
      </c>
      <c r="AB594" s="407">
        <f t="shared" si="115"/>
        <v>172161.7</v>
      </c>
      <c r="AC594" s="400">
        <f t="shared" si="113"/>
        <v>16.666666666666664</v>
      </c>
      <c r="AD594" s="409">
        <f t="shared" si="110"/>
        <v>68.864680000000007</v>
      </c>
      <c r="AE594" s="406"/>
    </row>
    <row r="595" spans="1:31" s="63" customFormat="1" ht="38.25">
      <c r="A595" s="431"/>
      <c r="B595" s="476"/>
      <c r="C595" s="477" t="s">
        <v>146</v>
      </c>
      <c r="D595" s="477" t="s">
        <v>65</v>
      </c>
      <c r="E595" s="477" t="s">
        <v>196</v>
      </c>
      <c r="F595" s="477" t="s">
        <v>66</v>
      </c>
      <c r="G595" s="478" t="s">
        <v>166</v>
      </c>
      <c r="H595" s="479" t="s">
        <v>491</v>
      </c>
      <c r="I595" s="480" t="s">
        <v>492</v>
      </c>
      <c r="J595" s="481" t="s">
        <v>493</v>
      </c>
      <c r="K595" s="476">
        <v>72</v>
      </c>
      <c r="L595" s="482">
        <v>185000</v>
      </c>
      <c r="M595" s="476">
        <v>24</v>
      </c>
      <c r="N595" s="482">
        <f>165000</f>
        <v>165000</v>
      </c>
      <c r="O595" s="476">
        <v>27</v>
      </c>
      <c r="P595" s="482">
        <v>30783.082999999999</v>
      </c>
      <c r="Q595" s="476">
        <v>3</v>
      </c>
      <c r="R595" s="482">
        <v>1510.5</v>
      </c>
      <c r="S595" s="476"/>
      <c r="T595" s="476"/>
      <c r="U595" s="476"/>
      <c r="V595" s="476"/>
      <c r="W595" s="476"/>
      <c r="X595" s="476"/>
      <c r="Y595" s="402">
        <f t="shared" si="111"/>
        <v>3</v>
      </c>
      <c r="Z595" s="397">
        <f t="shared" si="116"/>
        <v>1510.5</v>
      </c>
      <c r="AA595" s="431">
        <f t="shared" si="117"/>
        <v>27</v>
      </c>
      <c r="AB595" s="417">
        <f t="shared" si="115"/>
        <v>166510.5</v>
      </c>
      <c r="AC595" s="418">
        <f t="shared" si="113"/>
        <v>37.5</v>
      </c>
      <c r="AD595" s="432">
        <f>AB595/L595*100</f>
        <v>90.005675675675676</v>
      </c>
      <c r="AE595" s="431"/>
    </row>
    <row r="596" spans="1:31" s="63" customFormat="1" ht="24" customHeight="1">
      <c r="A596" s="426" t="s">
        <v>494</v>
      </c>
      <c r="B596" s="4248" t="s">
        <v>495</v>
      </c>
      <c r="C596" s="404" t="s">
        <v>146</v>
      </c>
      <c r="D596" s="404" t="s">
        <v>65</v>
      </c>
      <c r="E596" s="404" t="s">
        <v>196</v>
      </c>
      <c r="F596" s="404" t="s">
        <v>66</v>
      </c>
      <c r="G596" s="404" t="s">
        <v>448</v>
      </c>
      <c r="H596" s="483"/>
      <c r="I596" s="4248" t="s">
        <v>496</v>
      </c>
      <c r="J596" s="4406" t="s">
        <v>497</v>
      </c>
      <c r="K596" s="484">
        <v>2150</v>
      </c>
      <c r="L596" s="485">
        <f>SUM(L597:L608)</f>
        <v>2900000</v>
      </c>
      <c r="M596" s="484">
        <v>2377</v>
      </c>
      <c r="N596" s="485">
        <f>SUM(N599:N608)</f>
        <v>1014662.9930000001</v>
      </c>
      <c r="O596" s="484"/>
      <c r="P596" s="485">
        <f>SUM(P599:P608)</f>
        <v>1248134.3929999999</v>
      </c>
      <c r="Q596" s="485">
        <v>0</v>
      </c>
      <c r="R596" s="485">
        <f>SUM(R599:R608)</f>
        <v>69499.5</v>
      </c>
      <c r="S596" s="484"/>
      <c r="T596" s="484"/>
      <c r="U596" s="484"/>
      <c r="V596" s="484"/>
      <c r="W596" s="484"/>
      <c r="X596" s="484"/>
      <c r="Y596" s="1911">
        <f>Q596+S596+U596+W596</f>
        <v>0</v>
      </c>
      <c r="Z596" s="485">
        <f>R596</f>
        <v>69499.5</v>
      </c>
      <c r="AA596" s="426">
        <f>M596</f>
        <v>2377</v>
      </c>
      <c r="AB596" s="399">
        <f>N596+Z596</f>
        <v>1084162.4930000002</v>
      </c>
      <c r="AC596" s="486">
        <f t="shared" si="113"/>
        <v>110.55813953488371</v>
      </c>
      <c r="AD596" s="401">
        <f>AB596/L596*100</f>
        <v>37.384913551724146</v>
      </c>
      <c r="AE596" s="4408" t="s">
        <v>440</v>
      </c>
    </row>
    <row r="597" spans="1:31" s="63" customFormat="1" ht="27.75" customHeight="1">
      <c r="A597" s="406"/>
      <c r="B597" s="4405"/>
      <c r="C597" s="410"/>
      <c r="D597" s="410"/>
      <c r="E597" s="410"/>
      <c r="F597" s="410"/>
      <c r="G597" s="410"/>
      <c r="H597" s="403"/>
      <c r="I597" s="4405"/>
      <c r="J597" s="4407"/>
      <c r="K597" s="405"/>
      <c r="L597" s="474"/>
      <c r="M597" s="405"/>
      <c r="N597" s="474"/>
      <c r="O597" s="405"/>
      <c r="P597" s="474"/>
      <c r="Q597" s="405"/>
      <c r="R597" s="474"/>
      <c r="S597" s="405"/>
      <c r="T597" s="405"/>
      <c r="U597" s="405"/>
      <c r="V597" s="405"/>
      <c r="W597" s="405"/>
      <c r="X597" s="405"/>
      <c r="Y597" s="1912"/>
      <c r="Z597" s="474"/>
      <c r="AA597" s="406"/>
      <c r="AB597" s="407"/>
      <c r="AC597" s="487"/>
      <c r="AD597" s="409"/>
      <c r="AE597" s="4409"/>
    </row>
    <row r="598" spans="1:31" s="63" customFormat="1" ht="25.5">
      <c r="A598" s="431"/>
      <c r="B598" s="4249"/>
      <c r="C598" s="477"/>
      <c r="D598" s="477"/>
      <c r="E598" s="477"/>
      <c r="F598" s="477"/>
      <c r="G598" s="477"/>
      <c r="H598" s="488"/>
      <c r="I598" s="4249"/>
      <c r="J598" s="1913" t="s">
        <v>498</v>
      </c>
      <c r="K598" s="476">
        <v>57</v>
      </c>
      <c r="L598" s="482"/>
      <c r="M598" s="476">
        <v>63</v>
      </c>
      <c r="N598" s="482"/>
      <c r="O598" s="476"/>
      <c r="P598" s="482"/>
      <c r="Q598" s="476"/>
      <c r="R598" s="482"/>
      <c r="S598" s="476"/>
      <c r="T598" s="476"/>
      <c r="U598" s="476"/>
      <c r="V598" s="476"/>
      <c r="W598" s="476"/>
      <c r="X598" s="476"/>
      <c r="Y598" s="490"/>
      <c r="Z598" s="482"/>
      <c r="AA598" s="431">
        <f>M598</f>
        <v>63</v>
      </c>
      <c r="AB598" s="417">
        <f>N598+Z598</f>
        <v>0</v>
      </c>
      <c r="AC598" s="489">
        <f>AA598/K598*100</f>
        <v>110.5263157894737</v>
      </c>
      <c r="AD598" s="432"/>
      <c r="AE598" s="490"/>
    </row>
    <row r="599" spans="1:31" s="63" customFormat="1" ht="51">
      <c r="A599" s="396"/>
      <c r="B599" s="395"/>
      <c r="C599" s="394" t="s">
        <v>146</v>
      </c>
      <c r="D599" s="394" t="s">
        <v>65</v>
      </c>
      <c r="E599" s="394" t="s">
        <v>196</v>
      </c>
      <c r="F599" s="394" t="s">
        <v>66</v>
      </c>
      <c r="G599" s="394" t="s">
        <v>448</v>
      </c>
      <c r="H599" s="393" t="s">
        <v>161</v>
      </c>
      <c r="I599" s="392" t="s">
        <v>499</v>
      </c>
      <c r="J599" s="392" t="s">
        <v>500</v>
      </c>
      <c r="K599" s="395">
        <v>18</v>
      </c>
      <c r="L599" s="491">
        <v>500000</v>
      </c>
      <c r="M599" s="395">
        <v>3</v>
      </c>
      <c r="N599" s="491">
        <v>234638.62700000001</v>
      </c>
      <c r="O599" s="395">
        <v>3</v>
      </c>
      <c r="P599" s="491">
        <v>397945.38400000002</v>
      </c>
      <c r="Q599" s="395">
        <v>0</v>
      </c>
      <c r="R599" s="491">
        <v>7158.7</v>
      </c>
      <c r="S599" s="395"/>
      <c r="T599" s="395"/>
      <c r="U599" s="395"/>
      <c r="V599" s="395"/>
      <c r="W599" s="395"/>
      <c r="X599" s="395"/>
      <c r="Y599" s="563">
        <f>Q599+S599+U599+W599</f>
        <v>0</v>
      </c>
      <c r="Z599" s="491">
        <f>R599</f>
        <v>7158.7</v>
      </c>
      <c r="AA599" s="396">
        <f>M599+Y599</f>
        <v>3</v>
      </c>
      <c r="AB599" s="397">
        <f>N599+Z599</f>
        <v>241797.32700000002</v>
      </c>
      <c r="AC599" s="400">
        <f>AA599/K599*100</f>
        <v>16.666666666666664</v>
      </c>
      <c r="AD599" s="453">
        <f t="shared" si="110"/>
        <v>48.359465400000005</v>
      </c>
      <c r="AE599" s="396"/>
    </row>
    <row r="600" spans="1:31" s="63" customFormat="1" ht="51">
      <c r="A600" s="406"/>
      <c r="B600" s="405"/>
      <c r="C600" s="410" t="s">
        <v>146</v>
      </c>
      <c r="D600" s="410" t="s">
        <v>65</v>
      </c>
      <c r="E600" s="410" t="s">
        <v>196</v>
      </c>
      <c r="F600" s="410" t="s">
        <v>66</v>
      </c>
      <c r="G600" s="410" t="s">
        <v>448</v>
      </c>
      <c r="H600" s="403" t="s">
        <v>197</v>
      </c>
      <c r="I600" s="1910" t="s">
        <v>501</v>
      </c>
      <c r="J600" s="1910" t="s">
        <v>502</v>
      </c>
      <c r="K600" s="492">
        <v>60</v>
      </c>
      <c r="L600" s="474">
        <v>250000</v>
      </c>
      <c r="M600" s="405">
        <v>20</v>
      </c>
      <c r="N600" s="474">
        <v>50226.8</v>
      </c>
      <c r="O600" s="405">
        <v>10</v>
      </c>
      <c r="P600" s="474">
        <v>134718.359</v>
      </c>
      <c r="Q600" s="405">
        <v>0</v>
      </c>
      <c r="R600" s="474">
        <v>11554.8</v>
      </c>
      <c r="S600" s="405"/>
      <c r="T600" s="405"/>
      <c r="U600" s="405"/>
      <c r="V600" s="405"/>
      <c r="W600" s="405"/>
      <c r="X600" s="405"/>
      <c r="Y600" s="563">
        <f t="shared" ref="Y600:Y608" si="118">Q600+S600+U600+W600</f>
        <v>0</v>
      </c>
      <c r="Z600" s="491">
        <f t="shared" ref="Z600:Z608" si="119">R600</f>
        <v>11554.8</v>
      </c>
      <c r="AA600" s="396">
        <f t="shared" ref="AA600:AA608" si="120">M600+Y600</f>
        <v>20</v>
      </c>
      <c r="AB600" s="407">
        <f t="shared" si="115"/>
        <v>61781.600000000006</v>
      </c>
      <c r="AC600" s="400">
        <f t="shared" si="113"/>
        <v>33.333333333333329</v>
      </c>
      <c r="AD600" s="409">
        <f t="shared" si="110"/>
        <v>24.712640000000004</v>
      </c>
      <c r="AE600" s="406"/>
    </row>
    <row r="601" spans="1:31" s="63" customFormat="1" ht="38.25">
      <c r="A601" s="406"/>
      <c r="B601" s="405"/>
      <c r="C601" s="410" t="s">
        <v>146</v>
      </c>
      <c r="D601" s="410" t="s">
        <v>65</v>
      </c>
      <c r="E601" s="410" t="s">
        <v>196</v>
      </c>
      <c r="F601" s="410" t="s">
        <v>66</v>
      </c>
      <c r="G601" s="410" t="s">
        <v>448</v>
      </c>
      <c r="H601" s="403" t="s">
        <v>198</v>
      </c>
      <c r="I601" s="1910" t="s">
        <v>503</v>
      </c>
      <c r="J601" s="1910" t="s">
        <v>504</v>
      </c>
      <c r="K601" s="405">
        <v>18</v>
      </c>
      <c r="L601" s="474">
        <v>500000</v>
      </c>
      <c r="M601" s="405">
        <v>3</v>
      </c>
      <c r="N601" s="474">
        <v>78200.62</v>
      </c>
      <c r="O601" s="405">
        <v>3</v>
      </c>
      <c r="P601" s="474">
        <v>72524.831999999995</v>
      </c>
      <c r="Q601" s="405">
        <v>0</v>
      </c>
      <c r="R601" s="474">
        <v>2039.5</v>
      </c>
      <c r="S601" s="405"/>
      <c r="T601" s="405"/>
      <c r="U601" s="405"/>
      <c r="V601" s="405"/>
      <c r="W601" s="405"/>
      <c r="X601" s="405"/>
      <c r="Y601" s="563">
        <f t="shared" si="118"/>
        <v>0</v>
      </c>
      <c r="Z601" s="491">
        <f t="shared" si="119"/>
        <v>2039.5</v>
      </c>
      <c r="AA601" s="396">
        <f t="shared" si="120"/>
        <v>3</v>
      </c>
      <c r="AB601" s="407">
        <f t="shared" si="115"/>
        <v>80240.12</v>
      </c>
      <c r="AC601" s="400">
        <f t="shared" si="113"/>
        <v>16.666666666666664</v>
      </c>
      <c r="AD601" s="409">
        <f t="shared" si="110"/>
        <v>16.048023999999998</v>
      </c>
      <c r="AE601" s="406"/>
    </row>
    <row r="602" spans="1:31" s="63" customFormat="1" ht="51">
      <c r="A602" s="406"/>
      <c r="B602" s="405"/>
      <c r="C602" s="410" t="s">
        <v>146</v>
      </c>
      <c r="D602" s="410" t="s">
        <v>65</v>
      </c>
      <c r="E602" s="410" t="s">
        <v>196</v>
      </c>
      <c r="F602" s="410" t="s">
        <v>66</v>
      </c>
      <c r="G602" s="410" t="s">
        <v>448</v>
      </c>
      <c r="H602" s="403" t="s">
        <v>93</v>
      </c>
      <c r="I602" s="1910" t="s">
        <v>505</v>
      </c>
      <c r="J602" s="1910" t="s">
        <v>506</v>
      </c>
      <c r="K602" s="405">
        <v>6</v>
      </c>
      <c r="L602" s="474">
        <v>100000</v>
      </c>
      <c r="M602" s="405">
        <v>1</v>
      </c>
      <c r="N602" s="474">
        <v>38154.241999999998</v>
      </c>
      <c r="O602" s="405">
        <v>1</v>
      </c>
      <c r="P602" s="474">
        <v>26033.521000000001</v>
      </c>
      <c r="Q602" s="405">
        <v>0</v>
      </c>
      <c r="R602" s="474">
        <v>500</v>
      </c>
      <c r="S602" s="405"/>
      <c r="T602" s="405"/>
      <c r="U602" s="405"/>
      <c r="V602" s="405"/>
      <c r="W602" s="405"/>
      <c r="X602" s="405"/>
      <c r="Y602" s="563">
        <f t="shared" si="118"/>
        <v>0</v>
      </c>
      <c r="Z602" s="491">
        <f t="shared" si="119"/>
        <v>500</v>
      </c>
      <c r="AA602" s="396">
        <f t="shared" si="120"/>
        <v>1</v>
      </c>
      <c r="AB602" s="407">
        <f t="shared" si="115"/>
        <v>38654.241999999998</v>
      </c>
      <c r="AC602" s="400">
        <f t="shared" si="113"/>
        <v>16.666666666666664</v>
      </c>
      <c r="AD602" s="409">
        <f t="shared" si="110"/>
        <v>38.654241999999996</v>
      </c>
      <c r="AE602" s="406"/>
    </row>
    <row r="603" spans="1:31" s="63" customFormat="1" ht="51">
      <c r="A603" s="406"/>
      <c r="B603" s="405"/>
      <c r="C603" s="410" t="s">
        <v>146</v>
      </c>
      <c r="D603" s="410" t="s">
        <v>65</v>
      </c>
      <c r="E603" s="410" t="s">
        <v>196</v>
      </c>
      <c r="F603" s="410" t="s">
        <v>66</v>
      </c>
      <c r="G603" s="410" t="s">
        <v>448</v>
      </c>
      <c r="H603" s="403" t="s">
        <v>448</v>
      </c>
      <c r="I603" s="1910" t="s">
        <v>507</v>
      </c>
      <c r="J603" s="1910" t="s">
        <v>508</v>
      </c>
      <c r="K603" s="405">
        <v>6</v>
      </c>
      <c r="L603" s="474">
        <v>150000</v>
      </c>
      <c r="M603" s="405">
        <v>1</v>
      </c>
      <c r="N603" s="474">
        <v>96433.240999999995</v>
      </c>
      <c r="O603" s="405">
        <v>1</v>
      </c>
      <c r="P603" s="474">
        <v>107538.25900000001</v>
      </c>
      <c r="Q603" s="405">
        <v>0</v>
      </c>
      <c r="R603" s="474">
        <v>1352</v>
      </c>
      <c r="S603" s="405"/>
      <c r="T603" s="405"/>
      <c r="U603" s="405"/>
      <c r="V603" s="405"/>
      <c r="W603" s="405"/>
      <c r="X603" s="405"/>
      <c r="Y603" s="563">
        <f t="shared" si="118"/>
        <v>0</v>
      </c>
      <c r="Z603" s="491">
        <f t="shared" si="119"/>
        <v>1352</v>
      </c>
      <c r="AA603" s="396">
        <f t="shared" si="120"/>
        <v>1</v>
      </c>
      <c r="AB603" s="407">
        <f t="shared" si="115"/>
        <v>97785.240999999995</v>
      </c>
      <c r="AC603" s="400">
        <f t="shared" si="113"/>
        <v>16.666666666666664</v>
      </c>
      <c r="AD603" s="409">
        <f t="shared" si="110"/>
        <v>65.190160666666657</v>
      </c>
      <c r="AE603" s="406"/>
    </row>
    <row r="604" spans="1:31" s="63" customFormat="1" ht="38.25">
      <c r="A604" s="406"/>
      <c r="B604" s="405"/>
      <c r="C604" s="410" t="s">
        <v>146</v>
      </c>
      <c r="D604" s="410" t="s">
        <v>65</v>
      </c>
      <c r="E604" s="410" t="s">
        <v>196</v>
      </c>
      <c r="F604" s="410" t="s">
        <v>66</v>
      </c>
      <c r="G604" s="410" t="s">
        <v>448</v>
      </c>
      <c r="H604" s="403" t="s">
        <v>163</v>
      </c>
      <c r="I604" s="1910" t="s">
        <v>509</v>
      </c>
      <c r="J604" s="1910" t="s">
        <v>510</v>
      </c>
      <c r="K604" s="405">
        <v>12</v>
      </c>
      <c r="L604" s="474">
        <v>350000</v>
      </c>
      <c r="M604" s="405">
        <v>2</v>
      </c>
      <c r="N604" s="474">
        <v>42315.74</v>
      </c>
      <c r="O604" s="405">
        <v>2</v>
      </c>
      <c r="P604" s="474">
        <v>90476.68</v>
      </c>
      <c r="Q604" s="405">
        <v>0</v>
      </c>
      <c r="R604" s="474">
        <v>15814.9</v>
      </c>
      <c r="S604" s="405"/>
      <c r="T604" s="405"/>
      <c r="U604" s="405"/>
      <c r="V604" s="405"/>
      <c r="W604" s="405"/>
      <c r="X604" s="405"/>
      <c r="Y604" s="563">
        <f t="shared" si="118"/>
        <v>0</v>
      </c>
      <c r="Z604" s="491">
        <f t="shared" si="119"/>
        <v>15814.9</v>
      </c>
      <c r="AA604" s="396">
        <f t="shared" si="120"/>
        <v>2</v>
      </c>
      <c r="AB604" s="407">
        <f t="shared" si="115"/>
        <v>58130.64</v>
      </c>
      <c r="AC604" s="400">
        <f t="shared" si="113"/>
        <v>16.666666666666664</v>
      </c>
      <c r="AD604" s="409">
        <f t="shared" si="110"/>
        <v>16.608754285714287</v>
      </c>
      <c r="AE604" s="406"/>
    </row>
    <row r="605" spans="1:31" s="63" customFormat="1" ht="38.25">
      <c r="A605" s="406"/>
      <c r="B605" s="405"/>
      <c r="C605" s="410" t="s">
        <v>146</v>
      </c>
      <c r="D605" s="410" t="s">
        <v>65</v>
      </c>
      <c r="E605" s="410" t="s">
        <v>196</v>
      </c>
      <c r="F605" s="410" t="s">
        <v>66</v>
      </c>
      <c r="G605" s="410" t="s">
        <v>448</v>
      </c>
      <c r="H605" s="403" t="s">
        <v>360</v>
      </c>
      <c r="I605" s="1910" t="s">
        <v>511</v>
      </c>
      <c r="J605" s="1910" t="s">
        <v>512</v>
      </c>
      <c r="K605" s="405">
        <v>100</v>
      </c>
      <c r="L605" s="474">
        <v>100000</v>
      </c>
      <c r="M605" s="405">
        <v>20</v>
      </c>
      <c r="N605" s="474">
        <v>37715.919999999998</v>
      </c>
      <c r="O605" s="405">
        <v>20</v>
      </c>
      <c r="P605" s="474">
        <v>35281.968000000001</v>
      </c>
      <c r="Q605" s="405">
        <v>0</v>
      </c>
      <c r="R605" s="474">
        <v>0</v>
      </c>
      <c r="S605" s="405"/>
      <c r="T605" s="405"/>
      <c r="U605" s="405"/>
      <c r="V605" s="405"/>
      <c r="W605" s="405"/>
      <c r="X605" s="405"/>
      <c r="Y605" s="563">
        <f t="shared" si="118"/>
        <v>0</v>
      </c>
      <c r="Z605" s="491">
        <f t="shared" si="119"/>
        <v>0</v>
      </c>
      <c r="AA605" s="396">
        <f t="shared" si="120"/>
        <v>20</v>
      </c>
      <c r="AB605" s="407">
        <f t="shared" si="115"/>
        <v>37715.919999999998</v>
      </c>
      <c r="AC605" s="400">
        <f t="shared" si="113"/>
        <v>20</v>
      </c>
      <c r="AD605" s="409">
        <f t="shared" si="110"/>
        <v>37.715919999999997</v>
      </c>
      <c r="AE605" s="406"/>
    </row>
    <row r="606" spans="1:31" s="63" customFormat="1" ht="38.25">
      <c r="A606" s="406"/>
      <c r="B606" s="405"/>
      <c r="C606" s="410" t="s">
        <v>146</v>
      </c>
      <c r="D606" s="410" t="s">
        <v>65</v>
      </c>
      <c r="E606" s="410" t="s">
        <v>196</v>
      </c>
      <c r="F606" s="410" t="s">
        <v>66</v>
      </c>
      <c r="G606" s="410" t="s">
        <v>448</v>
      </c>
      <c r="H606" s="403" t="s">
        <v>165</v>
      </c>
      <c r="I606" s="1910" t="s">
        <v>513</v>
      </c>
      <c r="J606" s="1910" t="s">
        <v>514</v>
      </c>
      <c r="K606" s="405">
        <v>18</v>
      </c>
      <c r="L606" s="474">
        <v>500000</v>
      </c>
      <c r="M606" s="405">
        <v>3</v>
      </c>
      <c r="N606" s="474">
        <v>304801.353</v>
      </c>
      <c r="O606" s="405">
        <v>3</v>
      </c>
      <c r="P606" s="474">
        <v>183561.55</v>
      </c>
      <c r="Q606" s="405">
        <v>0</v>
      </c>
      <c r="R606" s="474">
        <v>8946</v>
      </c>
      <c r="S606" s="405"/>
      <c r="T606" s="405"/>
      <c r="U606" s="405"/>
      <c r="V606" s="405"/>
      <c r="W606" s="405"/>
      <c r="X606" s="405"/>
      <c r="Y606" s="563">
        <f t="shared" si="118"/>
        <v>0</v>
      </c>
      <c r="Z606" s="491">
        <f t="shared" si="119"/>
        <v>8946</v>
      </c>
      <c r="AA606" s="396">
        <f t="shared" si="120"/>
        <v>3</v>
      </c>
      <c r="AB606" s="407">
        <f t="shared" si="115"/>
        <v>313747.353</v>
      </c>
      <c r="AC606" s="400">
        <f t="shared" si="113"/>
        <v>16.666666666666664</v>
      </c>
      <c r="AD606" s="409">
        <f t="shared" si="110"/>
        <v>62.749470600000002</v>
      </c>
      <c r="AE606" s="406"/>
    </row>
    <row r="607" spans="1:31" s="63" customFormat="1" ht="38.25">
      <c r="A607" s="406"/>
      <c r="B607" s="405"/>
      <c r="C607" s="410" t="s">
        <v>146</v>
      </c>
      <c r="D607" s="410" t="s">
        <v>65</v>
      </c>
      <c r="E607" s="410" t="s">
        <v>196</v>
      </c>
      <c r="F607" s="410" t="s">
        <v>66</v>
      </c>
      <c r="G607" s="410" t="s">
        <v>448</v>
      </c>
      <c r="H607" s="403" t="s">
        <v>515</v>
      </c>
      <c r="I607" s="1910" t="s">
        <v>516</v>
      </c>
      <c r="J607" s="1910" t="s">
        <v>517</v>
      </c>
      <c r="K607" s="405">
        <v>82</v>
      </c>
      <c r="L607" s="474">
        <v>300000</v>
      </c>
      <c r="M607" s="405">
        <v>83</v>
      </c>
      <c r="N607" s="474">
        <v>122408.53</v>
      </c>
      <c r="O607" s="405">
        <v>78</v>
      </c>
      <c r="P607" s="474">
        <v>117624.855</v>
      </c>
      <c r="Q607" s="405">
        <v>0</v>
      </c>
      <c r="R607" s="474">
        <v>21183.599999999999</v>
      </c>
      <c r="S607" s="405"/>
      <c r="T607" s="405"/>
      <c r="U607" s="405"/>
      <c r="V607" s="405"/>
      <c r="W607" s="405"/>
      <c r="X607" s="405"/>
      <c r="Y607" s="563">
        <f t="shared" si="118"/>
        <v>0</v>
      </c>
      <c r="Z607" s="491">
        <f t="shared" si="119"/>
        <v>21183.599999999999</v>
      </c>
      <c r="AA607" s="396">
        <f t="shared" si="120"/>
        <v>83</v>
      </c>
      <c r="AB607" s="407">
        <f t="shared" si="115"/>
        <v>143592.13</v>
      </c>
      <c r="AC607" s="400">
        <f t="shared" si="113"/>
        <v>101.21951219512195</v>
      </c>
      <c r="AD607" s="409">
        <f t="shared" si="110"/>
        <v>47.864043333333335</v>
      </c>
      <c r="AE607" s="406"/>
    </row>
    <row r="608" spans="1:31" s="63" customFormat="1" ht="38.25">
      <c r="A608" s="431"/>
      <c r="B608" s="476"/>
      <c r="C608" s="477" t="s">
        <v>146</v>
      </c>
      <c r="D608" s="477" t="s">
        <v>65</v>
      </c>
      <c r="E608" s="477" t="s">
        <v>196</v>
      </c>
      <c r="F608" s="477" t="s">
        <v>66</v>
      </c>
      <c r="G608" s="477" t="s">
        <v>448</v>
      </c>
      <c r="H608" s="488" t="s">
        <v>178</v>
      </c>
      <c r="I608" s="1913" t="s">
        <v>518</v>
      </c>
      <c r="J608" s="1913" t="s">
        <v>519</v>
      </c>
      <c r="K608" s="476">
        <v>2</v>
      </c>
      <c r="L608" s="482">
        <v>150000</v>
      </c>
      <c r="M608" s="476">
        <v>1</v>
      </c>
      <c r="N608" s="482">
        <v>9767.92</v>
      </c>
      <c r="O608" s="476">
        <v>1</v>
      </c>
      <c r="P608" s="482">
        <v>82428.985000000001</v>
      </c>
      <c r="Q608" s="476">
        <v>0</v>
      </c>
      <c r="R608" s="482">
        <v>950</v>
      </c>
      <c r="S608" s="476"/>
      <c r="T608" s="476"/>
      <c r="U608" s="476"/>
      <c r="V608" s="476"/>
      <c r="W608" s="476"/>
      <c r="X608" s="476"/>
      <c r="Y608" s="563">
        <f t="shared" si="118"/>
        <v>0</v>
      </c>
      <c r="Z608" s="491">
        <f t="shared" si="119"/>
        <v>950</v>
      </c>
      <c r="AA608" s="396">
        <f t="shared" si="120"/>
        <v>1</v>
      </c>
      <c r="AB608" s="417">
        <f t="shared" si="115"/>
        <v>10717.92</v>
      </c>
      <c r="AC608" s="400">
        <f t="shared" si="113"/>
        <v>50</v>
      </c>
      <c r="AD608" s="432">
        <f t="shared" si="110"/>
        <v>7.1452799999999996</v>
      </c>
      <c r="AE608" s="431"/>
    </row>
    <row r="609" spans="1:31" s="494" customFormat="1" ht="21" customHeight="1">
      <c r="A609" s="4335" t="s">
        <v>89</v>
      </c>
      <c r="B609" s="4335"/>
      <c r="C609" s="4256"/>
      <c r="D609" s="4256"/>
      <c r="E609" s="4256"/>
      <c r="F609" s="4256"/>
      <c r="G609" s="4256"/>
      <c r="H609" s="4256"/>
      <c r="I609" s="4256"/>
      <c r="J609" s="4256"/>
      <c r="K609" s="4256"/>
      <c r="L609" s="4256"/>
      <c r="M609" s="4256"/>
      <c r="N609" s="4256"/>
      <c r="O609" s="4256"/>
      <c r="P609" s="4256"/>
      <c r="Q609" s="4256"/>
      <c r="R609" s="4256"/>
      <c r="S609" s="4256"/>
      <c r="T609" s="4256"/>
      <c r="U609" s="4256"/>
      <c r="V609" s="4256"/>
      <c r="W609" s="4256"/>
      <c r="X609" s="4256"/>
      <c r="Y609" s="4256"/>
      <c r="Z609" s="4256"/>
      <c r="AA609" s="4256"/>
      <c r="AB609" s="4256"/>
      <c r="AC609" s="493">
        <f>AVERAGE(AC567:AC608)</f>
        <v>49.832617093971052</v>
      </c>
      <c r="AD609" s="493">
        <f>AB611/P611*100</f>
        <v>125.83496965231591</v>
      </c>
      <c r="AE609" s="385"/>
    </row>
    <row r="610" spans="1:31" s="494" customFormat="1" ht="21" customHeight="1">
      <c r="A610" s="4335" t="s">
        <v>90</v>
      </c>
      <c r="B610" s="4335"/>
      <c r="C610" s="4256"/>
      <c r="D610" s="4256"/>
      <c r="E610" s="4256"/>
      <c r="F610" s="4256"/>
      <c r="G610" s="4256"/>
      <c r="H610" s="4256"/>
      <c r="I610" s="4256"/>
      <c r="J610" s="4256"/>
      <c r="K610" s="4256"/>
      <c r="L610" s="4256"/>
      <c r="M610" s="4256"/>
      <c r="N610" s="4256"/>
      <c r="O610" s="4256"/>
      <c r="P610" s="4256"/>
      <c r="Q610" s="4256"/>
      <c r="R610" s="4256"/>
      <c r="S610" s="4256"/>
      <c r="T610" s="4256"/>
      <c r="U610" s="4256"/>
      <c r="V610" s="4256"/>
      <c r="W610" s="4256"/>
      <c r="X610" s="4256"/>
      <c r="Y610" s="4256"/>
      <c r="Z610" s="4256"/>
      <c r="AA610" s="4256"/>
      <c r="AB610" s="4256"/>
      <c r="AC610" s="1904" t="str">
        <f>IF(AC609&gt;=45,"ST",IF(AC609&gt;=38,"T",IF(AC609&gt;=32,"S",IF(AC609&gt;=25,"R","SR"))))</f>
        <v>ST</v>
      </c>
      <c r="AD610" s="495" t="str">
        <f>IF(AD609&gt;=45,"ST",IF(AD609&gt;=38,"T",IF(AD609&gt;=32,"S",IF(AD609&gt;=25,"R","SR"))))</f>
        <v>ST</v>
      </c>
      <c r="AE610" s="385"/>
    </row>
    <row r="611" spans="1:31" s="494" customFormat="1" ht="21" customHeight="1">
      <c r="A611" s="4427" t="s">
        <v>100</v>
      </c>
      <c r="B611" s="4427"/>
      <c r="C611" s="4427"/>
      <c r="D611" s="4427"/>
      <c r="E611" s="4427"/>
      <c r="F611" s="4427"/>
      <c r="G611" s="4427"/>
      <c r="H611" s="4427"/>
      <c r="I611" s="4427"/>
      <c r="J611" s="4427"/>
      <c r="K611" s="4427"/>
      <c r="L611" s="4427"/>
      <c r="M611" s="4427"/>
      <c r="N611" s="4427"/>
      <c r="O611" s="4427"/>
      <c r="P611" s="496">
        <f>P567+P578+P583+P596</f>
        <v>2209314.548</v>
      </c>
      <c r="Q611" s="4428"/>
      <c r="R611" s="4428"/>
      <c r="S611" s="4428"/>
      <c r="T611" s="4428"/>
      <c r="U611" s="4428"/>
      <c r="V611" s="4428"/>
      <c r="W611" s="4428"/>
      <c r="X611" s="4428"/>
      <c r="Y611" s="4428"/>
      <c r="Z611" s="4428"/>
      <c r="AA611" s="4428"/>
      <c r="AB611" s="496">
        <f>AB596+AB583+AB578+AB567</f>
        <v>2780090.2910000002</v>
      </c>
      <c r="AC611" s="497"/>
      <c r="AD611" s="497"/>
      <c r="AE611" s="497"/>
    </row>
    <row r="612" spans="1:31" ht="22.5" customHeight="1">
      <c r="A612" s="56"/>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382"/>
      <c r="Z612" s="56"/>
      <c r="AA612" s="56"/>
      <c r="AB612" s="56"/>
      <c r="AC612" s="56"/>
      <c r="AD612" s="56"/>
      <c r="AE612" s="56"/>
    </row>
    <row r="613" spans="1:31" s="69" customFormat="1" ht="27.75" customHeight="1">
      <c r="A613" s="67">
        <v>10</v>
      </c>
      <c r="B613" s="67"/>
      <c r="C613" s="67"/>
      <c r="D613" s="67"/>
      <c r="E613" s="67"/>
      <c r="F613" s="67"/>
      <c r="G613" s="67"/>
      <c r="H613" s="67"/>
      <c r="I613" s="68" t="s">
        <v>137</v>
      </c>
      <c r="J613" s="67"/>
      <c r="K613" s="67"/>
      <c r="L613" s="67"/>
      <c r="M613" s="67"/>
      <c r="N613" s="67"/>
      <c r="O613" s="67"/>
      <c r="P613" s="67"/>
      <c r="Q613" s="67"/>
      <c r="R613" s="67"/>
      <c r="S613" s="67"/>
      <c r="T613" s="67"/>
      <c r="U613" s="67"/>
      <c r="V613" s="67"/>
      <c r="W613" s="67"/>
      <c r="X613" s="67"/>
      <c r="Y613" s="366"/>
      <c r="Z613" s="67"/>
      <c r="AA613" s="67"/>
      <c r="AB613" s="67"/>
      <c r="AC613" s="67"/>
      <c r="AD613" s="67"/>
      <c r="AE613" s="67"/>
    </row>
    <row r="614" spans="1:31" ht="22.5" customHeight="1">
      <c r="A614" s="56"/>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382"/>
      <c r="Z614" s="56"/>
      <c r="AA614" s="56"/>
      <c r="AB614" s="56"/>
      <c r="AC614" s="56"/>
      <c r="AD614" s="56"/>
      <c r="AE614" s="56"/>
    </row>
    <row r="615" spans="1:31" s="69" customFormat="1" ht="27.75" customHeight="1">
      <c r="A615" s="67">
        <v>11</v>
      </c>
      <c r="B615" s="67"/>
      <c r="C615" s="67"/>
      <c r="D615" s="67"/>
      <c r="E615" s="67"/>
      <c r="F615" s="67"/>
      <c r="G615" s="67"/>
      <c r="H615" s="67"/>
      <c r="I615" s="68" t="s">
        <v>138</v>
      </c>
      <c r="J615" s="67"/>
      <c r="K615" s="67"/>
      <c r="L615" s="67"/>
      <c r="M615" s="67"/>
      <c r="N615" s="67"/>
      <c r="O615" s="67"/>
      <c r="P615" s="67"/>
      <c r="Q615" s="67"/>
      <c r="R615" s="67"/>
      <c r="S615" s="67"/>
      <c r="T615" s="67"/>
      <c r="U615" s="67"/>
      <c r="V615" s="67"/>
      <c r="W615" s="67"/>
      <c r="X615" s="67"/>
      <c r="Y615" s="366"/>
      <c r="Z615" s="67"/>
      <c r="AA615" s="67"/>
      <c r="AB615" s="67"/>
      <c r="AC615" s="67"/>
      <c r="AD615" s="67"/>
      <c r="AE615" s="67"/>
    </row>
    <row r="616" spans="1:31" s="776" customFormat="1" ht="43.5" customHeight="1">
      <c r="A616" s="819"/>
      <c r="B616" s="819"/>
      <c r="C616" s="820" t="s">
        <v>146</v>
      </c>
      <c r="D616" s="820" t="s">
        <v>65</v>
      </c>
      <c r="E616" s="820" t="s">
        <v>66</v>
      </c>
      <c r="F616" s="820"/>
      <c r="G616" s="820"/>
      <c r="H616" s="844"/>
      <c r="I616" s="834" t="s">
        <v>1183</v>
      </c>
      <c r="J616" s="757" t="s">
        <v>1184</v>
      </c>
      <c r="K616" s="819"/>
      <c r="L616" s="835">
        <f>SUM(L617:L629)</f>
        <v>1280000000</v>
      </c>
      <c r="M616" s="819"/>
      <c r="N616" s="835">
        <v>45640671</v>
      </c>
      <c r="O616" s="819"/>
      <c r="P616" s="835">
        <f>SUM(P617:P629)</f>
        <v>432097724</v>
      </c>
      <c r="Q616" s="828">
        <f>R616/P616</f>
        <v>0.21147936664438435</v>
      </c>
      <c r="R616" s="835">
        <f>SUM(R617:R629)</f>
        <v>91379753</v>
      </c>
      <c r="S616" s="819"/>
      <c r="T616" s="835"/>
      <c r="U616" s="819"/>
      <c r="V616" s="835"/>
      <c r="W616" s="821"/>
      <c r="X616" s="835"/>
      <c r="Y616" s="828">
        <f>+Z616/P616</f>
        <v>0.21147936664438435</v>
      </c>
      <c r="Z616" s="835">
        <f>SUM(Z617:Z629)</f>
        <v>91379753</v>
      </c>
      <c r="AA616" s="819"/>
      <c r="AB616" s="829">
        <f t="shared" ref="AB616:AB629" si="121">Z616+N616</f>
        <v>137020424</v>
      </c>
      <c r="AC616" s="819"/>
      <c r="AD616" s="830">
        <f t="shared" ref="AD616:AD629" si="122">(AB616/L616)*100</f>
        <v>10.704720625</v>
      </c>
      <c r="AE616" s="839"/>
    </row>
    <row r="617" spans="1:31" s="787" customFormat="1" ht="53.25" customHeight="1">
      <c r="A617" s="777"/>
      <c r="B617" s="777"/>
      <c r="C617" s="778" t="s">
        <v>146</v>
      </c>
      <c r="D617" s="778" t="s">
        <v>65</v>
      </c>
      <c r="E617" s="778" t="s">
        <v>66</v>
      </c>
      <c r="F617" s="778" t="s">
        <v>65</v>
      </c>
      <c r="G617" s="778"/>
      <c r="H617" s="1914"/>
      <c r="I617" s="780" t="s">
        <v>873</v>
      </c>
      <c r="J617" s="854" t="s">
        <v>1185</v>
      </c>
      <c r="K617" s="777"/>
      <c r="L617" s="782">
        <v>130000000</v>
      </c>
      <c r="M617" s="777"/>
      <c r="N617" s="782">
        <v>113900000</v>
      </c>
      <c r="O617" s="855">
        <v>12</v>
      </c>
      <c r="P617" s="782">
        <v>23700000</v>
      </c>
      <c r="Q617" s="831">
        <v>3</v>
      </c>
      <c r="R617" s="783">
        <v>6826053</v>
      </c>
      <c r="S617" s="789"/>
      <c r="T617" s="816"/>
      <c r="U617" s="798"/>
      <c r="V617" s="816"/>
      <c r="W617" s="856"/>
      <c r="X617" s="816"/>
      <c r="Y617" s="831">
        <v>3</v>
      </c>
      <c r="Z617" s="783">
        <v>6826053</v>
      </c>
      <c r="AA617" s="791">
        <f>Y617</f>
        <v>3</v>
      </c>
      <c r="AB617" s="791">
        <f t="shared" si="121"/>
        <v>120726053</v>
      </c>
      <c r="AC617" s="791"/>
      <c r="AD617" s="792">
        <f t="shared" si="122"/>
        <v>92.866194615384615</v>
      </c>
      <c r="AE617" s="786"/>
    </row>
    <row r="618" spans="1:31" s="787" customFormat="1" ht="39" customHeight="1">
      <c r="A618" s="777"/>
      <c r="B618" s="777"/>
      <c r="C618" s="778" t="s">
        <v>146</v>
      </c>
      <c r="D618" s="778" t="s">
        <v>65</v>
      </c>
      <c r="E618" s="778" t="s">
        <v>66</v>
      </c>
      <c r="F618" s="778" t="s">
        <v>198</v>
      </c>
      <c r="G618" s="778"/>
      <c r="H618" s="1914"/>
      <c r="I618" s="780" t="s">
        <v>148</v>
      </c>
      <c r="J618" s="854" t="s">
        <v>1186</v>
      </c>
      <c r="K618" s="777"/>
      <c r="L618" s="782">
        <v>130000000</v>
      </c>
      <c r="M618" s="777"/>
      <c r="N618" s="782">
        <v>113743000</v>
      </c>
      <c r="O618" s="855">
        <v>12</v>
      </c>
      <c r="P618" s="782">
        <v>59400000</v>
      </c>
      <c r="Q618" s="831">
        <v>3</v>
      </c>
      <c r="R618" s="783">
        <v>13050000</v>
      </c>
      <c r="S618" s="789"/>
      <c r="T618" s="816"/>
      <c r="U618" s="798"/>
      <c r="V618" s="816"/>
      <c r="W618" s="856"/>
      <c r="X618" s="816"/>
      <c r="Y618" s="831">
        <v>3</v>
      </c>
      <c r="Z618" s="783">
        <v>13050000</v>
      </c>
      <c r="AA618" s="791">
        <f t="shared" ref="AA618:AA629" si="123">Y618</f>
        <v>3</v>
      </c>
      <c r="AB618" s="791">
        <f t="shared" si="121"/>
        <v>126793000</v>
      </c>
      <c r="AC618" s="791"/>
      <c r="AD618" s="792">
        <f t="shared" si="122"/>
        <v>97.533076923076919</v>
      </c>
      <c r="AE618" s="786"/>
    </row>
    <row r="619" spans="1:31" s="787" customFormat="1" ht="45.75" customHeight="1">
      <c r="A619" s="777"/>
      <c r="B619" s="777"/>
      <c r="C619" s="778" t="s">
        <v>146</v>
      </c>
      <c r="D619" s="778" t="s">
        <v>65</v>
      </c>
      <c r="E619" s="778" t="s">
        <v>66</v>
      </c>
      <c r="F619" s="778" t="s">
        <v>93</v>
      </c>
      <c r="G619" s="778"/>
      <c r="H619" s="1914"/>
      <c r="I619" s="780" t="s">
        <v>876</v>
      </c>
      <c r="J619" s="854" t="s">
        <v>1187</v>
      </c>
      <c r="K619" s="777"/>
      <c r="L619" s="782">
        <v>100000000</v>
      </c>
      <c r="M619" s="777"/>
      <c r="N619" s="782">
        <v>19972000</v>
      </c>
      <c r="O619" s="855">
        <v>12</v>
      </c>
      <c r="P619" s="782">
        <v>67945200</v>
      </c>
      <c r="Q619" s="831">
        <v>3</v>
      </c>
      <c r="R619" s="783">
        <v>15407000</v>
      </c>
      <c r="S619" s="789"/>
      <c r="T619" s="816"/>
      <c r="U619" s="798"/>
      <c r="V619" s="816"/>
      <c r="W619" s="856"/>
      <c r="X619" s="816"/>
      <c r="Y619" s="831">
        <v>3</v>
      </c>
      <c r="Z619" s="783">
        <v>15407000</v>
      </c>
      <c r="AA619" s="791">
        <f t="shared" si="123"/>
        <v>3</v>
      </c>
      <c r="AB619" s="791">
        <f t="shared" si="121"/>
        <v>35379000</v>
      </c>
      <c r="AC619" s="791"/>
      <c r="AD619" s="792">
        <f t="shared" si="122"/>
        <v>35.378999999999998</v>
      </c>
      <c r="AE619" s="786"/>
    </row>
    <row r="620" spans="1:31" s="787" customFormat="1" ht="58.5" customHeight="1">
      <c r="A620" s="777"/>
      <c r="B620" s="777"/>
      <c r="C620" s="778" t="s">
        <v>146</v>
      </c>
      <c r="D620" s="778" t="s">
        <v>65</v>
      </c>
      <c r="E620" s="778" t="s">
        <v>66</v>
      </c>
      <c r="F620" s="778" t="s">
        <v>201</v>
      </c>
      <c r="G620" s="778"/>
      <c r="H620" s="1914"/>
      <c r="I620" s="780" t="s">
        <v>528</v>
      </c>
      <c r="J620" s="854" t="s">
        <v>1188</v>
      </c>
      <c r="K620" s="777"/>
      <c r="L620" s="782">
        <v>10000000</v>
      </c>
      <c r="M620" s="777"/>
      <c r="N620" s="782">
        <v>55056680</v>
      </c>
      <c r="O620" s="855">
        <v>12</v>
      </c>
      <c r="P620" s="782">
        <v>5050000</v>
      </c>
      <c r="Q620" s="831">
        <v>3</v>
      </c>
      <c r="R620" s="783">
        <v>1210000</v>
      </c>
      <c r="S620" s="789"/>
      <c r="T620" s="816"/>
      <c r="U620" s="798"/>
      <c r="V620" s="816"/>
      <c r="W620" s="856"/>
      <c r="X620" s="816"/>
      <c r="Y620" s="831">
        <v>3</v>
      </c>
      <c r="Z620" s="783">
        <v>1210000</v>
      </c>
      <c r="AA620" s="791">
        <f t="shared" si="123"/>
        <v>3</v>
      </c>
      <c r="AB620" s="791">
        <f t="shared" si="121"/>
        <v>56266680</v>
      </c>
      <c r="AC620" s="791"/>
      <c r="AD620" s="792">
        <f t="shared" si="122"/>
        <v>562.66679999999997</v>
      </c>
      <c r="AE620" s="786"/>
    </row>
    <row r="621" spans="1:31" s="787" customFormat="1" ht="39.75" customHeight="1">
      <c r="A621" s="777"/>
      <c r="B621" s="777"/>
      <c r="C621" s="778" t="s">
        <v>146</v>
      </c>
      <c r="D621" s="778" t="s">
        <v>65</v>
      </c>
      <c r="E621" s="778" t="s">
        <v>66</v>
      </c>
      <c r="F621" s="778" t="s">
        <v>202</v>
      </c>
      <c r="G621" s="778"/>
      <c r="H621" s="1914"/>
      <c r="I621" s="780" t="s">
        <v>203</v>
      </c>
      <c r="J621" s="857" t="s">
        <v>1189</v>
      </c>
      <c r="K621" s="777"/>
      <c r="L621" s="782">
        <v>100000000</v>
      </c>
      <c r="M621" s="777"/>
      <c r="N621" s="782">
        <v>50340400</v>
      </c>
      <c r="O621" s="855">
        <v>12</v>
      </c>
      <c r="P621" s="782">
        <v>23852800</v>
      </c>
      <c r="Q621" s="831">
        <v>3</v>
      </c>
      <c r="R621" s="783">
        <v>11645000</v>
      </c>
      <c r="S621" s="789"/>
      <c r="T621" s="816"/>
      <c r="U621" s="798"/>
      <c r="V621" s="816"/>
      <c r="W621" s="856"/>
      <c r="X621" s="816"/>
      <c r="Y621" s="831">
        <v>3</v>
      </c>
      <c r="Z621" s="783">
        <v>11645000</v>
      </c>
      <c r="AA621" s="791">
        <f t="shared" si="123"/>
        <v>3</v>
      </c>
      <c r="AB621" s="791">
        <f t="shared" si="121"/>
        <v>61985400</v>
      </c>
      <c r="AC621" s="791"/>
      <c r="AD621" s="792">
        <f t="shared" si="122"/>
        <v>61.985399999999998</v>
      </c>
      <c r="AE621" s="786"/>
    </row>
    <row r="622" spans="1:31" s="787" customFormat="1" ht="57" customHeight="1">
      <c r="A622" s="777"/>
      <c r="B622" s="777"/>
      <c r="C622" s="778" t="s">
        <v>146</v>
      </c>
      <c r="D622" s="778" t="s">
        <v>65</v>
      </c>
      <c r="E622" s="778" t="s">
        <v>66</v>
      </c>
      <c r="F622" s="778" t="s">
        <v>417</v>
      </c>
      <c r="G622" s="778"/>
      <c r="H622" s="1914"/>
      <c r="I622" s="780" t="s">
        <v>204</v>
      </c>
      <c r="J622" s="857" t="s">
        <v>1190</v>
      </c>
      <c r="K622" s="777"/>
      <c r="L622" s="782">
        <v>100000000</v>
      </c>
      <c r="M622" s="777"/>
      <c r="N622" s="782">
        <v>58747200</v>
      </c>
      <c r="O622" s="855">
        <v>12</v>
      </c>
      <c r="P622" s="782">
        <v>23790600</v>
      </c>
      <c r="Q622" s="831">
        <v>3</v>
      </c>
      <c r="R622" s="783">
        <v>3130000</v>
      </c>
      <c r="S622" s="789"/>
      <c r="T622" s="816"/>
      <c r="U622" s="798"/>
      <c r="V622" s="816"/>
      <c r="W622" s="856"/>
      <c r="X622" s="816"/>
      <c r="Y622" s="831">
        <v>3</v>
      </c>
      <c r="Z622" s="783">
        <v>3130000</v>
      </c>
      <c r="AA622" s="791">
        <f t="shared" si="123"/>
        <v>3</v>
      </c>
      <c r="AB622" s="791">
        <f t="shared" si="121"/>
        <v>61877200</v>
      </c>
      <c r="AC622" s="791"/>
      <c r="AD622" s="792">
        <f t="shared" si="122"/>
        <v>61.877200000000002</v>
      </c>
      <c r="AE622" s="786"/>
    </row>
    <row r="623" spans="1:31" s="787" customFormat="1" ht="45.75" customHeight="1">
      <c r="A623" s="777"/>
      <c r="B623" s="777"/>
      <c r="C623" s="778" t="s">
        <v>146</v>
      </c>
      <c r="D623" s="778" t="s">
        <v>65</v>
      </c>
      <c r="E623" s="778" t="s">
        <v>66</v>
      </c>
      <c r="F623" s="778" t="s">
        <v>417</v>
      </c>
      <c r="G623" s="778"/>
      <c r="H623" s="1914"/>
      <c r="I623" s="780" t="s">
        <v>1191</v>
      </c>
      <c r="J623" s="857" t="s">
        <v>1192</v>
      </c>
      <c r="K623" s="777"/>
      <c r="L623" s="782">
        <v>100000000</v>
      </c>
      <c r="M623" s="777">
        <v>1</v>
      </c>
      <c r="N623" s="782">
        <v>10728500</v>
      </c>
      <c r="O623" s="858">
        <v>0</v>
      </c>
      <c r="P623" s="782">
        <v>10114760</v>
      </c>
      <c r="Q623" s="831">
        <v>0</v>
      </c>
      <c r="R623" s="783">
        <v>260600</v>
      </c>
      <c r="S623" s="789"/>
      <c r="T623" s="816"/>
      <c r="U623" s="798"/>
      <c r="V623" s="816"/>
      <c r="W623" s="856"/>
      <c r="X623" s="816"/>
      <c r="Y623" s="831">
        <v>0</v>
      </c>
      <c r="Z623" s="783">
        <v>260600</v>
      </c>
      <c r="AA623" s="791">
        <f t="shared" si="123"/>
        <v>0</v>
      </c>
      <c r="AB623" s="791">
        <f t="shared" si="121"/>
        <v>10989100</v>
      </c>
      <c r="AC623" s="791"/>
      <c r="AD623" s="792">
        <f t="shared" si="122"/>
        <v>10.989100000000001</v>
      </c>
      <c r="AE623" s="786"/>
    </row>
    <row r="624" spans="1:31" s="787" customFormat="1" ht="68.25" customHeight="1">
      <c r="A624" s="777"/>
      <c r="B624" s="777"/>
      <c r="C624" s="778" t="s">
        <v>146</v>
      </c>
      <c r="D624" s="778" t="s">
        <v>65</v>
      </c>
      <c r="E624" s="778" t="s">
        <v>66</v>
      </c>
      <c r="F624" s="778" t="s">
        <v>160</v>
      </c>
      <c r="G624" s="778"/>
      <c r="H624" s="1914"/>
      <c r="I624" s="780" t="s">
        <v>205</v>
      </c>
      <c r="J624" s="857" t="s">
        <v>1193</v>
      </c>
      <c r="K624" s="777"/>
      <c r="L624" s="782">
        <v>100000000</v>
      </c>
      <c r="M624" s="777"/>
      <c r="N624" s="782">
        <v>15745300</v>
      </c>
      <c r="O624" s="858">
        <v>12</v>
      </c>
      <c r="P624" s="782">
        <v>6481292</v>
      </c>
      <c r="Q624" s="831">
        <v>3</v>
      </c>
      <c r="R624" s="783">
        <v>246000</v>
      </c>
      <c r="S624" s="789"/>
      <c r="T624" s="816"/>
      <c r="U624" s="798"/>
      <c r="V624" s="816"/>
      <c r="W624" s="856"/>
      <c r="X624" s="816"/>
      <c r="Y624" s="831">
        <v>3</v>
      </c>
      <c r="Z624" s="783">
        <v>246000</v>
      </c>
      <c r="AA624" s="791">
        <f t="shared" si="123"/>
        <v>3</v>
      </c>
      <c r="AB624" s="791">
        <f t="shared" si="121"/>
        <v>15991300</v>
      </c>
      <c r="AC624" s="791"/>
      <c r="AD624" s="792">
        <f t="shared" si="122"/>
        <v>15.991300000000001</v>
      </c>
      <c r="AE624" s="786"/>
    </row>
    <row r="625" spans="1:31" s="787" customFormat="1" ht="68.25" customHeight="1">
      <c r="A625" s="777"/>
      <c r="B625" s="777"/>
      <c r="C625" s="778" t="s">
        <v>146</v>
      </c>
      <c r="D625" s="778" t="s">
        <v>65</v>
      </c>
      <c r="E625" s="778" t="s">
        <v>66</v>
      </c>
      <c r="F625" s="778" t="s">
        <v>155</v>
      </c>
      <c r="G625" s="778"/>
      <c r="H625" s="1914"/>
      <c r="I625" s="780" t="s">
        <v>533</v>
      </c>
      <c r="J625" s="857" t="s">
        <v>1194</v>
      </c>
      <c r="K625" s="777"/>
      <c r="L625" s="782">
        <v>100000000</v>
      </c>
      <c r="M625" s="777"/>
      <c r="N625" s="782">
        <v>45522500</v>
      </c>
      <c r="O625" s="855">
        <v>12</v>
      </c>
      <c r="P625" s="782">
        <v>10400000</v>
      </c>
      <c r="Q625" s="831">
        <v>3</v>
      </c>
      <c r="R625" s="783">
        <v>1080000</v>
      </c>
      <c r="S625" s="789"/>
      <c r="T625" s="816"/>
      <c r="U625" s="798"/>
      <c r="V625" s="816"/>
      <c r="W625" s="856"/>
      <c r="X625" s="816"/>
      <c r="Y625" s="831">
        <v>3</v>
      </c>
      <c r="Z625" s="783">
        <v>1080000</v>
      </c>
      <c r="AA625" s="791">
        <f t="shared" si="123"/>
        <v>3</v>
      </c>
      <c r="AB625" s="791">
        <f t="shared" si="121"/>
        <v>46602500</v>
      </c>
      <c r="AC625" s="791"/>
      <c r="AD625" s="792">
        <f t="shared" si="122"/>
        <v>46.602499999999999</v>
      </c>
      <c r="AE625" s="786"/>
    </row>
    <row r="626" spans="1:31" s="787" customFormat="1" ht="43.5" customHeight="1">
      <c r="A626" s="777"/>
      <c r="B626" s="777"/>
      <c r="C626" s="778" t="s">
        <v>146</v>
      </c>
      <c r="D626" s="778" t="s">
        <v>65</v>
      </c>
      <c r="E626" s="778" t="s">
        <v>66</v>
      </c>
      <c r="F626" s="778" t="s">
        <v>448</v>
      </c>
      <c r="G626" s="778"/>
      <c r="H626" s="1914"/>
      <c r="I626" s="780" t="s">
        <v>206</v>
      </c>
      <c r="J626" s="857" t="s">
        <v>1195</v>
      </c>
      <c r="K626" s="777"/>
      <c r="L626" s="782">
        <v>100000000</v>
      </c>
      <c r="M626" s="777"/>
      <c r="N626" s="782">
        <v>261595031</v>
      </c>
      <c r="O626" s="855">
        <v>12</v>
      </c>
      <c r="P626" s="782">
        <v>18565000</v>
      </c>
      <c r="Q626" s="831">
        <f>R626/P626</f>
        <v>0</v>
      </c>
      <c r="R626" s="783">
        <v>0</v>
      </c>
      <c r="S626" s="789"/>
      <c r="T626" s="816"/>
      <c r="U626" s="798"/>
      <c r="V626" s="816"/>
      <c r="W626" s="856"/>
      <c r="X626" s="816"/>
      <c r="Y626" s="831">
        <v>0</v>
      </c>
      <c r="Z626" s="783">
        <v>0</v>
      </c>
      <c r="AA626" s="791">
        <f t="shared" si="123"/>
        <v>0</v>
      </c>
      <c r="AB626" s="791">
        <f t="shared" si="121"/>
        <v>261595031</v>
      </c>
      <c r="AC626" s="791"/>
      <c r="AD626" s="792">
        <f t="shared" si="122"/>
        <v>261.59503100000001</v>
      </c>
      <c r="AE626" s="786"/>
    </row>
    <row r="627" spans="1:31" s="787" customFormat="1" ht="50.25" customHeight="1">
      <c r="A627" s="777"/>
      <c r="B627" s="777"/>
      <c r="C627" s="778" t="s">
        <v>146</v>
      </c>
      <c r="D627" s="778" t="s">
        <v>65</v>
      </c>
      <c r="E627" s="778" t="s">
        <v>66</v>
      </c>
      <c r="F627" s="778" t="s">
        <v>167</v>
      </c>
      <c r="G627" s="778"/>
      <c r="H627" s="1914"/>
      <c r="I627" s="780" t="s">
        <v>207</v>
      </c>
      <c r="J627" s="857" t="s">
        <v>1196</v>
      </c>
      <c r="K627" s="777"/>
      <c r="L627" s="782">
        <v>135000000</v>
      </c>
      <c r="M627" s="777"/>
      <c r="N627" s="782">
        <v>93025000</v>
      </c>
      <c r="O627" s="855">
        <v>12</v>
      </c>
      <c r="P627" s="782">
        <v>109920000</v>
      </c>
      <c r="Q627" s="831">
        <v>3</v>
      </c>
      <c r="R627" s="783">
        <v>16490600</v>
      </c>
      <c r="S627" s="789"/>
      <c r="T627" s="816"/>
      <c r="U627" s="798"/>
      <c r="V627" s="816"/>
      <c r="W627" s="856"/>
      <c r="X627" s="816"/>
      <c r="Y627" s="831">
        <v>3</v>
      </c>
      <c r="Z627" s="783">
        <v>16490600</v>
      </c>
      <c r="AA627" s="791">
        <f t="shared" si="123"/>
        <v>3</v>
      </c>
      <c r="AB627" s="791">
        <f t="shared" si="121"/>
        <v>109515600</v>
      </c>
      <c r="AC627" s="791"/>
      <c r="AD627" s="792">
        <f t="shared" si="122"/>
        <v>81.12266666666666</v>
      </c>
      <c r="AE627" s="786"/>
    </row>
    <row r="628" spans="1:31" s="787" customFormat="1" ht="51" customHeight="1">
      <c r="A628" s="777"/>
      <c r="B628" s="777"/>
      <c r="C628" s="778" t="s">
        <v>146</v>
      </c>
      <c r="D628" s="778" t="s">
        <v>65</v>
      </c>
      <c r="E628" s="778" t="s">
        <v>66</v>
      </c>
      <c r="F628" s="778" t="s">
        <v>376</v>
      </c>
      <c r="G628" s="778"/>
      <c r="H628" s="1914"/>
      <c r="I628" s="780" t="s">
        <v>208</v>
      </c>
      <c r="J628" s="857" t="s">
        <v>1197</v>
      </c>
      <c r="K628" s="777"/>
      <c r="L628" s="782">
        <v>120000000</v>
      </c>
      <c r="M628" s="777"/>
      <c r="N628" s="782">
        <v>90312950</v>
      </c>
      <c r="O628" s="859">
        <f>O627</f>
        <v>12</v>
      </c>
      <c r="P628" s="782">
        <v>35000000</v>
      </c>
      <c r="Q628" s="831">
        <v>3</v>
      </c>
      <c r="R628" s="783">
        <v>10250000</v>
      </c>
      <c r="S628" s="789"/>
      <c r="T628" s="816"/>
      <c r="U628" s="798"/>
      <c r="V628" s="816"/>
      <c r="W628" s="856"/>
      <c r="X628" s="816"/>
      <c r="Y628" s="831">
        <v>3</v>
      </c>
      <c r="Z628" s="783">
        <v>10250000</v>
      </c>
      <c r="AA628" s="791">
        <f t="shared" si="123"/>
        <v>3</v>
      </c>
      <c r="AB628" s="791">
        <f t="shared" si="121"/>
        <v>100562950</v>
      </c>
      <c r="AC628" s="791"/>
      <c r="AD628" s="792">
        <f t="shared" si="122"/>
        <v>83.802458333333334</v>
      </c>
      <c r="AE628" s="786"/>
    </row>
    <row r="629" spans="1:31" s="787" customFormat="1" ht="41.25" customHeight="1">
      <c r="A629" s="777"/>
      <c r="B629" s="777"/>
      <c r="C629" s="778" t="s">
        <v>146</v>
      </c>
      <c r="D629" s="778" t="s">
        <v>65</v>
      </c>
      <c r="E629" s="778" t="s">
        <v>66</v>
      </c>
      <c r="F629" s="778" t="s">
        <v>163</v>
      </c>
      <c r="G629" s="778"/>
      <c r="H629" s="4429"/>
      <c r="I629" s="780" t="s">
        <v>538</v>
      </c>
      <c r="J629" s="857" t="s">
        <v>1198</v>
      </c>
      <c r="K629" s="777"/>
      <c r="L629" s="782">
        <v>55000000</v>
      </c>
      <c r="M629" s="777"/>
      <c r="N629" s="782">
        <v>0</v>
      </c>
      <c r="O629" s="859"/>
      <c r="P629" s="782">
        <v>37878072</v>
      </c>
      <c r="Q629" s="831"/>
      <c r="R629" s="783">
        <v>11784500</v>
      </c>
      <c r="S629" s="789"/>
      <c r="T629" s="816"/>
      <c r="U629" s="798"/>
      <c r="V629" s="816"/>
      <c r="W629" s="856"/>
      <c r="X629" s="816"/>
      <c r="Y629" s="831"/>
      <c r="Z629" s="783">
        <v>11784500</v>
      </c>
      <c r="AA629" s="791">
        <f t="shared" si="123"/>
        <v>0</v>
      </c>
      <c r="AB629" s="791">
        <f t="shared" si="121"/>
        <v>11784500</v>
      </c>
      <c r="AC629" s="791"/>
      <c r="AD629" s="792">
        <f t="shared" si="122"/>
        <v>21.426363636363636</v>
      </c>
      <c r="AE629" s="786"/>
    </row>
    <row r="630" spans="1:31" s="787" customFormat="1" ht="23.25" customHeight="1">
      <c r="A630" s="777"/>
      <c r="B630" s="777"/>
      <c r="C630" s="778"/>
      <c r="D630" s="778"/>
      <c r="E630" s="778"/>
      <c r="F630" s="778"/>
      <c r="G630" s="778"/>
      <c r="H630" s="4429"/>
      <c r="I630" s="780"/>
      <c r="J630" s="857" t="s">
        <v>1199</v>
      </c>
      <c r="K630" s="777"/>
      <c r="L630" s="782"/>
      <c r="M630" s="777"/>
      <c r="N630" s="782"/>
      <c r="O630" s="859">
        <v>1</v>
      </c>
      <c r="P630" s="782"/>
      <c r="Q630" s="831">
        <v>0</v>
      </c>
      <c r="R630" s="783"/>
      <c r="S630" s="789"/>
      <c r="T630" s="816"/>
      <c r="U630" s="798"/>
      <c r="V630" s="816"/>
      <c r="W630" s="856"/>
      <c r="X630" s="816"/>
      <c r="Y630" s="831">
        <v>0</v>
      </c>
      <c r="Z630" s="783"/>
      <c r="AA630" s="791"/>
      <c r="AB630" s="791"/>
      <c r="AC630" s="791"/>
      <c r="AD630" s="792"/>
      <c r="AE630" s="786"/>
    </row>
    <row r="631" spans="1:31" s="787" customFormat="1" ht="21" customHeight="1">
      <c r="A631" s="777"/>
      <c r="B631" s="777"/>
      <c r="C631" s="778"/>
      <c r="D631" s="778"/>
      <c r="E631" s="778"/>
      <c r="F631" s="778"/>
      <c r="G631" s="778"/>
      <c r="H631" s="4429"/>
      <c r="I631" s="780"/>
      <c r="J631" s="857" t="s">
        <v>1200</v>
      </c>
      <c r="K631" s="777"/>
      <c r="L631" s="782"/>
      <c r="M631" s="777"/>
      <c r="N631" s="782"/>
      <c r="O631" s="859">
        <v>1</v>
      </c>
      <c r="P631" s="782"/>
      <c r="Q631" s="831">
        <v>0</v>
      </c>
      <c r="R631" s="783"/>
      <c r="S631" s="789"/>
      <c r="T631" s="816"/>
      <c r="U631" s="798"/>
      <c r="V631" s="816"/>
      <c r="W631" s="856"/>
      <c r="X631" s="816"/>
      <c r="Y631" s="831">
        <v>0</v>
      </c>
      <c r="Z631" s="783"/>
      <c r="AA631" s="791"/>
      <c r="AB631" s="791"/>
      <c r="AC631" s="791"/>
      <c r="AD631" s="792"/>
      <c r="AE631" s="786"/>
    </row>
    <row r="632" spans="1:31" s="787" customFormat="1" ht="22.5" customHeight="1">
      <c r="A632" s="777"/>
      <c r="B632" s="777"/>
      <c r="C632" s="778"/>
      <c r="D632" s="778"/>
      <c r="E632" s="778"/>
      <c r="F632" s="778"/>
      <c r="G632" s="778"/>
      <c r="H632" s="4429"/>
      <c r="I632" s="780"/>
      <c r="J632" s="857" t="s">
        <v>1201</v>
      </c>
      <c r="K632" s="777"/>
      <c r="L632" s="782"/>
      <c r="M632" s="777"/>
      <c r="N632" s="782"/>
      <c r="O632" s="859">
        <v>12</v>
      </c>
      <c r="P632" s="782"/>
      <c r="Q632" s="831">
        <v>3</v>
      </c>
      <c r="R632" s="783"/>
      <c r="S632" s="789"/>
      <c r="T632" s="816"/>
      <c r="U632" s="798"/>
      <c r="V632" s="816"/>
      <c r="W632" s="856"/>
      <c r="X632" s="816"/>
      <c r="Y632" s="831">
        <v>3</v>
      </c>
      <c r="Z632" s="783"/>
      <c r="AA632" s="791"/>
      <c r="AB632" s="791"/>
      <c r="AC632" s="791"/>
      <c r="AD632" s="792"/>
      <c r="AE632" s="786"/>
    </row>
    <row r="633" spans="1:31" s="787" customFormat="1" ht="21.75" customHeight="1">
      <c r="A633" s="777"/>
      <c r="B633" s="777"/>
      <c r="C633" s="779"/>
      <c r="D633" s="779"/>
      <c r="E633" s="779"/>
      <c r="F633" s="779"/>
      <c r="G633" s="779"/>
      <c r="H633" s="4429"/>
      <c r="I633" s="854"/>
      <c r="J633" s="781" t="s">
        <v>1202</v>
      </c>
      <c r="K633" s="777"/>
      <c r="L633" s="782"/>
      <c r="M633" s="777"/>
      <c r="N633" s="782">
        <v>686187400</v>
      </c>
      <c r="O633" s="859">
        <v>4</v>
      </c>
      <c r="P633" s="782"/>
      <c r="Q633" s="831">
        <v>1</v>
      </c>
      <c r="R633" s="783"/>
      <c r="S633" s="777"/>
      <c r="T633" s="782"/>
      <c r="U633" s="782"/>
      <c r="V633" s="782"/>
      <c r="W633" s="860"/>
      <c r="X633" s="782"/>
      <c r="Y633" s="831">
        <v>1</v>
      </c>
      <c r="Z633" s="783"/>
      <c r="AA633" s="777"/>
      <c r="AB633" s="791">
        <f>Z633+N633</f>
        <v>686187400</v>
      </c>
      <c r="AC633" s="777"/>
      <c r="AD633" s="792"/>
      <c r="AE633" s="786"/>
    </row>
    <row r="634" spans="1:31" s="787" customFormat="1" ht="20.25" customHeight="1">
      <c r="A634" s="777"/>
      <c r="B634" s="777"/>
      <c r="C634" s="779"/>
      <c r="D634" s="779"/>
      <c r="E634" s="779"/>
      <c r="F634" s="779"/>
      <c r="G634" s="779"/>
      <c r="H634" s="1914"/>
      <c r="I634" s="854"/>
      <c r="J634" s="781" t="s">
        <v>1203</v>
      </c>
      <c r="K634" s="777"/>
      <c r="L634" s="782"/>
      <c r="M634" s="777"/>
      <c r="N634" s="782"/>
      <c r="O634" s="859">
        <v>1</v>
      </c>
      <c r="P634" s="782"/>
      <c r="Q634" s="831"/>
      <c r="R634" s="783"/>
      <c r="S634" s="777"/>
      <c r="T634" s="782"/>
      <c r="U634" s="782"/>
      <c r="V634" s="782"/>
      <c r="W634" s="860"/>
      <c r="X634" s="782"/>
      <c r="Y634" s="831"/>
      <c r="Z634" s="783"/>
      <c r="AA634" s="777"/>
      <c r="AB634" s="791"/>
      <c r="AC634" s="777"/>
      <c r="AD634" s="792"/>
      <c r="AE634" s="786"/>
    </row>
    <row r="635" spans="1:31" s="776" customFormat="1" ht="42" customHeight="1">
      <c r="A635" s="819"/>
      <c r="B635" s="819"/>
      <c r="C635" s="820" t="s">
        <v>146</v>
      </c>
      <c r="D635" s="820" t="s">
        <v>65</v>
      </c>
      <c r="E635" s="820" t="s">
        <v>65</v>
      </c>
      <c r="F635" s="821"/>
      <c r="G635" s="821"/>
      <c r="H635" s="822"/>
      <c r="I635" s="834" t="s">
        <v>162</v>
      </c>
      <c r="J635" s="758" t="s">
        <v>1204</v>
      </c>
      <c r="K635" s="819"/>
      <c r="L635" s="835">
        <f>SUM(L636:L646)</f>
        <v>255000000</v>
      </c>
      <c r="M635" s="819"/>
      <c r="N635" s="835">
        <f>SUM(N636:N646)</f>
        <v>633812400</v>
      </c>
      <c r="O635" s="861"/>
      <c r="P635" s="835">
        <f>SUM(P636:P646)</f>
        <v>160243036</v>
      </c>
      <c r="Q635" s="862">
        <f>+R635/P635</f>
        <v>0.29376502826618939</v>
      </c>
      <c r="R635" s="835">
        <f>SUM(R636:R646)</f>
        <v>47073800</v>
      </c>
      <c r="S635" s="863"/>
      <c r="T635" s="835"/>
      <c r="U635" s="864"/>
      <c r="V635" s="835"/>
      <c r="W635" s="865"/>
      <c r="X635" s="835"/>
      <c r="Y635" s="828">
        <f>+Z635/P635</f>
        <v>0.29376502826618939</v>
      </c>
      <c r="Z635" s="835">
        <f>SUM(Z636:Z646)</f>
        <v>47073800</v>
      </c>
      <c r="AA635" s="819"/>
      <c r="AB635" s="829">
        <f>Z635+N635</f>
        <v>680886200</v>
      </c>
      <c r="AC635" s="819"/>
      <c r="AD635" s="830">
        <f>(AB635/L635)*100</f>
        <v>267.01419607843138</v>
      </c>
      <c r="AE635" s="839"/>
    </row>
    <row r="636" spans="1:31" s="787" customFormat="1" ht="39" customHeight="1">
      <c r="A636" s="777"/>
      <c r="B636" s="777"/>
      <c r="C636" s="778" t="s">
        <v>146</v>
      </c>
      <c r="D636" s="778" t="s">
        <v>65</v>
      </c>
      <c r="E636" s="778" t="s">
        <v>65</v>
      </c>
      <c r="F636" s="778" t="s">
        <v>161</v>
      </c>
      <c r="G636" s="779"/>
      <c r="H636" s="1914"/>
      <c r="I636" s="780" t="s">
        <v>1205</v>
      </c>
      <c r="J636" s="781" t="s">
        <v>1206</v>
      </c>
      <c r="K636" s="777"/>
      <c r="L636" s="782"/>
      <c r="M636" s="777"/>
      <c r="N636" s="866">
        <v>394242950</v>
      </c>
      <c r="O636" s="859"/>
      <c r="P636" s="782">
        <v>71497200</v>
      </c>
      <c r="Q636" s="831"/>
      <c r="R636" s="783">
        <v>20239800</v>
      </c>
      <c r="S636" s="777"/>
      <c r="T636" s="782"/>
      <c r="U636" s="782"/>
      <c r="V636" s="782"/>
      <c r="W636" s="860"/>
      <c r="X636" s="782"/>
      <c r="Y636" s="831"/>
      <c r="Z636" s="783">
        <v>20239800</v>
      </c>
      <c r="AA636" s="777"/>
      <c r="AB636" s="791"/>
      <c r="AC636" s="777"/>
      <c r="AD636" s="792"/>
      <c r="AE636" s="786"/>
    </row>
    <row r="637" spans="1:31" s="787" customFormat="1" ht="23.25" customHeight="1">
      <c r="A637" s="777"/>
      <c r="B637" s="777"/>
      <c r="C637" s="778"/>
      <c r="D637" s="778"/>
      <c r="E637" s="778"/>
      <c r="F637" s="778"/>
      <c r="G637" s="779"/>
      <c r="H637" s="1914"/>
      <c r="I637" s="780"/>
      <c r="J637" s="781" t="s">
        <v>1207</v>
      </c>
      <c r="K637" s="777"/>
      <c r="L637" s="782"/>
      <c r="M637" s="777"/>
      <c r="N637" s="867"/>
      <c r="O637" s="859">
        <v>2</v>
      </c>
      <c r="P637" s="782"/>
      <c r="Q637" s="831">
        <v>2</v>
      </c>
      <c r="R637" s="783"/>
      <c r="S637" s="777"/>
      <c r="T637" s="782"/>
      <c r="U637" s="782"/>
      <c r="V637" s="782"/>
      <c r="W637" s="860"/>
      <c r="X637" s="782"/>
      <c r="Y637" s="831">
        <v>2</v>
      </c>
      <c r="Z637" s="783"/>
      <c r="AA637" s="777"/>
      <c r="AB637" s="791"/>
      <c r="AC637" s="777"/>
      <c r="AD637" s="792"/>
      <c r="AE637" s="786"/>
    </row>
    <row r="638" spans="1:31" s="787" customFormat="1" ht="24.75" customHeight="1">
      <c r="A638" s="777"/>
      <c r="B638" s="777"/>
      <c r="C638" s="778"/>
      <c r="D638" s="778"/>
      <c r="E638" s="778"/>
      <c r="F638" s="778"/>
      <c r="G638" s="779"/>
      <c r="H638" s="1914"/>
      <c r="I638" s="780"/>
      <c r="J638" s="781" t="s">
        <v>1208</v>
      </c>
      <c r="K638" s="777"/>
      <c r="L638" s="782"/>
      <c r="M638" s="777"/>
      <c r="N638" s="867"/>
      <c r="O638" s="859">
        <v>6</v>
      </c>
      <c r="P638" s="782"/>
      <c r="Q638" s="831">
        <v>6</v>
      </c>
      <c r="R638" s="783"/>
      <c r="S638" s="777"/>
      <c r="T638" s="782"/>
      <c r="U638" s="782"/>
      <c r="V638" s="782"/>
      <c r="W638" s="860"/>
      <c r="X638" s="782"/>
      <c r="Y638" s="831">
        <v>6</v>
      </c>
      <c r="Z638" s="783"/>
      <c r="AA638" s="777"/>
      <c r="AB638" s="791"/>
      <c r="AC638" s="777"/>
      <c r="AD638" s="792"/>
      <c r="AE638" s="786"/>
    </row>
    <row r="639" spans="1:31" s="787" customFormat="1" ht="38.25">
      <c r="A639" s="777"/>
      <c r="B639" s="777"/>
      <c r="C639" s="778" t="s">
        <v>146</v>
      </c>
      <c r="D639" s="778" t="s">
        <v>65</v>
      </c>
      <c r="E639" s="778" t="s">
        <v>65</v>
      </c>
      <c r="F639" s="778" t="s">
        <v>201</v>
      </c>
      <c r="G639" s="779"/>
      <c r="H639" s="1914"/>
      <c r="I639" s="780" t="s">
        <v>1209</v>
      </c>
      <c r="J639" s="781" t="s">
        <v>1210</v>
      </c>
      <c r="K639" s="777"/>
      <c r="L639" s="782">
        <v>100000000</v>
      </c>
      <c r="M639" s="777"/>
      <c r="N639" s="797">
        <v>72717250</v>
      </c>
      <c r="O639" s="868"/>
      <c r="P639" s="782">
        <v>27302656</v>
      </c>
      <c r="Q639" s="831">
        <v>0</v>
      </c>
      <c r="R639" s="783">
        <v>26412000</v>
      </c>
      <c r="S639" s="789"/>
      <c r="T639" s="869"/>
      <c r="U639" s="798"/>
      <c r="V639" s="791"/>
      <c r="W639" s="856"/>
      <c r="X639" s="791"/>
      <c r="Y639" s="831">
        <v>0</v>
      </c>
      <c r="Z639" s="783">
        <v>26412000</v>
      </c>
      <c r="AA639" s="870">
        <f>Y639</f>
        <v>0</v>
      </c>
      <c r="AB639" s="791">
        <f>Z639+N639</f>
        <v>99129250</v>
      </c>
      <c r="AC639" s="791"/>
      <c r="AD639" s="792">
        <f>(AB639/L639)*100</f>
        <v>99.129249999999999</v>
      </c>
      <c r="AE639" s="786"/>
    </row>
    <row r="640" spans="1:31" s="787" customFormat="1" ht="23.25" customHeight="1">
      <c r="A640" s="777"/>
      <c r="B640" s="777"/>
      <c r="C640" s="778"/>
      <c r="D640" s="778"/>
      <c r="E640" s="778"/>
      <c r="F640" s="778"/>
      <c r="G640" s="779"/>
      <c r="H640" s="1914"/>
      <c r="I640" s="780"/>
      <c r="J640" s="868" t="s">
        <v>1211</v>
      </c>
      <c r="K640" s="777"/>
      <c r="L640" s="782"/>
      <c r="M640" s="777"/>
      <c r="N640" s="797"/>
      <c r="O640" s="871">
        <v>1</v>
      </c>
      <c r="P640" s="782"/>
      <c r="Q640" s="871">
        <v>1</v>
      </c>
      <c r="R640" s="783"/>
      <c r="S640" s="789"/>
      <c r="T640" s="869"/>
      <c r="U640" s="798"/>
      <c r="V640" s="791"/>
      <c r="W640" s="856"/>
      <c r="X640" s="791"/>
      <c r="Y640" s="871">
        <v>1</v>
      </c>
      <c r="Z640" s="783"/>
      <c r="AA640" s="870"/>
      <c r="AB640" s="791"/>
      <c r="AC640" s="791"/>
      <c r="AD640" s="792"/>
      <c r="AE640" s="786"/>
    </row>
    <row r="641" spans="1:44" s="787" customFormat="1" ht="21.75" customHeight="1">
      <c r="A641" s="777"/>
      <c r="B641" s="777"/>
      <c r="C641" s="778"/>
      <c r="D641" s="778"/>
      <c r="E641" s="778"/>
      <c r="F641" s="778"/>
      <c r="G641" s="779"/>
      <c r="H641" s="1914"/>
      <c r="I641" s="780"/>
      <c r="J641" s="868" t="s">
        <v>1212</v>
      </c>
      <c r="K641" s="777"/>
      <c r="L641" s="782"/>
      <c r="M641" s="777"/>
      <c r="N641" s="797"/>
      <c r="O641" s="871">
        <v>1</v>
      </c>
      <c r="P641" s="782"/>
      <c r="Q641" s="871">
        <v>1</v>
      </c>
      <c r="R641" s="783"/>
      <c r="S641" s="789"/>
      <c r="T641" s="869"/>
      <c r="U641" s="798"/>
      <c r="V641" s="791"/>
      <c r="W641" s="856"/>
      <c r="X641" s="791"/>
      <c r="Y641" s="871">
        <v>1</v>
      </c>
      <c r="Z641" s="783"/>
      <c r="AA641" s="870"/>
      <c r="AB641" s="791"/>
      <c r="AC641" s="791"/>
      <c r="AD641" s="792"/>
      <c r="AE641" s="786"/>
    </row>
    <row r="642" spans="1:44" s="787" customFormat="1" ht="21.75" customHeight="1">
      <c r="A642" s="777"/>
      <c r="B642" s="777"/>
      <c r="C642" s="778"/>
      <c r="D642" s="778"/>
      <c r="E642" s="778"/>
      <c r="F642" s="778"/>
      <c r="G642" s="779"/>
      <c r="H642" s="1914"/>
      <c r="I642" s="780"/>
      <c r="J642" s="868" t="s">
        <v>1213</v>
      </c>
      <c r="K642" s="777"/>
      <c r="L642" s="782"/>
      <c r="M642" s="777"/>
      <c r="N642" s="797"/>
      <c r="O642" s="871">
        <v>1</v>
      </c>
      <c r="P642" s="782"/>
      <c r="Q642" s="871">
        <v>1</v>
      </c>
      <c r="R642" s="783"/>
      <c r="S642" s="789"/>
      <c r="T642" s="869"/>
      <c r="U642" s="798"/>
      <c r="V642" s="791"/>
      <c r="W642" s="856"/>
      <c r="X642" s="791"/>
      <c r="Y642" s="871">
        <v>1</v>
      </c>
      <c r="Z642" s="783"/>
      <c r="AA642" s="870"/>
      <c r="AB642" s="791"/>
      <c r="AC642" s="791"/>
      <c r="AD642" s="792"/>
      <c r="AE642" s="786"/>
    </row>
    <row r="643" spans="1:44" s="787" customFormat="1" ht="21.75" customHeight="1">
      <c r="A643" s="777"/>
      <c r="B643" s="777"/>
      <c r="C643" s="778"/>
      <c r="D643" s="778"/>
      <c r="E643" s="778"/>
      <c r="F643" s="778"/>
      <c r="G643" s="779"/>
      <c r="H643" s="1914"/>
      <c r="I643" s="780"/>
      <c r="J643" s="868" t="s">
        <v>1214</v>
      </c>
      <c r="K643" s="777"/>
      <c r="L643" s="782"/>
      <c r="M643" s="777"/>
      <c r="N643" s="797"/>
      <c r="O643" s="871">
        <v>1</v>
      </c>
      <c r="P643" s="782"/>
      <c r="Q643" s="871">
        <v>1</v>
      </c>
      <c r="R643" s="783"/>
      <c r="S643" s="789"/>
      <c r="T643" s="869"/>
      <c r="U643" s="798"/>
      <c r="V643" s="791"/>
      <c r="W643" s="856"/>
      <c r="X643" s="791"/>
      <c r="Y643" s="871">
        <v>1</v>
      </c>
      <c r="Z643" s="783"/>
      <c r="AA643" s="870"/>
      <c r="AB643" s="791"/>
      <c r="AC643" s="791"/>
      <c r="AD643" s="792"/>
      <c r="AE643" s="786"/>
    </row>
    <row r="644" spans="1:44" s="787" customFormat="1" ht="21.75" customHeight="1">
      <c r="A644" s="777"/>
      <c r="B644" s="777"/>
      <c r="C644" s="778" t="s">
        <v>146</v>
      </c>
      <c r="D644" s="778" t="s">
        <v>65</v>
      </c>
      <c r="E644" s="778" t="s">
        <v>65</v>
      </c>
      <c r="F644" s="778" t="s">
        <v>202</v>
      </c>
      <c r="G644" s="779"/>
      <c r="H644" s="1914"/>
      <c r="I644" s="780" t="s">
        <v>1215</v>
      </c>
      <c r="J644" s="872"/>
      <c r="K644" s="777"/>
      <c r="L644" s="782"/>
      <c r="M644" s="777"/>
      <c r="N644" s="866"/>
      <c r="O644" s="873"/>
      <c r="P644" s="782"/>
      <c r="Q644" s="831"/>
      <c r="R644" s="783"/>
      <c r="S644" s="777"/>
      <c r="T644" s="791"/>
      <c r="U644" s="782"/>
      <c r="V644" s="791"/>
      <c r="W644" s="860"/>
      <c r="X644" s="777"/>
      <c r="Y644" s="831"/>
      <c r="Z644" s="783"/>
      <c r="AA644" s="870"/>
      <c r="AB644" s="791"/>
      <c r="AC644" s="791"/>
      <c r="AD644" s="792"/>
      <c r="AE644" s="786"/>
    </row>
    <row r="645" spans="1:44" s="787" customFormat="1" ht="63.75">
      <c r="A645" s="777"/>
      <c r="B645" s="777"/>
      <c r="C645" s="778" t="s">
        <v>146</v>
      </c>
      <c r="D645" s="778" t="s">
        <v>65</v>
      </c>
      <c r="E645" s="778" t="s">
        <v>65</v>
      </c>
      <c r="F645" s="778" t="s">
        <v>165</v>
      </c>
      <c r="G645" s="779"/>
      <c r="H645" s="1914"/>
      <c r="I645" s="780" t="s">
        <v>1216</v>
      </c>
      <c r="J645" s="781" t="s">
        <v>1217</v>
      </c>
      <c r="K645" s="777"/>
      <c r="L645" s="782">
        <v>55000000</v>
      </c>
      <c r="M645" s="777"/>
      <c r="N645" s="782">
        <v>166852200</v>
      </c>
      <c r="O645" s="866"/>
      <c r="P645" s="782"/>
      <c r="Q645" s="831"/>
      <c r="R645" s="783"/>
      <c r="S645" s="789"/>
      <c r="T645" s="777"/>
      <c r="U645" s="798"/>
      <c r="V645" s="777"/>
      <c r="W645" s="856"/>
      <c r="X645" s="777"/>
      <c r="Y645" s="831"/>
      <c r="Z645" s="783"/>
      <c r="AA645" s="870">
        <f>Y645</f>
        <v>0</v>
      </c>
      <c r="AB645" s="791">
        <f>Z645+0</f>
        <v>0</v>
      </c>
      <c r="AC645" s="791"/>
      <c r="AD645" s="792">
        <f>(AB645/L645)*100</f>
        <v>0</v>
      </c>
      <c r="AE645" s="786"/>
    </row>
    <row r="646" spans="1:44" s="787" customFormat="1" ht="25.5">
      <c r="A646" s="777"/>
      <c r="B646" s="777"/>
      <c r="C646" s="778" t="s">
        <v>146</v>
      </c>
      <c r="D646" s="778" t="s">
        <v>65</v>
      </c>
      <c r="E646" s="778" t="s">
        <v>65</v>
      </c>
      <c r="F646" s="778" t="s">
        <v>164</v>
      </c>
      <c r="G646" s="779"/>
      <c r="H646" s="4429"/>
      <c r="I646" s="780" t="s">
        <v>1218</v>
      </c>
      <c r="J646" s="781" t="s">
        <v>1219</v>
      </c>
      <c r="K646" s="777"/>
      <c r="L646" s="782">
        <v>100000000</v>
      </c>
      <c r="M646" s="777"/>
      <c r="N646" s="797"/>
      <c r="O646" s="871"/>
      <c r="P646" s="782">
        <v>61443180</v>
      </c>
      <c r="Q646" s="831"/>
      <c r="R646" s="783">
        <v>422000</v>
      </c>
      <c r="S646" s="789"/>
      <c r="T646" s="777"/>
      <c r="U646" s="798"/>
      <c r="V646" s="777"/>
      <c r="W646" s="856"/>
      <c r="X646" s="777"/>
      <c r="Y646" s="831"/>
      <c r="Z646" s="783">
        <v>422000</v>
      </c>
      <c r="AA646" s="870"/>
      <c r="AB646" s="791">
        <f>Z646+N646</f>
        <v>422000</v>
      </c>
      <c r="AC646" s="791"/>
      <c r="AD646" s="792">
        <f>(AB646/L646)*100</f>
        <v>0.42199999999999999</v>
      </c>
      <c r="AE646" s="786"/>
    </row>
    <row r="647" spans="1:44" s="787" customFormat="1" ht="25.5" customHeight="1">
      <c r="A647" s="777"/>
      <c r="B647" s="777"/>
      <c r="C647" s="778"/>
      <c r="D647" s="778"/>
      <c r="E647" s="778"/>
      <c r="F647" s="778"/>
      <c r="G647" s="779"/>
      <c r="H647" s="4429"/>
      <c r="I647" s="780"/>
      <c r="J647" s="781" t="s">
        <v>1220</v>
      </c>
      <c r="K647" s="777"/>
      <c r="L647" s="782"/>
      <c r="M647" s="777"/>
      <c r="N647" s="797"/>
      <c r="O647" s="871">
        <v>620</v>
      </c>
      <c r="P647" s="782"/>
      <c r="Q647" s="831">
        <v>0</v>
      </c>
      <c r="R647" s="783"/>
      <c r="S647" s="789"/>
      <c r="T647" s="777"/>
      <c r="U647" s="798"/>
      <c r="V647" s="777"/>
      <c r="W647" s="856"/>
      <c r="X647" s="777"/>
      <c r="Y647" s="831">
        <v>0</v>
      </c>
      <c r="Z647" s="783"/>
      <c r="AA647" s="870"/>
      <c r="AB647" s="791"/>
      <c r="AC647" s="791"/>
      <c r="AD647" s="792"/>
      <c r="AE647" s="786"/>
    </row>
    <row r="648" spans="1:44" s="787" customFormat="1" ht="22.5" customHeight="1">
      <c r="A648" s="777"/>
      <c r="B648" s="777"/>
      <c r="C648" s="779"/>
      <c r="D648" s="779"/>
      <c r="E648" s="779"/>
      <c r="F648" s="779"/>
      <c r="G648" s="779"/>
      <c r="H648" s="4429"/>
      <c r="I648" s="854"/>
      <c r="J648" s="872" t="s">
        <v>1221</v>
      </c>
      <c r="K648" s="777"/>
      <c r="L648" s="782"/>
      <c r="M648" s="777"/>
      <c r="N648" s="866"/>
      <c r="O648" s="859">
        <v>200</v>
      </c>
      <c r="P648" s="782"/>
      <c r="Q648" s="831">
        <v>0</v>
      </c>
      <c r="R648" s="783"/>
      <c r="S648" s="777"/>
      <c r="T648" s="782"/>
      <c r="U648" s="782"/>
      <c r="V648" s="782"/>
      <c r="W648" s="860"/>
      <c r="X648" s="782"/>
      <c r="Y648" s="831">
        <v>0</v>
      </c>
      <c r="Z648" s="783"/>
      <c r="AA648" s="777"/>
      <c r="AB648" s="791"/>
      <c r="AC648" s="777"/>
      <c r="AD648" s="792"/>
      <c r="AE648" s="786"/>
    </row>
    <row r="649" spans="1:44" s="876" customFormat="1" ht="36.75" customHeight="1">
      <c r="A649" s="819"/>
      <c r="B649" s="819"/>
      <c r="C649" s="820" t="s">
        <v>146</v>
      </c>
      <c r="D649" s="820" t="s">
        <v>65</v>
      </c>
      <c r="E649" s="820" t="s">
        <v>161</v>
      </c>
      <c r="F649" s="821"/>
      <c r="G649" s="821"/>
      <c r="H649" s="822"/>
      <c r="I649" s="834" t="s">
        <v>1222</v>
      </c>
      <c r="J649" s="757" t="s">
        <v>1223</v>
      </c>
      <c r="K649" s="819"/>
      <c r="L649" s="835">
        <f>L650</f>
        <v>75000000</v>
      </c>
      <c r="M649" s="819"/>
      <c r="N649" s="835">
        <v>50000000</v>
      </c>
      <c r="O649" s="861"/>
      <c r="P649" s="835">
        <f>P650</f>
        <v>0</v>
      </c>
      <c r="Q649" s="874"/>
      <c r="R649" s="835">
        <f>R650</f>
        <v>0</v>
      </c>
      <c r="S649" s="863"/>
      <c r="T649" s="835"/>
      <c r="U649" s="864"/>
      <c r="V649" s="835"/>
      <c r="W649" s="865"/>
      <c r="X649" s="835"/>
      <c r="Y649" s="874"/>
      <c r="Z649" s="835">
        <f>Z650</f>
        <v>0</v>
      </c>
      <c r="AA649" s="819"/>
      <c r="AB649" s="829">
        <f>Z649+N649</f>
        <v>50000000</v>
      </c>
      <c r="AC649" s="819"/>
      <c r="AD649" s="830">
        <f>(AB649/L649)*100</f>
        <v>66.666666666666657</v>
      </c>
      <c r="AE649" s="875"/>
    </row>
    <row r="650" spans="1:44" s="787" customFormat="1" ht="46.5" customHeight="1">
      <c r="A650" s="777"/>
      <c r="B650" s="777"/>
      <c r="C650" s="778" t="s">
        <v>146</v>
      </c>
      <c r="D650" s="778" t="s">
        <v>65</v>
      </c>
      <c r="E650" s="778" t="s">
        <v>161</v>
      </c>
      <c r="F650" s="778" t="s">
        <v>66</v>
      </c>
      <c r="G650" s="779"/>
      <c r="H650" s="1914"/>
      <c r="I650" s="780" t="s">
        <v>1224</v>
      </c>
      <c r="J650" s="781" t="s">
        <v>1225</v>
      </c>
      <c r="K650" s="777"/>
      <c r="L650" s="782">
        <v>75000000</v>
      </c>
      <c r="M650" s="777"/>
      <c r="N650" s="782"/>
      <c r="O650" s="859"/>
      <c r="P650" s="782"/>
      <c r="Q650" s="831"/>
      <c r="R650" s="783"/>
      <c r="S650" s="789"/>
      <c r="T650" s="782"/>
      <c r="U650" s="798"/>
      <c r="V650" s="782"/>
      <c r="W650" s="856"/>
      <c r="X650" s="782"/>
      <c r="Y650" s="831"/>
      <c r="Z650" s="783"/>
      <c r="AA650" s="777"/>
      <c r="AB650" s="791">
        <f>Z650+N650</f>
        <v>0</v>
      </c>
      <c r="AC650" s="777"/>
      <c r="AD650" s="792">
        <f>(AB650/L650)*100</f>
        <v>0</v>
      </c>
      <c r="AE650" s="786"/>
    </row>
    <row r="651" spans="1:44" s="776" customFormat="1" ht="48" customHeight="1">
      <c r="A651" s="819"/>
      <c r="B651" s="819"/>
      <c r="C651" s="820" t="s">
        <v>146</v>
      </c>
      <c r="D651" s="820" t="s">
        <v>65</v>
      </c>
      <c r="E651" s="820" t="s">
        <v>197</v>
      </c>
      <c r="F651" s="821"/>
      <c r="G651" s="821"/>
      <c r="H651" s="822"/>
      <c r="I651" s="834" t="s">
        <v>1226</v>
      </c>
      <c r="J651" s="877" t="s">
        <v>1227</v>
      </c>
      <c r="K651" s="819"/>
      <c r="L651" s="835">
        <f>L652</f>
        <v>80000000</v>
      </c>
      <c r="M651" s="819"/>
      <c r="N651" s="835">
        <v>53524450</v>
      </c>
      <c r="O651" s="861"/>
      <c r="P651" s="835">
        <f>P652</f>
        <v>19369900</v>
      </c>
      <c r="Q651" s="862">
        <f>+R651/P651</f>
        <v>8.1435629507638135E-2</v>
      </c>
      <c r="R651" s="837">
        <f>R652</f>
        <v>1577400</v>
      </c>
      <c r="S651" s="863"/>
      <c r="T651" s="878"/>
      <c r="U651" s="864"/>
      <c r="V651" s="878"/>
      <c r="W651" s="865"/>
      <c r="X651" s="835"/>
      <c r="Y651" s="828">
        <f>+Z651/P651</f>
        <v>8.1435629507638135E-2</v>
      </c>
      <c r="Z651" s="837">
        <f>Z652</f>
        <v>1577400</v>
      </c>
      <c r="AA651" s="819"/>
      <c r="AB651" s="829">
        <f>Z651+N651</f>
        <v>55101850</v>
      </c>
      <c r="AC651" s="819"/>
      <c r="AD651" s="830">
        <f>(AB651/L651)*100</f>
        <v>68.877312500000002</v>
      </c>
      <c r="AE651" s="839"/>
    </row>
    <row r="652" spans="1:44" s="787" customFormat="1" ht="52.5" customHeight="1">
      <c r="A652" s="813"/>
      <c r="B652" s="813"/>
      <c r="C652" s="879" t="s">
        <v>146</v>
      </c>
      <c r="D652" s="879" t="s">
        <v>65</v>
      </c>
      <c r="E652" s="879" t="s">
        <v>197</v>
      </c>
      <c r="F652" s="879" t="s">
        <v>66</v>
      </c>
      <c r="G652" s="880"/>
      <c r="H652" s="815"/>
      <c r="I652" s="780" t="s">
        <v>1228</v>
      </c>
      <c r="J652" s="781" t="s">
        <v>1198</v>
      </c>
      <c r="K652" s="777"/>
      <c r="L652" s="782">
        <v>80000000</v>
      </c>
      <c r="M652" s="777"/>
      <c r="N652" s="782"/>
      <c r="O652" s="859"/>
      <c r="P652" s="782">
        <v>19369900</v>
      </c>
      <c r="Q652" s="831">
        <v>0</v>
      </c>
      <c r="R652" s="783">
        <v>1577400</v>
      </c>
      <c r="S652" s="789"/>
      <c r="T652" s="881"/>
      <c r="U652" s="798"/>
      <c r="V652" s="882"/>
      <c r="W652" s="856"/>
      <c r="X652" s="883"/>
      <c r="Y652" s="831">
        <v>0</v>
      </c>
      <c r="Z652" s="783">
        <v>1577400</v>
      </c>
      <c r="AA652" s="777"/>
      <c r="AB652" s="791">
        <f>Z652+N652</f>
        <v>1577400</v>
      </c>
      <c r="AC652" s="777"/>
      <c r="AD652" s="792">
        <f>(AB652/L652)*100</f>
        <v>1.9717499999999999</v>
      </c>
      <c r="AE652" s="786"/>
    </row>
    <row r="653" spans="1:44" s="787" customFormat="1" ht="42.75" customHeight="1" thickBot="1">
      <c r="A653" s="884"/>
      <c r="B653" s="884"/>
      <c r="C653" s="885"/>
      <c r="D653" s="885"/>
      <c r="E653" s="885"/>
      <c r="F653" s="885"/>
      <c r="G653" s="886"/>
      <c r="H653" s="887"/>
      <c r="I653" s="888"/>
      <c r="J653" s="889" t="s">
        <v>1229</v>
      </c>
      <c r="K653" s="890"/>
      <c r="L653" s="891"/>
      <c r="M653" s="890"/>
      <c r="N653" s="891">
        <v>5546598550</v>
      </c>
      <c r="O653" s="892">
        <v>1</v>
      </c>
      <c r="P653" s="891"/>
      <c r="Q653" s="893">
        <v>1</v>
      </c>
      <c r="R653" s="894"/>
      <c r="S653" s="890"/>
      <c r="T653" s="891"/>
      <c r="U653" s="890"/>
      <c r="V653" s="891"/>
      <c r="W653" s="895"/>
      <c r="X653" s="891"/>
      <c r="Y653" s="893">
        <v>1</v>
      </c>
      <c r="Z653" s="894"/>
      <c r="AA653" s="890"/>
      <c r="AB653" s="896"/>
      <c r="AC653" s="890"/>
      <c r="AD653" s="897"/>
      <c r="AE653" s="786"/>
    </row>
    <row r="654" spans="1:44" s="776" customFormat="1" ht="51.75" customHeight="1">
      <c r="A654" s="759">
        <v>1</v>
      </c>
      <c r="B654" s="760" t="s">
        <v>1039</v>
      </c>
      <c r="C654" s="761" t="s">
        <v>146</v>
      </c>
      <c r="D654" s="761" t="s">
        <v>65</v>
      </c>
      <c r="E654" s="761" t="s">
        <v>161</v>
      </c>
      <c r="F654" s="761" t="s">
        <v>155</v>
      </c>
      <c r="G654" s="762"/>
      <c r="H654" s="763"/>
      <c r="I654" s="764" t="s">
        <v>1040</v>
      </c>
      <c r="J654" s="765" t="s">
        <v>1041</v>
      </c>
      <c r="K654" s="766">
        <v>1</v>
      </c>
      <c r="L654" s="767">
        <f>L657+L660</f>
        <v>300000000</v>
      </c>
      <c r="M654" s="768">
        <v>6</v>
      </c>
      <c r="N654" s="767">
        <v>136371900</v>
      </c>
      <c r="O654" s="769"/>
      <c r="P654" s="767">
        <f>P660</f>
        <v>66314672</v>
      </c>
      <c r="Q654" s="770">
        <f>R654/P654</f>
        <v>0.10208902186834311</v>
      </c>
      <c r="R654" s="771">
        <f>R660</f>
        <v>6770000</v>
      </c>
      <c r="S654" s="759"/>
      <c r="T654" s="767"/>
      <c r="U654" s="759"/>
      <c r="V654" s="767"/>
      <c r="W654" s="762"/>
      <c r="X654" s="767"/>
      <c r="Y654" s="770">
        <f>+Z654/P654</f>
        <v>0.10208902186834311</v>
      </c>
      <c r="Z654" s="771">
        <f>Z660</f>
        <v>6770000</v>
      </c>
      <c r="AA654" s="759"/>
      <c r="AB654" s="772">
        <f>Z654+N654</f>
        <v>143141900</v>
      </c>
      <c r="AC654" s="759"/>
      <c r="AD654" s="773">
        <f>(AB654/L654)*100</f>
        <v>47.713966666666671</v>
      </c>
      <c r="AE654" s="774" t="s">
        <v>1042</v>
      </c>
      <c r="AF654" s="775"/>
      <c r="AG654" s="775"/>
      <c r="AH654" s="775"/>
      <c r="AI654" s="775"/>
      <c r="AJ654" s="775"/>
      <c r="AK654" s="775"/>
      <c r="AL654" s="775"/>
      <c r="AM654" s="775"/>
      <c r="AN654" s="775"/>
      <c r="AO654" s="775"/>
      <c r="AP654" s="775"/>
      <c r="AQ654" s="775"/>
      <c r="AR654" s="775"/>
    </row>
    <row r="655" spans="1:44" s="787" customFormat="1" ht="29.25" customHeight="1">
      <c r="A655" s="777"/>
      <c r="B655" s="777"/>
      <c r="C655" s="778" t="s">
        <v>146</v>
      </c>
      <c r="D655" s="778" t="s">
        <v>65</v>
      </c>
      <c r="E655" s="778" t="s">
        <v>161</v>
      </c>
      <c r="F655" s="778" t="s">
        <v>197</v>
      </c>
      <c r="G655" s="779"/>
      <c r="H655" s="1914"/>
      <c r="I655" s="780" t="s">
        <v>1043</v>
      </c>
      <c r="J655" s="781"/>
      <c r="K655" s="777"/>
      <c r="L655" s="782"/>
      <c r="M655" s="777"/>
      <c r="N655" s="782"/>
      <c r="O655" s="777"/>
      <c r="P655" s="782"/>
      <c r="Q655" s="777"/>
      <c r="R655" s="783"/>
      <c r="S655" s="777"/>
      <c r="T655" s="782"/>
      <c r="U655" s="777"/>
      <c r="V655" s="782"/>
      <c r="W655" s="779"/>
      <c r="X655" s="782"/>
      <c r="Y655" s="777"/>
      <c r="Z655" s="783"/>
      <c r="AA655" s="777"/>
      <c r="AB655" s="784"/>
      <c r="AC655" s="777"/>
      <c r="AD655" s="785"/>
      <c r="AE655" s="786"/>
    </row>
    <row r="656" spans="1:44" s="787" customFormat="1" ht="37.5" customHeight="1">
      <c r="A656" s="777"/>
      <c r="B656" s="777"/>
      <c r="C656" s="778" t="s">
        <v>146</v>
      </c>
      <c r="D656" s="778" t="s">
        <v>65</v>
      </c>
      <c r="E656" s="778" t="s">
        <v>161</v>
      </c>
      <c r="F656" s="778" t="s">
        <v>202</v>
      </c>
      <c r="G656" s="779"/>
      <c r="H656" s="1914"/>
      <c r="I656" s="780" t="s">
        <v>1044</v>
      </c>
      <c r="J656" s="781"/>
      <c r="K656" s="777"/>
      <c r="L656" s="782"/>
      <c r="M656" s="777"/>
      <c r="N656" s="782"/>
      <c r="O656" s="777"/>
      <c r="P656" s="782"/>
      <c r="Q656" s="777"/>
      <c r="R656" s="783"/>
      <c r="S656" s="777"/>
      <c r="T656" s="782"/>
      <c r="U656" s="777"/>
      <c r="V656" s="782"/>
      <c r="W656" s="779"/>
      <c r="X656" s="782"/>
      <c r="Y656" s="777"/>
      <c r="Z656" s="783"/>
      <c r="AA656" s="777"/>
      <c r="AB656" s="784"/>
      <c r="AC656" s="777"/>
      <c r="AD656" s="785"/>
      <c r="AE656" s="786"/>
    </row>
    <row r="657" spans="1:31" s="787" customFormat="1" ht="99" customHeight="1">
      <c r="A657" s="777"/>
      <c r="B657" s="777"/>
      <c r="C657" s="778" t="s">
        <v>146</v>
      </c>
      <c r="D657" s="778" t="s">
        <v>65</v>
      </c>
      <c r="E657" s="778" t="s">
        <v>161</v>
      </c>
      <c r="F657" s="778" t="s">
        <v>155</v>
      </c>
      <c r="G657" s="779"/>
      <c r="H657" s="1914"/>
      <c r="I657" s="780" t="s">
        <v>1045</v>
      </c>
      <c r="J657" s="781" t="s">
        <v>1046</v>
      </c>
      <c r="K657" s="777" t="s">
        <v>1047</v>
      </c>
      <c r="L657" s="782">
        <v>150000000</v>
      </c>
      <c r="M657" s="777" t="str">
        <f>K657</f>
        <v>Sosialisasi Program Pengelolaan Bank Sampah dan 3R</v>
      </c>
      <c r="N657" s="788">
        <v>51852850</v>
      </c>
      <c r="O657" s="777"/>
      <c r="P657" s="782"/>
      <c r="Q657" s="789"/>
      <c r="R657" s="783"/>
      <c r="S657" s="789"/>
      <c r="T657" s="782"/>
      <c r="U657" s="789"/>
      <c r="V657" s="782"/>
      <c r="W657" s="790"/>
      <c r="X657" s="782"/>
      <c r="Y657" s="789"/>
      <c r="Z657" s="783"/>
      <c r="AA657" s="777"/>
      <c r="AB657" s="791"/>
      <c r="AC657" s="777"/>
      <c r="AD657" s="792">
        <f>(AB657/L657)*100</f>
        <v>0</v>
      </c>
      <c r="AE657" s="786"/>
    </row>
    <row r="658" spans="1:31" s="787" customFormat="1" ht="54.75" customHeight="1">
      <c r="A658" s="777"/>
      <c r="B658" s="777"/>
      <c r="C658" s="778" t="s">
        <v>146</v>
      </c>
      <c r="D658" s="778" t="s">
        <v>65</v>
      </c>
      <c r="E658" s="778" t="s">
        <v>161</v>
      </c>
      <c r="F658" s="778" t="s">
        <v>67</v>
      </c>
      <c r="G658" s="779"/>
      <c r="H658" s="1914"/>
      <c r="I658" s="780" t="s">
        <v>1048</v>
      </c>
      <c r="J658" s="781"/>
      <c r="K658" s="777"/>
      <c r="L658" s="782"/>
      <c r="M658" s="777"/>
      <c r="N658" s="782"/>
      <c r="O658" s="777"/>
      <c r="P658" s="782"/>
      <c r="Q658" s="777"/>
      <c r="R658" s="783"/>
      <c r="S658" s="777"/>
      <c r="T658" s="782"/>
      <c r="U658" s="789"/>
      <c r="V658" s="782"/>
      <c r="W658" s="779"/>
      <c r="X658" s="782"/>
      <c r="Y658" s="777"/>
      <c r="Z658" s="783"/>
      <c r="AA658" s="777"/>
      <c r="AB658" s="791"/>
      <c r="AC658" s="777"/>
      <c r="AD658" s="792"/>
      <c r="AE658" s="786"/>
    </row>
    <row r="659" spans="1:31" s="787" customFormat="1" ht="38.25" customHeight="1">
      <c r="A659" s="777"/>
      <c r="B659" s="777"/>
      <c r="C659" s="778" t="s">
        <v>146</v>
      </c>
      <c r="D659" s="778" t="s">
        <v>65</v>
      </c>
      <c r="E659" s="778" t="s">
        <v>161</v>
      </c>
      <c r="F659" s="778" t="s">
        <v>163</v>
      </c>
      <c r="G659" s="779"/>
      <c r="H659" s="1914"/>
      <c r="I659" s="780" t="s">
        <v>1049</v>
      </c>
      <c r="J659" s="781"/>
      <c r="K659" s="777"/>
      <c r="L659" s="782"/>
      <c r="M659" s="777"/>
      <c r="N659" s="782"/>
      <c r="O659" s="777"/>
      <c r="P659" s="782"/>
      <c r="Q659" s="777"/>
      <c r="R659" s="783"/>
      <c r="S659" s="777"/>
      <c r="T659" s="782"/>
      <c r="U659" s="777"/>
      <c r="V659" s="782"/>
      <c r="W659" s="793"/>
      <c r="X659" s="782"/>
      <c r="Y659" s="777"/>
      <c r="Z659" s="783"/>
      <c r="AA659" s="777"/>
      <c r="AB659" s="791"/>
      <c r="AC659" s="777"/>
      <c r="AD659" s="792"/>
      <c r="AE659" s="786"/>
    </row>
    <row r="660" spans="1:31" s="787" customFormat="1" ht="39" customHeight="1">
      <c r="A660" s="777"/>
      <c r="B660" s="777"/>
      <c r="C660" s="778" t="s">
        <v>146</v>
      </c>
      <c r="D660" s="778" t="s">
        <v>65</v>
      </c>
      <c r="E660" s="778" t="s">
        <v>161</v>
      </c>
      <c r="F660" s="778" t="s">
        <v>360</v>
      </c>
      <c r="G660" s="779"/>
      <c r="H660" s="1914"/>
      <c r="I660" s="780" t="s">
        <v>1050</v>
      </c>
      <c r="J660" s="781" t="s">
        <v>1051</v>
      </c>
      <c r="K660" s="777">
        <v>15</v>
      </c>
      <c r="L660" s="782">
        <v>150000000</v>
      </c>
      <c r="M660" s="777">
        <f>K660</f>
        <v>15</v>
      </c>
      <c r="N660" s="782">
        <v>84519050</v>
      </c>
      <c r="O660" s="777">
        <f>M660</f>
        <v>15</v>
      </c>
      <c r="P660" s="782">
        <v>66314672</v>
      </c>
      <c r="Q660" s="794">
        <v>7</v>
      </c>
      <c r="R660" s="795">
        <v>6770000</v>
      </c>
      <c r="S660" s="789"/>
      <c r="T660" s="782"/>
      <c r="U660" s="789"/>
      <c r="V660" s="782"/>
      <c r="W660" s="790"/>
      <c r="X660" s="782"/>
      <c r="Y660" s="794">
        <v>7</v>
      </c>
      <c r="Z660" s="795">
        <v>6770000</v>
      </c>
      <c r="AA660" s="777">
        <f>Y660</f>
        <v>7</v>
      </c>
      <c r="AB660" s="791">
        <f>Z660+N660</f>
        <v>91289050</v>
      </c>
      <c r="AC660" s="777"/>
      <c r="AD660" s="792">
        <f>(AB660/L660)*100</f>
        <v>60.859366666666673</v>
      </c>
      <c r="AE660" s="786"/>
    </row>
    <row r="661" spans="1:31" s="787" customFormat="1" ht="33.75" customHeight="1">
      <c r="A661" s="777"/>
      <c r="B661" s="777"/>
      <c r="C661" s="778" t="s">
        <v>146</v>
      </c>
      <c r="D661" s="778" t="s">
        <v>65</v>
      </c>
      <c r="E661" s="778" t="s">
        <v>161</v>
      </c>
      <c r="F661" s="778" t="s">
        <v>401</v>
      </c>
      <c r="G661" s="779"/>
      <c r="H661" s="796"/>
      <c r="I661" s="780" t="s">
        <v>1052</v>
      </c>
      <c r="J661" s="781"/>
      <c r="K661" s="777"/>
      <c r="L661" s="782"/>
      <c r="M661" s="777"/>
      <c r="N661" s="782"/>
      <c r="O661" s="777"/>
      <c r="P661" s="782"/>
      <c r="Q661" s="777"/>
      <c r="R661" s="783"/>
      <c r="S661" s="777"/>
      <c r="T661" s="782"/>
      <c r="U661" s="777"/>
      <c r="V661" s="797"/>
      <c r="W661" s="779"/>
      <c r="X661" s="798"/>
      <c r="Y661" s="777"/>
      <c r="Z661" s="783"/>
      <c r="AA661" s="777"/>
      <c r="AB661" s="791"/>
      <c r="AC661" s="777"/>
      <c r="AD661" s="792"/>
      <c r="AE661" s="786"/>
    </row>
    <row r="662" spans="1:31" s="776" customFormat="1" ht="54.75" customHeight="1">
      <c r="A662" s="799">
        <v>2</v>
      </c>
      <c r="B662" s="800" t="s">
        <v>1053</v>
      </c>
      <c r="C662" s="801" t="s">
        <v>146</v>
      </c>
      <c r="D662" s="801" t="s">
        <v>65</v>
      </c>
      <c r="E662" s="801" t="s">
        <v>161</v>
      </c>
      <c r="F662" s="801" t="s">
        <v>166</v>
      </c>
      <c r="G662" s="802"/>
      <c r="H662" s="803"/>
      <c r="I662" s="804" t="s">
        <v>1054</v>
      </c>
      <c r="J662" s="800" t="s">
        <v>1055</v>
      </c>
      <c r="K662" s="805">
        <v>0.5</v>
      </c>
      <c r="L662" s="806">
        <f>SUM(L663:L683)</f>
        <v>5330000000</v>
      </c>
      <c r="M662" s="805">
        <f>25%</f>
        <v>0.25</v>
      </c>
      <c r="N662" s="806">
        <v>2133746478</v>
      </c>
      <c r="O662" s="807">
        <v>0.3</v>
      </c>
      <c r="P662" s="806">
        <f>SUM(P663:P687)</f>
        <v>957596210</v>
      </c>
      <c r="Q662" s="808">
        <f>R662/P662</f>
        <v>0.30836741198046302</v>
      </c>
      <c r="R662" s="806">
        <f>SUM(R663:R687)</f>
        <v>295291465</v>
      </c>
      <c r="S662" s="799"/>
      <c r="T662" s="806"/>
      <c r="U662" s="799"/>
      <c r="V662" s="806"/>
      <c r="W662" s="802"/>
      <c r="X662" s="806"/>
      <c r="Y662" s="808">
        <f>+Z662/P662</f>
        <v>0.30836741198046302</v>
      </c>
      <c r="Z662" s="806">
        <f>SUM(Z663:Z687)</f>
        <v>295291465</v>
      </c>
      <c r="AA662" s="799"/>
      <c r="AB662" s="809">
        <f t="shared" ref="AB662:AB671" si="124">Z662+N662</f>
        <v>2429037943</v>
      </c>
      <c r="AC662" s="799"/>
      <c r="AD662" s="810">
        <f t="shared" ref="AD662:AD671" si="125">(AB662/L662)*100</f>
        <v>45.572944521575984</v>
      </c>
      <c r="AE662" s="774" t="s">
        <v>1056</v>
      </c>
    </row>
    <row r="663" spans="1:31" s="787" customFormat="1" ht="69.75" customHeight="1">
      <c r="A663" s="777"/>
      <c r="B663" s="777"/>
      <c r="C663" s="778" t="s">
        <v>146</v>
      </c>
      <c r="D663" s="778" t="s">
        <v>65</v>
      </c>
      <c r="E663" s="778" t="s">
        <v>161</v>
      </c>
      <c r="F663" s="778" t="s">
        <v>166</v>
      </c>
      <c r="G663" s="778" t="s">
        <v>66</v>
      </c>
      <c r="H663" s="1914"/>
      <c r="I663" s="780" t="s">
        <v>1057</v>
      </c>
      <c r="J663" s="781" t="s">
        <v>1058</v>
      </c>
      <c r="K663" s="777" t="str">
        <f>J663</f>
        <v>Jumlah Lokasi Titik Pantau dan Frekwensi Pemantauan</v>
      </c>
      <c r="L663" s="782">
        <v>500000000</v>
      </c>
      <c r="M663" s="777" t="str">
        <f>K663</f>
        <v>Jumlah Lokasi Titik Pantau dan Frekwensi Pemantauan</v>
      </c>
      <c r="N663" s="782">
        <v>334086400</v>
      </c>
      <c r="O663" s="777" t="s">
        <v>1059</v>
      </c>
      <c r="P663" s="782">
        <v>279169350</v>
      </c>
      <c r="Q663" s="789" t="s">
        <v>1060</v>
      </c>
      <c r="R663" s="783">
        <v>154222413</v>
      </c>
      <c r="S663" s="789"/>
      <c r="T663" s="782"/>
      <c r="U663" s="789"/>
      <c r="V663" s="782"/>
      <c r="W663" s="790"/>
      <c r="X663" s="782"/>
      <c r="Y663" s="811" t="s">
        <v>1060</v>
      </c>
      <c r="Z663" s="783">
        <v>154222413</v>
      </c>
      <c r="AA663" s="777" t="str">
        <f>Y663</f>
        <v>13 ( 1 Kali )</v>
      </c>
      <c r="AB663" s="791">
        <f t="shared" si="124"/>
        <v>488308813</v>
      </c>
      <c r="AC663" s="777"/>
      <c r="AD663" s="792">
        <f t="shared" si="125"/>
        <v>97.661762600000003</v>
      </c>
      <c r="AE663" s="786"/>
    </row>
    <row r="664" spans="1:31" s="787" customFormat="1" ht="47.25" customHeight="1">
      <c r="A664" s="777"/>
      <c r="B664" s="777"/>
      <c r="C664" s="778" t="s">
        <v>146</v>
      </c>
      <c r="D664" s="778" t="s">
        <v>65</v>
      </c>
      <c r="E664" s="778" t="s">
        <v>161</v>
      </c>
      <c r="F664" s="778" t="s">
        <v>166</v>
      </c>
      <c r="G664" s="778" t="s">
        <v>196</v>
      </c>
      <c r="H664" s="1914"/>
      <c r="I664" s="780" t="s">
        <v>1061</v>
      </c>
      <c r="J664" s="781" t="s">
        <v>1062</v>
      </c>
      <c r="K664" s="777" t="s">
        <v>1063</v>
      </c>
      <c r="L664" s="782">
        <v>2000000000</v>
      </c>
      <c r="M664" s="777" t="s">
        <v>1064</v>
      </c>
      <c r="N664" s="782">
        <v>939068000</v>
      </c>
      <c r="O664" s="777"/>
      <c r="P664" s="782"/>
      <c r="Q664" s="777"/>
      <c r="R664" s="783"/>
      <c r="S664" s="777"/>
      <c r="T664" s="812"/>
      <c r="U664" s="813"/>
      <c r="V664" s="814"/>
      <c r="W664" s="790"/>
      <c r="X664" s="798"/>
      <c r="Y664" s="777"/>
      <c r="Z664" s="783"/>
      <c r="AA664" s="791"/>
      <c r="AB664" s="791">
        <f t="shared" si="124"/>
        <v>939068000</v>
      </c>
      <c r="AC664" s="791"/>
      <c r="AD664" s="792">
        <f t="shared" si="125"/>
        <v>46.953400000000002</v>
      </c>
      <c r="AE664" s="786"/>
    </row>
    <row r="665" spans="1:31" s="787" customFormat="1" ht="37.5" customHeight="1">
      <c r="A665" s="777"/>
      <c r="B665" s="777"/>
      <c r="C665" s="778" t="s">
        <v>146</v>
      </c>
      <c r="D665" s="778" t="s">
        <v>65</v>
      </c>
      <c r="E665" s="778" t="s">
        <v>161</v>
      </c>
      <c r="F665" s="778" t="s">
        <v>166</v>
      </c>
      <c r="G665" s="778" t="s">
        <v>95</v>
      </c>
      <c r="H665" s="1914"/>
      <c r="I665" s="780" t="s">
        <v>1065</v>
      </c>
      <c r="J665" s="781" t="s">
        <v>1066</v>
      </c>
      <c r="K665" s="777" t="s">
        <v>1067</v>
      </c>
      <c r="L665" s="782">
        <v>250000000</v>
      </c>
      <c r="M665" s="777" t="s">
        <v>1068</v>
      </c>
      <c r="N665" s="782">
        <v>118491576</v>
      </c>
      <c r="O665" s="777">
        <v>17</v>
      </c>
      <c r="P665" s="782">
        <v>109074120</v>
      </c>
      <c r="Q665" s="794">
        <v>3</v>
      </c>
      <c r="R665" s="783">
        <v>25075120</v>
      </c>
      <c r="S665" s="789"/>
      <c r="T665" s="815"/>
      <c r="U665" s="789"/>
      <c r="V665" s="813"/>
      <c r="W665" s="790"/>
      <c r="X665" s="816"/>
      <c r="Y665" s="794">
        <v>3</v>
      </c>
      <c r="Z665" s="783">
        <v>25075120</v>
      </c>
      <c r="AA665" s="791">
        <f>Y665</f>
        <v>3</v>
      </c>
      <c r="AB665" s="791">
        <f t="shared" si="124"/>
        <v>143566696</v>
      </c>
      <c r="AC665" s="791"/>
      <c r="AD665" s="792">
        <f t="shared" si="125"/>
        <v>57.4266784</v>
      </c>
      <c r="AE665" s="786"/>
    </row>
    <row r="666" spans="1:31" s="787" customFormat="1" ht="39" customHeight="1">
      <c r="A666" s="777"/>
      <c r="B666" s="777"/>
      <c r="C666" s="778" t="s">
        <v>146</v>
      </c>
      <c r="D666" s="778" t="s">
        <v>65</v>
      </c>
      <c r="E666" s="778" t="s">
        <v>161</v>
      </c>
      <c r="F666" s="778" t="s">
        <v>166</v>
      </c>
      <c r="G666" s="778" t="s">
        <v>163</v>
      </c>
      <c r="H666" s="1914"/>
      <c r="I666" s="780" t="s">
        <v>1069</v>
      </c>
      <c r="J666" s="781" t="s">
        <v>1070</v>
      </c>
      <c r="K666" s="777"/>
      <c r="L666" s="782">
        <v>150000000</v>
      </c>
      <c r="M666" s="777"/>
      <c r="N666" s="782">
        <v>70200700</v>
      </c>
      <c r="O666" s="777">
        <v>8</v>
      </c>
      <c r="P666" s="782">
        <v>44589056</v>
      </c>
      <c r="Q666" s="782">
        <v>0</v>
      </c>
      <c r="R666" s="795">
        <v>0</v>
      </c>
      <c r="S666" s="789"/>
      <c r="T666" s="788"/>
      <c r="U666" s="789"/>
      <c r="V666" s="782"/>
      <c r="W666" s="790"/>
      <c r="X666" s="782"/>
      <c r="Y666" s="782">
        <v>0</v>
      </c>
      <c r="Z666" s="795">
        <v>0</v>
      </c>
      <c r="AA666" s="782">
        <f>Y666</f>
        <v>0</v>
      </c>
      <c r="AB666" s="791">
        <f t="shared" si="124"/>
        <v>70200700</v>
      </c>
      <c r="AC666" s="777"/>
      <c r="AD666" s="792">
        <f t="shared" si="125"/>
        <v>46.800466666666665</v>
      </c>
      <c r="AE666" s="786"/>
    </row>
    <row r="667" spans="1:31" s="787" customFormat="1" ht="53.25" customHeight="1">
      <c r="A667" s="777"/>
      <c r="B667" s="777"/>
      <c r="C667" s="778" t="s">
        <v>146</v>
      </c>
      <c r="D667" s="778" t="s">
        <v>65</v>
      </c>
      <c r="E667" s="778" t="s">
        <v>161</v>
      </c>
      <c r="F667" s="778" t="s">
        <v>166</v>
      </c>
      <c r="G667" s="778" t="s">
        <v>360</v>
      </c>
      <c r="H667" s="1914"/>
      <c r="I667" s="780" t="s">
        <v>1071</v>
      </c>
      <c r="J667" s="781" t="s">
        <v>1072</v>
      </c>
      <c r="K667" s="777" t="str">
        <f>M667</f>
        <v>Memperingati</v>
      </c>
      <c r="L667" s="782">
        <v>200000000</v>
      </c>
      <c r="M667" s="777" t="s">
        <v>1073</v>
      </c>
      <c r="N667" s="782">
        <v>55969000</v>
      </c>
      <c r="O667" s="777">
        <v>3</v>
      </c>
      <c r="P667" s="782">
        <v>82895460</v>
      </c>
      <c r="Q667" s="794">
        <v>1</v>
      </c>
      <c r="R667" s="795">
        <v>54222000</v>
      </c>
      <c r="S667" s="789"/>
      <c r="T667" s="782"/>
      <c r="U667" s="789"/>
      <c r="V667" s="782"/>
      <c r="W667" s="790"/>
      <c r="X667" s="782"/>
      <c r="Y667" s="794">
        <v>1</v>
      </c>
      <c r="Z667" s="795">
        <v>54222000</v>
      </c>
      <c r="AA667" s="777">
        <f>Y667</f>
        <v>1</v>
      </c>
      <c r="AB667" s="791">
        <f t="shared" si="124"/>
        <v>110191000</v>
      </c>
      <c r="AC667" s="791"/>
      <c r="AD667" s="792">
        <f t="shared" si="125"/>
        <v>55.095499999999994</v>
      </c>
      <c r="AE667" s="786"/>
    </row>
    <row r="668" spans="1:31" s="787" customFormat="1" ht="60" customHeight="1">
      <c r="A668" s="777"/>
      <c r="B668" s="777"/>
      <c r="C668" s="778" t="s">
        <v>146</v>
      </c>
      <c r="D668" s="778" t="s">
        <v>65</v>
      </c>
      <c r="E668" s="778" t="s">
        <v>161</v>
      </c>
      <c r="F668" s="778" t="s">
        <v>166</v>
      </c>
      <c r="G668" s="778" t="s">
        <v>165</v>
      </c>
      <c r="H668" s="1914"/>
      <c r="I668" s="780" t="s">
        <v>1074</v>
      </c>
      <c r="J668" s="781" t="s">
        <v>1075</v>
      </c>
      <c r="K668" s="777" t="s">
        <v>1076</v>
      </c>
      <c r="L668" s="782">
        <v>200000000</v>
      </c>
      <c r="M668" s="777" t="str">
        <f>K668</f>
        <v>Persentase kualitas lingkungan</v>
      </c>
      <c r="N668" s="782">
        <v>99589200</v>
      </c>
      <c r="O668" s="777"/>
      <c r="P668" s="782"/>
      <c r="Q668" s="777"/>
      <c r="R668" s="783"/>
      <c r="S668" s="777"/>
      <c r="T668" s="782"/>
      <c r="U668" s="777"/>
      <c r="V668" s="782"/>
      <c r="W668" s="779"/>
      <c r="X668" s="782"/>
      <c r="Y668" s="777"/>
      <c r="Z668" s="783"/>
      <c r="AA668" s="777"/>
      <c r="AB668" s="791">
        <f t="shared" si="124"/>
        <v>99589200</v>
      </c>
      <c r="AC668" s="777"/>
      <c r="AD668" s="792">
        <f t="shared" si="125"/>
        <v>49.794600000000003</v>
      </c>
      <c r="AE668" s="786"/>
    </row>
    <row r="669" spans="1:31" s="787" customFormat="1" ht="54.75" customHeight="1">
      <c r="A669" s="777"/>
      <c r="B669" s="777"/>
      <c r="C669" s="778" t="s">
        <v>146</v>
      </c>
      <c r="D669" s="778" t="s">
        <v>65</v>
      </c>
      <c r="E669" s="778" t="s">
        <v>161</v>
      </c>
      <c r="F669" s="778" t="s">
        <v>166</v>
      </c>
      <c r="G669" s="778" t="s">
        <v>178</v>
      </c>
      <c r="H669" s="1914"/>
      <c r="I669" s="780" t="s">
        <v>1077</v>
      </c>
      <c r="J669" s="781" t="s">
        <v>1078</v>
      </c>
      <c r="K669" s="777" t="s">
        <v>1079</v>
      </c>
      <c r="L669" s="782">
        <v>1500000000</v>
      </c>
      <c r="M669" s="777" t="str">
        <f>K669</f>
        <v>Kelancaran labor</v>
      </c>
      <c r="N669" s="782">
        <v>233336900</v>
      </c>
      <c r="O669" s="777">
        <v>12</v>
      </c>
      <c r="P669" s="782">
        <v>113861356</v>
      </c>
      <c r="Q669" s="794">
        <v>3</v>
      </c>
      <c r="R669" s="783">
        <v>7233958</v>
      </c>
      <c r="S669" s="789"/>
      <c r="T669" s="791"/>
      <c r="U669" s="789"/>
      <c r="V669" s="791"/>
      <c r="W669" s="790"/>
      <c r="X669" s="791"/>
      <c r="Y669" s="794">
        <v>3</v>
      </c>
      <c r="Z669" s="783">
        <v>7233958</v>
      </c>
      <c r="AA669" s="777">
        <f>Y669</f>
        <v>3</v>
      </c>
      <c r="AB669" s="791">
        <f t="shared" si="124"/>
        <v>240570858</v>
      </c>
      <c r="AC669" s="791"/>
      <c r="AD669" s="792">
        <f t="shared" si="125"/>
        <v>16.038057200000001</v>
      </c>
      <c r="AE669" s="786"/>
    </row>
    <row r="670" spans="1:31" s="787" customFormat="1" ht="57" customHeight="1">
      <c r="A670" s="777"/>
      <c r="B670" s="777"/>
      <c r="C670" s="778" t="s">
        <v>146</v>
      </c>
      <c r="D670" s="778" t="s">
        <v>65</v>
      </c>
      <c r="E670" s="778" t="s">
        <v>161</v>
      </c>
      <c r="F670" s="778" t="s">
        <v>166</v>
      </c>
      <c r="G670" s="778" t="s">
        <v>399</v>
      </c>
      <c r="H670" s="1914"/>
      <c r="I670" s="780" t="s">
        <v>1080</v>
      </c>
      <c r="J670" s="781" t="s">
        <v>1081</v>
      </c>
      <c r="K670" s="777" t="s">
        <v>1082</v>
      </c>
      <c r="L670" s="782">
        <v>200000000</v>
      </c>
      <c r="M670" s="777" t="str">
        <f>K670</f>
        <v>Kecamatan Bersih,Teduh dan Hijau</v>
      </c>
      <c r="N670" s="782">
        <v>150206452</v>
      </c>
      <c r="O670" s="777">
        <v>1</v>
      </c>
      <c r="P670" s="782">
        <v>71473592</v>
      </c>
      <c r="Q670" s="794">
        <v>0</v>
      </c>
      <c r="R670" s="783">
        <v>17555046</v>
      </c>
      <c r="S670" s="789"/>
      <c r="T670" s="791"/>
      <c r="U670" s="789"/>
      <c r="V670" s="791"/>
      <c r="W670" s="790"/>
      <c r="X670" s="791"/>
      <c r="Y670" s="794">
        <v>0</v>
      </c>
      <c r="Z670" s="783">
        <v>17555046</v>
      </c>
      <c r="AA670" s="777">
        <f>Y670</f>
        <v>0</v>
      </c>
      <c r="AB670" s="791">
        <f t="shared" si="124"/>
        <v>167761498</v>
      </c>
      <c r="AC670" s="791"/>
      <c r="AD670" s="792">
        <f t="shared" si="125"/>
        <v>83.880748999999994</v>
      </c>
      <c r="AE670" s="786"/>
    </row>
    <row r="671" spans="1:31" s="787" customFormat="1" ht="42" customHeight="1">
      <c r="A671" s="777"/>
      <c r="B671" s="777"/>
      <c r="C671" s="778" t="s">
        <v>146</v>
      </c>
      <c r="D671" s="778" t="s">
        <v>65</v>
      </c>
      <c r="E671" s="778" t="s">
        <v>161</v>
      </c>
      <c r="F671" s="778" t="s">
        <v>166</v>
      </c>
      <c r="G671" s="778" t="s">
        <v>181</v>
      </c>
      <c r="H671" s="1914"/>
      <c r="I671" s="780" t="s">
        <v>1083</v>
      </c>
      <c r="J671" s="781" t="s">
        <v>1084</v>
      </c>
      <c r="K671" s="777" t="s">
        <v>1085</v>
      </c>
      <c r="L671" s="782">
        <v>180000000</v>
      </c>
      <c r="M671" s="777" t="s">
        <v>1086</v>
      </c>
      <c r="N671" s="782">
        <v>34260250</v>
      </c>
      <c r="O671" s="777"/>
      <c r="P671" s="813"/>
      <c r="Q671" s="813"/>
      <c r="R671" s="813"/>
      <c r="S671" s="777"/>
      <c r="T671" s="782"/>
      <c r="U671" s="777"/>
      <c r="V671" s="782"/>
      <c r="W671" s="779"/>
      <c r="X671" s="782"/>
      <c r="Y671" s="813"/>
      <c r="Z671" s="813"/>
      <c r="AA671" s="777"/>
      <c r="AB671" s="791">
        <f t="shared" si="124"/>
        <v>34260250</v>
      </c>
      <c r="AC671" s="777"/>
      <c r="AD671" s="792">
        <f t="shared" si="125"/>
        <v>19.033472222222223</v>
      </c>
      <c r="AE671" s="786"/>
    </row>
    <row r="672" spans="1:31" s="787" customFormat="1" ht="36" customHeight="1">
      <c r="A672" s="777"/>
      <c r="B672" s="777"/>
      <c r="C672" s="778" t="s">
        <v>146</v>
      </c>
      <c r="D672" s="778" t="s">
        <v>65</v>
      </c>
      <c r="E672" s="778" t="s">
        <v>161</v>
      </c>
      <c r="F672" s="778" t="s">
        <v>166</v>
      </c>
      <c r="G672" s="778" t="s">
        <v>1087</v>
      </c>
      <c r="H672" s="1914"/>
      <c r="I672" s="780" t="s">
        <v>1088</v>
      </c>
      <c r="J672" s="781"/>
      <c r="K672" s="777"/>
      <c r="L672" s="782"/>
      <c r="M672" s="777"/>
      <c r="N672" s="782"/>
      <c r="O672" s="777"/>
      <c r="P672" s="782"/>
      <c r="Q672" s="777"/>
      <c r="R672" s="783"/>
      <c r="S672" s="777"/>
      <c r="T672" s="789"/>
      <c r="U672" s="791"/>
      <c r="V672" s="791"/>
      <c r="W672" s="779"/>
      <c r="X672" s="798"/>
      <c r="Y672" s="777"/>
      <c r="Z672" s="783"/>
      <c r="AA672" s="777"/>
      <c r="AB672" s="791"/>
      <c r="AC672" s="777"/>
      <c r="AD672" s="792"/>
      <c r="AE672" s="786"/>
    </row>
    <row r="673" spans="1:31" s="787" customFormat="1" ht="48" customHeight="1">
      <c r="A673" s="777"/>
      <c r="B673" s="777"/>
      <c r="C673" s="778" t="s">
        <v>146</v>
      </c>
      <c r="D673" s="778" t="s">
        <v>65</v>
      </c>
      <c r="E673" s="778" t="s">
        <v>161</v>
      </c>
      <c r="F673" s="778" t="s">
        <v>166</v>
      </c>
      <c r="G673" s="778" t="s">
        <v>1089</v>
      </c>
      <c r="H673" s="1914"/>
      <c r="I673" s="780" t="s">
        <v>1090</v>
      </c>
      <c r="J673" s="781"/>
      <c r="K673" s="777"/>
      <c r="L673" s="782"/>
      <c r="M673" s="777"/>
      <c r="N673" s="782"/>
      <c r="O673" s="777"/>
      <c r="P673" s="782"/>
      <c r="Q673" s="777"/>
      <c r="R673" s="783"/>
      <c r="S673" s="777"/>
      <c r="T673" s="791"/>
      <c r="U673" s="791"/>
      <c r="V673" s="789"/>
      <c r="W673" s="790"/>
      <c r="X673" s="782"/>
      <c r="Y673" s="777"/>
      <c r="Z673" s="783"/>
      <c r="AA673" s="777"/>
      <c r="AB673" s="791"/>
      <c r="AC673" s="777"/>
      <c r="AD673" s="792"/>
      <c r="AE673" s="786"/>
    </row>
    <row r="674" spans="1:31" s="787" customFormat="1" ht="51.75" customHeight="1">
      <c r="A674" s="777"/>
      <c r="B674" s="777"/>
      <c r="C674" s="778" t="s">
        <v>146</v>
      </c>
      <c r="D674" s="778" t="s">
        <v>65</v>
      </c>
      <c r="E674" s="778" t="s">
        <v>161</v>
      </c>
      <c r="F674" s="778" t="s">
        <v>166</v>
      </c>
      <c r="G674" s="778" t="s">
        <v>68</v>
      </c>
      <c r="H674" s="1914"/>
      <c r="I674" s="780" t="s">
        <v>1091</v>
      </c>
      <c r="J674" s="781"/>
      <c r="K674" s="777"/>
      <c r="L674" s="782"/>
      <c r="M674" s="777"/>
      <c r="N674" s="782"/>
      <c r="O674" s="777"/>
      <c r="P674" s="782"/>
      <c r="Q674" s="777"/>
      <c r="R674" s="783"/>
      <c r="S674" s="777"/>
      <c r="T674" s="782"/>
      <c r="U674" s="777"/>
      <c r="V674" s="782"/>
      <c r="W674" s="779"/>
      <c r="X674" s="797"/>
      <c r="Y674" s="777"/>
      <c r="Z674" s="783"/>
      <c r="AA674" s="777"/>
      <c r="AB674" s="791"/>
      <c r="AC674" s="777"/>
      <c r="AD674" s="792"/>
      <c r="AE674" s="786"/>
    </row>
    <row r="675" spans="1:31" s="787" customFormat="1" ht="68.25" customHeight="1">
      <c r="A675" s="777"/>
      <c r="B675" s="777"/>
      <c r="C675" s="778" t="s">
        <v>146</v>
      </c>
      <c r="D675" s="778" t="s">
        <v>65</v>
      </c>
      <c r="E675" s="778" t="s">
        <v>161</v>
      </c>
      <c r="F675" s="778" t="s">
        <v>166</v>
      </c>
      <c r="G675" s="778" t="s">
        <v>476</v>
      </c>
      <c r="H675" s="1914"/>
      <c r="I675" s="780" t="s">
        <v>1092</v>
      </c>
      <c r="J675" s="781"/>
      <c r="K675" s="777"/>
      <c r="L675" s="782">
        <v>150000000</v>
      </c>
      <c r="M675" s="777"/>
      <c r="N675" s="782">
        <v>98538000</v>
      </c>
      <c r="O675" s="777"/>
      <c r="P675" s="782"/>
      <c r="Q675" s="789"/>
      <c r="R675" s="783"/>
      <c r="S675" s="789"/>
      <c r="T675" s="782"/>
      <c r="U675" s="789"/>
      <c r="V675" s="782"/>
      <c r="W675" s="790"/>
      <c r="X675" s="782"/>
      <c r="Y675" s="789"/>
      <c r="Z675" s="783"/>
      <c r="AA675" s="777"/>
      <c r="AB675" s="791">
        <f>Z675+N675</f>
        <v>98538000</v>
      </c>
      <c r="AC675" s="777"/>
      <c r="AD675" s="792">
        <f>(AB675/L675)*100</f>
        <v>65.691999999999993</v>
      </c>
      <c r="AE675" s="786"/>
    </row>
    <row r="676" spans="1:31" s="787" customFormat="1" ht="31.5" customHeight="1">
      <c r="A676" s="777"/>
      <c r="B676" s="777"/>
      <c r="C676" s="778" t="s">
        <v>146</v>
      </c>
      <c r="D676" s="778" t="s">
        <v>65</v>
      </c>
      <c r="E676" s="778" t="s">
        <v>161</v>
      </c>
      <c r="F676" s="778" t="s">
        <v>166</v>
      </c>
      <c r="G676" s="778" t="s">
        <v>1093</v>
      </c>
      <c r="H676" s="1914"/>
      <c r="I676" s="780" t="s">
        <v>1094</v>
      </c>
      <c r="J676" s="781"/>
      <c r="K676" s="777"/>
      <c r="L676" s="782"/>
      <c r="M676" s="777"/>
      <c r="N676" s="782"/>
      <c r="O676" s="777"/>
      <c r="P676" s="782"/>
      <c r="Q676" s="777"/>
      <c r="R676" s="783"/>
      <c r="S676" s="777"/>
      <c r="T676" s="782"/>
      <c r="U676" s="777"/>
      <c r="V676" s="782"/>
      <c r="W676" s="779"/>
      <c r="X676" s="782"/>
      <c r="Y676" s="777"/>
      <c r="Z676" s="783"/>
      <c r="AA676" s="777"/>
      <c r="AB676" s="791"/>
      <c r="AC676" s="777"/>
      <c r="AD676" s="792"/>
      <c r="AE676" s="786"/>
    </row>
    <row r="677" spans="1:31" s="787" customFormat="1" ht="54.75" customHeight="1">
      <c r="A677" s="777"/>
      <c r="B677" s="777"/>
      <c r="C677" s="778" t="s">
        <v>146</v>
      </c>
      <c r="D677" s="778" t="s">
        <v>65</v>
      </c>
      <c r="E677" s="778" t="s">
        <v>161</v>
      </c>
      <c r="F677" s="778" t="s">
        <v>166</v>
      </c>
      <c r="G677" s="778" t="s">
        <v>1095</v>
      </c>
      <c r="H677" s="1914"/>
      <c r="I677" s="780" t="s">
        <v>1096</v>
      </c>
      <c r="J677" s="781"/>
      <c r="K677" s="777"/>
      <c r="L677" s="782"/>
      <c r="M677" s="777"/>
      <c r="N677" s="782"/>
      <c r="O677" s="777"/>
      <c r="P677" s="782"/>
      <c r="Q677" s="777"/>
      <c r="R677" s="783"/>
      <c r="S677" s="777"/>
      <c r="T677" s="782"/>
      <c r="U677" s="777"/>
      <c r="V677" s="798"/>
      <c r="W677" s="779"/>
      <c r="X677" s="782"/>
      <c r="Y677" s="777"/>
      <c r="Z677" s="783"/>
      <c r="AA677" s="777"/>
      <c r="AB677" s="791"/>
      <c r="AC677" s="777"/>
      <c r="AD677" s="792"/>
      <c r="AE677" s="786"/>
    </row>
    <row r="678" spans="1:31" s="787" customFormat="1" ht="41.25" customHeight="1">
      <c r="A678" s="777"/>
      <c r="B678" s="777"/>
      <c r="C678" s="778" t="s">
        <v>146</v>
      </c>
      <c r="D678" s="778" t="s">
        <v>65</v>
      </c>
      <c r="E678" s="778" t="s">
        <v>161</v>
      </c>
      <c r="F678" s="778" t="s">
        <v>166</v>
      </c>
      <c r="G678" s="778" t="s">
        <v>1097</v>
      </c>
      <c r="H678" s="1914"/>
      <c r="I678" s="780" t="s">
        <v>1098</v>
      </c>
      <c r="J678" s="781"/>
      <c r="K678" s="777"/>
      <c r="L678" s="782"/>
      <c r="M678" s="777"/>
      <c r="N678" s="782"/>
      <c r="O678" s="777"/>
      <c r="P678" s="782"/>
      <c r="Q678" s="777"/>
      <c r="R678" s="783"/>
      <c r="S678" s="777"/>
      <c r="T678" s="782"/>
      <c r="U678" s="777"/>
      <c r="V678" s="782"/>
      <c r="W678" s="779"/>
      <c r="X678" s="782"/>
      <c r="Y678" s="777"/>
      <c r="Z678" s="783"/>
      <c r="AA678" s="777"/>
      <c r="AB678" s="791"/>
      <c r="AC678" s="777"/>
      <c r="AD678" s="792"/>
      <c r="AE678" s="786"/>
    </row>
    <row r="679" spans="1:31" s="787" customFormat="1" ht="27" customHeight="1">
      <c r="A679" s="777"/>
      <c r="B679" s="777"/>
      <c r="C679" s="778" t="s">
        <v>146</v>
      </c>
      <c r="D679" s="778" t="s">
        <v>65</v>
      </c>
      <c r="E679" s="778" t="s">
        <v>161</v>
      </c>
      <c r="F679" s="778" t="s">
        <v>166</v>
      </c>
      <c r="G679" s="778" t="s">
        <v>1099</v>
      </c>
      <c r="H679" s="1914"/>
      <c r="I679" s="780" t="s">
        <v>1100</v>
      </c>
      <c r="J679" s="781"/>
      <c r="K679" s="777"/>
      <c r="L679" s="782"/>
      <c r="M679" s="777"/>
      <c r="N679" s="782"/>
      <c r="O679" s="777"/>
      <c r="P679" s="782"/>
      <c r="Q679" s="777"/>
      <c r="R679" s="783"/>
      <c r="S679" s="777"/>
      <c r="T679" s="782"/>
      <c r="U679" s="777"/>
      <c r="V679" s="782"/>
      <c r="W679" s="779"/>
      <c r="X679" s="782"/>
      <c r="Y679" s="777"/>
      <c r="Z679" s="783"/>
      <c r="AA679" s="777"/>
      <c r="AB679" s="791"/>
      <c r="AC679" s="777"/>
      <c r="AD679" s="792"/>
      <c r="AE679" s="786"/>
    </row>
    <row r="680" spans="1:31" s="787" customFormat="1" ht="38.25" customHeight="1">
      <c r="A680" s="777"/>
      <c r="B680" s="777"/>
      <c r="C680" s="778"/>
      <c r="D680" s="778"/>
      <c r="E680" s="778"/>
      <c r="F680" s="778"/>
      <c r="G680" s="778"/>
      <c r="H680" s="1914"/>
      <c r="I680" s="780" t="s">
        <v>1101</v>
      </c>
      <c r="J680" s="781" t="s">
        <v>1102</v>
      </c>
      <c r="K680" s="777"/>
      <c r="L680" s="782"/>
      <c r="M680" s="777"/>
      <c r="N680" s="782"/>
      <c r="O680" s="777"/>
      <c r="P680" s="782">
        <v>71647700</v>
      </c>
      <c r="Q680" s="792"/>
      <c r="R680" s="783">
        <v>24619372</v>
      </c>
      <c r="S680" s="777"/>
      <c r="T680" s="782"/>
      <c r="U680" s="777"/>
      <c r="V680" s="782"/>
      <c r="W680" s="779"/>
      <c r="X680" s="782"/>
      <c r="Y680" s="792"/>
      <c r="Z680" s="783">
        <v>24619372</v>
      </c>
      <c r="AA680" s="777"/>
      <c r="AB680" s="791"/>
      <c r="AC680" s="777"/>
      <c r="AD680" s="792"/>
      <c r="AE680" s="817"/>
    </row>
    <row r="681" spans="1:31" s="787" customFormat="1" ht="28.5" customHeight="1">
      <c r="A681" s="777"/>
      <c r="B681" s="777"/>
      <c r="C681" s="778"/>
      <c r="D681" s="778"/>
      <c r="E681" s="778"/>
      <c r="F681" s="778"/>
      <c r="G681" s="778"/>
      <c r="H681" s="1914"/>
      <c r="I681" s="780"/>
      <c r="J681" s="781" t="s">
        <v>1103</v>
      </c>
      <c r="K681" s="777"/>
      <c r="L681" s="782"/>
      <c r="M681" s="777"/>
      <c r="N681" s="782"/>
      <c r="O681" s="777">
        <v>4</v>
      </c>
      <c r="P681" s="782"/>
      <c r="Q681" s="777">
        <v>2</v>
      </c>
      <c r="R681" s="783"/>
      <c r="S681" s="777"/>
      <c r="T681" s="782"/>
      <c r="U681" s="777"/>
      <c r="V681" s="782"/>
      <c r="W681" s="779"/>
      <c r="X681" s="782"/>
      <c r="Y681" s="777">
        <v>2</v>
      </c>
      <c r="Z681" s="783"/>
      <c r="AA681" s="777"/>
      <c r="AB681" s="791"/>
      <c r="AC681" s="777"/>
      <c r="AD681" s="792"/>
      <c r="AE681" s="817"/>
    </row>
    <row r="682" spans="1:31" s="787" customFormat="1" ht="25.5" customHeight="1">
      <c r="A682" s="777"/>
      <c r="B682" s="777"/>
      <c r="C682" s="778"/>
      <c r="D682" s="778"/>
      <c r="E682" s="778"/>
      <c r="F682" s="778"/>
      <c r="G682" s="778"/>
      <c r="H682" s="1914"/>
      <c r="I682" s="780"/>
      <c r="J682" s="781" t="s">
        <v>1104</v>
      </c>
      <c r="K682" s="777"/>
      <c r="L682" s="782"/>
      <c r="M682" s="777"/>
      <c r="N682" s="782"/>
      <c r="O682" s="777">
        <v>2</v>
      </c>
      <c r="P682" s="782"/>
      <c r="Q682" s="777">
        <v>2</v>
      </c>
      <c r="R682" s="783"/>
      <c r="S682" s="777"/>
      <c r="T682" s="782"/>
      <c r="U682" s="777"/>
      <c r="V682" s="782"/>
      <c r="W682" s="779"/>
      <c r="X682" s="782"/>
      <c r="Y682" s="777">
        <v>2</v>
      </c>
      <c r="Z682" s="783"/>
      <c r="AA682" s="777"/>
      <c r="AB682" s="791"/>
      <c r="AC682" s="777"/>
      <c r="AD682" s="792"/>
      <c r="AE682" s="817"/>
    </row>
    <row r="683" spans="1:31" s="787" customFormat="1" ht="39.75" customHeight="1">
      <c r="A683" s="777"/>
      <c r="B683" s="777"/>
      <c r="C683" s="778"/>
      <c r="D683" s="778"/>
      <c r="E683" s="778"/>
      <c r="F683" s="778"/>
      <c r="G683" s="778"/>
      <c r="H683" s="1914"/>
      <c r="I683" s="780" t="s">
        <v>1105</v>
      </c>
      <c r="J683" s="781" t="s">
        <v>1106</v>
      </c>
      <c r="K683" s="777"/>
      <c r="L683" s="782"/>
      <c r="M683" s="777"/>
      <c r="N683" s="782"/>
      <c r="O683" s="777"/>
      <c r="P683" s="782">
        <v>184885576</v>
      </c>
      <c r="Q683" s="792"/>
      <c r="R683" s="783">
        <v>12363556</v>
      </c>
      <c r="S683" s="777"/>
      <c r="T683" s="782"/>
      <c r="U683" s="777"/>
      <c r="V683" s="782"/>
      <c r="W683" s="779"/>
      <c r="X683" s="782"/>
      <c r="Y683" s="792"/>
      <c r="Z683" s="783">
        <v>12363556</v>
      </c>
      <c r="AA683" s="777"/>
      <c r="AB683" s="791"/>
      <c r="AC683" s="777"/>
      <c r="AD683" s="792"/>
      <c r="AE683" s="817"/>
    </row>
    <row r="684" spans="1:31" s="787" customFormat="1" ht="21.75" customHeight="1">
      <c r="A684" s="777"/>
      <c r="B684" s="777"/>
      <c r="C684" s="778"/>
      <c r="D684" s="778"/>
      <c r="E684" s="778"/>
      <c r="F684" s="778"/>
      <c r="G684" s="778"/>
      <c r="H684" s="1914"/>
      <c r="I684" s="818"/>
      <c r="J684" s="781" t="s">
        <v>1107</v>
      </c>
      <c r="K684" s="777"/>
      <c r="L684" s="782"/>
      <c r="M684" s="777"/>
      <c r="N684" s="782"/>
      <c r="O684" s="777">
        <v>1</v>
      </c>
      <c r="P684" s="782"/>
      <c r="Q684" s="777"/>
      <c r="R684" s="783"/>
      <c r="S684" s="777"/>
      <c r="T684" s="782"/>
      <c r="U684" s="777"/>
      <c r="V684" s="782"/>
      <c r="W684" s="779"/>
      <c r="X684" s="782"/>
      <c r="Y684" s="777"/>
      <c r="Z684" s="783"/>
      <c r="AA684" s="777"/>
      <c r="AB684" s="791"/>
      <c r="AC684" s="777"/>
      <c r="AD684" s="792"/>
      <c r="AE684" s="817"/>
    </row>
    <row r="685" spans="1:31" s="787" customFormat="1" ht="21.75" customHeight="1">
      <c r="A685" s="777"/>
      <c r="B685" s="777"/>
      <c r="C685" s="778"/>
      <c r="D685" s="778"/>
      <c r="E685" s="778"/>
      <c r="F685" s="778"/>
      <c r="G685" s="778"/>
      <c r="H685" s="1914"/>
      <c r="I685" s="818"/>
      <c r="J685" s="781" t="s">
        <v>1108</v>
      </c>
      <c r="K685" s="777"/>
      <c r="L685" s="782"/>
      <c r="M685" s="777"/>
      <c r="N685" s="782"/>
      <c r="O685" s="777">
        <v>1</v>
      </c>
      <c r="P685" s="782"/>
      <c r="Q685" s="777"/>
      <c r="R685" s="783"/>
      <c r="S685" s="777"/>
      <c r="T685" s="782"/>
      <c r="U685" s="777"/>
      <c r="V685" s="782"/>
      <c r="W685" s="779"/>
      <c r="X685" s="782"/>
      <c r="Y685" s="777"/>
      <c r="Z685" s="783"/>
      <c r="AA685" s="777"/>
      <c r="AB685" s="791"/>
      <c r="AC685" s="777"/>
      <c r="AD685" s="792"/>
      <c r="AE685" s="817"/>
    </row>
    <row r="686" spans="1:31" s="787" customFormat="1" ht="21.75" customHeight="1">
      <c r="A686" s="777"/>
      <c r="B686" s="777"/>
      <c r="C686" s="778"/>
      <c r="D686" s="778"/>
      <c r="E686" s="778"/>
      <c r="F686" s="778"/>
      <c r="G686" s="778"/>
      <c r="H686" s="1914"/>
      <c r="I686" s="818"/>
      <c r="J686" s="781" t="s">
        <v>1109</v>
      </c>
      <c r="K686" s="777"/>
      <c r="L686" s="782"/>
      <c r="M686" s="777"/>
      <c r="N686" s="782"/>
      <c r="O686" s="777">
        <v>3</v>
      </c>
      <c r="P686" s="782"/>
      <c r="Q686" s="777"/>
      <c r="R686" s="783"/>
      <c r="S686" s="777"/>
      <c r="T686" s="782"/>
      <c r="U686" s="777"/>
      <c r="V686" s="782"/>
      <c r="W686" s="779"/>
      <c r="X686" s="782"/>
      <c r="Y686" s="777"/>
      <c r="Z686" s="783"/>
      <c r="AA686" s="777"/>
      <c r="AB686" s="791"/>
      <c r="AC686" s="777"/>
      <c r="AD686" s="792"/>
      <c r="AE686" s="817"/>
    </row>
    <row r="687" spans="1:31" s="787" customFormat="1" ht="21.75" customHeight="1">
      <c r="A687" s="777"/>
      <c r="B687" s="777"/>
      <c r="C687" s="778"/>
      <c r="D687" s="778"/>
      <c r="E687" s="778"/>
      <c r="F687" s="778"/>
      <c r="G687" s="778"/>
      <c r="H687" s="1914"/>
      <c r="I687" s="818"/>
      <c r="J687" s="781" t="s">
        <v>1110</v>
      </c>
      <c r="K687" s="777"/>
      <c r="L687" s="782"/>
      <c r="M687" s="777"/>
      <c r="N687" s="782"/>
      <c r="O687" s="777">
        <v>20</v>
      </c>
      <c r="P687" s="782"/>
      <c r="Q687" s="777"/>
      <c r="R687" s="783"/>
      <c r="S687" s="777"/>
      <c r="T687" s="782"/>
      <c r="U687" s="777"/>
      <c r="V687" s="782"/>
      <c r="W687" s="779"/>
      <c r="X687" s="782"/>
      <c r="Y687" s="777"/>
      <c r="Z687" s="783"/>
      <c r="AA687" s="777"/>
      <c r="AB687" s="791"/>
      <c r="AC687" s="777"/>
      <c r="AD687" s="792"/>
      <c r="AE687" s="817"/>
    </row>
    <row r="688" spans="1:31" s="776" customFormat="1" ht="57" customHeight="1">
      <c r="A688" s="819">
        <v>3</v>
      </c>
      <c r="B688" s="800" t="s">
        <v>1053</v>
      </c>
      <c r="C688" s="820" t="s">
        <v>146</v>
      </c>
      <c r="D688" s="820" t="s">
        <v>65</v>
      </c>
      <c r="E688" s="820" t="s">
        <v>161</v>
      </c>
      <c r="F688" s="820" t="s">
        <v>357</v>
      </c>
      <c r="G688" s="821"/>
      <c r="H688" s="822"/>
      <c r="I688" s="823" t="s">
        <v>1111</v>
      </c>
      <c r="J688" s="824" t="s">
        <v>1112</v>
      </c>
      <c r="K688" s="825">
        <v>0.5</v>
      </c>
      <c r="L688" s="826">
        <f>SUM(L689:L712)</f>
        <v>3745000000</v>
      </c>
      <c r="M688" s="827">
        <v>0.25</v>
      </c>
      <c r="N688" s="826">
        <v>1318608040</v>
      </c>
      <c r="O688" s="827">
        <v>0.3</v>
      </c>
      <c r="P688" s="826">
        <f>P689+P691+P695+P701+P702+P711</f>
        <v>973554382</v>
      </c>
      <c r="Q688" s="828">
        <f>R688/P688</f>
        <v>6.9417050808364605E-2</v>
      </c>
      <c r="R688" s="826">
        <f>R689+R691+R695+R701+R702+R711</f>
        <v>67581274</v>
      </c>
      <c r="S688" s="819"/>
      <c r="T688" s="826"/>
      <c r="U688" s="819"/>
      <c r="V688" s="826"/>
      <c r="W688" s="821"/>
      <c r="X688" s="826"/>
      <c r="Y688" s="828">
        <f>+Z688/P688</f>
        <v>6.9417050808364605E-2</v>
      </c>
      <c r="Z688" s="826">
        <f>Z689+Z691+Z695+Z701+Z702+Z711</f>
        <v>67581274</v>
      </c>
      <c r="AA688" s="819"/>
      <c r="AB688" s="829">
        <f>Z688+N688</f>
        <v>1386189314</v>
      </c>
      <c r="AC688" s="819"/>
      <c r="AD688" s="830">
        <f>(AB688/L688)*100</f>
        <v>37.014400907877167</v>
      </c>
      <c r="AE688" s="774" t="s">
        <v>1056</v>
      </c>
    </row>
    <row r="689" spans="1:31" s="787" customFormat="1" ht="56.25" customHeight="1">
      <c r="A689" s="777"/>
      <c r="B689" s="777"/>
      <c r="C689" s="778" t="s">
        <v>146</v>
      </c>
      <c r="D689" s="778" t="s">
        <v>65</v>
      </c>
      <c r="E689" s="778" t="s">
        <v>161</v>
      </c>
      <c r="F689" s="778" t="s">
        <v>357</v>
      </c>
      <c r="G689" s="778" t="s">
        <v>198</v>
      </c>
      <c r="H689" s="1914"/>
      <c r="I689" s="780" t="s">
        <v>1113</v>
      </c>
      <c r="J689" s="781" t="s">
        <v>1114</v>
      </c>
      <c r="K689" s="777">
        <v>40</v>
      </c>
      <c r="L689" s="782">
        <v>300000000</v>
      </c>
      <c r="M689" s="777">
        <v>20</v>
      </c>
      <c r="N689" s="782">
        <v>240811791</v>
      </c>
      <c r="O689" s="777">
        <f>M689</f>
        <v>20</v>
      </c>
      <c r="P689" s="782">
        <v>112597526</v>
      </c>
      <c r="Q689" s="831">
        <v>0</v>
      </c>
      <c r="R689" s="783">
        <v>4011400</v>
      </c>
      <c r="S689" s="789"/>
      <c r="T689" s="782"/>
      <c r="U689" s="789"/>
      <c r="V689" s="777"/>
      <c r="W689" s="790"/>
      <c r="X689" s="782"/>
      <c r="Y689" s="831">
        <v>0</v>
      </c>
      <c r="Z689" s="783">
        <v>4011400</v>
      </c>
      <c r="AA689" s="791">
        <f>Y689</f>
        <v>0</v>
      </c>
      <c r="AB689" s="791">
        <f>Z689+N689</f>
        <v>244823191</v>
      </c>
      <c r="AC689" s="791"/>
      <c r="AD689" s="792">
        <f>(AB689/L689)*100</f>
        <v>81.607730333333322</v>
      </c>
      <c r="AE689" s="786"/>
    </row>
    <row r="690" spans="1:31" s="787" customFormat="1" ht="72.75" customHeight="1">
      <c r="A690" s="777"/>
      <c r="B690" s="777"/>
      <c r="C690" s="778" t="s">
        <v>146</v>
      </c>
      <c r="D690" s="778" t="s">
        <v>65</v>
      </c>
      <c r="E690" s="778" t="s">
        <v>161</v>
      </c>
      <c r="F690" s="778" t="s">
        <v>357</v>
      </c>
      <c r="G690" s="778" t="s">
        <v>93</v>
      </c>
      <c r="H690" s="1914"/>
      <c r="I690" s="780" t="s">
        <v>1115</v>
      </c>
      <c r="J690" s="781"/>
      <c r="K690" s="777"/>
      <c r="L690" s="782"/>
      <c r="M690" s="777"/>
      <c r="N690" s="782">
        <v>0</v>
      </c>
      <c r="O690" s="777"/>
      <c r="P690" s="782"/>
      <c r="Q690" s="777"/>
      <c r="R690" s="783"/>
      <c r="S690" s="777"/>
      <c r="T690" s="813"/>
      <c r="U690" s="813"/>
      <c r="V690" s="812"/>
      <c r="W690" s="779"/>
      <c r="X690" s="782"/>
      <c r="Y690" s="777"/>
      <c r="Z690" s="783"/>
      <c r="AA690" s="777"/>
      <c r="AB690" s="791">
        <f>Z690+N690</f>
        <v>0</v>
      </c>
      <c r="AC690" s="777"/>
      <c r="AD690" s="792"/>
      <c r="AE690" s="786"/>
    </row>
    <row r="691" spans="1:31" s="787" customFormat="1" ht="49.5" customHeight="1">
      <c r="A691" s="777"/>
      <c r="B691" s="777"/>
      <c r="C691" s="778" t="s">
        <v>146</v>
      </c>
      <c r="D691" s="778" t="s">
        <v>65</v>
      </c>
      <c r="E691" s="778" t="s">
        <v>161</v>
      </c>
      <c r="F691" s="778" t="s">
        <v>357</v>
      </c>
      <c r="G691" s="778" t="s">
        <v>396</v>
      </c>
      <c r="H691" s="1914"/>
      <c r="I691" s="780" t="s">
        <v>1116</v>
      </c>
      <c r="J691" s="781" t="s">
        <v>1117</v>
      </c>
      <c r="K691" s="777"/>
      <c r="L691" s="782">
        <v>2000000000</v>
      </c>
      <c r="M691" s="777"/>
      <c r="N691" s="782">
        <v>209331150</v>
      </c>
      <c r="O691" s="777"/>
      <c r="P691" s="782">
        <v>106853436</v>
      </c>
      <c r="Q691" s="831"/>
      <c r="R691" s="783">
        <v>16138174</v>
      </c>
      <c r="S691" s="789"/>
      <c r="T691" s="813"/>
      <c r="U691" s="789"/>
      <c r="V691" s="813"/>
      <c r="W691" s="790"/>
      <c r="X691" s="813"/>
      <c r="Y691" s="831"/>
      <c r="Z691" s="783">
        <v>16138174</v>
      </c>
      <c r="AA691" s="791">
        <f>Y691</f>
        <v>0</v>
      </c>
      <c r="AB691" s="791">
        <f>Z691+N691</f>
        <v>225469324</v>
      </c>
      <c r="AC691" s="791"/>
      <c r="AD691" s="792">
        <f>(AB691/L691)*100</f>
        <v>11.2734662</v>
      </c>
      <c r="AE691" s="786"/>
    </row>
    <row r="692" spans="1:31" s="787" customFormat="1" ht="25.5" customHeight="1">
      <c r="A692" s="777"/>
      <c r="B692" s="777"/>
      <c r="C692" s="778"/>
      <c r="D692" s="778"/>
      <c r="E692" s="778"/>
      <c r="F692" s="778"/>
      <c r="G692" s="778"/>
      <c r="H692" s="1914"/>
      <c r="I692" s="780"/>
      <c r="J692" s="781" t="s">
        <v>1118</v>
      </c>
      <c r="K692" s="777"/>
      <c r="L692" s="782"/>
      <c r="M692" s="777"/>
      <c r="N692" s="782"/>
      <c r="O692" s="777">
        <v>10</v>
      </c>
      <c r="P692" s="782"/>
      <c r="Q692" s="782">
        <v>7</v>
      </c>
      <c r="R692" s="783"/>
      <c r="S692" s="789"/>
      <c r="T692" s="813"/>
      <c r="U692" s="789"/>
      <c r="V692" s="813"/>
      <c r="W692" s="790"/>
      <c r="X692" s="813"/>
      <c r="Y692" s="782">
        <v>7</v>
      </c>
      <c r="Z692" s="783"/>
      <c r="AA692" s="791"/>
      <c r="AB692" s="791"/>
      <c r="AC692" s="791"/>
      <c r="AD692" s="792"/>
      <c r="AE692" s="786"/>
    </row>
    <row r="693" spans="1:31" s="787" customFormat="1" ht="21" customHeight="1">
      <c r="A693" s="777"/>
      <c r="B693" s="777"/>
      <c r="C693" s="778"/>
      <c r="D693" s="778"/>
      <c r="E693" s="778"/>
      <c r="F693" s="778"/>
      <c r="G693" s="778"/>
      <c r="H693" s="1914"/>
      <c r="I693" s="780"/>
      <c r="J693" s="781" t="s">
        <v>1119</v>
      </c>
      <c r="K693" s="777"/>
      <c r="L693" s="782"/>
      <c r="M693" s="777"/>
      <c r="N693" s="782"/>
      <c r="O693" s="777">
        <v>20</v>
      </c>
      <c r="P693" s="782"/>
      <c r="Q693" s="782">
        <v>5</v>
      </c>
      <c r="R693" s="783"/>
      <c r="S693" s="789"/>
      <c r="T693" s="813"/>
      <c r="U693" s="789"/>
      <c r="V693" s="813"/>
      <c r="W693" s="790"/>
      <c r="X693" s="813"/>
      <c r="Y693" s="782">
        <v>5</v>
      </c>
      <c r="Z693" s="783"/>
      <c r="AA693" s="791"/>
      <c r="AB693" s="791"/>
      <c r="AC693" s="791"/>
      <c r="AD693" s="792"/>
      <c r="AE693" s="786"/>
    </row>
    <row r="694" spans="1:31" s="787" customFormat="1" ht="55.5" customHeight="1">
      <c r="A694" s="777"/>
      <c r="B694" s="777"/>
      <c r="C694" s="778" t="s">
        <v>146</v>
      </c>
      <c r="D694" s="778" t="s">
        <v>65</v>
      </c>
      <c r="E694" s="778" t="s">
        <v>161</v>
      </c>
      <c r="F694" s="778" t="s">
        <v>357</v>
      </c>
      <c r="G694" s="778" t="s">
        <v>166</v>
      </c>
      <c r="H694" s="1914"/>
      <c r="I694" s="780" t="s">
        <v>1120</v>
      </c>
      <c r="J694" s="781"/>
      <c r="K694" s="777"/>
      <c r="L694" s="782"/>
      <c r="M694" s="777"/>
      <c r="N694" s="782">
        <v>0</v>
      </c>
      <c r="O694" s="777"/>
      <c r="P694" s="782"/>
      <c r="Q694" s="777"/>
      <c r="R694" s="783"/>
      <c r="S694" s="777"/>
      <c r="T694" s="812"/>
      <c r="U694" s="813"/>
      <c r="V694" s="812"/>
      <c r="W694" s="790"/>
      <c r="X694" s="782"/>
      <c r="Y694" s="777"/>
      <c r="Z694" s="783"/>
      <c r="AA694" s="777"/>
      <c r="AB694" s="791">
        <f t="shared" ref="AB694:AB701" si="126">Z694+N694</f>
        <v>0</v>
      </c>
      <c r="AC694" s="777"/>
      <c r="AD694" s="792"/>
      <c r="AE694" s="786"/>
    </row>
    <row r="695" spans="1:31" s="787" customFormat="1" ht="57.75" customHeight="1">
      <c r="A695" s="777"/>
      <c r="B695" s="777"/>
      <c r="C695" s="778" t="s">
        <v>146</v>
      </c>
      <c r="D695" s="778" t="s">
        <v>65</v>
      </c>
      <c r="E695" s="778" t="s">
        <v>161</v>
      </c>
      <c r="F695" s="778" t="s">
        <v>357</v>
      </c>
      <c r="G695" s="778" t="s">
        <v>448</v>
      </c>
      <c r="H695" s="1914"/>
      <c r="I695" s="780" t="s">
        <v>1121</v>
      </c>
      <c r="J695" s="781" t="s">
        <v>1122</v>
      </c>
      <c r="K695" s="777"/>
      <c r="L695" s="782">
        <v>250000000</v>
      </c>
      <c r="M695" s="777">
        <v>8</v>
      </c>
      <c r="N695" s="782">
        <v>216313700</v>
      </c>
      <c r="O695" s="777">
        <f>M695</f>
        <v>8</v>
      </c>
      <c r="P695" s="782">
        <v>177075240</v>
      </c>
      <c r="Q695" s="782">
        <v>3</v>
      </c>
      <c r="R695" s="783">
        <v>26368100</v>
      </c>
      <c r="S695" s="789"/>
      <c r="T695" s="782"/>
      <c r="U695" s="789"/>
      <c r="V695" s="777"/>
      <c r="W695" s="790"/>
      <c r="X695" s="782"/>
      <c r="Y695" s="782">
        <v>3</v>
      </c>
      <c r="Z695" s="783">
        <v>26368100</v>
      </c>
      <c r="AA695" s="791">
        <f>Y695</f>
        <v>3</v>
      </c>
      <c r="AB695" s="791">
        <f t="shared" si="126"/>
        <v>242681800</v>
      </c>
      <c r="AC695" s="791"/>
      <c r="AD695" s="792">
        <f>(AB695/L695)*100</f>
        <v>97.072720000000004</v>
      </c>
      <c r="AE695" s="786"/>
    </row>
    <row r="696" spans="1:31" s="787" customFormat="1" ht="57" customHeight="1">
      <c r="A696" s="777"/>
      <c r="B696" s="777"/>
      <c r="C696" s="778" t="s">
        <v>146</v>
      </c>
      <c r="D696" s="778" t="s">
        <v>65</v>
      </c>
      <c r="E696" s="778" t="s">
        <v>161</v>
      </c>
      <c r="F696" s="778" t="s">
        <v>357</v>
      </c>
      <c r="G696" s="778" t="s">
        <v>357</v>
      </c>
      <c r="H696" s="1914"/>
      <c r="I696" s="780" t="s">
        <v>1123</v>
      </c>
      <c r="J696" s="781" t="s">
        <v>1124</v>
      </c>
      <c r="K696" s="777" t="s">
        <v>1125</v>
      </c>
      <c r="L696" s="782">
        <v>450000000</v>
      </c>
      <c r="M696" s="777">
        <f>O696</f>
        <v>0</v>
      </c>
      <c r="N696" s="782">
        <v>422934500</v>
      </c>
      <c r="O696" s="777"/>
      <c r="P696" s="782"/>
      <c r="Q696" s="789"/>
      <c r="R696" s="783"/>
      <c r="S696" s="789"/>
      <c r="T696" s="782"/>
      <c r="U696" s="789"/>
      <c r="V696" s="777"/>
      <c r="W696" s="790"/>
      <c r="X696" s="782"/>
      <c r="Y696" s="789"/>
      <c r="Z696" s="783"/>
      <c r="AA696" s="777">
        <f>Y696</f>
        <v>0</v>
      </c>
      <c r="AB696" s="791">
        <f t="shared" si="126"/>
        <v>422934500</v>
      </c>
      <c r="AC696" s="777"/>
      <c r="AD696" s="792">
        <f>(AB696/L696)*100</f>
        <v>93.98544444444444</v>
      </c>
      <c r="AE696" s="786"/>
    </row>
    <row r="697" spans="1:31" s="787" customFormat="1" ht="70.5" customHeight="1">
      <c r="A697" s="777"/>
      <c r="B697" s="777"/>
      <c r="C697" s="778" t="s">
        <v>146</v>
      </c>
      <c r="D697" s="778" t="s">
        <v>65</v>
      </c>
      <c r="E697" s="778" t="s">
        <v>161</v>
      </c>
      <c r="F697" s="778" t="s">
        <v>357</v>
      </c>
      <c r="G697" s="778" t="s">
        <v>178</v>
      </c>
      <c r="H697" s="1914"/>
      <c r="I697" s="780" t="s">
        <v>1126</v>
      </c>
      <c r="J697" s="781"/>
      <c r="K697" s="777"/>
      <c r="L697" s="782"/>
      <c r="M697" s="777"/>
      <c r="N697" s="782">
        <v>0</v>
      </c>
      <c r="O697" s="777"/>
      <c r="P697" s="782"/>
      <c r="Q697" s="777"/>
      <c r="R697" s="783"/>
      <c r="S697" s="777"/>
      <c r="T697" s="782"/>
      <c r="U697" s="777"/>
      <c r="V697" s="782"/>
      <c r="W697" s="790"/>
      <c r="X697" s="782"/>
      <c r="Y697" s="777"/>
      <c r="Z697" s="783"/>
      <c r="AA697" s="791"/>
      <c r="AB697" s="791">
        <f t="shared" si="126"/>
        <v>0</v>
      </c>
      <c r="AC697" s="791"/>
      <c r="AD697" s="792"/>
      <c r="AE697" s="786"/>
    </row>
    <row r="698" spans="1:31" s="787" customFormat="1" ht="55.5" customHeight="1">
      <c r="A698" s="777"/>
      <c r="B698" s="832"/>
      <c r="C698" s="778" t="s">
        <v>146</v>
      </c>
      <c r="D698" s="778" t="s">
        <v>65</v>
      </c>
      <c r="E698" s="778" t="s">
        <v>161</v>
      </c>
      <c r="F698" s="778" t="s">
        <v>357</v>
      </c>
      <c r="G698" s="778" t="s">
        <v>368</v>
      </c>
      <c r="H698" s="1914"/>
      <c r="I698" s="780" t="s">
        <v>1127</v>
      </c>
      <c r="J698" s="781"/>
      <c r="K698" s="777"/>
      <c r="L698" s="782"/>
      <c r="M698" s="777"/>
      <c r="N698" s="782">
        <v>0</v>
      </c>
      <c r="O698" s="777"/>
      <c r="P698" s="782"/>
      <c r="Q698" s="777"/>
      <c r="R698" s="783"/>
      <c r="S698" s="777"/>
      <c r="T698" s="782"/>
      <c r="U698" s="791"/>
      <c r="V698" s="782"/>
      <c r="W698" s="779"/>
      <c r="X698" s="782"/>
      <c r="Y698" s="777"/>
      <c r="Z698" s="783"/>
      <c r="AA698" s="777"/>
      <c r="AB698" s="791">
        <f t="shared" si="126"/>
        <v>0</v>
      </c>
      <c r="AC698" s="777"/>
      <c r="AD698" s="792"/>
      <c r="AE698" s="786"/>
    </row>
    <row r="699" spans="1:31" s="787" customFormat="1" ht="38.25" customHeight="1">
      <c r="A699" s="777"/>
      <c r="B699" s="777"/>
      <c r="C699" s="778" t="s">
        <v>146</v>
      </c>
      <c r="D699" s="778" t="s">
        <v>65</v>
      </c>
      <c r="E699" s="778" t="s">
        <v>161</v>
      </c>
      <c r="F699" s="778" t="s">
        <v>357</v>
      </c>
      <c r="G699" s="778" t="s">
        <v>399</v>
      </c>
      <c r="H699" s="1914"/>
      <c r="I699" s="780" t="s">
        <v>1128</v>
      </c>
      <c r="J699" s="781"/>
      <c r="K699" s="777"/>
      <c r="L699" s="782"/>
      <c r="M699" s="777"/>
      <c r="N699" s="782">
        <v>0</v>
      </c>
      <c r="O699" s="777"/>
      <c r="P699" s="782"/>
      <c r="Q699" s="777"/>
      <c r="R699" s="783"/>
      <c r="S699" s="777"/>
      <c r="T699" s="782"/>
      <c r="U699" s="777"/>
      <c r="V699" s="782"/>
      <c r="W699" s="779"/>
      <c r="X699" s="782"/>
      <c r="Y699" s="777"/>
      <c r="Z699" s="783"/>
      <c r="AA699" s="777"/>
      <c r="AB699" s="791">
        <f t="shared" si="126"/>
        <v>0</v>
      </c>
      <c r="AC699" s="777"/>
      <c r="AD699" s="792"/>
      <c r="AE699" s="786"/>
    </row>
    <row r="700" spans="1:31" s="787" customFormat="1" ht="71.25" customHeight="1">
      <c r="A700" s="777"/>
      <c r="B700" s="777"/>
      <c r="C700" s="778" t="s">
        <v>146</v>
      </c>
      <c r="D700" s="778" t="s">
        <v>65</v>
      </c>
      <c r="E700" s="778" t="s">
        <v>161</v>
      </c>
      <c r="F700" s="778" t="s">
        <v>357</v>
      </c>
      <c r="G700" s="778" t="s">
        <v>1129</v>
      </c>
      <c r="H700" s="1914"/>
      <c r="I700" s="780" t="s">
        <v>1130</v>
      </c>
      <c r="J700" s="781" t="s">
        <v>1131</v>
      </c>
      <c r="K700" s="777" t="s">
        <v>1132</v>
      </c>
      <c r="L700" s="782">
        <v>300000000</v>
      </c>
      <c r="M700" s="777" t="str">
        <f>K700</f>
        <v>Pengelolaan tutupan vegetasi</v>
      </c>
      <c r="N700" s="782">
        <v>151685999</v>
      </c>
      <c r="O700" s="782">
        <v>0</v>
      </c>
      <c r="P700" s="782">
        <v>0</v>
      </c>
      <c r="Q700" s="782">
        <v>0</v>
      </c>
      <c r="R700" s="783">
        <v>0</v>
      </c>
      <c r="S700" s="789"/>
      <c r="T700" s="782"/>
      <c r="U700" s="777"/>
      <c r="V700" s="788"/>
      <c r="W700" s="790"/>
      <c r="X700" s="782"/>
      <c r="Y700" s="782">
        <v>0</v>
      </c>
      <c r="Z700" s="783">
        <v>0</v>
      </c>
      <c r="AA700" s="777">
        <f>Y700</f>
        <v>0</v>
      </c>
      <c r="AB700" s="791">
        <f t="shared" si="126"/>
        <v>151685999</v>
      </c>
      <c r="AC700" s="777"/>
      <c r="AD700" s="792">
        <f>(AB700/L700)*100</f>
        <v>50.561999666666665</v>
      </c>
      <c r="AE700" s="786"/>
    </row>
    <row r="701" spans="1:31" s="787" customFormat="1" ht="39.75" customHeight="1">
      <c r="A701" s="777"/>
      <c r="B701" s="777"/>
      <c r="C701" s="778" t="s">
        <v>146</v>
      </c>
      <c r="D701" s="778" t="s">
        <v>65</v>
      </c>
      <c r="E701" s="778" t="s">
        <v>161</v>
      </c>
      <c r="F701" s="778" t="s">
        <v>357</v>
      </c>
      <c r="G701" s="778" t="s">
        <v>1133</v>
      </c>
      <c r="H701" s="1914"/>
      <c r="I701" s="780" t="s">
        <v>1134</v>
      </c>
      <c r="J701" s="781" t="s">
        <v>1135</v>
      </c>
      <c r="K701" s="777" t="s">
        <v>1136</v>
      </c>
      <c r="L701" s="782">
        <v>120000000</v>
      </c>
      <c r="M701" s="777" t="str">
        <f>K701</f>
        <v>dokumen</v>
      </c>
      <c r="N701" s="782">
        <v>0</v>
      </c>
      <c r="O701" s="777">
        <v>1</v>
      </c>
      <c r="P701" s="833">
        <v>121250000</v>
      </c>
      <c r="Q701" s="777"/>
      <c r="R701" s="788">
        <v>0</v>
      </c>
      <c r="S701" s="777"/>
      <c r="T701" s="788"/>
      <c r="U701" s="777"/>
      <c r="V701" s="788"/>
      <c r="W701" s="779"/>
      <c r="X701" s="782"/>
      <c r="Y701" s="777"/>
      <c r="Z701" s="788">
        <v>0</v>
      </c>
      <c r="AA701" s="777"/>
      <c r="AB701" s="791">
        <f t="shared" si="126"/>
        <v>0</v>
      </c>
      <c r="AC701" s="777"/>
      <c r="AD701" s="792">
        <f>(AB701/L701)*100</f>
        <v>0</v>
      </c>
      <c r="AE701" s="786"/>
    </row>
    <row r="702" spans="1:31" s="787" customFormat="1" ht="30" customHeight="1">
      <c r="A702" s="777"/>
      <c r="B702" s="777"/>
      <c r="C702" s="778"/>
      <c r="D702" s="778"/>
      <c r="E702" s="778"/>
      <c r="F702" s="778"/>
      <c r="G702" s="778"/>
      <c r="H702" s="1914"/>
      <c r="I702" s="780" t="s">
        <v>1137</v>
      </c>
      <c r="J702" s="781"/>
      <c r="K702" s="777"/>
      <c r="L702" s="782"/>
      <c r="M702" s="777"/>
      <c r="N702" s="782"/>
      <c r="O702" s="777"/>
      <c r="P702" s="833">
        <v>427600000</v>
      </c>
      <c r="Q702" s="777" t="s">
        <v>1138</v>
      </c>
      <c r="R702" s="795">
        <v>15934600</v>
      </c>
      <c r="S702" s="777"/>
      <c r="T702" s="788"/>
      <c r="U702" s="777"/>
      <c r="V702" s="788"/>
      <c r="W702" s="779"/>
      <c r="X702" s="782"/>
      <c r="Y702" s="777" t="s">
        <v>1138</v>
      </c>
      <c r="Z702" s="795">
        <v>15934600</v>
      </c>
      <c r="AA702" s="777"/>
      <c r="AB702" s="791"/>
      <c r="AC702" s="777"/>
      <c r="AD702" s="792"/>
      <c r="AE702" s="786"/>
    </row>
    <row r="703" spans="1:31" s="787" customFormat="1" ht="39.75" customHeight="1">
      <c r="A703" s="777"/>
      <c r="B703" s="777"/>
      <c r="C703" s="778" t="s">
        <v>146</v>
      </c>
      <c r="D703" s="778" t="s">
        <v>65</v>
      </c>
      <c r="E703" s="778" t="s">
        <v>161</v>
      </c>
      <c r="F703" s="778" t="s">
        <v>357</v>
      </c>
      <c r="G703" s="778" t="s">
        <v>1087</v>
      </c>
      <c r="H703" s="1914"/>
      <c r="I703" s="780" t="s">
        <v>1139</v>
      </c>
      <c r="J703" s="781"/>
      <c r="K703" s="777"/>
      <c r="L703" s="782"/>
      <c r="M703" s="777"/>
      <c r="N703" s="782"/>
      <c r="O703" s="777"/>
      <c r="P703" s="782"/>
      <c r="Q703" s="777"/>
      <c r="R703" s="783"/>
      <c r="S703" s="777"/>
      <c r="T703" s="782"/>
      <c r="U703" s="777"/>
      <c r="V703" s="782"/>
      <c r="W703" s="779"/>
      <c r="X703" s="782"/>
      <c r="Y703" s="777"/>
      <c r="Z703" s="783"/>
      <c r="AA703" s="777"/>
      <c r="AB703" s="791"/>
      <c r="AC703" s="777"/>
      <c r="AD703" s="792"/>
      <c r="AE703" s="786"/>
    </row>
    <row r="704" spans="1:31" s="787" customFormat="1" ht="72" customHeight="1">
      <c r="A704" s="777"/>
      <c r="B704" s="777"/>
      <c r="C704" s="778" t="s">
        <v>146</v>
      </c>
      <c r="D704" s="778" t="s">
        <v>65</v>
      </c>
      <c r="E704" s="778" t="s">
        <v>161</v>
      </c>
      <c r="F704" s="778" t="s">
        <v>357</v>
      </c>
      <c r="G704" s="778" t="s">
        <v>1140</v>
      </c>
      <c r="H704" s="1914"/>
      <c r="I704" s="780" t="s">
        <v>1141</v>
      </c>
      <c r="J704" s="781"/>
      <c r="K704" s="777"/>
      <c r="L704" s="782"/>
      <c r="M704" s="777"/>
      <c r="N704" s="782"/>
      <c r="O704" s="777"/>
      <c r="P704" s="782"/>
      <c r="Q704" s="777"/>
      <c r="R704" s="783"/>
      <c r="S704" s="777"/>
      <c r="T704" s="782"/>
      <c r="U704" s="791"/>
      <c r="V704" s="782"/>
      <c r="W704" s="779"/>
      <c r="X704" s="782"/>
      <c r="Y704" s="777"/>
      <c r="Z704" s="783"/>
      <c r="AA704" s="777"/>
      <c r="AB704" s="791"/>
      <c r="AC704" s="777"/>
      <c r="AD704" s="792"/>
      <c r="AE704" s="786"/>
    </row>
    <row r="705" spans="1:31" s="787" customFormat="1" ht="29.25" customHeight="1">
      <c r="A705" s="777"/>
      <c r="B705" s="777"/>
      <c r="C705" s="778" t="s">
        <v>146</v>
      </c>
      <c r="D705" s="778" t="s">
        <v>65</v>
      </c>
      <c r="E705" s="778" t="s">
        <v>161</v>
      </c>
      <c r="F705" s="778" t="s">
        <v>357</v>
      </c>
      <c r="G705" s="778" t="s">
        <v>164</v>
      </c>
      <c r="H705" s="1914"/>
      <c r="I705" s="780" t="s">
        <v>1142</v>
      </c>
      <c r="J705" s="781"/>
      <c r="K705" s="777"/>
      <c r="L705" s="782"/>
      <c r="M705" s="777"/>
      <c r="N705" s="782"/>
      <c r="O705" s="777"/>
      <c r="P705" s="782"/>
      <c r="Q705" s="777"/>
      <c r="R705" s="783"/>
      <c r="S705" s="777"/>
      <c r="T705" s="782"/>
      <c r="U705" s="777"/>
      <c r="V705" s="782"/>
      <c r="W705" s="779"/>
      <c r="X705" s="782"/>
      <c r="Y705" s="777"/>
      <c r="Z705" s="783"/>
      <c r="AA705" s="777"/>
      <c r="AB705" s="791"/>
      <c r="AC705" s="777"/>
      <c r="AD705" s="792"/>
      <c r="AE705" s="786"/>
    </row>
    <row r="706" spans="1:31" s="787" customFormat="1" ht="41.25" customHeight="1">
      <c r="A706" s="777"/>
      <c r="B706" s="777"/>
      <c r="C706" s="778" t="s">
        <v>146</v>
      </c>
      <c r="D706" s="778" t="s">
        <v>65</v>
      </c>
      <c r="E706" s="778" t="s">
        <v>161</v>
      </c>
      <c r="F706" s="778" t="s">
        <v>357</v>
      </c>
      <c r="G706" s="778" t="s">
        <v>469</v>
      </c>
      <c r="H706" s="1914"/>
      <c r="I706" s="780" t="s">
        <v>1143</v>
      </c>
      <c r="J706" s="781"/>
      <c r="K706" s="777"/>
      <c r="L706" s="782"/>
      <c r="M706" s="777"/>
      <c r="N706" s="782"/>
      <c r="O706" s="777"/>
      <c r="P706" s="782"/>
      <c r="Q706" s="777"/>
      <c r="R706" s="783"/>
      <c r="S706" s="777"/>
      <c r="T706" s="782"/>
      <c r="U706" s="777"/>
      <c r="V706" s="782"/>
      <c r="W706" s="779"/>
      <c r="X706" s="782"/>
      <c r="Y706" s="777"/>
      <c r="Z706" s="783"/>
      <c r="AA706" s="777"/>
      <c r="AB706" s="791"/>
      <c r="AC706" s="777"/>
      <c r="AD706" s="792"/>
      <c r="AE706" s="786"/>
    </row>
    <row r="707" spans="1:31" s="787" customFormat="1" ht="51.75" customHeight="1">
      <c r="A707" s="777"/>
      <c r="B707" s="777"/>
      <c r="C707" s="778" t="s">
        <v>146</v>
      </c>
      <c r="D707" s="778" t="s">
        <v>65</v>
      </c>
      <c r="E707" s="778" t="s">
        <v>161</v>
      </c>
      <c r="F707" s="778" t="s">
        <v>357</v>
      </c>
      <c r="G707" s="778" t="s">
        <v>1089</v>
      </c>
      <c r="H707" s="1914"/>
      <c r="I707" s="780" t="s">
        <v>1144</v>
      </c>
      <c r="J707" s="781"/>
      <c r="K707" s="777"/>
      <c r="L707" s="782"/>
      <c r="M707" s="777"/>
      <c r="N707" s="782"/>
      <c r="O707" s="777"/>
      <c r="P707" s="782"/>
      <c r="Q707" s="777"/>
      <c r="R707" s="783"/>
      <c r="S707" s="777"/>
      <c r="T707" s="782"/>
      <c r="U707" s="777"/>
      <c r="V707" s="782"/>
      <c r="W707" s="779"/>
      <c r="X707" s="782"/>
      <c r="Y707" s="777"/>
      <c r="Z707" s="783"/>
      <c r="AA707" s="777"/>
      <c r="AB707" s="791"/>
      <c r="AC707" s="777"/>
      <c r="AD707" s="792"/>
      <c r="AE707" s="786"/>
    </row>
    <row r="708" spans="1:31" s="787" customFormat="1" ht="23.25" customHeight="1">
      <c r="A708" s="777"/>
      <c r="B708" s="777"/>
      <c r="C708" s="778" t="s">
        <v>146</v>
      </c>
      <c r="D708" s="778" t="s">
        <v>65</v>
      </c>
      <c r="E708" s="778" t="s">
        <v>161</v>
      </c>
      <c r="F708" s="778" t="s">
        <v>357</v>
      </c>
      <c r="G708" s="778" t="s">
        <v>345</v>
      </c>
      <c r="H708" s="1914"/>
      <c r="I708" s="780" t="s">
        <v>1145</v>
      </c>
      <c r="J708" s="781"/>
      <c r="K708" s="777"/>
      <c r="L708" s="782"/>
      <c r="M708" s="777"/>
      <c r="N708" s="782"/>
      <c r="O708" s="777"/>
      <c r="P708" s="782"/>
      <c r="Q708" s="777"/>
      <c r="R708" s="783"/>
      <c r="S708" s="777"/>
      <c r="T708" s="782"/>
      <c r="U708" s="777"/>
      <c r="V708" s="782"/>
      <c r="W708" s="779"/>
      <c r="X708" s="782"/>
      <c r="Y708" s="777"/>
      <c r="Z708" s="783"/>
      <c r="AA708" s="777"/>
      <c r="AB708" s="791"/>
      <c r="AC708" s="777"/>
      <c r="AD708" s="792"/>
      <c r="AE708" s="786"/>
    </row>
    <row r="709" spans="1:31" s="787" customFormat="1" ht="36.75" customHeight="1">
      <c r="A709" s="777"/>
      <c r="B709" s="777"/>
      <c r="C709" s="778" t="s">
        <v>146</v>
      </c>
      <c r="D709" s="778" t="s">
        <v>65</v>
      </c>
      <c r="E709" s="778" t="s">
        <v>161</v>
      </c>
      <c r="F709" s="778" t="s">
        <v>357</v>
      </c>
      <c r="G709" s="778" t="s">
        <v>347</v>
      </c>
      <c r="H709" s="1914"/>
      <c r="I709" s="780" t="s">
        <v>1146</v>
      </c>
      <c r="J709" s="781"/>
      <c r="K709" s="777"/>
      <c r="L709" s="782"/>
      <c r="M709" s="777"/>
      <c r="N709" s="782"/>
      <c r="O709" s="777"/>
      <c r="P709" s="782"/>
      <c r="Q709" s="777"/>
      <c r="R709" s="783"/>
      <c r="S709" s="777"/>
      <c r="T709" s="782"/>
      <c r="U709" s="791"/>
      <c r="V709" s="782"/>
      <c r="W709" s="779"/>
      <c r="X709" s="782"/>
      <c r="Y709" s="777"/>
      <c r="Z709" s="783"/>
      <c r="AA709" s="777"/>
      <c r="AB709" s="791"/>
      <c r="AC709" s="777"/>
      <c r="AD709" s="792"/>
      <c r="AE709" s="786"/>
    </row>
    <row r="710" spans="1:31" s="787" customFormat="1" ht="37.5" customHeight="1">
      <c r="A710" s="777"/>
      <c r="B710" s="777"/>
      <c r="C710" s="778" t="s">
        <v>146</v>
      </c>
      <c r="D710" s="778" t="s">
        <v>65</v>
      </c>
      <c r="E710" s="778" t="s">
        <v>161</v>
      </c>
      <c r="F710" s="778" t="s">
        <v>357</v>
      </c>
      <c r="G710" s="778" t="s">
        <v>349</v>
      </c>
      <c r="H710" s="1914"/>
      <c r="I710" s="780" t="s">
        <v>1147</v>
      </c>
      <c r="J710" s="781"/>
      <c r="K710" s="777"/>
      <c r="L710" s="782"/>
      <c r="M710" s="777"/>
      <c r="N710" s="782">
        <v>38805700</v>
      </c>
      <c r="O710" s="777"/>
      <c r="P710" s="782"/>
      <c r="Q710" s="777"/>
      <c r="R710" s="783"/>
      <c r="S710" s="777"/>
      <c r="T710" s="816"/>
      <c r="U710" s="813"/>
      <c r="V710" s="816"/>
      <c r="W710" s="790"/>
      <c r="X710" s="782"/>
      <c r="Y710" s="777"/>
      <c r="Z710" s="783"/>
      <c r="AA710" s="777"/>
      <c r="AB710" s="791"/>
      <c r="AC710" s="777"/>
      <c r="AD710" s="792"/>
      <c r="AE710" s="786"/>
    </row>
    <row r="711" spans="1:31" s="787" customFormat="1" ht="55.5" customHeight="1">
      <c r="A711" s="777"/>
      <c r="B711" s="777"/>
      <c r="C711" s="778" t="s">
        <v>146</v>
      </c>
      <c r="D711" s="778" t="s">
        <v>65</v>
      </c>
      <c r="E711" s="778" t="s">
        <v>161</v>
      </c>
      <c r="F711" s="778" t="s">
        <v>357</v>
      </c>
      <c r="G711" s="778" t="s">
        <v>1148</v>
      </c>
      <c r="H711" s="4429"/>
      <c r="I711" s="780" t="s">
        <v>1149</v>
      </c>
      <c r="J711" s="781" t="s">
        <v>1150</v>
      </c>
      <c r="K711" s="777" t="s">
        <v>1151</v>
      </c>
      <c r="L711" s="782">
        <v>75000000</v>
      </c>
      <c r="M711" s="777" t="str">
        <f>K711</f>
        <v>data kegiatan yang memiliki izin lingkungan</v>
      </c>
      <c r="N711" s="782">
        <v>38725200</v>
      </c>
      <c r="O711" s="777">
        <v>15</v>
      </c>
      <c r="P711" s="782">
        <v>28178180</v>
      </c>
      <c r="Q711" s="782">
        <v>11</v>
      </c>
      <c r="R711" s="783">
        <v>5129000</v>
      </c>
      <c r="S711" s="789"/>
      <c r="T711" s="782"/>
      <c r="U711" s="789"/>
      <c r="V711" s="782"/>
      <c r="W711" s="790"/>
      <c r="X711" s="782"/>
      <c r="Y711" s="782">
        <v>11</v>
      </c>
      <c r="Z711" s="783">
        <v>5129000</v>
      </c>
      <c r="AA711" s="777">
        <f>Y711</f>
        <v>11</v>
      </c>
      <c r="AB711" s="791">
        <f>Z711+N711</f>
        <v>43854200</v>
      </c>
      <c r="AC711" s="777"/>
      <c r="AD711" s="792">
        <f>(AB711/L711)*100</f>
        <v>58.472266666666663</v>
      </c>
      <c r="AE711" s="786"/>
    </row>
    <row r="712" spans="1:31" s="787" customFormat="1" ht="47.25" customHeight="1">
      <c r="A712" s="777"/>
      <c r="B712" s="777"/>
      <c r="C712" s="779"/>
      <c r="D712" s="779"/>
      <c r="E712" s="779"/>
      <c r="F712" s="779"/>
      <c r="G712" s="779"/>
      <c r="H712" s="4429"/>
      <c r="I712" s="780" t="s">
        <v>1152</v>
      </c>
      <c r="J712" s="781" t="s">
        <v>1153</v>
      </c>
      <c r="K712" s="777" t="s">
        <v>1154</v>
      </c>
      <c r="L712" s="782">
        <v>250000000</v>
      </c>
      <c r="M712" s="777" t="str">
        <f>K712</f>
        <v>tersosialisasi penegakan hukum lingkungan</v>
      </c>
      <c r="N712" s="782">
        <v>160107150</v>
      </c>
      <c r="O712" s="777"/>
      <c r="P712" s="782"/>
      <c r="Q712" s="789"/>
      <c r="R712" s="795"/>
      <c r="S712" s="789"/>
      <c r="T712" s="788"/>
      <c r="U712" s="789"/>
      <c r="V712" s="782"/>
      <c r="W712" s="790"/>
      <c r="X712" s="782"/>
      <c r="Y712" s="789"/>
      <c r="Z712" s="795"/>
      <c r="AA712" s="791"/>
      <c r="AB712" s="791">
        <f>Z712+N712</f>
        <v>160107150</v>
      </c>
      <c r="AC712" s="777"/>
      <c r="AD712" s="792">
        <f>(AB712/L712)*100</f>
        <v>64.042860000000005</v>
      </c>
      <c r="AE712" s="786"/>
    </row>
    <row r="713" spans="1:31" s="787" customFormat="1" ht="40.5" customHeight="1">
      <c r="A713" s="777"/>
      <c r="B713" s="777"/>
      <c r="C713" s="779"/>
      <c r="D713" s="779"/>
      <c r="E713" s="779"/>
      <c r="F713" s="779"/>
      <c r="G713" s="779"/>
      <c r="H713" s="1914"/>
      <c r="I713" s="780" t="s">
        <v>1137</v>
      </c>
      <c r="J713" s="781" t="s">
        <v>1155</v>
      </c>
      <c r="K713" s="777"/>
      <c r="L713" s="782"/>
      <c r="M713" s="777"/>
      <c r="N713" s="782"/>
      <c r="O713" s="777">
        <v>10</v>
      </c>
      <c r="P713" s="782">
        <v>427600000</v>
      </c>
      <c r="Q713" s="782">
        <v>0</v>
      </c>
      <c r="R713" s="795">
        <v>15934600</v>
      </c>
      <c r="S713" s="789"/>
      <c r="T713" s="788"/>
      <c r="U713" s="789"/>
      <c r="V713" s="782"/>
      <c r="W713" s="790"/>
      <c r="X713" s="782"/>
      <c r="Y713" s="782">
        <v>0</v>
      </c>
      <c r="Z713" s="795">
        <v>15934600</v>
      </c>
      <c r="AA713" s="791"/>
      <c r="AB713" s="791"/>
      <c r="AC713" s="777"/>
      <c r="AD713" s="792"/>
      <c r="AE713" s="786"/>
    </row>
    <row r="714" spans="1:31" s="776" customFormat="1" ht="51" customHeight="1">
      <c r="A714" s="819">
        <v>4</v>
      </c>
      <c r="B714" s="800" t="s">
        <v>1039</v>
      </c>
      <c r="C714" s="820" t="s">
        <v>146</v>
      </c>
      <c r="D714" s="820" t="s">
        <v>65</v>
      </c>
      <c r="E714" s="820" t="s">
        <v>161</v>
      </c>
      <c r="F714" s="820" t="s">
        <v>376</v>
      </c>
      <c r="G714" s="821"/>
      <c r="H714" s="822"/>
      <c r="I714" s="834" t="s">
        <v>1156</v>
      </c>
      <c r="J714" s="800" t="s">
        <v>1041</v>
      </c>
      <c r="K714" s="819"/>
      <c r="L714" s="835">
        <f>L715</f>
        <v>417000000</v>
      </c>
      <c r="M714" s="819"/>
      <c r="N714" s="835">
        <v>160107150</v>
      </c>
      <c r="O714" s="819"/>
      <c r="P714" s="835">
        <f>P715</f>
        <v>58931380</v>
      </c>
      <c r="Q714" s="836">
        <f>R714/P714</f>
        <v>9.3552874546633732E-2</v>
      </c>
      <c r="R714" s="837">
        <f>R715</f>
        <v>5513200</v>
      </c>
      <c r="S714" s="819"/>
      <c r="T714" s="835"/>
      <c r="U714" s="819"/>
      <c r="V714" s="838"/>
      <c r="W714" s="821"/>
      <c r="X714" s="835"/>
      <c r="Y714" s="828">
        <f>+Z714/P714</f>
        <v>9.3552874546633732E-2</v>
      </c>
      <c r="Z714" s="837">
        <f>Z715</f>
        <v>5513200</v>
      </c>
      <c r="AA714" s="819"/>
      <c r="AB714" s="829">
        <f>Z714+N714</f>
        <v>165620350</v>
      </c>
      <c r="AC714" s="819"/>
      <c r="AD714" s="830">
        <f>(AB714/L714)*100</f>
        <v>39.717110311750595</v>
      </c>
      <c r="AE714" s="839"/>
    </row>
    <row r="715" spans="1:31" s="787" customFormat="1" ht="52.5" customHeight="1">
      <c r="A715" s="777"/>
      <c r="B715" s="777"/>
      <c r="C715" s="778" t="s">
        <v>146</v>
      </c>
      <c r="D715" s="778" t="s">
        <v>65</v>
      </c>
      <c r="E715" s="778" t="s">
        <v>161</v>
      </c>
      <c r="F715" s="778" t="s">
        <v>376</v>
      </c>
      <c r="G715" s="778" t="s">
        <v>202</v>
      </c>
      <c r="H715" s="1914"/>
      <c r="I715" s="780" t="s">
        <v>1157</v>
      </c>
      <c r="J715" s="781" t="s">
        <v>1158</v>
      </c>
      <c r="K715" s="777" t="s">
        <v>1159</v>
      </c>
      <c r="L715" s="782">
        <v>417000000</v>
      </c>
      <c r="M715" s="777" t="str">
        <f>K715</f>
        <v>Kondisi kualitas air sungai, embung dan tanah</v>
      </c>
      <c r="N715" s="782"/>
      <c r="O715" s="777">
        <v>5</v>
      </c>
      <c r="P715" s="782">
        <v>58931380</v>
      </c>
      <c r="Q715" s="782">
        <v>2</v>
      </c>
      <c r="R715" s="783">
        <v>5513200</v>
      </c>
      <c r="S715" s="789"/>
      <c r="T715" s="782"/>
      <c r="U715" s="789"/>
      <c r="V715" s="788"/>
      <c r="W715" s="790"/>
      <c r="X715" s="782"/>
      <c r="Y715" s="782">
        <v>2</v>
      </c>
      <c r="Z715" s="783">
        <v>5513200</v>
      </c>
      <c r="AA715" s="777"/>
      <c r="AB715" s="791">
        <f>Z715+N715</f>
        <v>5513200</v>
      </c>
      <c r="AC715" s="777"/>
      <c r="AD715" s="792">
        <f>(AB715/L715)*100</f>
        <v>1.3221103117505997</v>
      </c>
      <c r="AE715" s="786"/>
    </row>
    <row r="716" spans="1:31" s="787" customFormat="1" ht="23.25" customHeight="1">
      <c r="A716" s="777"/>
      <c r="B716" s="777"/>
      <c r="C716" s="778" t="s">
        <v>146</v>
      </c>
      <c r="D716" s="778" t="s">
        <v>65</v>
      </c>
      <c r="E716" s="778" t="s">
        <v>161</v>
      </c>
      <c r="F716" s="778" t="s">
        <v>376</v>
      </c>
      <c r="G716" s="778" t="s">
        <v>391</v>
      </c>
      <c r="H716" s="1914"/>
      <c r="I716" s="780" t="s">
        <v>1160</v>
      </c>
      <c r="J716" s="781"/>
      <c r="K716" s="777"/>
      <c r="L716" s="782"/>
      <c r="M716" s="777"/>
      <c r="N716" s="782"/>
      <c r="O716" s="777"/>
      <c r="P716" s="782"/>
      <c r="Q716" s="777"/>
      <c r="R716" s="783"/>
      <c r="S716" s="777"/>
      <c r="T716" s="782"/>
      <c r="U716" s="777"/>
      <c r="V716" s="782"/>
      <c r="W716" s="779"/>
      <c r="X716" s="782"/>
      <c r="Y716" s="777"/>
      <c r="Z716" s="783"/>
      <c r="AA716" s="777"/>
      <c r="AB716" s="791"/>
      <c r="AC716" s="777"/>
      <c r="AD716" s="792"/>
      <c r="AE716" s="786"/>
    </row>
    <row r="717" spans="1:31" s="787" customFormat="1" ht="23.25" customHeight="1">
      <c r="A717" s="777"/>
      <c r="B717" s="777"/>
      <c r="C717" s="778" t="s">
        <v>146</v>
      </c>
      <c r="D717" s="778" t="s">
        <v>65</v>
      </c>
      <c r="E717" s="778" t="s">
        <v>161</v>
      </c>
      <c r="F717" s="778" t="s">
        <v>376</v>
      </c>
      <c r="G717" s="778" t="s">
        <v>396</v>
      </c>
      <c r="H717" s="1914"/>
      <c r="I717" s="780" t="s">
        <v>1161</v>
      </c>
      <c r="J717" s="781"/>
      <c r="K717" s="777"/>
      <c r="L717" s="782"/>
      <c r="M717" s="777"/>
      <c r="N717" s="782"/>
      <c r="O717" s="777"/>
      <c r="P717" s="782"/>
      <c r="Q717" s="777"/>
      <c r="R717" s="783"/>
      <c r="S717" s="777"/>
      <c r="T717" s="798"/>
      <c r="U717" s="777"/>
      <c r="V717" s="782"/>
      <c r="W717" s="793"/>
      <c r="X717" s="782"/>
      <c r="Y717" s="777"/>
      <c r="Z717" s="783"/>
      <c r="AA717" s="777"/>
      <c r="AB717" s="791"/>
      <c r="AC717" s="777"/>
      <c r="AD717" s="792"/>
      <c r="AE717" s="786"/>
    </row>
    <row r="718" spans="1:31" s="787" customFormat="1" ht="23.25" customHeight="1">
      <c r="A718" s="777"/>
      <c r="B718" s="777"/>
      <c r="C718" s="778" t="s">
        <v>146</v>
      </c>
      <c r="D718" s="778" t="s">
        <v>65</v>
      </c>
      <c r="E718" s="778" t="s">
        <v>161</v>
      </c>
      <c r="F718" s="778" t="s">
        <v>376</v>
      </c>
      <c r="G718" s="778" t="s">
        <v>155</v>
      </c>
      <c r="H718" s="840"/>
      <c r="I718" s="780" t="s">
        <v>1162</v>
      </c>
      <c r="J718" s="781"/>
      <c r="K718" s="777"/>
      <c r="L718" s="782"/>
      <c r="M718" s="777"/>
      <c r="N718" s="782"/>
      <c r="O718" s="777"/>
      <c r="P718" s="782"/>
      <c r="Q718" s="777"/>
      <c r="R718" s="783"/>
      <c r="S718" s="777"/>
      <c r="T718" s="782"/>
      <c r="U718" s="777"/>
      <c r="V718" s="782"/>
      <c r="W718" s="779"/>
      <c r="X718" s="782"/>
      <c r="Y718" s="777"/>
      <c r="Z718" s="783"/>
      <c r="AA718" s="777"/>
      <c r="AB718" s="791"/>
      <c r="AC718" s="777"/>
      <c r="AD718" s="792"/>
      <c r="AE718" s="786"/>
    </row>
    <row r="719" spans="1:31" s="776" customFormat="1" ht="51.75" customHeight="1">
      <c r="A719" s="819">
        <v>5</v>
      </c>
      <c r="B719" s="800" t="s">
        <v>1163</v>
      </c>
      <c r="C719" s="820" t="s">
        <v>146</v>
      </c>
      <c r="D719" s="820" t="s">
        <v>65</v>
      </c>
      <c r="E719" s="820" t="s">
        <v>161</v>
      </c>
      <c r="F719" s="820" t="s">
        <v>515</v>
      </c>
      <c r="G719" s="821"/>
      <c r="H719" s="822"/>
      <c r="I719" s="834" t="s">
        <v>1164</v>
      </c>
      <c r="J719" s="800" t="s">
        <v>1165</v>
      </c>
      <c r="K719" s="825">
        <v>0.5</v>
      </c>
      <c r="L719" s="841">
        <f>L724</f>
        <v>200000000</v>
      </c>
      <c r="M719" s="827">
        <v>0.25</v>
      </c>
      <c r="N719" s="835"/>
      <c r="O719" s="827">
        <v>0.3</v>
      </c>
      <c r="P719" s="835">
        <f>P724</f>
        <v>101630660</v>
      </c>
      <c r="Q719" s="836">
        <f>R719/P719</f>
        <v>1.0397649685636204E-2</v>
      </c>
      <c r="R719" s="837">
        <f>R724</f>
        <v>1056720</v>
      </c>
      <c r="S719" s="819"/>
      <c r="T719" s="835"/>
      <c r="U719" s="819"/>
      <c r="V719" s="835"/>
      <c r="W719" s="821"/>
      <c r="X719" s="835"/>
      <c r="Y719" s="828">
        <f>+Z719/P719</f>
        <v>1.0397649685636204E-2</v>
      </c>
      <c r="Z719" s="837">
        <f>Z724</f>
        <v>1056720</v>
      </c>
      <c r="AA719" s="819"/>
      <c r="AB719" s="842">
        <f>Z719+N719</f>
        <v>1056720</v>
      </c>
      <c r="AC719" s="819"/>
      <c r="AD719" s="830">
        <f>(AB719/L719)*100</f>
        <v>0.52836000000000005</v>
      </c>
      <c r="AE719" s="774" t="s">
        <v>1056</v>
      </c>
    </row>
    <row r="720" spans="1:31" s="787" customFormat="1" ht="64.5" customHeight="1">
      <c r="A720" s="777"/>
      <c r="B720" s="777"/>
      <c r="C720" s="778" t="s">
        <v>146</v>
      </c>
      <c r="D720" s="778" t="s">
        <v>65</v>
      </c>
      <c r="E720" s="778" t="s">
        <v>161</v>
      </c>
      <c r="F720" s="778" t="s">
        <v>515</v>
      </c>
      <c r="G720" s="778" t="s">
        <v>66</v>
      </c>
      <c r="H720" s="1914"/>
      <c r="I720" s="780" t="s">
        <v>1166</v>
      </c>
      <c r="J720" s="781"/>
      <c r="K720" s="777"/>
      <c r="L720" s="782"/>
      <c r="M720" s="777"/>
      <c r="N720" s="782"/>
      <c r="O720" s="777"/>
      <c r="P720" s="782"/>
      <c r="Q720" s="777"/>
      <c r="R720" s="783"/>
      <c r="S720" s="777"/>
      <c r="T720" s="782"/>
      <c r="U720" s="777"/>
      <c r="V720" s="782"/>
      <c r="W720" s="779"/>
      <c r="X720" s="782"/>
      <c r="Y720" s="777"/>
      <c r="Z720" s="783"/>
      <c r="AA720" s="777"/>
      <c r="AB720" s="791"/>
      <c r="AC720" s="777"/>
      <c r="AD720" s="792"/>
      <c r="AE720" s="786"/>
    </row>
    <row r="721" spans="1:31" s="787" customFormat="1" ht="37.5" customHeight="1">
      <c r="A721" s="777"/>
      <c r="B721" s="777"/>
      <c r="C721" s="778" t="s">
        <v>146</v>
      </c>
      <c r="D721" s="778" t="s">
        <v>65</v>
      </c>
      <c r="E721" s="778" t="s">
        <v>161</v>
      </c>
      <c r="F721" s="778" t="s">
        <v>515</v>
      </c>
      <c r="G721" s="778" t="s">
        <v>95</v>
      </c>
      <c r="H721" s="1914"/>
      <c r="I721" s="780" t="s">
        <v>1167</v>
      </c>
      <c r="J721" s="781"/>
      <c r="K721" s="777"/>
      <c r="L721" s="782"/>
      <c r="M721" s="777"/>
      <c r="N721" s="782"/>
      <c r="O721" s="777"/>
      <c r="P721" s="782"/>
      <c r="Q721" s="777"/>
      <c r="R721" s="783"/>
      <c r="S721" s="777"/>
      <c r="T721" s="782"/>
      <c r="U721" s="777"/>
      <c r="V721" s="782"/>
      <c r="W721" s="779"/>
      <c r="X721" s="782"/>
      <c r="Y721" s="777"/>
      <c r="Z721" s="783"/>
      <c r="AA721" s="777"/>
      <c r="AB721" s="791"/>
      <c r="AC721" s="777"/>
      <c r="AD721" s="792"/>
      <c r="AE721" s="786"/>
    </row>
    <row r="722" spans="1:31" s="787" customFormat="1" ht="36.75" customHeight="1">
      <c r="A722" s="777"/>
      <c r="B722" s="777"/>
      <c r="C722" s="778" t="s">
        <v>146</v>
      </c>
      <c r="D722" s="778" t="s">
        <v>65</v>
      </c>
      <c r="E722" s="778" t="s">
        <v>161</v>
      </c>
      <c r="F722" s="778" t="s">
        <v>515</v>
      </c>
      <c r="G722" s="778" t="s">
        <v>197</v>
      </c>
      <c r="H722" s="1914"/>
      <c r="I722" s="780" t="s">
        <v>1168</v>
      </c>
      <c r="J722" s="781"/>
      <c r="K722" s="777"/>
      <c r="L722" s="782"/>
      <c r="M722" s="777"/>
      <c r="N722" s="782"/>
      <c r="O722" s="777"/>
      <c r="P722" s="782"/>
      <c r="Q722" s="777"/>
      <c r="R722" s="783"/>
      <c r="S722" s="777"/>
      <c r="T722" s="782"/>
      <c r="U722" s="777"/>
      <c r="V722" s="782"/>
      <c r="W722" s="779"/>
      <c r="X722" s="782"/>
      <c r="Y722" s="777"/>
      <c r="Z722" s="783"/>
      <c r="AA722" s="777"/>
      <c r="AB722" s="784"/>
      <c r="AC722" s="777"/>
      <c r="AD722" s="792"/>
      <c r="AE722" s="786"/>
    </row>
    <row r="723" spans="1:31" s="787" customFormat="1" ht="39.75" customHeight="1">
      <c r="A723" s="777"/>
      <c r="B723" s="777"/>
      <c r="C723" s="778" t="s">
        <v>146</v>
      </c>
      <c r="D723" s="778" t="s">
        <v>65</v>
      </c>
      <c r="E723" s="778" t="s">
        <v>161</v>
      </c>
      <c r="F723" s="778" t="s">
        <v>515</v>
      </c>
      <c r="G723" s="778" t="s">
        <v>198</v>
      </c>
      <c r="H723" s="1914"/>
      <c r="I723" s="780" t="s">
        <v>1169</v>
      </c>
      <c r="J723" s="781"/>
      <c r="K723" s="777"/>
      <c r="L723" s="782"/>
      <c r="M723" s="777"/>
      <c r="N723" s="782"/>
      <c r="O723" s="777"/>
      <c r="P723" s="816"/>
      <c r="Q723" s="813"/>
      <c r="R723" s="843"/>
      <c r="S723" s="777"/>
      <c r="T723" s="782"/>
      <c r="U723" s="777"/>
      <c r="V723" s="782"/>
      <c r="W723" s="779"/>
      <c r="X723" s="782"/>
      <c r="Y723" s="813"/>
      <c r="Z723" s="843"/>
      <c r="AA723" s="777"/>
      <c r="AB723" s="784"/>
      <c r="AC723" s="777"/>
      <c r="AD723" s="792"/>
      <c r="AE723" s="786"/>
    </row>
    <row r="724" spans="1:31" s="787" customFormat="1" ht="38.25" customHeight="1">
      <c r="A724" s="777"/>
      <c r="B724" s="777"/>
      <c r="C724" s="778" t="s">
        <v>146</v>
      </c>
      <c r="D724" s="778" t="s">
        <v>65</v>
      </c>
      <c r="E724" s="778" t="s">
        <v>161</v>
      </c>
      <c r="F724" s="778" t="s">
        <v>515</v>
      </c>
      <c r="G724" s="778" t="s">
        <v>93</v>
      </c>
      <c r="H724" s="1914"/>
      <c r="I724" s="780" t="s">
        <v>1170</v>
      </c>
      <c r="J724" s="781" t="s">
        <v>1171</v>
      </c>
      <c r="K724" s="777"/>
      <c r="L724" s="782">
        <v>200000000</v>
      </c>
      <c r="M724" s="777"/>
      <c r="N724" s="782"/>
      <c r="O724" s="777">
        <v>10</v>
      </c>
      <c r="P724" s="782">
        <v>101630660</v>
      </c>
      <c r="Q724" s="782">
        <v>0</v>
      </c>
      <c r="R724" s="783">
        <v>1056720</v>
      </c>
      <c r="S724" s="777"/>
      <c r="T724" s="782"/>
      <c r="U724" s="777"/>
      <c r="V724" s="782"/>
      <c r="W724" s="779"/>
      <c r="X724" s="782"/>
      <c r="Y724" s="782">
        <v>0</v>
      </c>
      <c r="Z724" s="783">
        <v>1056720</v>
      </c>
      <c r="AA724" s="777"/>
      <c r="AB724" s="791">
        <f>Z724+N724</f>
        <v>1056720</v>
      </c>
      <c r="AC724" s="777"/>
      <c r="AD724" s="792">
        <f>(AB724/L724)*100</f>
        <v>0.52836000000000005</v>
      </c>
      <c r="AE724" s="786"/>
    </row>
    <row r="725" spans="1:31" s="776" customFormat="1" ht="36" customHeight="1">
      <c r="A725" s="819"/>
      <c r="B725" s="819"/>
      <c r="C725" s="820" t="s">
        <v>146</v>
      </c>
      <c r="D725" s="820" t="s">
        <v>65</v>
      </c>
      <c r="E725" s="820" t="s">
        <v>161</v>
      </c>
      <c r="F725" s="820" t="s">
        <v>459</v>
      </c>
      <c r="G725" s="820"/>
      <c r="H725" s="844"/>
      <c r="I725" s="834" t="s">
        <v>1172</v>
      </c>
      <c r="J725" s="845"/>
      <c r="K725" s="819"/>
      <c r="L725" s="835"/>
      <c r="M725" s="819"/>
      <c r="N725" s="835"/>
      <c r="O725" s="819"/>
      <c r="P725" s="835"/>
      <c r="Q725" s="819"/>
      <c r="R725" s="837"/>
      <c r="S725" s="819"/>
      <c r="T725" s="835"/>
      <c r="U725" s="819"/>
      <c r="V725" s="835"/>
      <c r="W725" s="821"/>
      <c r="X725" s="835"/>
      <c r="Y725" s="819"/>
      <c r="Z725" s="837"/>
      <c r="AA725" s="819"/>
      <c r="AB725" s="842"/>
      <c r="AC725" s="819"/>
      <c r="AD725" s="830"/>
      <c r="AE725" s="839"/>
    </row>
    <row r="726" spans="1:31" s="787" customFormat="1" ht="53.25" customHeight="1">
      <c r="A726" s="777"/>
      <c r="B726" s="777"/>
      <c r="C726" s="778" t="s">
        <v>146</v>
      </c>
      <c r="D726" s="778" t="s">
        <v>65</v>
      </c>
      <c r="E726" s="778" t="s">
        <v>161</v>
      </c>
      <c r="F726" s="778" t="s">
        <v>459</v>
      </c>
      <c r="G726" s="778" t="s">
        <v>65</v>
      </c>
      <c r="H726" s="1914"/>
      <c r="I726" s="780" t="s">
        <v>1173</v>
      </c>
      <c r="J726" s="781"/>
      <c r="K726" s="777"/>
      <c r="L726" s="782"/>
      <c r="M726" s="777"/>
      <c r="N726" s="782"/>
      <c r="O726" s="777"/>
      <c r="P726" s="782"/>
      <c r="Q726" s="777"/>
      <c r="R726" s="783"/>
      <c r="S726" s="777"/>
      <c r="T726" s="782"/>
      <c r="U726" s="777"/>
      <c r="V726" s="782"/>
      <c r="W726" s="779"/>
      <c r="X726" s="782"/>
      <c r="Y726" s="777"/>
      <c r="Z726" s="783"/>
      <c r="AA726" s="777"/>
      <c r="AB726" s="791"/>
      <c r="AC726" s="777"/>
      <c r="AD726" s="792"/>
      <c r="AE726" s="786"/>
    </row>
    <row r="727" spans="1:31" s="787" customFormat="1" ht="38.25" customHeight="1">
      <c r="A727" s="777"/>
      <c r="B727" s="777"/>
      <c r="C727" s="778" t="s">
        <v>146</v>
      </c>
      <c r="D727" s="778" t="s">
        <v>65</v>
      </c>
      <c r="E727" s="778" t="s">
        <v>161</v>
      </c>
      <c r="F727" s="778" t="s">
        <v>459</v>
      </c>
      <c r="G727" s="778" t="s">
        <v>196</v>
      </c>
      <c r="H727" s="1914"/>
      <c r="I727" s="780" t="s">
        <v>1174</v>
      </c>
      <c r="J727" s="781"/>
      <c r="K727" s="777"/>
      <c r="L727" s="782"/>
      <c r="M727" s="777"/>
      <c r="N727" s="782"/>
      <c r="O727" s="777"/>
      <c r="P727" s="782"/>
      <c r="Q727" s="777"/>
      <c r="R727" s="783"/>
      <c r="S727" s="777"/>
      <c r="T727" s="782"/>
      <c r="U727" s="777"/>
      <c r="V727" s="782"/>
      <c r="W727" s="779"/>
      <c r="X727" s="782"/>
      <c r="Y727" s="777"/>
      <c r="Z727" s="783"/>
      <c r="AA727" s="777"/>
      <c r="AB727" s="791"/>
      <c r="AC727" s="777"/>
      <c r="AD727" s="792"/>
      <c r="AE727" s="786"/>
    </row>
    <row r="728" spans="1:31" s="787" customFormat="1" ht="23.25" customHeight="1">
      <c r="A728" s="777"/>
      <c r="B728" s="777"/>
      <c r="C728" s="778" t="s">
        <v>146</v>
      </c>
      <c r="D728" s="778" t="s">
        <v>65</v>
      </c>
      <c r="E728" s="778" t="s">
        <v>161</v>
      </c>
      <c r="F728" s="778" t="s">
        <v>459</v>
      </c>
      <c r="G728" s="778" t="s">
        <v>95</v>
      </c>
      <c r="H728" s="1914"/>
      <c r="I728" s="780" t="s">
        <v>1175</v>
      </c>
      <c r="J728" s="781"/>
      <c r="K728" s="777"/>
      <c r="L728" s="782"/>
      <c r="M728" s="777"/>
      <c r="N728" s="782"/>
      <c r="O728" s="777"/>
      <c r="P728" s="782"/>
      <c r="Q728" s="777"/>
      <c r="R728" s="783"/>
      <c r="S728" s="777"/>
      <c r="T728" s="782"/>
      <c r="U728" s="777"/>
      <c r="V728" s="782"/>
      <c r="W728" s="779"/>
      <c r="X728" s="782"/>
      <c r="Y728" s="777"/>
      <c r="Z728" s="783"/>
      <c r="AA728" s="777"/>
      <c r="AB728" s="791"/>
      <c r="AC728" s="777"/>
      <c r="AD728" s="792"/>
      <c r="AE728" s="786"/>
    </row>
    <row r="729" spans="1:31" s="787" customFormat="1" ht="37.5" customHeight="1">
      <c r="A729" s="777"/>
      <c r="B729" s="777"/>
      <c r="C729" s="778" t="s">
        <v>146</v>
      </c>
      <c r="D729" s="778" t="s">
        <v>65</v>
      </c>
      <c r="E729" s="778" t="s">
        <v>161</v>
      </c>
      <c r="F729" s="778" t="s">
        <v>459</v>
      </c>
      <c r="G729" s="778" t="s">
        <v>161</v>
      </c>
      <c r="H729" s="1914"/>
      <c r="I729" s="780" t="s">
        <v>1176</v>
      </c>
      <c r="J729" s="781"/>
      <c r="K729" s="777"/>
      <c r="L729" s="782"/>
      <c r="M729" s="777"/>
      <c r="N729" s="782"/>
      <c r="O729" s="777"/>
      <c r="P729" s="782"/>
      <c r="Q729" s="777"/>
      <c r="R729" s="783"/>
      <c r="S729" s="777"/>
      <c r="T729" s="782"/>
      <c r="U729" s="777"/>
      <c r="V729" s="782"/>
      <c r="W729" s="779"/>
      <c r="X729" s="782"/>
      <c r="Y729" s="777"/>
      <c r="Z729" s="783"/>
      <c r="AA729" s="777"/>
      <c r="AB729" s="791"/>
      <c r="AC729" s="777"/>
      <c r="AD729" s="792"/>
      <c r="AE729" s="786"/>
    </row>
    <row r="730" spans="1:31" s="787" customFormat="1" ht="36.75" customHeight="1">
      <c r="A730" s="777"/>
      <c r="B730" s="777"/>
      <c r="C730" s="778" t="s">
        <v>146</v>
      </c>
      <c r="D730" s="778" t="s">
        <v>65</v>
      </c>
      <c r="E730" s="778" t="s">
        <v>161</v>
      </c>
      <c r="F730" s="778" t="s">
        <v>459</v>
      </c>
      <c r="G730" s="778" t="s">
        <v>202</v>
      </c>
      <c r="H730" s="1914"/>
      <c r="I730" s="780" t="s">
        <v>1177</v>
      </c>
      <c r="J730" s="781"/>
      <c r="K730" s="777"/>
      <c r="L730" s="782"/>
      <c r="M730" s="777"/>
      <c r="N730" s="782"/>
      <c r="O730" s="777"/>
      <c r="P730" s="782"/>
      <c r="Q730" s="777"/>
      <c r="R730" s="783"/>
      <c r="S730" s="777"/>
      <c r="T730" s="782"/>
      <c r="U730" s="777"/>
      <c r="V730" s="782"/>
      <c r="W730" s="779"/>
      <c r="X730" s="782"/>
      <c r="Y730" s="777"/>
      <c r="Z730" s="783"/>
      <c r="AA730" s="777"/>
      <c r="AB730" s="791"/>
      <c r="AC730" s="777"/>
      <c r="AD730" s="792"/>
      <c r="AE730" s="786"/>
    </row>
    <row r="731" spans="1:31" s="775" customFormat="1" ht="40.5" customHeight="1">
      <c r="A731" s="819"/>
      <c r="B731" s="819"/>
      <c r="C731" s="820" t="s">
        <v>146</v>
      </c>
      <c r="D731" s="820" t="s">
        <v>65</v>
      </c>
      <c r="E731" s="820" t="s">
        <v>161</v>
      </c>
      <c r="F731" s="820" t="s">
        <v>165</v>
      </c>
      <c r="G731" s="820"/>
      <c r="H731" s="844"/>
      <c r="I731" s="834" t="s">
        <v>1178</v>
      </c>
      <c r="J731" s="845"/>
      <c r="K731" s="819"/>
      <c r="L731" s="835"/>
      <c r="M731" s="819"/>
      <c r="N731" s="835"/>
      <c r="O731" s="819"/>
      <c r="P731" s="835"/>
      <c r="Q731" s="819"/>
      <c r="R731" s="837"/>
      <c r="S731" s="819"/>
      <c r="T731" s="835"/>
      <c r="U731" s="819"/>
      <c r="V731" s="835"/>
      <c r="W731" s="821"/>
      <c r="X731" s="835"/>
      <c r="Y731" s="819"/>
      <c r="Z731" s="837"/>
      <c r="AA731" s="819"/>
      <c r="AB731" s="842"/>
      <c r="AC731" s="819"/>
      <c r="AD731" s="830"/>
      <c r="AE731" s="846"/>
    </row>
    <row r="732" spans="1:31" s="787" customFormat="1" ht="57.75" customHeight="1">
      <c r="A732" s="777"/>
      <c r="B732" s="777"/>
      <c r="C732" s="778" t="s">
        <v>146</v>
      </c>
      <c r="D732" s="778" t="s">
        <v>65</v>
      </c>
      <c r="E732" s="778" t="s">
        <v>161</v>
      </c>
      <c r="F732" s="778" t="s">
        <v>165</v>
      </c>
      <c r="G732" s="778" t="s">
        <v>160</v>
      </c>
      <c r="H732" s="1914"/>
      <c r="I732" s="780" t="s">
        <v>1179</v>
      </c>
      <c r="J732" s="781"/>
      <c r="K732" s="777"/>
      <c r="L732" s="782"/>
      <c r="M732" s="777"/>
      <c r="N732" s="782"/>
      <c r="O732" s="777"/>
      <c r="P732" s="782"/>
      <c r="Q732" s="777"/>
      <c r="R732" s="783"/>
      <c r="S732" s="777"/>
      <c r="T732" s="782"/>
      <c r="U732" s="777"/>
      <c r="V732" s="782"/>
      <c r="W732" s="779"/>
      <c r="X732" s="782"/>
      <c r="Y732" s="777"/>
      <c r="Z732" s="783"/>
      <c r="AA732" s="777"/>
      <c r="AB732" s="791"/>
      <c r="AC732" s="777"/>
      <c r="AD732" s="792"/>
      <c r="AE732" s="786"/>
    </row>
    <row r="733" spans="1:31" s="775" customFormat="1" ht="25.5" hidden="1">
      <c r="A733" s="847"/>
      <c r="B733" s="847"/>
      <c r="C733" s="848" t="s">
        <v>146</v>
      </c>
      <c r="D733" s="848" t="s">
        <v>65</v>
      </c>
      <c r="E733" s="848" t="s">
        <v>197</v>
      </c>
      <c r="F733" s="848" t="s">
        <v>155</v>
      </c>
      <c r="G733" s="848"/>
      <c r="H733" s="849"/>
      <c r="I733" s="832" t="s">
        <v>1180</v>
      </c>
      <c r="J733" s="850"/>
      <c r="K733" s="847"/>
      <c r="L733" s="851"/>
      <c r="M733" s="847"/>
      <c r="N733" s="851">
        <v>0</v>
      </c>
      <c r="O733" s="847"/>
      <c r="P733" s="851"/>
      <c r="Q733" s="847"/>
      <c r="R733" s="852"/>
      <c r="S733" s="847"/>
      <c r="T733" s="851"/>
      <c r="U733" s="847"/>
      <c r="V733" s="851"/>
      <c r="W733" s="853"/>
      <c r="X733" s="851"/>
      <c r="Y733" s="847"/>
      <c r="Z733" s="852"/>
      <c r="AA733" s="847"/>
      <c r="AB733" s="791">
        <f>Z733+N733</f>
        <v>0</v>
      </c>
      <c r="AC733" s="847"/>
      <c r="AD733" s="792" t="e">
        <f>(AB733/L733)*100</f>
        <v>#DIV/0!</v>
      </c>
      <c r="AE733" s="846"/>
    </row>
    <row r="734" spans="1:31" s="787" customFormat="1" ht="25.5" hidden="1">
      <c r="A734" s="777"/>
      <c r="B734" s="777"/>
      <c r="C734" s="778" t="s">
        <v>146</v>
      </c>
      <c r="D734" s="778" t="s">
        <v>65</v>
      </c>
      <c r="E734" s="778" t="s">
        <v>197</v>
      </c>
      <c r="F734" s="778" t="s">
        <v>155</v>
      </c>
      <c r="G734" s="778" t="s">
        <v>93</v>
      </c>
      <c r="H734" s="1914"/>
      <c r="I734" s="780" t="s">
        <v>1181</v>
      </c>
      <c r="J734" s="781"/>
      <c r="K734" s="777"/>
      <c r="L734" s="782"/>
      <c r="M734" s="777"/>
      <c r="N734" s="782">
        <v>0</v>
      </c>
      <c r="O734" s="777"/>
      <c r="P734" s="782"/>
      <c r="Q734" s="777"/>
      <c r="R734" s="783"/>
      <c r="S734" s="777"/>
      <c r="T734" s="782"/>
      <c r="U734" s="777"/>
      <c r="V734" s="782"/>
      <c r="W734" s="779"/>
      <c r="X734" s="782"/>
      <c r="Y734" s="777"/>
      <c r="Z734" s="783"/>
      <c r="AA734" s="777"/>
      <c r="AB734" s="791">
        <f>Z734+N734</f>
        <v>0</v>
      </c>
      <c r="AC734" s="777"/>
      <c r="AD734" s="792" t="e">
        <f>(AB734/L734)*100</f>
        <v>#DIV/0!</v>
      </c>
      <c r="AE734" s="786"/>
    </row>
    <row r="735" spans="1:31" s="787" customFormat="1" hidden="1">
      <c r="A735" s="777"/>
      <c r="B735" s="777"/>
      <c r="C735" s="778" t="s">
        <v>146</v>
      </c>
      <c r="D735" s="778" t="s">
        <v>65</v>
      </c>
      <c r="E735" s="778" t="s">
        <v>197</v>
      </c>
      <c r="F735" s="778" t="s">
        <v>155</v>
      </c>
      <c r="G735" s="778" t="s">
        <v>167</v>
      </c>
      <c r="H735" s="1914"/>
      <c r="I735" s="780" t="s">
        <v>1182</v>
      </c>
      <c r="J735" s="781"/>
      <c r="K735" s="777"/>
      <c r="L735" s="782"/>
      <c r="M735" s="777"/>
      <c r="N735" s="782">
        <v>0</v>
      </c>
      <c r="O735" s="777"/>
      <c r="P735" s="782"/>
      <c r="Q735" s="777"/>
      <c r="R735" s="783"/>
      <c r="S735" s="777"/>
      <c r="T735" s="782"/>
      <c r="U735" s="777"/>
      <c r="V735" s="782"/>
      <c r="W735" s="779"/>
      <c r="X735" s="782"/>
      <c r="Y735" s="777"/>
      <c r="Z735" s="783"/>
      <c r="AA735" s="777"/>
      <c r="AB735" s="791">
        <f>Z735+N735</f>
        <v>0</v>
      </c>
      <c r="AC735" s="777"/>
      <c r="AD735" s="792" t="e">
        <f>(AB735/L735)*100</f>
        <v>#DIV/0!</v>
      </c>
      <c r="AE735" s="786"/>
    </row>
    <row r="736" spans="1:31" s="787" customFormat="1" hidden="1">
      <c r="A736" s="777"/>
      <c r="B736" s="777"/>
      <c r="C736" s="778"/>
      <c r="D736" s="778"/>
      <c r="E736" s="778"/>
      <c r="F736" s="778"/>
      <c r="G736" s="778"/>
      <c r="H736" s="1914"/>
      <c r="I736" s="780"/>
      <c r="J736" s="781"/>
      <c r="K736" s="777"/>
      <c r="L736" s="782"/>
      <c r="M736" s="777"/>
      <c r="N736" s="782">
        <v>974329232</v>
      </c>
      <c r="O736" s="777"/>
      <c r="P736" s="782"/>
      <c r="Q736" s="777"/>
      <c r="R736" s="783"/>
      <c r="S736" s="777"/>
      <c r="T736" s="782"/>
      <c r="U736" s="777"/>
      <c r="V736" s="782"/>
      <c r="W736" s="779"/>
      <c r="X736" s="782"/>
      <c r="Y736" s="777"/>
      <c r="Z736" s="783"/>
      <c r="AA736" s="777"/>
      <c r="AB736" s="791">
        <f>Z736+N736</f>
        <v>974329232</v>
      </c>
      <c r="AC736" s="777"/>
      <c r="AD736" s="792" t="e">
        <f>(AB736/L736)*100</f>
        <v>#DIV/0!</v>
      </c>
      <c r="AE736" s="786"/>
    </row>
    <row r="737" spans="1:31" s="787" customFormat="1" ht="28.5" customHeight="1" thickBot="1">
      <c r="A737" s="898" t="s">
        <v>607</v>
      </c>
      <c r="B737" s="899"/>
      <c r="C737" s="899"/>
      <c r="D737" s="899"/>
      <c r="E737" s="899"/>
      <c r="F737" s="899"/>
      <c r="G737" s="900"/>
      <c r="H737" s="901"/>
      <c r="I737" s="902"/>
      <c r="J737" s="903"/>
      <c r="K737" s="904">
        <v>1</v>
      </c>
      <c r="L737" s="905">
        <f>L651+L649+L635+L616+L714+L688+L662+L654</f>
        <v>11482000000</v>
      </c>
      <c r="M737" s="906">
        <f>+N737/L737</f>
        <v>0.39468830247343667</v>
      </c>
      <c r="N737" s="905">
        <f>+N654+N662+N688+N714+N719+N725+N616+N635+N649+N651</f>
        <v>4531811089</v>
      </c>
      <c r="O737" s="907">
        <f>+P737/L737</f>
        <v>0.2412243480229925</v>
      </c>
      <c r="P737" s="905">
        <f>+P654+P662+P688+P714+P719+P725+P616+P635+P649+P651</f>
        <v>2769737964</v>
      </c>
      <c r="Q737" s="907">
        <f>+R737/P737</f>
        <v>0.18638716684030693</v>
      </c>
      <c r="R737" s="905">
        <f>+R654+R662+R688+R714+R719+R725+R616+R635+R649+R651</f>
        <v>516243612</v>
      </c>
      <c r="S737" s="908"/>
      <c r="T737" s="905"/>
      <c r="U737" s="908"/>
      <c r="V737" s="905"/>
      <c r="W737" s="909"/>
      <c r="X737" s="905"/>
      <c r="Y737" s="910">
        <f>+Z737/P737</f>
        <v>0.18638716684030693</v>
      </c>
      <c r="Z737" s="905">
        <f>+Z654+Z662+Z688+Z714+Z719+Z725+Z616+Z635+Z649+Z651</f>
        <v>516243612</v>
      </c>
      <c r="AA737" s="906"/>
      <c r="AB737" s="905">
        <f>+AB654+AB662+AB688+AB714+AB719+AB725+AB616+AB635+AB649+AB651</f>
        <v>5048054701</v>
      </c>
      <c r="AC737" s="906"/>
      <c r="AD737" s="911">
        <f>(AB737/L737)*100</f>
        <v>43.964942527434246</v>
      </c>
      <c r="AE737" s="786"/>
    </row>
    <row r="738" spans="1:31" s="918" customFormat="1" ht="28.5" customHeight="1" thickBot="1">
      <c r="A738" s="912" t="s">
        <v>1230</v>
      </c>
      <c r="B738" s="913"/>
      <c r="C738" s="913"/>
      <c r="D738" s="913"/>
      <c r="E738" s="913"/>
      <c r="F738" s="913"/>
      <c r="G738" s="913"/>
      <c r="H738" s="913"/>
      <c r="I738" s="913"/>
      <c r="J738" s="913"/>
      <c r="K738" s="913" t="s">
        <v>1231</v>
      </c>
      <c r="L738" s="913"/>
      <c r="M738" s="913"/>
      <c r="N738" s="913"/>
      <c r="O738" s="913"/>
      <c r="P738" s="914"/>
      <c r="Q738" s="1915"/>
      <c r="R738" s="915"/>
      <c r="S738" s="1915"/>
      <c r="T738" s="916"/>
      <c r="U738" s="1915"/>
      <c r="V738" s="916"/>
      <c r="W738" s="917"/>
      <c r="X738" s="916"/>
      <c r="Y738" s="917"/>
      <c r="Z738" s="916"/>
      <c r="AA738" s="4430"/>
      <c r="AB738" s="4430"/>
      <c r="AC738" s="4430"/>
      <c r="AD738" s="4430"/>
      <c r="AE738" s="4430"/>
    </row>
    <row r="739" spans="1:31" ht="22.5" customHeight="1">
      <c r="A739" s="56"/>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382"/>
      <c r="Z739" s="56"/>
      <c r="AA739" s="56"/>
      <c r="AB739" s="56"/>
      <c r="AC739" s="56"/>
      <c r="AD739" s="56"/>
      <c r="AE739" s="56"/>
    </row>
    <row r="740" spans="1:31" s="69" customFormat="1" ht="38.25">
      <c r="A740" s="67">
        <v>12</v>
      </c>
      <c r="B740" s="67"/>
      <c r="C740" s="67"/>
      <c r="D740" s="67"/>
      <c r="E740" s="67"/>
      <c r="F740" s="67"/>
      <c r="G740" s="67"/>
      <c r="H740" s="67"/>
      <c r="I740" s="68" t="s">
        <v>139</v>
      </c>
      <c r="J740" s="67"/>
      <c r="K740" s="67"/>
      <c r="L740" s="67"/>
      <c r="M740" s="67"/>
      <c r="N740" s="67"/>
      <c r="O740" s="67"/>
      <c r="P740" s="67"/>
      <c r="Q740" s="67"/>
      <c r="R740" s="67"/>
      <c r="S740" s="67"/>
      <c r="T740" s="67"/>
      <c r="U740" s="67"/>
      <c r="V740" s="67"/>
      <c r="W740" s="67"/>
      <c r="X740" s="67"/>
      <c r="Y740" s="366"/>
      <c r="Z740" s="67"/>
      <c r="AA740" s="67"/>
      <c r="AB740" s="67"/>
      <c r="AC740" s="67"/>
      <c r="AD740" s="67"/>
      <c r="AE740" s="67"/>
    </row>
    <row r="741" spans="1:31" s="1412" customFormat="1" ht="63" customHeight="1">
      <c r="A741" s="341">
        <v>1</v>
      </c>
      <c r="B741" s="341"/>
      <c r="C741" s="368">
        <v>3</v>
      </c>
      <c r="D741" s="368" t="s">
        <v>107</v>
      </c>
      <c r="E741" s="368" t="s">
        <v>65</v>
      </c>
      <c r="F741" s="368" t="s">
        <v>66</v>
      </c>
      <c r="G741" s="368" t="s">
        <v>67</v>
      </c>
      <c r="H741" s="341"/>
      <c r="I741" s="344" t="s">
        <v>2179</v>
      </c>
      <c r="J741" s="1406" t="s">
        <v>2180</v>
      </c>
      <c r="K741" s="341" t="s">
        <v>2181</v>
      </c>
      <c r="L741" s="1407">
        <f>SUM(L742:L762)</f>
        <v>19739500</v>
      </c>
      <c r="M741" s="341" t="s">
        <v>2182</v>
      </c>
      <c r="N741" s="1407">
        <f>SUM(N742:N762)</f>
        <v>3085749.71</v>
      </c>
      <c r="O741" s="1408" t="s">
        <v>2183</v>
      </c>
      <c r="P741" s="1407">
        <f>SUM(P742:P762)</f>
        <v>6746242.9100000001</v>
      </c>
      <c r="Q741" s="1409"/>
      <c r="R741" s="1410">
        <f>SUM(R742:R761)</f>
        <v>269305.81000000006</v>
      </c>
      <c r="S741" s="1409"/>
      <c r="T741" s="1407">
        <f>SUM(T742:T761)</f>
        <v>0</v>
      </c>
      <c r="U741" s="1409"/>
      <c r="V741" s="1407">
        <f>SUM(V742:V761)</f>
        <v>0</v>
      </c>
      <c r="W741" s="1409"/>
      <c r="X741" s="1407">
        <f>SUM(X742:X761)</f>
        <v>0</v>
      </c>
      <c r="Y741" s="1409"/>
      <c r="Z741" s="1410">
        <f>SUM(Z742:Z762)</f>
        <v>269305.81000000006</v>
      </c>
      <c r="AA741" s="1409"/>
      <c r="AB741" s="1407">
        <f>N741+Z741</f>
        <v>3355055.52</v>
      </c>
      <c r="AC741" s="1411">
        <f>AVERAGE(AC742:AC762)</f>
        <v>39.9681813240324</v>
      </c>
      <c r="AD741" s="1411">
        <f>(AB741/L741)*100</f>
        <v>16.99665908457661</v>
      </c>
      <c r="AE741" s="341"/>
    </row>
    <row r="742" spans="1:31" s="1429" customFormat="1" ht="63.75">
      <c r="A742" s="1413"/>
      <c r="B742" s="1414" t="s">
        <v>2184</v>
      </c>
      <c r="C742" s="1415">
        <v>3</v>
      </c>
      <c r="D742" s="1415" t="s">
        <v>107</v>
      </c>
      <c r="E742" s="1416" t="s">
        <v>65</v>
      </c>
      <c r="F742" s="1415" t="s">
        <v>66</v>
      </c>
      <c r="G742" s="1415" t="s">
        <v>67</v>
      </c>
      <c r="H742" s="1415" t="s">
        <v>68</v>
      </c>
      <c r="I742" s="1918" t="s">
        <v>2185</v>
      </c>
      <c r="J742" s="1417" t="s">
        <v>2186</v>
      </c>
      <c r="K742" s="1418">
        <v>180000</v>
      </c>
      <c r="L742" s="1419">
        <v>500000</v>
      </c>
      <c r="M742" s="1420">
        <v>120000</v>
      </c>
      <c r="N742" s="1421">
        <v>343143.48</v>
      </c>
      <c r="O742" s="1422">
        <v>123000</v>
      </c>
      <c r="P742" s="1423">
        <v>257284.7</v>
      </c>
      <c r="Q742" s="1424">
        <f>O742/3</f>
        <v>41000</v>
      </c>
      <c r="R742" s="1425">
        <v>14579</v>
      </c>
      <c r="S742" s="1413"/>
      <c r="T742" s="1419"/>
      <c r="U742" s="1413"/>
      <c r="V742" s="1419"/>
      <c r="W742" s="1413"/>
      <c r="X742" s="1419"/>
      <c r="Y742" s="1419">
        <f>Q742+S742+U742+W742</f>
        <v>41000</v>
      </c>
      <c r="Z742" s="1425">
        <f>R742+T742+V742+X742</f>
        <v>14579</v>
      </c>
      <c r="AA742" s="1419">
        <f>M742+Y742</f>
        <v>161000</v>
      </c>
      <c r="AB742" s="1419">
        <f>N742+Z742</f>
        <v>357722.48</v>
      </c>
      <c r="AC742" s="1426">
        <f>(AA742/K742)*100</f>
        <v>89.444444444444443</v>
      </c>
      <c r="AD742" s="1427">
        <f>(AB742/L742)*100</f>
        <v>71.544495999999995</v>
      </c>
      <c r="AE742" s="1428" t="s">
        <v>2187</v>
      </c>
    </row>
    <row r="743" spans="1:31" s="1445" customFormat="1" ht="45" customHeight="1">
      <c r="A743" s="1917"/>
      <c r="B743" s="4423" t="s">
        <v>2184</v>
      </c>
      <c r="C743" s="1430">
        <v>3</v>
      </c>
      <c r="D743" s="1430" t="s">
        <v>107</v>
      </c>
      <c r="E743" s="1431" t="s">
        <v>65</v>
      </c>
      <c r="F743" s="1430" t="s">
        <v>66</v>
      </c>
      <c r="G743" s="1430" t="s">
        <v>67</v>
      </c>
      <c r="H743" s="1430">
        <v>42</v>
      </c>
      <c r="I743" s="4423" t="s">
        <v>2188</v>
      </c>
      <c r="J743" s="1432" t="s">
        <v>2189</v>
      </c>
      <c r="K743" s="1433">
        <v>105124</v>
      </c>
      <c r="L743" s="1434">
        <v>300000</v>
      </c>
      <c r="M743" s="1434">
        <v>74535</v>
      </c>
      <c r="N743" s="1435">
        <v>120659</v>
      </c>
      <c r="O743" s="1436">
        <v>102200</v>
      </c>
      <c r="P743" s="1437">
        <v>72259</v>
      </c>
      <c r="Q743" s="1438">
        <f>O743/4</f>
        <v>25550</v>
      </c>
      <c r="R743" s="1439">
        <v>7510</v>
      </c>
      <c r="S743" s="1917"/>
      <c r="T743" s="1434"/>
      <c r="U743" s="1917"/>
      <c r="V743" s="1434"/>
      <c r="W743" s="1917"/>
      <c r="X743" s="1434"/>
      <c r="Y743" s="1440">
        <f t="shared" ref="Y743:Z780" si="127">Q743+S743+U743+W743</f>
        <v>25550</v>
      </c>
      <c r="Z743" s="1441">
        <f t="shared" si="127"/>
        <v>7510</v>
      </c>
      <c r="AA743" s="1440">
        <f t="shared" ref="AA743:AB780" si="128">M743+Y743</f>
        <v>100085</v>
      </c>
      <c r="AB743" s="1440">
        <f t="shared" si="128"/>
        <v>128169</v>
      </c>
      <c r="AC743" s="1442">
        <f t="shared" ref="AC743:AD780" si="129">(AA743/K743)*100</f>
        <v>95.206613142574483</v>
      </c>
      <c r="AD743" s="1443">
        <f t="shared" si="129"/>
        <v>42.722999999999999</v>
      </c>
      <c r="AE743" s="1444" t="s">
        <v>2187</v>
      </c>
    </row>
    <row r="744" spans="1:31" s="1453" customFormat="1" ht="25.5">
      <c r="A744" s="1918"/>
      <c r="B744" s="4424"/>
      <c r="C744" s="1415"/>
      <c r="D744" s="1415"/>
      <c r="E744" s="1446"/>
      <c r="F744" s="1415"/>
      <c r="G744" s="1415"/>
      <c r="H744" s="1415"/>
      <c r="I744" s="4424"/>
      <c r="J744" s="1417" t="s">
        <v>2190</v>
      </c>
      <c r="K744" s="1447">
        <v>61363</v>
      </c>
      <c r="L744" s="1448"/>
      <c r="M744" s="1448">
        <v>39183</v>
      </c>
      <c r="N744" s="1448"/>
      <c r="O744" s="1449">
        <v>58363</v>
      </c>
      <c r="P744" s="1450"/>
      <c r="Q744" s="1451">
        <f>O744/4</f>
        <v>14590.75</v>
      </c>
      <c r="R744" s="1452"/>
      <c r="S744" s="1918"/>
      <c r="T744" s="1448"/>
      <c r="U744" s="1918"/>
      <c r="V744" s="1448"/>
      <c r="W744" s="1918"/>
      <c r="X744" s="1448"/>
      <c r="Y744" s="1419">
        <f t="shared" si="127"/>
        <v>14590.75</v>
      </c>
      <c r="Z744" s="1425">
        <f t="shared" si="127"/>
        <v>0</v>
      </c>
      <c r="AA744" s="1440">
        <f t="shared" si="128"/>
        <v>53773.75</v>
      </c>
      <c r="AB744" s="1440">
        <f t="shared" si="128"/>
        <v>0</v>
      </c>
      <c r="AC744" s="1426">
        <f t="shared" si="129"/>
        <v>87.632205074719295</v>
      </c>
      <c r="AD744" s="1427"/>
      <c r="AE744" s="1428"/>
    </row>
    <row r="745" spans="1:31" s="1429" customFormat="1" ht="63.75">
      <c r="A745" s="1454"/>
      <c r="B745" s="1414" t="s">
        <v>2191</v>
      </c>
      <c r="C745" s="1415">
        <v>3</v>
      </c>
      <c r="D745" s="1415" t="s">
        <v>107</v>
      </c>
      <c r="E745" s="1416" t="s">
        <v>65</v>
      </c>
      <c r="F745" s="1415" t="s">
        <v>66</v>
      </c>
      <c r="G745" s="1415" t="s">
        <v>67</v>
      </c>
      <c r="H745" s="1415">
        <v>13</v>
      </c>
      <c r="I745" s="1414" t="s">
        <v>2192</v>
      </c>
      <c r="J745" s="1455" t="s">
        <v>2193</v>
      </c>
      <c r="K745" s="1456">
        <v>118</v>
      </c>
      <c r="L745" s="1457">
        <v>650000</v>
      </c>
      <c r="M745" s="1414">
        <v>22</v>
      </c>
      <c r="N745" s="1458">
        <v>123146.5</v>
      </c>
      <c r="O745" s="1459">
        <v>24</v>
      </c>
      <c r="P745" s="1423">
        <v>67165.8</v>
      </c>
      <c r="Q745" s="1414">
        <v>2</v>
      </c>
      <c r="R745" s="1460">
        <v>4836</v>
      </c>
      <c r="S745" s="1414"/>
      <c r="T745" s="1457"/>
      <c r="U745" s="1414"/>
      <c r="V745" s="1457"/>
      <c r="W745" s="1414"/>
      <c r="X745" s="1457"/>
      <c r="Y745" s="1419">
        <f t="shared" si="127"/>
        <v>2</v>
      </c>
      <c r="Z745" s="1425">
        <f t="shared" si="127"/>
        <v>4836</v>
      </c>
      <c r="AA745" s="1461">
        <f t="shared" si="128"/>
        <v>24</v>
      </c>
      <c r="AB745" s="1461">
        <f t="shared" si="128"/>
        <v>127982.5</v>
      </c>
      <c r="AC745" s="1426">
        <f t="shared" si="129"/>
        <v>20.33898305084746</v>
      </c>
      <c r="AD745" s="1427">
        <f t="shared" si="129"/>
        <v>19.689615384615387</v>
      </c>
      <c r="AE745" s="1462" t="s">
        <v>2187</v>
      </c>
    </row>
    <row r="746" spans="1:31" s="1429" customFormat="1" ht="63.75">
      <c r="A746" s="1454"/>
      <c r="B746" s="1414" t="s">
        <v>2191</v>
      </c>
      <c r="C746" s="1415"/>
      <c r="D746" s="1415"/>
      <c r="E746" s="1416"/>
      <c r="F746" s="1415"/>
      <c r="G746" s="1415"/>
      <c r="H746" s="1415"/>
      <c r="I746" s="1414" t="s">
        <v>2194</v>
      </c>
      <c r="J746" s="1455" t="s">
        <v>2195</v>
      </c>
      <c r="K746" s="1456">
        <v>165648</v>
      </c>
      <c r="L746" s="1457">
        <v>600000</v>
      </c>
      <c r="M746" s="1457">
        <v>158250</v>
      </c>
      <c r="N746" s="1458">
        <v>188191.1</v>
      </c>
      <c r="O746" s="1459">
        <v>146820</v>
      </c>
      <c r="P746" s="1423">
        <v>147598.9</v>
      </c>
      <c r="Q746" s="1457">
        <v>5492</v>
      </c>
      <c r="R746" s="1460">
        <v>22860.75</v>
      </c>
      <c r="S746" s="1414"/>
      <c r="T746" s="1457"/>
      <c r="U746" s="1414"/>
      <c r="V746" s="1457"/>
      <c r="W746" s="1414"/>
      <c r="X746" s="1457"/>
      <c r="Y746" s="1419">
        <f t="shared" si="127"/>
        <v>5492</v>
      </c>
      <c r="Z746" s="1425">
        <f t="shared" si="127"/>
        <v>22860.75</v>
      </c>
      <c r="AA746" s="1419">
        <f t="shared" si="128"/>
        <v>163742</v>
      </c>
      <c r="AB746" s="1440">
        <f t="shared" si="128"/>
        <v>211051.85</v>
      </c>
      <c r="AC746" s="1426">
        <f t="shared" si="129"/>
        <v>98.849367333140151</v>
      </c>
      <c r="AD746" s="1427">
        <f t="shared" si="129"/>
        <v>35.175308333333334</v>
      </c>
      <c r="AE746" s="1462" t="s">
        <v>2187</v>
      </c>
    </row>
    <row r="747" spans="1:31" s="1429" customFormat="1" ht="51">
      <c r="A747" s="1454"/>
      <c r="B747" s="1414" t="s">
        <v>2196</v>
      </c>
      <c r="C747" s="1415"/>
      <c r="D747" s="1415"/>
      <c r="E747" s="1416"/>
      <c r="F747" s="1415"/>
      <c r="G747" s="1415"/>
      <c r="H747" s="1415"/>
      <c r="I747" s="1414" t="s">
        <v>2197</v>
      </c>
      <c r="J747" s="1455" t="s">
        <v>2198</v>
      </c>
      <c r="K747" s="1456">
        <v>31</v>
      </c>
      <c r="L747" s="1457">
        <v>175000</v>
      </c>
      <c r="M747" s="1457">
        <v>0</v>
      </c>
      <c r="N747" s="1458">
        <v>844.1</v>
      </c>
      <c r="O747" s="1459">
        <v>15</v>
      </c>
      <c r="P747" s="1463">
        <v>32095.96</v>
      </c>
      <c r="Q747" s="1457">
        <v>0</v>
      </c>
      <c r="R747" s="1460">
        <v>0</v>
      </c>
      <c r="S747" s="1414"/>
      <c r="T747" s="1457"/>
      <c r="U747" s="1414"/>
      <c r="V747" s="1457"/>
      <c r="W747" s="1414"/>
      <c r="X747" s="1457"/>
      <c r="Y747" s="1419">
        <f t="shared" si="127"/>
        <v>0</v>
      </c>
      <c r="Z747" s="1425">
        <f t="shared" si="127"/>
        <v>0</v>
      </c>
      <c r="AA747" s="1419">
        <f t="shared" si="128"/>
        <v>0</v>
      </c>
      <c r="AB747" s="1461">
        <f t="shared" si="128"/>
        <v>844.1</v>
      </c>
      <c r="AC747" s="1426">
        <f t="shared" si="129"/>
        <v>0</v>
      </c>
      <c r="AD747" s="1427">
        <f t="shared" si="129"/>
        <v>0.48234285714285713</v>
      </c>
      <c r="AE747" s="1462" t="s">
        <v>2187</v>
      </c>
    </row>
    <row r="748" spans="1:31" s="1429" customFormat="1" ht="48.75" customHeight="1">
      <c r="A748" s="1464"/>
      <c r="B748" s="4423" t="s">
        <v>2196</v>
      </c>
      <c r="C748" s="1430"/>
      <c r="D748" s="1430"/>
      <c r="E748" s="1431"/>
      <c r="F748" s="1430"/>
      <c r="G748" s="1430"/>
      <c r="H748" s="1430"/>
      <c r="I748" s="4423" t="s">
        <v>2199</v>
      </c>
      <c r="J748" s="1432" t="s">
        <v>2200</v>
      </c>
      <c r="K748" s="1433">
        <v>5</v>
      </c>
      <c r="L748" s="1434">
        <v>422500</v>
      </c>
      <c r="M748" s="1434">
        <v>0</v>
      </c>
      <c r="N748" s="1435">
        <v>84430.22</v>
      </c>
      <c r="O748" s="1436">
        <v>2</v>
      </c>
      <c r="P748" s="1437">
        <v>70811.3</v>
      </c>
      <c r="Q748" s="1434">
        <v>0</v>
      </c>
      <c r="R748" s="1439">
        <v>1491</v>
      </c>
      <c r="S748" s="1917"/>
      <c r="T748" s="1434"/>
      <c r="U748" s="1917"/>
      <c r="V748" s="1434"/>
      <c r="W748" s="1917"/>
      <c r="X748" s="1434"/>
      <c r="Y748" s="1440">
        <f t="shared" si="127"/>
        <v>0</v>
      </c>
      <c r="Z748" s="1441">
        <f t="shared" si="127"/>
        <v>1491</v>
      </c>
      <c r="AA748" s="1440">
        <f t="shared" si="128"/>
        <v>0</v>
      </c>
      <c r="AB748" s="1465">
        <f t="shared" si="128"/>
        <v>85921.22</v>
      </c>
      <c r="AC748" s="1442">
        <f t="shared" si="129"/>
        <v>0</v>
      </c>
      <c r="AD748" s="1443">
        <f t="shared" si="129"/>
        <v>20.336383431952662</v>
      </c>
      <c r="AE748" s="1444" t="s">
        <v>2187</v>
      </c>
    </row>
    <row r="749" spans="1:31" s="1467" customFormat="1" ht="38.25">
      <c r="A749" s="1413"/>
      <c r="B749" s="4424"/>
      <c r="C749" s="1415"/>
      <c r="D749" s="1415"/>
      <c r="E749" s="1446"/>
      <c r="F749" s="1415"/>
      <c r="G749" s="1415"/>
      <c r="H749" s="1415"/>
      <c r="I749" s="4424"/>
      <c r="J749" s="1417" t="s">
        <v>2201</v>
      </c>
      <c r="K749" s="1447">
        <v>12</v>
      </c>
      <c r="L749" s="1448"/>
      <c r="M749" s="1448">
        <v>0</v>
      </c>
      <c r="N749" s="1466"/>
      <c r="O749" s="1449">
        <v>8</v>
      </c>
      <c r="P749" s="1450"/>
      <c r="Q749" s="1448">
        <v>0</v>
      </c>
      <c r="R749" s="1452">
        <v>0</v>
      </c>
      <c r="S749" s="1918"/>
      <c r="T749" s="1448"/>
      <c r="U749" s="1918"/>
      <c r="V749" s="1448"/>
      <c r="W749" s="1918"/>
      <c r="X749" s="1448"/>
      <c r="Y749" s="1419">
        <f t="shared" si="127"/>
        <v>0</v>
      </c>
      <c r="Z749" s="1425">
        <f t="shared" si="127"/>
        <v>0</v>
      </c>
      <c r="AA749" s="1419">
        <f t="shared" si="128"/>
        <v>0</v>
      </c>
      <c r="AB749" s="1419">
        <f t="shared" si="128"/>
        <v>0</v>
      </c>
      <c r="AC749" s="1426">
        <f t="shared" si="129"/>
        <v>0</v>
      </c>
      <c r="AD749" s="1427"/>
      <c r="AE749" s="1428"/>
    </row>
    <row r="750" spans="1:31" s="1429" customFormat="1" ht="63.75">
      <c r="A750" s="1454"/>
      <c r="B750" s="1414" t="s">
        <v>2191</v>
      </c>
      <c r="C750" s="1415"/>
      <c r="D750" s="1415"/>
      <c r="E750" s="1416"/>
      <c r="F750" s="1415"/>
      <c r="G750" s="1415"/>
      <c r="H750" s="1415"/>
      <c r="I750" s="1414" t="s">
        <v>2202</v>
      </c>
      <c r="J750" s="1455" t="s">
        <v>2203</v>
      </c>
      <c r="K750" s="1456">
        <v>19667</v>
      </c>
      <c r="L750" s="1457">
        <v>230000</v>
      </c>
      <c r="M750" s="1414">
        <v>1024</v>
      </c>
      <c r="N750" s="1458">
        <v>20559</v>
      </c>
      <c r="O750" s="1459">
        <v>5300</v>
      </c>
      <c r="P750" s="1463">
        <v>52150.75</v>
      </c>
      <c r="Q750" s="1457">
        <f>M750+2571</f>
        <v>3595</v>
      </c>
      <c r="R750" s="1460">
        <v>8650</v>
      </c>
      <c r="S750" s="1414"/>
      <c r="T750" s="1457"/>
      <c r="U750" s="1414"/>
      <c r="V750" s="1457"/>
      <c r="W750" s="1414"/>
      <c r="X750" s="1457"/>
      <c r="Y750" s="1419">
        <f t="shared" si="127"/>
        <v>3595</v>
      </c>
      <c r="Z750" s="1425">
        <f t="shared" si="127"/>
        <v>8650</v>
      </c>
      <c r="AA750" s="1419">
        <f t="shared" si="128"/>
        <v>4619</v>
      </c>
      <c r="AB750" s="1440">
        <f t="shared" si="128"/>
        <v>29209</v>
      </c>
      <c r="AC750" s="1426">
        <f t="shared" si="129"/>
        <v>23.486042609447296</v>
      </c>
      <c r="AD750" s="1427">
        <f t="shared" si="129"/>
        <v>12.699565217391303</v>
      </c>
      <c r="AE750" s="1462" t="s">
        <v>2187</v>
      </c>
    </row>
    <row r="751" spans="1:31" s="1429" customFormat="1" ht="44.25" customHeight="1">
      <c r="A751" s="1464"/>
      <c r="B751" s="1917" t="s">
        <v>2191</v>
      </c>
      <c r="C751" s="1430"/>
      <c r="D751" s="1430"/>
      <c r="E751" s="1431"/>
      <c r="F751" s="1430"/>
      <c r="G751" s="1430"/>
      <c r="H751" s="1430"/>
      <c r="I751" s="4423" t="s">
        <v>2204</v>
      </c>
      <c r="J751" s="1432" t="s">
        <v>2205</v>
      </c>
      <c r="K751" s="1433">
        <v>142026</v>
      </c>
      <c r="L751" s="1434">
        <v>505000</v>
      </c>
      <c r="M751" s="1434">
        <v>62979</v>
      </c>
      <c r="N751" s="1435">
        <v>130170.8</v>
      </c>
      <c r="O751" s="1436">
        <v>139953</v>
      </c>
      <c r="P751" s="1437">
        <v>101274.5</v>
      </c>
      <c r="Q751" s="1438">
        <v>15129</v>
      </c>
      <c r="R751" s="1439">
        <v>14371.8</v>
      </c>
      <c r="S751" s="1917"/>
      <c r="T751" s="1434"/>
      <c r="U751" s="1917"/>
      <c r="V751" s="1434"/>
      <c r="W751" s="1917"/>
      <c r="X751" s="1434"/>
      <c r="Y751" s="1440">
        <f t="shared" si="127"/>
        <v>15129</v>
      </c>
      <c r="Z751" s="1441">
        <f t="shared" si="127"/>
        <v>14371.8</v>
      </c>
      <c r="AA751" s="1440">
        <f t="shared" si="128"/>
        <v>78108</v>
      </c>
      <c r="AB751" s="1465">
        <f t="shared" si="128"/>
        <v>144542.6</v>
      </c>
      <c r="AC751" s="1442">
        <f t="shared" si="129"/>
        <v>54.995564192471804</v>
      </c>
      <c r="AD751" s="1443">
        <f t="shared" si="129"/>
        <v>28.62229702970297</v>
      </c>
      <c r="AE751" s="1444" t="s">
        <v>2187</v>
      </c>
    </row>
    <row r="752" spans="1:31" s="1467" customFormat="1" ht="51">
      <c r="A752" s="1413"/>
      <c r="B752" s="1918"/>
      <c r="C752" s="1415"/>
      <c r="D752" s="1415"/>
      <c r="E752" s="1446"/>
      <c r="F752" s="1415"/>
      <c r="G752" s="1415"/>
      <c r="H752" s="1415"/>
      <c r="I752" s="4424"/>
      <c r="J752" s="1417" t="s">
        <v>2206</v>
      </c>
      <c r="K752" s="1447">
        <v>12240</v>
      </c>
      <c r="L752" s="1448"/>
      <c r="M752" s="1448">
        <v>11471</v>
      </c>
      <c r="N752" s="1466"/>
      <c r="O752" s="1449">
        <v>11750</v>
      </c>
      <c r="P752" s="1450"/>
      <c r="Q752" s="1451">
        <v>2877</v>
      </c>
      <c r="R752" s="1452"/>
      <c r="S752" s="1918"/>
      <c r="T752" s="1448"/>
      <c r="U752" s="1918"/>
      <c r="V752" s="1448"/>
      <c r="W752" s="1918"/>
      <c r="X752" s="1448"/>
      <c r="Y752" s="1419">
        <f t="shared" si="127"/>
        <v>2877</v>
      </c>
      <c r="Z752" s="1425">
        <f t="shared" si="127"/>
        <v>0</v>
      </c>
      <c r="AA752" s="1419">
        <f t="shared" si="128"/>
        <v>14348</v>
      </c>
      <c r="AB752" s="1419">
        <f t="shared" si="128"/>
        <v>0</v>
      </c>
      <c r="AC752" s="1426">
        <f t="shared" si="129"/>
        <v>117.22222222222223</v>
      </c>
      <c r="AD752" s="1427"/>
      <c r="AE752" s="1428"/>
    </row>
    <row r="753" spans="1:31" s="1429" customFormat="1" ht="63.75">
      <c r="A753" s="1454"/>
      <c r="B753" s="1414" t="s">
        <v>2191</v>
      </c>
      <c r="C753" s="1415"/>
      <c r="D753" s="1415"/>
      <c r="E753" s="1416"/>
      <c r="F753" s="1415"/>
      <c r="G753" s="1415"/>
      <c r="H753" s="1415"/>
      <c r="I753" s="1414" t="s">
        <v>2207</v>
      </c>
      <c r="J753" s="1455" t="s">
        <v>2208</v>
      </c>
      <c r="K753" s="1456">
        <v>324436</v>
      </c>
      <c r="L753" s="1457">
        <v>1500000</v>
      </c>
      <c r="M753" s="1457">
        <v>305045</v>
      </c>
      <c r="N753" s="1458">
        <v>528586.66</v>
      </c>
      <c r="O753" s="1459">
        <v>324026</v>
      </c>
      <c r="P753" s="1423">
        <v>138576.20000000001</v>
      </c>
      <c r="Q753" s="1468">
        <v>3546</v>
      </c>
      <c r="R753" s="1460">
        <v>22331.91</v>
      </c>
      <c r="S753" s="1414"/>
      <c r="T753" s="1457"/>
      <c r="U753" s="1414"/>
      <c r="V753" s="1457"/>
      <c r="W753" s="1414"/>
      <c r="X753" s="1457"/>
      <c r="Y753" s="1419">
        <f t="shared" si="127"/>
        <v>3546</v>
      </c>
      <c r="Z753" s="1425">
        <f t="shared" si="127"/>
        <v>22331.91</v>
      </c>
      <c r="AA753" s="1419">
        <f t="shared" si="128"/>
        <v>308591</v>
      </c>
      <c r="AB753" s="1440">
        <f t="shared" si="128"/>
        <v>550918.57000000007</v>
      </c>
      <c r="AC753" s="1426">
        <f t="shared" si="129"/>
        <v>95.116140009123527</v>
      </c>
      <c r="AD753" s="1427">
        <f t="shared" si="129"/>
        <v>36.727904666666674</v>
      </c>
      <c r="AE753" s="1462" t="s">
        <v>2187</v>
      </c>
    </row>
    <row r="754" spans="1:31" s="1429" customFormat="1" ht="51">
      <c r="A754" s="1454"/>
      <c r="B754" s="1414" t="s">
        <v>2196</v>
      </c>
      <c r="C754" s="1415"/>
      <c r="D754" s="1415"/>
      <c r="E754" s="1416"/>
      <c r="F754" s="1415"/>
      <c r="G754" s="1415"/>
      <c r="H754" s="1415"/>
      <c r="I754" s="1414" t="s">
        <v>2209</v>
      </c>
      <c r="J754" s="1455" t="s">
        <v>2210</v>
      </c>
      <c r="K754" s="1456">
        <v>250</v>
      </c>
      <c r="L754" s="1457">
        <v>1750000</v>
      </c>
      <c r="M754" s="1414">
        <v>50</v>
      </c>
      <c r="N754" s="1460">
        <v>296856.95</v>
      </c>
      <c r="O754" s="1459">
        <v>50</v>
      </c>
      <c r="P754" s="1423">
        <v>168925</v>
      </c>
      <c r="Q754" s="1414">
        <v>15</v>
      </c>
      <c r="R754" s="1460">
        <v>57235.25</v>
      </c>
      <c r="S754" s="1414"/>
      <c r="T754" s="1457"/>
      <c r="U754" s="1414"/>
      <c r="V754" s="1457"/>
      <c r="W754" s="1414"/>
      <c r="X754" s="1457"/>
      <c r="Y754" s="1419">
        <f t="shared" si="127"/>
        <v>15</v>
      </c>
      <c r="Z754" s="1425">
        <f t="shared" si="127"/>
        <v>57235.25</v>
      </c>
      <c r="AA754" s="1419">
        <f t="shared" si="128"/>
        <v>65</v>
      </c>
      <c r="AB754" s="1461">
        <f t="shared" si="128"/>
        <v>354092.2</v>
      </c>
      <c r="AC754" s="1426">
        <f t="shared" si="129"/>
        <v>26</v>
      </c>
      <c r="AD754" s="1427">
        <f t="shared" si="129"/>
        <v>20.233840000000001</v>
      </c>
      <c r="AE754" s="1462" t="s">
        <v>2187</v>
      </c>
    </row>
    <row r="755" spans="1:31" s="1429" customFormat="1" ht="63.75">
      <c r="A755" s="1454"/>
      <c r="B755" s="1414" t="s">
        <v>2191</v>
      </c>
      <c r="C755" s="1415"/>
      <c r="D755" s="1415"/>
      <c r="E755" s="1416"/>
      <c r="F755" s="1415"/>
      <c r="G755" s="1415"/>
      <c r="H755" s="1415"/>
      <c r="I755" s="1414" t="s">
        <v>2211</v>
      </c>
      <c r="J755" s="1455" t="s">
        <v>2212</v>
      </c>
      <c r="K755" s="1456">
        <v>1500</v>
      </c>
      <c r="L755" s="1457">
        <v>300000</v>
      </c>
      <c r="M755" s="1457">
        <v>0</v>
      </c>
      <c r="N755" s="1460">
        <v>0</v>
      </c>
      <c r="O755" s="1459">
        <v>800</v>
      </c>
      <c r="P755" s="1423">
        <v>35790.199999999997</v>
      </c>
      <c r="Q755" s="1414">
        <v>199</v>
      </c>
      <c r="R755" s="1460">
        <v>3015.5</v>
      </c>
      <c r="S755" s="1414"/>
      <c r="T755" s="1457"/>
      <c r="U755" s="1414"/>
      <c r="V755" s="1457"/>
      <c r="W755" s="1414"/>
      <c r="X755" s="1457"/>
      <c r="Y755" s="1419">
        <f t="shared" si="127"/>
        <v>199</v>
      </c>
      <c r="Z755" s="1425">
        <f t="shared" si="127"/>
        <v>3015.5</v>
      </c>
      <c r="AA755" s="1419">
        <f t="shared" si="128"/>
        <v>199</v>
      </c>
      <c r="AB755" s="1440">
        <f t="shared" si="128"/>
        <v>3015.5</v>
      </c>
      <c r="AC755" s="1426">
        <f t="shared" si="129"/>
        <v>13.266666666666666</v>
      </c>
      <c r="AD755" s="1427">
        <f t="shared" si="129"/>
        <v>1.0051666666666668</v>
      </c>
      <c r="AE755" s="1462" t="s">
        <v>2187</v>
      </c>
    </row>
    <row r="756" spans="1:31" s="1429" customFormat="1" ht="63.75">
      <c r="A756" s="1454"/>
      <c r="B756" s="1414" t="s">
        <v>2191</v>
      </c>
      <c r="C756" s="1415"/>
      <c r="D756" s="1415"/>
      <c r="E756" s="1416"/>
      <c r="F756" s="1415"/>
      <c r="G756" s="1415"/>
      <c r="H756" s="1415"/>
      <c r="I756" s="1414" t="s">
        <v>2213</v>
      </c>
      <c r="J756" s="1455" t="s">
        <v>2214</v>
      </c>
      <c r="K756" s="1456">
        <v>60</v>
      </c>
      <c r="L756" s="1457">
        <v>300000</v>
      </c>
      <c r="M756" s="1457">
        <v>0</v>
      </c>
      <c r="N756" s="1460">
        <v>0</v>
      </c>
      <c r="O756" s="1459">
        <v>12</v>
      </c>
      <c r="P756" s="1423">
        <v>26568.5</v>
      </c>
      <c r="Q756" s="1457">
        <v>2</v>
      </c>
      <c r="R756" s="1460">
        <v>2685.5</v>
      </c>
      <c r="S756" s="1414"/>
      <c r="T756" s="1457"/>
      <c r="U756" s="1414"/>
      <c r="V756" s="1457"/>
      <c r="W756" s="1414"/>
      <c r="X756" s="1457"/>
      <c r="Y756" s="1419">
        <f t="shared" si="127"/>
        <v>2</v>
      </c>
      <c r="Z756" s="1425">
        <f t="shared" si="127"/>
        <v>2685.5</v>
      </c>
      <c r="AA756" s="1419">
        <f t="shared" si="128"/>
        <v>2</v>
      </c>
      <c r="AB756" s="1461">
        <f t="shared" si="128"/>
        <v>2685.5</v>
      </c>
      <c r="AC756" s="1426">
        <f t="shared" si="129"/>
        <v>3.3333333333333335</v>
      </c>
      <c r="AD756" s="1427">
        <f t="shared" si="129"/>
        <v>0.89516666666666667</v>
      </c>
      <c r="AE756" s="1462" t="s">
        <v>2187</v>
      </c>
    </row>
    <row r="757" spans="1:31" s="1429" customFormat="1" ht="36" customHeight="1">
      <c r="A757" s="1464"/>
      <c r="B757" s="4423" t="s">
        <v>2196</v>
      </c>
      <c r="C757" s="1430"/>
      <c r="D757" s="1430"/>
      <c r="E757" s="1431"/>
      <c r="F757" s="1430"/>
      <c r="G757" s="1430"/>
      <c r="H757" s="1430"/>
      <c r="I757" s="4423" t="s">
        <v>2215</v>
      </c>
      <c r="J757" s="1432" t="s">
        <v>2216</v>
      </c>
      <c r="K757" s="1433">
        <v>2500</v>
      </c>
      <c r="L757" s="1434">
        <v>350000</v>
      </c>
      <c r="M757" s="1434">
        <v>0</v>
      </c>
      <c r="N757" s="1439">
        <v>0</v>
      </c>
      <c r="O757" s="1436">
        <v>1000</v>
      </c>
      <c r="P757" s="1437">
        <v>89849.7</v>
      </c>
      <c r="Q757" s="1434">
        <v>0</v>
      </c>
      <c r="R757" s="1439">
        <v>5000</v>
      </c>
      <c r="S757" s="1917"/>
      <c r="T757" s="1434"/>
      <c r="U757" s="1917"/>
      <c r="V757" s="1434"/>
      <c r="W757" s="1917"/>
      <c r="X757" s="1434"/>
      <c r="Y757" s="1440">
        <f t="shared" si="127"/>
        <v>0</v>
      </c>
      <c r="Z757" s="1441">
        <f t="shared" si="127"/>
        <v>5000</v>
      </c>
      <c r="AA757" s="1440">
        <f t="shared" si="128"/>
        <v>0</v>
      </c>
      <c r="AB757" s="1440">
        <f t="shared" si="128"/>
        <v>5000</v>
      </c>
      <c r="AC757" s="1442">
        <f t="shared" si="129"/>
        <v>0</v>
      </c>
      <c r="AD757" s="1443">
        <f t="shared" si="129"/>
        <v>1.4285714285714286</v>
      </c>
      <c r="AE757" s="1444" t="s">
        <v>2187</v>
      </c>
    </row>
    <row r="758" spans="1:31" s="1467" customFormat="1" ht="63.75">
      <c r="A758" s="1413"/>
      <c r="B758" s="4424"/>
      <c r="C758" s="1415"/>
      <c r="D758" s="1415"/>
      <c r="E758" s="1446"/>
      <c r="F758" s="1415"/>
      <c r="G758" s="1415"/>
      <c r="H758" s="1415"/>
      <c r="I758" s="4424"/>
      <c r="J758" s="1417" t="s">
        <v>2217</v>
      </c>
      <c r="K758" s="1447">
        <v>4000</v>
      </c>
      <c r="L758" s="1448"/>
      <c r="M758" s="1448">
        <v>0</v>
      </c>
      <c r="N758" s="1452">
        <v>0</v>
      </c>
      <c r="O758" s="1449">
        <v>2000</v>
      </c>
      <c r="P758" s="1450"/>
      <c r="Q758" s="1448">
        <v>0</v>
      </c>
      <c r="R758" s="1452"/>
      <c r="S758" s="1918"/>
      <c r="T758" s="1448"/>
      <c r="U758" s="1918"/>
      <c r="V758" s="1448"/>
      <c r="W758" s="1918"/>
      <c r="X758" s="1448"/>
      <c r="Y758" s="1419">
        <f t="shared" si="127"/>
        <v>0</v>
      </c>
      <c r="Z758" s="1425">
        <f t="shared" si="127"/>
        <v>0</v>
      </c>
      <c r="AA758" s="1419">
        <f t="shared" si="128"/>
        <v>0</v>
      </c>
      <c r="AB758" s="1440">
        <f t="shared" si="128"/>
        <v>0</v>
      </c>
      <c r="AC758" s="1426">
        <f t="shared" si="129"/>
        <v>0</v>
      </c>
      <c r="AD758" s="1427"/>
      <c r="AE758" s="1428"/>
    </row>
    <row r="759" spans="1:31" s="1429" customFormat="1" ht="63.75">
      <c r="A759" s="1454"/>
      <c r="B759" s="1414" t="s">
        <v>2191</v>
      </c>
      <c r="C759" s="1415"/>
      <c r="D759" s="1415"/>
      <c r="E759" s="1416"/>
      <c r="F759" s="1415"/>
      <c r="G759" s="1415"/>
      <c r="H759" s="1415"/>
      <c r="I759" s="1414" t="s">
        <v>2218</v>
      </c>
      <c r="J759" s="1455" t="s">
        <v>2219</v>
      </c>
      <c r="K759" s="1456">
        <v>145000</v>
      </c>
      <c r="L759" s="1457">
        <v>357000</v>
      </c>
      <c r="M759" s="1457">
        <v>0</v>
      </c>
      <c r="N759" s="1460">
        <v>0</v>
      </c>
      <c r="O759" s="1459">
        <v>100000</v>
      </c>
      <c r="P759" s="1423">
        <v>71520.100000000006</v>
      </c>
      <c r="Q759" s="1457">
        <v>18039</v>
      </c>
      <c r="R759" s="1460">
        <v>4526.5</v>
      </c>
      <c r="S759" s="1414"/>
      <c r="T759" s="1457"/>
      <c r="U759" s="1414"/>
      <c r="V759" s="1457"/>
      <c r="W759" s="1414"/>
      <c r="X759" s="1457"/>
      <c r="Y759" s="1419">
        <f t="shared" si="127"/>
        <v>18039</v>
      </c>
      <c r="Z759" s="1425">
        <f t="shared" si="127"/>
        <v>4526.5</v>
      </c>
      <c r="AA759" s="1419">
        <f t="shared" si="128"/>
        <v>18039</v>
      </c>
      <c r="AB759" s="1461">
        <f t="shared" si="128"/>
        <v>4526.5</v>
      </c>
      <c r="AC759" s="1426">
        <f t="shared" si="129"/>
        <v>12.440689655172415</v>
      </c>
      <c r="AD759" s="1427">
        <f t="shared" si="129"/>
        <v>1.2679271708683473</v>
      </c>
      <c r="AE759" s="1462" t="s">
        <v>2187</v>
      </c>
    </row>
    <row r="760" spans="1:31" s="1429" customFormat="1" ht="90" customHeight="1">
      <c r="A760" s="1464"/>
      <c r="B760" s="1469" t="s">
        <v>2196</v>
      </c>
      <c r="C760" s="1430"/>
      <c r="D760" s="1430"/>
      <c r="E760" s="1431"/>
      <c r="F760" s="1430"/>
      <c r="G760" s="1430"/>
      <c r="H760" s="1430"/>
      <c r="I760" s="1917" t="s">
        <v>2220</v>
      </c>
      <c r="J760" s="1432" t="s">
        <v>2221</v>
      </c>
      <c r="K760" s="1433">
        <v>10777500</v>
      </c>
      <c r="L760" s="1434">
        <v>6500000</v>
      </c>
      <c r="M760" s="1434">
        <v>215500</v>
      </c>
      <c r="N760" s="1439">
        <v>1249161.8999999999</v>
      </c>
      <c r="O760" s="1436">
        <v>215500</v>
      </c>
      <c r="P760" s="1423">
        <v>1353364</v>
      </c>
      <c r="Q760" s="1434">
        <v>0</v>
      </c>
      <c r="R760" s="1439">
        <v>14737.6</v>
      </c>
      <c r="S760" s="1917"/>
      <c r="T760" s="1434"/>
      <c r="U760" s="1917"/>
      <c r="V760" s="1434"/>
      <c r="W760" s="1917"/>
      <c r="X760" s="1434"/>
      <c r="Y760" s="1419">
        <f t="shared" si="127"/>
        <v>0</v>
      </c>
      <c r="Z760" s="1425">
        <f t="shared" si="127"/>
        <v>14737.6</v>
      </c>
      <c r="AA760" s="1419">
        <f t="shared" si="128"/>
        <v>215500</v>
      </c>
      <c r="AB760" s="1440">
        <f t="shared" si="128"/>
        <v>1263899.5</v>
      </c>
      <c r="AC760" s="1426">
        <f t="shared" si="129"/>
        <v>1.9995360705172813</v>
      </c>
      <c r="AD760" s="1427">
        <f t="shared" si="129"/>
        <v>19.444607692307692</v>
      </c>
      <c r="AE760" s="1444" t="s">
        <v>2187</v>
      </c>
    </row>
    <row r="761" spans="1:31" s="1429" customFormat="1" ht="34.5" customHeight="1">
      <c r="A761" s="1464"/>
      <c r="B761" s="4423" t="s">
        <v>2196</v>
      </c>
      <c r="C761" s="1470"/>
      <c r="D761" s="1470"/>
      <c r="E761" s="1431"/>
      <c r="F761" s="1470"/>
      <c r="G761" s="1470"/>
      <c r="H761" s="1470"/>
      <c r="I761" s="4423" t="s">
        <v>2222</v>
      </c>
      <c r="J761" s="1432" t="s">
        <v>2223</v>
      </c>
      <c r="K761" s="1433">
        <v>15</v>
      </c>
      <c r="L761" s="1434">
        <v>5300000</v>
      </c>
      <c r="M761" s="1434">
        <v>0</v>
      </c>
      <c r="N761" s="1439">
        <v>0</v>
      </c>
      <c r="O761" s="1436">
        <v>15</v>
      </c>
      <c r="P761" s="1437">
        <v>4061008.3</v>
      </c>
      <c r="Q761" s="1917">
        <v>15</v>
      </c>
      <c r="R761" s="1439">
        <v>85475</v>
      </c>
      <c r="S761" s="1917"/>
      <c r="T761" s="1434"/>
      <c r="U761" s="1917"/>
      <c r="V761" s="1434"/>
      <c r="W761" s="1917"/>
      <c r="X761" s="1434"/>
      <c r="Y761" s="1440">
        <f t="shared" si="127"/>
        <v>15</v>
      </c>
      <c r="Z761" s="1441">
        <f t="shared" si="127"/>
        <v>85475</v>
      </c>
      <c r="AA761" s="1440">
        <f t="shared" si="128"/>
        <v>15</v>
      </c>
      <c r="AB761" s="1465">
        <f t="shared" si="128"/>
        <v>85475</v>
      </c>
      <c r="AC761" s="1442">
        <f t="shared" si="129"/>
        <v>100</v>
      </c>
      <c r="AD761" s="1443">
        <f t="shared" si="129"/>
        <v>1.6127358490566037</v>
      </c>
      <c r="AE761" s="1444" t="s">
        <v>2187</v>
      </c>
    </row>
    <row r="762" spans="1:31" s="1467" customFormat="1" ht="38.25">
      <c r="A762" s="1413"/>
      <c r="B762" s="4424"/>
      <c r="C762" s="1415"/>
      <c r="D762" s="1415"/>
      <c r="E762" s="1446"/>
      <c r="F762" s="1415"/>
      <c r="G762" s="1415"/>
      <c r="H762" s="1415"/>
      <c r="I762" s="4424"/>
      <c r="J762" s="1417" t="s">
        <v>2224</v>
      </c>
      <c r="K762" s="1447">
        <v>662</v>
      </c>
      <c r="L762" s="1448"/>
      <c r="M762" s="1448">
        <v>0</v>
      </c>
      <c r="N762" s="1452">
        <v>0</v>
      </c>
      <c r="O762" s="1449">
        <v>662</v>
      </c>
      <c r="P762" s="1450"/>
      <c r="Q762" s="1448">
        <v>0</v>
      </c>
      <c r="R762" s="1452"/>
      <c r="S762" s="1918"/>
      <c r="T762" s="1448"/>
      <c r="U762" s="1918"/>
      <c r="V762" s="1448"/>
      <c r="W762" s="1918"/>
      <c r="X762" s="1448"/>
      <c r="Y762" s="1419">
        <f t="shared" si="127"/>
        <v>0</v>
      </c>
      <c r="Z762" s="1425">
        <f t="shared" si="127"/>
        <v>0</v>
      </c>
      <c r="AA762" s="1419"/>
      <c r="AB762" s="1419">
        <f t="shared" si="128"/>
        <v>0</v>
      </c>
      <c r="AC762" s="1426">
        <f t="shared" si="129"/>
        <v>0</v>
      </c>
      <c r="AD762" s="1427"/>
      <c r="AE762" s="1428"/>
    </row>
    <row r="763" spans="1:31" s="1412" customFormat="1" ht="51">
      <c r="A763" s="341">
        <v>2</v>
      </c>
      <c r="B763" s="341"/>
      <c r="C763" s="368">
        <v>3</v>
      </c>
      <c r="D763" s="368" t="s">
        <v>107</v>
      </c>
      <c r="E763" s="368" t="s">
        <v>65</v>
      </c>
      <c r="F763" s="368" t="s">
        <v>66</v>
      </c>
      <c r="G763" s="368">
        <v>26</v>
      </c>
      <c r="H763" s="341"/>
      <c r="I763" s="344" t="s">
        <v>221</v>
      </c>
      <c r="J763" s="1471" t="s">
        <v>2225</v>
      </c>
      <c r="K763" s="1409">
        <v>100</v>
      </c>
      <c r="L763" s="1407">
        <f>SUM(L764:L775)</f>
        <v>4990000</v>
      </c>
      <c r="M763" s="1409">
        <v>80</v>
      </c>
      <c r="N763" s="1407">
        <f>SUM(N764:N775)</f>
        <v>663838.48</v>
      </c>
      <c r="O763" s="1408">
        <v>85</v>
      </c>
      <c r="P763" s="1407">
        <f>SUM(P764:P775)</f>
        <v>519072.85000000003</v>
      </c>
      <c r="Q763" s="1409">
        <v>1</v>
      </c>
      <c r="R763" s="1410">
        <f>SUM(R764:R775)</f>
        <v>140348.61000000002</v>
      </c>
      <c r="S763" s="1409"/>
      <c r="T763" s="1409"/>
      <c r="U763" s="1409"/>
      <c r="V763" s="1409"/>
      <c r="W763" s="1409"/>
      <c r="X763" s="1409"/>
      <c r="Y763" s="1472">
        <f t="shared" si="127"/>
        <v>1</v>
      </c>
      <c r="Z763" s="1473">
        <f t="shared" si="127"/>
        <v>140348.61000000002</v>
      </c>
      <c r="AA763" s="1472">
        <f>M763+Y763</f>
        <v>81</v>
      </c>
      <c r="AB763" s="1474">
        <f>N763+Z763</f>
        <v>804187.09</v>
      </c>
      <c r="AC763" s="1475">
        <f>(AA763/K763)*100</f>
        <v>81</v>
      </c>
      <c r="AD763" s="1476">
        <f t="shared" si="129"/>
        <v>16.115973747494987</v>
      </c>
      <c r="AE763" s="341" t="s">
        <v>2187</v>
      </c>
    </row>
    <row r="764" spans="1:31" s="1483" customFormat="1" ht="38.25">
      <c r="A764" s="1477"/>
      <c r="B764" s="1478"/>
      <c r="C764" s="1446"/>
      <c r="D764" s="1446"/>
      <c r="E764" s="1416"/>
      <c r="F764" s="1446"/>
      <c r="G764" s="1446"/>
      <c r="H764" s="1477"/>
      <c r="I764" s="732" t="s">
        <v>147</v>
      </c>
      <c r="J764" s="1479" t="s">
        <v>2226</v>
      </c>
      <c r="K764" s="1480">
        <v>60</v>
      </c>
      <c r="L764" s="1472">
        <v>350000</v>
      </c>
      <c r="M764" s="1480">
        <v>12</v>
      </c>
      <c r="N764" s="1473">
        <v>61465.9</v>
      </c>
      <c r="O764" s="1481">
        <v>12</v>
      </c>
      <c r="P764" s="1472">
        <v>61200</v>
      </c>
      <c r="Q764" s="1480">
        <v>3</v>
      </c>
      <c r="R764" s="1482">
        <v>17197.41</v>
      </c>
      <c r="S764" s="1480"/>
      <c r="T764" s="1480"/>
      <c r="U764" s="1480"/>
      <c r="V764" s="1480"/>
      <c r="W764" s="1480"/>
      <c r="X764" s="1480"/>
      <c r="Y764" s="1419">
        <f t="shared" si="127"/>
        <v>3</v>
      </c>
      <c r="Z764" s="1425">
        <f t="shared" si="127"/>
        <v>17197.41</v>
      </c>
      <c r="AA764" s="1419">
        <f t="shared" si="128"/>
        <v>15</v>
      </c>
      <c r="AB764" s="1461">
        <f t="shared" si="128"/>
        <v>78663.31</v>
      </c>
      <c r="AC764" s="1426">
        <f t="shared" si="129"/>
        <v>25</v>
      </c>
      <c r="AD764" s="1427">
        <f t="shared" si="129"/>
        <v>22.475231428571426</v>
      </c>
      <c r="AE764" s="1477" t="s">
        <v>2187</v>
      </c>
    </row>
    <row r="765" spans="1:31" s="1483" customFormat="1" ht="38.25">
      <c r="A765" s="1477"/>
      <c r="B765" s="1484"/>
      <c r="C765" s="1446"/>
      <c r="D765" s="1446"/>
      <c r="E765" s="1416"/>
      <c r="F765" s="1446"/>
      <c r="G765" s="1446"/>
      <c r="H765" s="1477"/>
      <c r="I765" s="732" t="s">
        <v>1287</v>
      </c>
      <c r="J765" s="1479" t="s">
        <v>2227</v>
      </c>
      <c r="K765" s="1480">
        <v>60</v>
      </c>
      <c r="L765" s="1472">
        <v>750000</v>
      </c>
      <c r="M765" s="1480">
        <v>12</v>
      </c>
      <c r="N765" s="1473">
        <v>56041</v>
      </c>
      <c r="O765" s="1481">
        <v>12</v>
      </c>
      <c r="P765" s="1472">
        <v>126800</v>
      </c>
      <c r="Q765" s="1480">
        <v>3</v>
      </c>
      <c r="R765" s="1482">
        <v>25700</v>
      </c>
      <c r="S765" s="1480"/>
      <c r="T765" s="1480"/>
      <c r="U765" s="1480"/>
      <c r="V765" s="1480"/>
      <c r="W765" s="1480"/>
      <c r="X765" s="1480"/>
      <c r="Y765" s="1419">
        <f t="shared" si="127"/>
        <v>3</v>
      </c>
      <c r="Z765" s="1425">
        <f t="shared" si="127"/>
        <v>25700</v>
      </c>
      <c r="AA765" s="1419">
        <f t="shared" si="128"/>
        <v>15</v>
      </c>
      <c r="AB765" s="1440">
        <f t="shared" si="128"/>
        <v>81741</v>
      </c>
      <c r="AC765" s="1426">
        <f t="shared" si="129"/>
        <v>25</v>
      </c>
      <c r="AD765" s="1427">
        <f t="shared" si="129"/>
        <v>10.8988</v>
      </c>
      <c r="AE765" s="1477" t="s">
        <v>2187</v>
      </c>
    </row>
    <row r="766" spans="1:31" s="1483" customFormat="1" ht="38.25">
      <c r="A766" s="1477"/>
      <c r="B766" s="1484"/>
      <c r="C766" s="1446"/>
      <c r="D766" s="1446"/>
      <c r="E766" s="1416"/>
      <c r="F766" s="1446"/>
      <c r="G766" s="1446"/>
      <c r="H766" s="1477"/>
      <c r="I766" s="732" t="s">
        <v>149</v>
      </c>
      <c r="J766" s="1479" t="s">
        <v>2228</v>
      </c>
      <c r="K766" s="1480">
        <v>20</v>
      </c>
      <c r="L766" s="1472">
        <v>225000</v>
      </c>
      <c r="M766" s="1480">
        <v>6</v>
      </c>
      <c r="N766" s="1473">
        <v>25929.1</v>
      </c>
      <c r="O766" s="1481">
        <v>8</v>
      </c>
      <c r="P766" s="1450">
        <v>31735.200000000001</v>
      </c>
      <c r="Q766" s="1480">
        <v>2</v>
      </c>
      <c r="R766" s="1482">
        <v>3207.6</v>
      </c>
      <c r="S766" s="1480"/>
      <c r="T766" s="1480"/>
      <c r="U766" s="1480"/>
      <c r="V766" s="1480"/>
      <c r="W766" s="1480"/>
      <c r="X766" s="1480"/>
      <c r="Y766" s="1419">
        <f t="shared" si="127"/>
        <v>2</v>
      </c>
      <c r="Z766" s="1425">
        <f t="shared" si="127"/>
        <v>3207.6</v>
      </c>
      <c r="AA766" s="1419">
        <f t="shared" si="128"/>
        <v>8</v>
      </c>
      <c r="AB766" s="1461">
        <f t="shared" si="128"/>
        <v>29136.699999999997</v>
      </c>
      <c r="AC766" s="1426">
        <f t="shared" si="129"/>
        <v>40</v>
      </c>
      <c r="AD766" s="1427">
        <f t="shared" si="129"/>
        <v>12.949644444444445</v>
      </c>
      <c r="AE766" s="1477" t="s">
        <v>2187</v>
      </c>
    </row>
    <row r="767" spans="1:31" s="1483" customFormat="1" ht="38.25">
      <c r="A767" s="1484"/>
      <c r="B767" s="1484"/>
      <c r="C767" s="1416"/>
      <c r="D767" s="1416"/>
      <c r="E767" s="1416"/>
      <c r="F767" s="1416"/>
      <c r="G767" s="1416"/>
      <c r="H767" s="1484"/>
      <c r="I767" s="741" t="s">
        <v>1410</v>
      </c>
      <c r="J767" s="1485" t="s">
        <v>2229</v>
      </c>
      <c r="K767" s="1486">
        <v>35</v>
      </c>
      <c r="L767" s="1487">
        <v>125000</v>
      </c>
      <c r="M767" s="1486">
        <v>10</v>
      </c>
      <c r="N767" s="1463">
        <v>19999.5</v>
      </c>
      <c r="O767" s="1488">
        <v>20</v>
      </c>
      <c r="P767" s="1423">
        <v>4500</v>
      </c>
      <c r="Q767" s="1486">
        <v>7</v>
      </c>
      <c r="R767" s="1489">
        <v>1060</v>
      </c>
      <c r="S767" s="1486"/>
      <c r="T767" s="1486"/>
      <c r="U767" s="1486"/>
      <c r="V767" s="1486"/>
      <c r="W767" s="1486"/>
      <c r="X767" s="1486"/>
      <c r="Y767" s="1419">
        <f t="shared" si="127"/>
        <v>7</v>
      </c>
      <c r="Z767" s="1425">
        <f t="shared" si="127"/>
        <v>1060</v>
      </c>
      <c r="AA767" s="1419">
        <f t="shared" si="128"/>
        <v>17</v>
      </c>
      <c r="AB767" s="1440">
        <f t="shared" si="128"/>
        <v>21059.5</v>
      </c>
      <c r="AC767" s="1426">
        <f t="shared" si="129"/>
        <v>48.571428571428569</v>
      </c>
      <c r="AD767" s="1427">
        <f t="shared" si="129"/>
        <v>16.8476</v>
      </c>
      <c r="AE767" s="1484" t="s">
        <v>2187</v>
      </c>
    </row>
    <row r="768" spans="1:31" s="1483" customFormat="1" ht="25.5">
      <c r="A768" s="1477"/>
      <c r="B768" s="1484"/>
      <c r="C768" s="1446"/>
      <c r="D768" s="1446"/>
      <c r="E768" s="1416"/>
      <c r="F768" s="1446"/>
      <c r="G768" s="1446"/>
      <c r="H768" s="1477"/>
      <c r="I768" s="732" t="s">
        <v>150</v>
      </c>
      <c r="J768" s="1479" t="s">
        <v>2230</v>
      </c>
      <c r="K768" s="1480">
        <v>3000</v>
      </c>
      <c r="L768" s="1472">
        <v>220000</v>
      </c>
      <c r="M768" s="1480">
        <v>400</v>
      </c>
      <c r="N768" s="1473">
        <v>32742</v>
      </c>
      <c r="O768" s="1481">
        <v>571</v>
      </c>
      <c r="P768" s="1450">
        <v>31800</v>
      </c>
      <c r="Q768" s="1480">
        <v>571</v>
      </c>
      <c r="R768" s="1482">
        <v>2082.5</v>
      </c>
      <c r="S768" s="1480"/>
      <c r="T768" s="1480"/>
      <c r="U768" s="1480"/>
      <c r="V768" s="1480"/>
      <c r="W768" s="1480"/>
      <c r="X768" s="1480"/>
      <c r="Y768" s="1419">
        <f t="shared" si="127"/>
        <v>571</v>
      </c>
      <c r="Z768" s="1425">
        <f t="shared" si="127"/>
        <v>2082.5</v>
      </c>
      <c r="AA768" s="1419">
        <f t="shared" si="128"/>
        <v>971</v>
      </c>
      <c r="AB768" s="1461">
        <f t="shared" si="128"/>
        <v>34824.5</v>
      </c>
      <c r="AC768" s="1426">
        <f t="shared" si="129"/>
        <v>32.366666666666667</v>
      </c>
      <c r="AD768" s="1427">
        <f t="shared" si="129"/>
        <v>15.829318181818181</v>
      </c>
      <c r="AE768" s="1477" t="s">
        <v>2187</v>
      </c>
    </row>
    <row r="769" spans="1:31" s="1483" customFormat="1" ht="38.25">
      <c r="A769" s="1477"/>
      <c r="B769" s="1484"/>
      <c r="C769" s="1446"/>
      <c r="D769" s="1446"/>
      <c r="E769" s="1416"/>
      <c r="F769" s="1446"/>
      <c r="G769" s="1446"/>
      <c r="H769" s="1477"/>
      <c r="I769" s="732" t="s">
        <v>151</v>
      </c>
      <c r="J769" s="1479" t="s">
        <v>2231</v>
      </c>
      <c r="K769" s="1480">
        <v>890</v>
      </c>
      <c r="L769" s="1472">
        <v>120000</v>
      </c>
      <c r="M769" s="1480">
        <v>150</v>
      </c>
      <c r="N769" s="1473">
        <v>18901.900000000001</v>
      </c>
      <c r="O769" s="1481">
        <v>178</v>
      </c>
      <c r="P769" s="1450">
        <v>20200</v>
      </c>
      <c r="Q769" s="1480">
        <v>3</v>
      </c>
      <c r="R769" s="1482">
        <v>0</v>
      </c>
      <c r="S769" s="1480"/>
      <c r="T769" s="1480"/>
      <c r="U769" s="1480"/>
      <c r="V769" s="1480"/>
      <c r="W769" s="1480"/>
      <c r="X769" s="1480"/>
      <c r="Y769" s="1419">
        <f t="shared" si="127"/>
        <v>3</v>
      </c>
      <c r="Z769" s="1425">
        <f t="shared" si="127"/>
        <v>0</v>
      </c>
      <c r="AA769" s="1419">
        <f t="shared" si="128"/>
        <v>153</v>
      </c>
      <c r="AB769" s="1440">
        <f t="shared" si="128"/>
        <v>18901.900000000001</v>
      </c>
      <c r="AC769" s="1426">
        <f t="shared" si="129"/>
        <v>17.191011235955056</v>
      </c>
      <c r="AD769" s="1427">
        <f t="shared" si="129"/>
        <v>15.751583333333336</v>
      </c>
      <c r="AE769" s="1477" t="s">
        <v>2187</v>
      </c>
    </row>
    <row r="770" spans="1:31" s="1483" customFormat="1" ht="38.25">
      <c r="A770" s="1477"/>
      <c r="B770" s="1484"/>
      <c r="C770" s="1446"/>
      <c r="D770" s="1446"/>
      <c r="E770" s="1416"/>
      <c r="F770" s="1446"/>
      <c r="G770" s="1446"/>
      <c r="H770" s="1477"/>
      <c r="I770" s="732" t="s">
        <v>152</v>
      </c>
      <c r="J770" s="1479" t="s">
        <v>2232</v>
      </c>
      <c r="K770" s="1480">
        <v>250</v>
      </c>
      <c r="L770" s="1472">
        <v>100000</v>
      </c>
      <c r="M770" s="1480">
        <v>50</v>
      </c>
      <c r="N770" s="1473">
        <v>22069</v>
      </c>
      <c r="O770" s="1481">
        <v>69</v>
      </c>
      <c r="P770" s="1473">
        <v>7910.15</v>
      </c>
      <c r="Q770" s="1480">
        <v>8</v>
      </c>
      <c r="R770" s="1482">
        <v>553</v>
      </c>
      <c r="S770" s="1480"/>
      <c r="T770" s="1480"/>
      <c r="U770" s="1480"/>
      <c r="V770" s="1480"/>
      <c r="W770" s="1480"/>
      <c r="X770" s="1480"/>
      <c r="Y770" s="1419">
        <f t="shared" si="127"/>
        <v>8</v>
      </c>
      <c r="Z770" s="1425">
        <f t="shared" si="127"/>
        <v>553</v>
      </c>
      <c r="AA770" s="1419">
        <f t="shared" si="128"/>
        <v>58</v>
      </c>
      <c r="AB770" s="1461">
        <f t="shared" si="128"/>
        <v>22622</v>
      </c>
      <c r="AC770" s="1426">
        <f t="shared" si="129"/>
        <v>23.200000000000003</v>
      </c>
      <c r="AD770" s="1427">
        <f t="shared" si="129"/>
        <v>22.622</v>
      </c>
      <c r="AE770" s="1477" t="s">
        <v>2187</v>
      </c>
    </row>
    <row r="771" spans="1:31" s="1483" customFormat="1" ht="38.25">
      <c r="A771" s="1477"/>
      <c r="B771" s="1484"/>
      <c r="C771" s="1446"/>
      <c r="D771" s="1446"/>
      <c r="E771" s="1416"/>
      <c r="F771" s="1446"/>
      <c r="G771" s="1446"/>
      <c r="H771" s="1477"/>
      <c r="I771" s="732" t="s">
        <v>238</v>
      </c>
      <c r="J771" s="1479" t="s">
        <v>2233</v>
      </c>
      <c r="K771" s="1480">
        <v>80</v>
      </c>
      <c r="L771" s="1472">
        <v>750000</v>
      </c>
      <c r="M771" s="1480">
        <v>24</v>
      </c>
      <c r="N771" s="1473">
        <v>172714.68</v>
      </c>
      <c r="O771" s="1481">
        <v>9</v>
      </c>
      <c r="P771" s="1450">
        <v>55950</v>
      </c>
      <c r="Q771" s="1480">
        <v>2</v>
      </c>
      <c r="R771" s="1482">
        <v>6900</v>
      </c>
      <c r="S771" s="1480"/>
      <c r="T771" s="1480"/>
      <c r="U771" s="1480"/>
      <c r="V771" s="1480"/>
      <c r="W771" s="1480"/>
      <c r="X771" s="1480"/>
      <c r="Y771" s="1419">
        <f t="shared" si="127"/>
        <v>2</v>
      </c>
      <c r="Z771" s="1425">
        <f t="shared" si="127"/>
        <v>6900</v>
      </c>
      <c r="AA771" s="1419">
        <f t="shared" si="128"/>
        <v>26</v>
      </c>
      <c r="AB771" s="1440">
        <f t="shared" si="128"/>
        <v>179614.68</v>
      </c>
      <c r="AC771" s="1426">
        <f t="shared" si="129"/>
        <v>32.5</v>
      </c>
      <c r="AD771" s="1427">
        <f t="shared" si="129"/>
        <v>23.948623999999999</v>
      </c>
      <c r="AE771" s="1477" t="s">
        <v>2187</v>
      </c>
    </row>
    <row r="772" spans="1:31" s="1483" customFormat="1" ht="51">
      <c r="A772" s="1477"/>
      <c r="B772" s="1484"/>
      <c r="C772" s="1446"/>
      <c r="D772" s="1446"/>
      <c r="E772" s="1416"/>
      <c r="F772" s="1446"/>
      <c r="G772" s="1446"/>
      <c r="H772" s="1477"/>
      <c r="I772" s="732" t="s">
        <v>2234</v>
      </c>
      <c r="J772" s="1479" t="s">
        <v>2235</v>
      </c>
      <c r="K772" s="1480">
        <v>18</v>
      </c>
      <c r="L772" s="1472">
        <v>75000</v>
      </c>
      <c r="M772" s="1480">
        <v>3</v>
      </c>
      <c r="N772" s="1473">
        <v>8870</v>
      </c>
      <c r="O772" s="1481">
        <v>3</v>
      </c>
      <c r="P772" s="1450">
        <v>8900</v>
      </c>
      <c r="Q772" s="1480">
        <v>3</v>
      </c>
      <c r="R772" s="1482">
        <v>750</v>
      </c>
      <c r="S772" s="1480"/>
      <c r="T772" s="1480"/>
      <c r="U772" s="1480"/>
      <c r="V772" s="1480"/>
      <c r="W772" s="1480"/>
      <c r="X772" s="1480"/>
      <c r="Y772" s="1419">
        <f t="shared" si="127"/>
        <v>3</v>
      </c>
      <c r="Z772" s="1425">
        <f t="shared" si="127"/>
        <v>750</v>
      </c>
      <c r="AA772" s="1419">
        <f t="shared" si="128"/>
        <v>6</v>
      </c>
      <c r="AB772" s="1461">
        <f t="shared" si="128"/>
        <v>9620</v>
      </c>
      <c r="AC772" s="1426">
        <f t="shared" si="129"/>
        <v>33.333333333333329</v>
      </c>
      <c r="AD772" s="1427">
        <f t="shared" si="129"/>
        <v>12.826666666666666</v>
      </c>
      <c r="AE772" s="1477" t="s">
        <v>2187</v>
      </c>
    </row>
    <row r="773" spans="1:31" s="1483" customFormat="1" ht="38.25">
      <c r="A773" s="1477"/>
      <c r="B773" s="1484"/>
      <c r="C773" s="1446"/>
      <c r="D773" s="1446"/>
      <c r="E773" s="1416"/>
      <c r="F773" s="1446"/>
      <c r="G773" s="1446"/>
      <c r="H773" s="1477"/>
      <c r="I773" s="732" t="s">
        <v>157</v>
      </c>
      <c r="J773" s="1479" t="s">
        <v>2236</v>
      </c>
      <c r="K773" s="1480">
        <v>60</v>
      </c>
      <c r="L773" s="1472">
        <v>125000</v>
      </c>
      <c r="M773" s="1480">
        <v>10</v>
      </c>
      <c r="N773" s="1473">
        <v>13100</v>
      </c>
      <c r="O773" s="1481">
        <v>12</v>
      </c>
      <c r="P773" s="1450">
        <v>9130</v>
      </c>
      <c r="Q773" s="1480">
        <v>3</v>
      </c>
      <c r="R773" s="1482">
        <v>2837</v>
      </c>
      <c r="S773" s="1480"/>
      <c r="T773" s="1480"/>
      <c r="U773" s="1480"/>
      <c r="V773" s="1480"/>
      <c r="W773" s="1480"/>
      <c r="X773" s="1480"/>
      <c r="Y773" s="1419">
        <f t="shared" si="127"/>
        <v>3</v>
      </c>
      <c r="Z773" s="1425">
        <f t="shared" si="127"/>
        <v>2837</v>
      </c>
      <c r="AA773" s="1419">
        <f t="shared" si="128"/>
        <v>13</v>
      </c>
      <c r="AB773" s="1440">
        <f t="shared" si="128"/>
        <v>15937</v>
      </c>
      <c r="AC773" s="1426">
        <f t="shared" si="129"/>
        <v>21.666666666666668</v>
      </c>
      <c r="AD773" s="1427">
        <f t="shared" si="129"/>
        <v>12.749599999999999</v>
      </c>
      <c r="AE773" s="1477" t="s">
        <v>2187</v>
      </c>
    </row>
    <row r="774" spans="1:31" s="1483" customFormat="1" ht="38.25">
      <c r="A774" s="1477"/>
      <c r="B774" s="1484"/>
      <c r="C774" s="1446"/>
      <c r="D774" s="1446"/>
      <c r="E774" s="1416"/>
      <c r="F774" s="1446"/>
      <c r="G774" s="1446"/>
      <c r="H774" s="1477"/>
      <c r="I774" s="732" t="s">
        <v>2237</v>
      </c>
      <c r="J774" s="1479" t="s">
        <v>2238</v>
      </c>
      <c r="K774" s="1480">
        <v>180</v>
      </c>
      <c r="L774" s="1472">
        <v>1250000</v>
      </c>
      <c r="M774" s="1480">
        <v>32</v>
      </c>
      <c r="N774" s="1473">
        <v>172180.4</v>
      </c>
      <c r="O774" s="1481">
        <v>24</v>
      </c>
      <c r="P774" s="1450">
        <v>102950</v>
      </c>
      <c r="Q774" s="1480">
        <v>4</v>
      </c>
      <c r="R774" s="1482">
        <v>61568.9</v>
      </c>
      <c r="S774" s="1480"/>
      <c r="T774" s="1480"/>
      <c r="U774" s="1480"/>
      <c r="V774" s="1480"/>
      <c r="W774" s="1480"/>
      <c r="X774" s="1480"/>
      <c r="Y774" s="1419">
        <f t="shared" si="127"/>
        <v>4</v>
      </c>
      <c r="Z774" s="1425">
        <f t="shared" si="127"/>
        <v>61568.9</v>
      </c>
      <c r="AA774" s="1419">
        <f t="shared" si="128"/>
        <v>36</v>
      </c>
      <c r="AB774" s="1461">
        <f t="shared" si="128"/>
        <v>233749.3</v>
      </c>
      <c r="AC774" s="1426">
        <f t="shared" si="129"/>
        <v>20</v>
      </c>
      <c r="AD774" s="1427">
        <f t="shared" si="129"/>
        <v>18.699943999999999</v>
      </c>
      <c r="AE774" s="1477" t="s">
        <v>2187</v>
      </c>
    </row>
    <row r="775" spans="1:31" s="1483" customFormat="1" ht="38.25">
      <c r="A775" s="1477"/>
      <c r="B775" s="1478"/>
      <c r="C775" s="1446"/>
      <c r="D775" s="1446"/>
      <c r="E775" s="1416"/>
      <c r="F775" s="1446"/>
      <c r="G775" s="1446"/>
      <c r="H775" s="1477"/>
      <c r="I775" s="732" t="s">
        <v>2239</v>
      </c>
      <c r="J775" s="1479" t="s">
        <v>2240</v>
      </c>
      <c r="K775" s="1480">
        <v>600</v>
      </c>
      <c r="L775" s="1472">
        <v>900000</v>
      </c>
      <c r="M775" s="1480">
        <v>80</v>
      </c>
      <c r="N775" s="1473">
        <v>59825</v>
      </c>
      <c r="O775" s="1481">
        <v>70</v>
      </c>
      <c r="P775" s="1450">
        <v>57997.5</v>
      </c>
      <c r="Q775" s="1480">
        <v>20</v>
      </c>
      <c r="R775" s="1482">
        <v>18492.2</v>
      </c>
      <c r="S775" s="1480"/>
      <c r="T775" s="1480"/>
      <c r="U775" s="1480"/>
      <c r="V775" s="1480"/>
      <c r="W775" s="1480"/>
      <c r="X775" s="1480"/>
      <c r="Y775" s="1419">
        <f t="shared" si="127"/>
        <v>20</v>
      </c>
      <c r="Z775" s="1425">
        <f t="shared" si="127"/>
        <v>18492.2</v>
      </c>
      <c r="AA775" s="1419">
        <f t="shared" si="128"/>
        <v>100</v>
      </c>
      <c r="AB775" s="1440">
        <f t="shared" si="128"/>
        <v>78317.2</v>
      </c>
      <c r="AC775" s="1426">
        <f t="shared" si="129"/>
        <v>16.666666666666664</v>
      </c>
      <c r="AD775" s="1426">
        <f t="shared" si="129"/>
        <v>8.7019111111111105</v>
      </c>
      <c r="AE775" s="1477" t="s">
        <v>2187</v>
      </c>
    </row>
    <row r="776" spans="1:31" s="1412" customFormat="1" ht="38.25">
      <c r="A776" s="341">
        <v>2</v>
      </c>
      <c r="B776" s="341"/>
      <c r="C776" s="368">
        <v>3</v>
      </c>
      <c r="D776" s="368" t="s">
        <v>107</v>
      </c>
      <c r="E776" s="368" t="s">
        <v>65</v>
      </c>
      <c r="F776" s="368" t="s">
        <v>66</v>
      </c>
      <c r="G776" s="368">
        <v>26</v>
      </c>
      <c r="H776" s="341"/>
      <c r="I776" s="344" t="s">
        <v>257</v>
      </c>
      <c r="J776" s="1471" t="s">
        <v>2241</v>
      </c>
      <c r="K776" s="1409">
        <f t="shared" ref="K776:R776" si="130">SUM(K777:K778)</f>
        <v>70</v>
      </c>
      <c r="L776" s="1407">
        <f t="shared" si="130"/>
        <v>1323000</v>
      </c>
      <c r="M776" s="1409">
        <f t="shared" si="130"/>
        <v>9</v>
      </c>
      <c r="N776" s="1411">
        <f t="shared" si="130"/>
        <v>208733.18</v>
      </c>
      <c r="O776" s="1408">
        <f t="shared" si="130"/>
        <v>9</v>
      </c>
      <c r="P776" s="1407">
        <f t="shared" si="130"/>
        <v>90812</v>
      </c>
      <c r="Q776" s="1409">
        <f t="shared" si="130"/>
        <v>3</v>
      </c>
      <c r="R776" s="1410">
        <f t="shared" si="130"/>
        <v>8952.5</v>
      </c>
      <c r="S776" s="1409"/>
      <c r="T776" s="1409"/>
      <c r="U776" s="1409"/>
      <c r="V776" s="1409"/>
      <c r="W776" s="1409"/>
      <c r="X776" s="1409"/>
      <c r="Y776" s="1490">
        <f t="shared" si="127"/>
        <v>3</v>
      </c>
      <c r="Z776" s="1491">
        <f t="shared" si="127"/>
        <v>8952.5</v>
      </c>
      <c r="AA776" s="1490">
        <f t="shared" si="128"/>
        <v>12</v>
      </c>
      <c r="AB776" s="1407">
        <f t="shared" si="128"/>
        <v>217685.68</v>
      </c>
      <c r="AC776" s="1475">
        <f t="shared" si="129"/>
        <v>17.142857142857142</v>
      </c>
      <c r="AD776" s="1475">
        <f t="shared" si="129"/>
        <v>16.453944066515493</v>
      </c>
      <c r="AE776" s="341" t="s">
        <v>2187</v>
      </c>
    </row>
    <row r="777" spans="1:31" s="1483" customFormat="1" ht="38.25">
      <c r="A777" s="1477"/>
      <c r="B777" s="1478"/>
      <c r="C777" s="1446"/>
      <c r="D777" s="1446"/>
      <c r="E777" s="1416"/>
      <c r="F777" s="1446"/>
      <c r="G777" s="1446"/>
      <c r="H777" s="1477"/>
      <c r="I777" s="732" t="s">
        <v>258</v>
      </c>
      <c r="J777" s="1479" t="s">
        <v>2242</v>
      </c>
      <c r="K777" s="1480">
        <v>10</v>
      </c>
      <c r="L777" s="1472">
        <v>500000</v>
      </c>
      <c r="M777" s="1480">
        <v>2</v>
      </c>
      <c r="N777" s="1473">
        <v>83075.95</v>
      </c>
      <c r="O777" s="1481">
        <v>2</v>
      </c>
      <c r="P777" s="1450">
        <v>25235</v>
      </c>
      <c r="Q777" s="1480">
        <v>0</v>
      </c>
      <c r="R777" s="1482">
        <v>0</v>
      </c>
      <c r="S777" s="1480"/>
      <c r="T777" s="1480"/>
      <c r="U777" s="1480"/>
      <c r="V777" s="1480"/>
      <c r="W777" s="1480"/>
      <c r="X777" s="1480"/>
      <c r="Y777" s="1419">
        <f t="shared" si="127"/>
        <v>0</v>
      </c>
      <c r="Z777" s="1425">
        <f t="shared" si="127"/>
        <v>0</v>
      </c>
      <c r="AA777" s="1419">
        <f t="shared" si="128"/>
        <v>2</v>
      </c>
      <c r="AB777" s="1440">
        <f t="shared" si="128"/>
        <v>83075.95</v>
      </c>
      <c r="AC777" s="1426">
        <f t="shared" si="129"/>
        <v>20</v>
      </c>
      <c r="AD777" s="1427">
        <f t="shared" si="129"/>
        <v>16.615189999999998</v>
      </c>
      <c r="AE777" s="1477" t="s">
        <v>2187</v>
      </c>
    </row>
    <row r="778" spans="1:31" s="1483" customFormat="1" ht="38.25">
      <c r="A778" s="1477"/>
      <c r="B778" s="1484"/>
      <c r="C778" s="1446"/>
      <c r="D778" s="1446"/>
      <c r="E778" s="1416"/>
      <c r="F778" s="1446"/>
      <c r="G778" s="1446"/>
      <c r="H778" s="1477"/>
      <c r="I778" s="732" t="s">
        <v>224</v>
      </c>
      <c r="J778" s="1479" t="s">
        <v>2243</v>
      </c>
      <c r="K778" s="1480">
        <v>60</v>
      </c>
      <c r="L778" s="1472">
        <v>823000</v>
      </c>
      <c r="M778" s="1480">
        <v>7</v>
      </c>
      <c r="N778" s="1473">
        <v>125657.23</v>
      </c>
      <c r="O778" s="1481">
        <v>7</v>
      </c>
      <c r="P778" s="1450">
        <v>65577</v>
      </c>
      <c r="Q778" s="1480">
        <v>3</v>
      </c>
      <c r="R778" s="1482">
        <v>8952.5</v>
      </c>
      <c r="S778" s="1480"/>
      <c r="T778" s="1480"/>
      <c r="U778" s="1480"/>
      <c r="V778" s="1480"/>
      <c r="W778" s="1480"/>
      <c r="X778" s="1480"/>
      <c r="Y778" s="1419">
        <f t="shared" si="127"/>
        <v>3</v>
      </c>
      <c r="Z778" s="1425">
        <f t="shared" si="127"/>
        <v>8952.5</v>
      </c>
      <c r="AA778" s="1419">
        <f t="shared" si="128"/>
        <v>10</v>
      </c>
      <c r="AB778" s="1461">
        <f t="shared" si="128"/>
        <v>134609.72999999998</v>
      </c>
      <c r="AC778" s="1426">
        <f t="shared" si="129"/>
        <v>16.666666666666664</v>
      </c>
      <c r="AD778" s="1427">
        <f t="shared" si="129"/>
        <v>16.35598177399757</v>
      </c>
      <c r="AE778" s="1477" t="s">
        <v>2187</v>
      </c>
    </row>
    <row r="779" spans="1:31" s="1412" customFormat="1" ht="51">
      <c r="A779" s="341">
        <v>2</v>
      </c>
      <c r="B779" s="341"/>
      <c r="C779" s="368">
        <v>3</v>
      </c>
      <c r="D779" s="368" t="s">
        <v>107</v>
      </c>
      <c r="E779" s="368" t="s">
        <v>65</v>
      </c>
      <c r="F779" s="368" t="s">
        <v>66</v>
      </c>
      <c r="G779" s="368">
        <v>26</v>
      </c>
      <c r="H779" s="341"/>
      <c r="I779" s="344" t="s">
        <v>73</v>
      </c>
      <c r="J779" s="1471" t="s">
        <v>2244</v>
      </c>
      <c r="K779" s="1409">
        <f>K780</f>
        <v>48</v>
      </c>
      <c r="L779" s="1407">
        <f>L780</f>
        <v>220000</v>
      </c>
      <c r="M779" s="1407">
        <v>0</v>
      </c>
      <c r="N779" s="1411">
        <f>N780</f>
        <v>0</v>
      </c>
      <c r="O779" s="1408">
        <v>10</v>
      </c>
      <c r="P779" s="1492">
        <f>SUM(P780)</f>
        <v>66091.7</v>
      </c>
      <c r="Q779" s="1409">
        <f>Q780</f>
        <v>5</v>
      </c>
      <c r="R779" s="1410">
        <f>R780</f>
        <v>5960</v>
      </c>
      <c r="S779" s="1409"/>
      <c r="T779" s="1409"/>
      <c r="U779" s="1409"/>
      <c r="V779" s="1409"/>
      <c r="W779" s="1409"/>
      <c r="X779" s="1409"/>
      <c r="Y779" s="1490">
        <f t="shared" si="127"/>
        <v>5</v>
      </c>
      <c r="Z779" s="1491">
        <f t="shared" si="127"/>
        <v>5960</v>
      </c>
      <c r="AA779" s="1490">
        <f t="shared" si="128"/>
        <v>5</v>
      </c>
      <c r="AB779" s="1407">
        <f t="shared" si="128"/>
        <v>5960</v>
      </c>
      <c r="AC779" s="1475">
        <f>(AA779/K779)*100</f>
        <v>10.416666666666668</v>
      </c>
      <c r="AD779" s="1476">
        <f t="shared" si="129"/>
        <v>2.7090909090909094</v>
      </c>
      <c r="AE779" s="341" t="s">
        <v>2187</v>
      </c>
    </row>
    <row r="780" spans="1:31" s="1483" customFormat="1" ht="51">
      <c r="A780" s="1477"/>
      <c r="B780" s="1478"/>
      <c r="C780" s="1446"/>
      <c r="D780" s="1446"/>
      <c r="E780" s="1416"/>
      <c r="F780" s="1446"/>
      <c r="G780" s="1446"/>
      <c r="H780" s="1477"/>
      <c r="I780" s="732" t="s">
        <v>2245</v>
      </c>
      <c r="J780" s="1479" t="s">
        <v>2246</v>
      </c>
      <c r="K780" s="1480">
        <v>48</v>
      </c>
      <c r="L780" s="1472">
        <v>220000</v>
      </c>
      <c r="M780" s="1472">
        <v>0</v>
      </c>
      <c r="N780" s="1473">
        <v>0</v>
      </c>
      <c r="O780" s="1481">
        <v>10</v>
      </c>
      <c r="P780" s="1450">
        <v>66091.7</v>
      </c>
      <c r="Q780" s="1480">
        <v>5</v>
      </c>
      <c r="R780" s="1482">
        <v>5960</v>
      </c>
      <c r="S780" s="1480"/>
      <c r="T780" s="1480"/>
      <c r="U780" s="1480"/>
      <c r="V780" s="1480"/>
      <c r="W780" s="1480"/>
      <c r="X780" s="1480"/>
      <c r="Y780" s="1419">
        <f t="shared" si="127"/>
        <v>5</v>
      </c>
      <c r="Z780" s="1425">
        <f t="shared" si="127"/>
        <v>5960</v>
      </c>
      <c r="AA780" s="1419">
        <f t="shared" si="128"/>
        <v>5</v>
      </c>
      <c r="AB780" s="1440">
        <f t="shared" si="128"/>
        <v>5960</v>
      </c>
      <c r="AC780" s="1426">
        <f t="shared" si="129"/>
        <v>10.416666666666668</v>
      </c>
      <c r="AD780" s="1427">
        <f t="shared" si="129"/>
        <v>2.7090909090909094</v>
      </c>
      <c r="AE780" s="1477" t="s">
        <v>2187</v>
      </c>
    </row>
    <row r="781" spans="1:31" s="1495" customFormat="1" ht="15">
      <c r="A781" s="4311" t="s">
        <v>89</v>
      </c>
      <c r="B781" s="4311"/>
      <c r="C781" s="4312"/>
      <c r="D781" s="4312"/>
      <c r="E781" s="4312"/>
      <c r="F781" s="4312"/>
      <c r="G781" s="4312"/>
      <c r="H781" s="4312"/>
      <c r="I781" s="4312"/>
      <c r="J781" s="4312"/>
      <c r="K781" s="4312"/>
      <c r="L781" s="4312"/>
      <c r="M781" s="4312"/>
      <c r="N781" s="4312"/>
      <c r="O781" s="4312"/>
      <c r="P781" s="4312"/>
      <c r="Q781" s="4312"/>
      <c r="R781" s="4312"/>
      <c r="S781" s="4312"/>
      <c r="T781" s="4312"/>
      <c r="U781" s="4312"/>
      <c r="V781" s="4312"/>
      <c r="W781" s="4312"/>
      <c r="X781" s="4312"/>
      <c r="Y781" s="4312"/>
      <c r="Z781" s="4312"/>
      <c r="AA781" s="4312"/>
      <c r="AB781" s="4312"/>
      <c r="AC781" s="1493">
        <f>AVERAGE(AC742:AC762,AC764:AC774,AC777:AC778,AC780)</f>
        <v>34.435549931773259</v>
      </c>
      <c r="AD781" s="1493">
        <f>AVERAGE(AD742:AD762,AD764:AD774,AD777:AD778,AD780)</f>
        <v>17.838940104428836</v>
      </c>
      <c r="AE781" s="1494"/>
    </row>
    <row r="782" spans="1:31" s="1495" customFormat="1" ht="15">
      <c r="A782" s="4311" t="s">
        <v>90</v>
      </c>
      <c r="B782" s="4311"/>
      <c r="C782" s="4312"/>
      <c r="D782" s="4312"/>
      <c r="E782" s="4312"/>
      <c r="F782" s="4312"/>
      <c r="G782" s="4312"/>
      <c r="H782" s="4312"/>
      <c r="I782" s="4312"/>
      <c r="J782" s="4312"/>
      <c r="K782" s="4312"/>
      <c r="L782" s="4312"/>
      <c r="M782" s="4312"/>
      <c r="N782" s="4312"/>
      <c r="O782" s="4312"/>
      <c r="P782" s="4312"/>
      <c r="Q782" s="4312"/>
      <c r="R782" s="4312"/>
      <c r="S782" s="4312"/>
      <c r="T782" s="4312"/>
      <c r="U782" s="4312"/>
      <c r="V782" s="4312"/>
      <c r="W782" s="4312"/>
      <c r="X782" s="4312"/>
      <c r="Y782" s="4312"/>
      <c r="Z782" s="4312"/>
      <c r="AA782" s="4312"/>
      <c r="AB782" s="4312"/>
      <c r="AC782" s="1496" t="str">
        <f>IF(AC781&gt;="45","ST",IF(AC781&gt;=38,"T",IF(AC781&gt;=32,"S",ID(AC781&gt;=25,"R","SR"))))</f>
        <v>S</v>
      </c>
      <c r="AD782" s="1497" t="str">
        <f>IF(AD781&gt;=45,"ST",IF(AD781&gt;=38,"T",IF(AD781&gt;=32,"S",IF(AD781&gt;=25,"R","SR"))))</f>
        <v>SR</v>
      </c>
      <c r="AE782" s="1494"/>
    </row>
    <row r="783" spans="1:31" s="1495" customFormat="1" ht="16.5">
      <c r="A783" s="4425" t="s">
        <v>100</v>
      </c>
      <c r="B783" s="4425"/>
      <c r="C783" s="4425"/>
      <c r="D783" s="4425"/>
      <c r="E783" s="4425"/>
      <c r="F783" s="4425"/>
      <c r="G783" s="4425"/>
      <c r="H783" s="4425"/>
      <c r="I783" s="4425"/>
      <c r="J783" s="4425"/>
      <c r="K783" s="4425"/>
      <c r="L783" s="4425"/>
      <c r="M783" s="4425"/>
      <c r="N783" s="4425"/>
      <c r="O783" s="4425"/>
      <c r="P783" s="1498">
        <f>P741+P763+P776+P779</f>
        <v>7422219.46</v>
      </c>
      <c r="Q783" s="4426"/>
      <c r="R783" s="4426"/>
      <c r="S783" s="4426"/>
      <c r="T783" s="4426"/>
      <c r="U783" s="4426"/>
      <c r="V783" s="4426"/>
      <c r="W783" s="4426"/>
      <c r="X783" s="4426"/>
      <c r="Y783" s="4426"/>
      <c r="Z783" s="4426"/>
      <c r="AA783" s="4426"/>
      <c r="AB783" s="1499">
        <f>AB741+AB763+AB776+AB779</f>
        <v>4382888.29</v>
      </c>
      <c r="AC783" s="1500"/>
      <c r="AD783" s="1500"/>
      <c r="AE783" s="1919"/>
    </row>
    <row r="784" spans="1:31" s="1495" customFormat="1" ht="15">
      <c r="A784" s="4425" t="s">
        <v>101</v>
      </c>
      <c r="B784" s="4425"/>
      <c r="C784" s="4425"/>
      <c r="D784" s="4425"/>
      <c r="E784" s="4425"/>
      <c r="F784" s="4425"/>
      <c r="G784" s="4425"/>
      <c r="H784" s="4425"/>
      <c r="I784" s="4425"/>
      <c r="J784" s="4425"/>
      <c r="K784" s="4425"/>
      <c r="L784" s="4425"/>
      <c r="M784" s="4425"/>
      <c r="N784" s="4425"/>
      <c r="O784" s="4425"/>
      <c r="P784" s="4425"/>
      <c r="Q784" s="4425"/>
      <c r="R784" s="4425"/>
      <c r="S784" s="4425"/>
      <c r="T784" s="4425"/>
      <c r="U784" s="4425"/>
      <c r="V784" s="4425"/>
      <c r="W784" s="4425"/>
      <c r="X784" s="4425"/>
      <c r="Y784" s="4425"/>
      <c r="Z784" s="4425"/>
      <c r="AA784" s="4425"/>
      <c r="AB784" s="4425"/>
      <c r="AC784" s="1501">
        <f>AVERAGE(AC741,AC776,AC763,AC779)</f>
        <v>37.131926283389049</v>
      </c>
      <c r="AD784" s="1501">
        <f>AVERAGE(AD741,AD776,AD763,AD779)</f>
        <v>13.068916951919499</v>
      </c>
      <c r="AE784" s="1919"/>
    </row>
    <row r="785" spans="1:31" s="1495" customFormat="1" ht="15">
      <c r="A785" s="4425" t="s">
        <v>102</v>
      </c>
      <c r="B785" s="4425"/>
      <c r="C785" s="4425"/>
      <c r="D785" s="4425"/>
      <c r="E785" s="4425"/>
      <c r="F785" s="4425"/>
      <c r="G785" s="4425"/>
      <c r="H785" s="4425"/>
      <c r="I785" s="4425"/>
      <c r="J785" s="4425"/>
      <c r="K785" s="4425"/>
      <c r="L785" s="4425"/>
      <c r="M785" s="4425"/>
      <c r="N785" s="4425"/>
      <c r="O785" s="4425"/>
      <c r="P785" s="4425"/>
      <c r="Q785" s="4425"/>
      <c r="R785" s="4425"/>
      <c r="S785" s="4425"/>
      <c r="T785" s="4425"/>
      <c r="U785" s="4425"/>
      <c r="V785" s="4425"/>
      <c r="W785" s="4425"/>
      <c r="X785" s="4425"/>
      <c r="Y785" s="4425"/>
      <c r="Z785" s="4425"/>
      <c r="AA785" s="4425"/>
      <c r="AB785" s="4425"/>
      <c r="AC785" s="1496" t="str">
        <f>IF(AC784&gt;="45","ST",IF(AC784&gt;=38,"T",IF(AC784&gt;=32,"S",ID(AC784&gt;=25,"R","SR"))))</f>
        <v>S</v>
      </c>
      <c r="AD785" s="1497" t="str">
        <f>IF(AD784&gt;=45,"ST",IF(AD784&gt;=38,"T",IF(AD784&gt;=32,"S",IF(AD784&gt;=25,"R","SR"))))</f>
        <v>SR</v>
      </c>
      <c r="AE785" s="1919"/>
    </row>
    <row r="786" spans="1:31" s="1495" customFormat="1" ht="15">
      <c r="A786" s="1505" t="s">
        <v>53</v>
      </c>
      <c r="B786" s="1506"/>
      <c r="C786" s="1506"/>
      <c r="D786" s="1506"/>
      <c r="E786" s="1506"/>
      <c r="F786" s="1506"/>
      <c r="G786" s="1506" t="s">
        <v>2247</v>
      </c>
      <c r="H786" s="1506"/>
      <c r="I786" s="1506"/>
      <c r="J786" s="1506"/>
      <c r="K786" s="1506"/>
      <c r="L786" s="1506"/>
      <c r="M786" s="1506"/>
      <c r="N786" s="1506"/>
      <c r="O786" s="1507"/>
      <c r="P786" s="1506"/>
      <c r="Q786" s="1506"/>
      <c r="R786" s="1506"/>
      <c r="S786" s="1506"/>
      <c r="T786" s="1506"/>
      <c r="U786" s="1506"/>
      <c r="V786" s="1506"/>
      <c r="W786" s="1506"/>
      <c r="X786" s="1506"/>
      <c r="Y786" s="1506"/>
      <c r="Z786" s="1506"/>
      <c r="AA786" s="1506"/>
      <c r="AB786" s="1506"/>
      <c r="AC786" s="1506"/>
      <c r="AD786" s="1506"/>
      <c r="AE786" s="1508"/>
    </row>
    <row r="787" spans="1:31" s="1495" customFormat="1" ht="15">
      <c r="A787" s="1509" t="s">
        <v>52</v>
      </c>
      <c r="B787" s="1510"/>
      <c r="C787" s="1510"/>
      <c r="D787" s="1510"/>
      <c r="E787" s="1510"/>
      <c r="F787" s="1510"/>
      <c r="G787" s="1510" t="s">
        <v>2248</v>
      </c>
      <c r="H787" s="1510"/>
      <c r="I787" s="1510"/>
      <c r="J787" s="1510"/>
      <c r="K787" s="1510"/>
      <c r="L787" s="1510"/>
      <c r="M787" s="1510"/>
      <c r="N787" s="1510"/>
      <c r="O787" s="1511"/>
      <c r="P787" s="1510"/>
      <c r="Q787" s="1510"/>
      <c r="R787" s="1510"/>
      <c r="S787" s="1510"/>
      <c r="T787" s="1510"/>
      <c r="U787" s="1510"/>
      <c r="V787" s="1510"/>
      <c r="W787" s="1510"/>
      <c r="X787" s="1510"/>
      <c r="Y787" s="1510"/>
      <c r="Z787" s="1510"/>
      <c r="AA787" s="1510"/>
      <c r="AB787" s="1510"/>
      <c r="AC787" s="1510"/>
      <c r="AD787" s="1510"/>
      <c r="AE787" s="1512"/>
    </row>
    <row r="788" spans="1:31" s="1495" customFormat="1" ht="15">
      <c r="A788" s="1502" t="s">
        <v>2249</v>
      </c>
      <c r="B788" s="1405"/>
      <c r="C788" s="1405"/>
      <c r="D788" s="1405"/>
      <c r="E788" s="1405"/>
      <c r="F788" s="1405"/>
      <c r="G788" s="1405"/>
      <c r="H788" s="1405"/>
      <c r="I788" s="1405"/>
      <c r="J788" s="1405"/>
      <c r="K788" s="1405"/>
      <c r="L788" s="1405"/>
      <c r="M788" s="1405"/>
      <c r="N788" s="1405"/>
      <c r="O788" s="1503"/>
      <c r="P788" s="1405"/>
      <c r="Q788" s="1405"/>
      <c r="R788" s="1405"/>
      <c r="S788" s="1405"/>
      <c r="T788" s="1405"/>
      <c r="U788" s="1405"/>
      <c r="V788" s="1405"/>
      <c r="W788" s="1405"/>
      <c r="X788" s="1405"/>
      <c r="Y788" s="1405"/>
      <c r="Z788" s="1405"/>
      <c r="AA788" s="1405"/>
      <c r="AB788" s="1405"/>
      <c r="AC788" s="1405"/>
      <c r="AD788" s="1405"/>
      <c r="AE788" s="1504"/>
    </row>
    <row r="789" spans="1:31" s="1495" customFormat="1" ht="15">
      <c r="A789" s="1502" t="s">
        <v>55</v>
      </c>
      <c r="B789" s="1405"/>
      <c r="C789" s="1405"/>
      <c r="D789" s="1405"/>
      <c r="E789" s="1405"/>
      <c r="F789" s="1405"/>
      <c r="G789" s="1405"/>
      <c r="H789" s="1405"/>
      <c r="I789" s="1405"/>
      <c r="J789" s="1405"/>
      <c r="K789" s="1405"/>
      <c r="L789" s="1405"/>
      <c r="M789" s="1405"/>
      <c r="N789" s="1405"/>
      <c r="O789" s="1503"/>
      <c r="P789" s="1405"/>
      <c r="Q789" s="1405"/>
      <c r="R789" s="1405"/>
      <c r="S789" s="1405"/>
      <c r="T789" s="1405"/>
      <c r="U789" s="1405"/>
      <c r="V789" s="1405"/>
      <c r="W789" s="1405"/>
      <c r="X789" s="1405"/>
      <c r="Y789" s="1405"/>
      <c r="Z789" s="1405"/>
      <c r="AA789" s="1405"/>
      <c r="AB789" s="1405"/>
      <c r="AC789" s="1405"/>
      <c r="AD789" s="1405"/>
      <c r="AE789" s="1504"/>
    </row>
    <row r="790" spans="1:31" ht="22.5" customHeight="1">
      <c r="A790" s="56"/>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382"/>
      <c r="Z790" s="56"/>
      <c r="AA790" s="56"/>
      <c r="AB790" s="56"/>
      <c r="AC790" s="56"/>
      <c r="AD790" s="56"/>
      <c r="AE790" s="56"/>
    </row>
    <row r="791" spans="1:31" s="69" customFormat="1" ht="53.25" customHeight="1">
      <c r="A791" s="67">
        <v>13</v>
      </c>
      <c r="B791" s="67"/>
      <c r="C791" s="67"/>
      <c r="D791" s="67"/>
      <c r="E791" s="67"/>
      <c r="F791" s="67"/>
      <c r="G791" s="67"/>
      <c r="H791" s="67"/>
      <c r="I791" s="68" t="s">
        <v>140</v>
      </c>
      <c r="J791" s="67"/>
      <c r="K791" s="67"/>
      <c r="L791" s="67"/>
      <c r="M791" s="67"/>
      <c r="N791" s="67"/>
      <c r="O791" s="67"/>
      <c r="P791" s="67"/>
      <c r="Q791" s="67"/>
      <c r="R791" s="67"/>
      <c r="S791" s="67"/>
      <c r="T791" s="67"/>
      <c r="U791" s="67"/>
      <c r="V791" s="67"/>
      <c r="W791" s="67"/>
      <c r="X791" s="67"/>
      <c r="Y791" s="366"/>
      <c r="Z791" s="67"/>
      <c r="AA791" s="67"/>
      <c r="AB791" s="67"/>
      <c r="AC791" s="67"/>
      <c r="AD791" s="67"/>
      <c r="AE791" s="67"/>
    </row>
    <row r="792" spans="1:31" s="145" customFormat="1" ht="51">
      <c r="A792" s="495">
        <v>1</v>
      </c>
      <c r="B792" s="495"/>
      <c r="C792" s="623">
        <v>1</v>
      </c>
      <c r="D792" s="623" t="s">
        <v>65</v>
      </c>
      <c r="E792" s="623" t="s">
        <v>198</v>
      </c>
      <c r="F792" s="623" t="s">
        <v>66</v>
      </c>
      <c r="G792" s="623" t="s">
        <v>66</v>
      </c>
      <c r="H792" s="495"/>
      <c r="I792" s="383" t="s">
        <v>221</v>
      </c>
      <c r="J792" s="383" t="s">
        <v>693</v>
      </c>
      <c r="K792" s="633">
        <f>SUM(K793+K794+K795+K796+K797+K798+K799+K800+K794+K801+K802+K803+K804+K805+K806+K807+K809+K811)</f>
        <v>1440</v>
      </c>
      <c r="L792" s="624">
        <f>SUM(L793:L800)</f>
        <v>3163267560</v>
      </c>
      <c r="M792" s="633">
        <f>SUM(M793+M794+M795+M796+M797+M798+M799+M800+M794+M801+M802+M803+M804+M805+M806+M807+M809+M811)</f>
        <v>475</v>
      </c>
      <c r="N792" s="624">
        <f>SUM(N793:N800)</f>
        <v>1038562276</v>
      </c>
      <c r="O792" s="633">
        <f>SUM(O793+O794+O795+O796+O797+O798+O799+O800+O794+O801+O802+O803+O804+O805+O806+O807+O809+O811)</f>
        <v>182</v>
      </c>
      <c r="P792" s="624">
        <f>SUM(P793+P794+P796+P797+P798+P801+P802+P803+P804+P806+P807+P809+P811)</f>
        <v>865423668</v>
      </c>
      <c r="Q792" s="633">
        <f>SUM(Q793+Q794+Q795+Q796+Q797+Q798+Q799+Q800+Q794+Q801+Q802+Q803+Q804+Q805+Q806+Q807+Q809+Q811)</f>
        <v>38</v>
      </c>
      <c r="R792" s="625">
        <f>SUM(R793:R800)</f>
        <v>150657052</v>
      </c>
      <c r="S792" s="616"/>
      <c r="T792" s="616"/>
      <c r="U792" s="616"/>
      <c r="V792" s="616"/>
      <c r="W792" s="616"/>
      <c r="X792" s="616"/>
      <c r="Y792" s="616">
        <f>Q792+S792+U792+W792</f>
        <v>38</v>
      </c>
      <c r="Z792" s="625">
        <f>SUM(Z793:Z800)</f>
        <v>150657052</v>
      </c>
      <c r="AA792" s="616">
        <f>M792+Y792</f>
        <v>513</v>
      </c>
      <c r="AB792" s="624">
        <f>SUM(AB793:AB800)</f>
        <v>1189219328</v>
      </c>
      <c r="AC792" s="493">
        <f t="shared" ref="AC792:AD794" si="131">(AA792/K792)*100</f>
        <v>35.625</v>
      </c>
      <c r="AD792" s="493">
        <f t="shared" si="131"/>
        <v>37.594648743528985</v>
      </c>
      <c r="AE792" s="616" t="s">
        <v>694</v>
      </c>
    </row>
    <row r="793" spans="1:31" s="63" customFormat="1" ht="51">
      <c r="A793" s="59"/>
      <c r="B793" s="634" t="s">
        <v>695</v>
      </c>
      <c r="C793" s="1905">
        <v>1</v>
      </c>
      <c r="D793" s="1905" t="s">
        <v>65</v>
      </c>
      <c r="E793" s="1905" t="s">
        <v>198</v>
      </c>
      <c r="F793" s="1905" t="s">
        <v>66</v>
      </c>
      <c r="G793" s="1905" t="s">
        <v>66</v>
      </c>
      <c r="H793" s="1900" t="s">
        <v>65</v>
      </c>
      <c r="I793" s="58" t="s">
        <v>696</v>
      </c>
      <c r="J793" s="58" t="s">
        <v>697</v>
      </c>
      <c r="K793" s="59">
        <f>12*6</f>
        <v>72</v>
      </c>
      <c r="L793" s="60">
        <v>213000000</v>
      </c>
      <c r="M793" s="443">
        <f>12*2</f>
        <v>24</v>
      </c>
      <c r="N793" s="635">
        <v>69698004</v>
      </c>
      <c r="O793" s="59">
        <v>12</v>
      </c>
      <c r="P793" s="60">
        <v>38280000</v>
      </c>
      <c r="Q793" s="443">
        <v>3</v>
      </c>
      <c r="R793" s="59">
        <v>8522202</v>
      </c>
      <c r="S793" s="59"/>
      <c r="T793" s="59"/>
      <c r="U793" s="59"/>
      <c r="V793" s="59"/>
      <c r="W793" s="59"/>
      <c r="X793" s="59"/>
      <c r="Y793" s="59">
        <f>Q793+S793+U793+W793</f>
        <v>3</v>
      </c>
      <c r="Z793" s="60">
        <f>R793+T793+V793+X793</f>
        <v>8522202</v>
      </c>
      <c r="AA793" s="59">
        <f>M793+Y793</f>
        <v>27</v>
      </c>
      <c r="AB793" s="60">
        <f>N793+Z793</f>
        <v>78220206</v>
      </c>
      <c r="AC793" s="1909">
        <f t="shared" si="131"/>
        <v>37.5</v>
      </c>
      <c r="AD793" s="62">
        <f t="shared" si="131"/>
        <v>36.723101408450702</v>
      </c>
      <c r="AE793" s="385" t="s">
        <v>694</v>
      </c>
    </row>
    <row r="794" spans="1:31" s="63" customFormat="1" ht="48" customHeight="1">
      <c r="A794" s="4296"/>
      <c r="B794" s="4435"/>
      <c r="C794" s="4246">
        <v>1</v>
      </c>
      <c r="D794" s="4246" t="s">
        <v>65</v>
      </c>
      <c r="E794" s="4246" t="s">
        <v>198</v>
      </c>
      <c r="F794" s="4246" t="s">
        <v>66</v>
      </c>
      <c r="G794" s="4246" t="s">
        <v>66</v>
      </c>
      <c r="H794" s="4246" t="s">
        <v>197</v>
      </c>
      <c r="I794" s="4248" t="s">
        <v>698</v>
      </c>
      <c r="J794" s="58" t="s">
        <v>699</v>
      </c>
      <c r="K794" s="59">
        <f>6*6</f>
        <v>36</v>
      </c>
      <c r="L794" s="4431">
        <v>1784588860</v>
      </c>
      <c r="M794" s="443">
        <f>6*2</f>
        <v>12</v>
      </c>
      <c r="N794" s="4431">
        <v>664811922</v>
      </c>
      <c r="O794" s="59">
        <v>12</v>
      </c>
      <c r="P794" s="4431">
        <v>265419210</v>
      </c>
      <c r="Q794" s="443">
        <v>2</v>
      </c>
      <c r="R794" s="4431">
        <v>110784850</v>
      </c>
      <c r="S794" s="59"/>
      <c r="T794" s="4296"/>
      <c r="U794" s="59"/>
      <c r="V794" s="4296"/>
      <c r="W794" s="59"/>
      <c r="X794" s="4296"/>
      <c r="Y794" s="59">
        <f>Q794+S794+U794+W794</f>
        <v>2</v>
      </c>
      <c r="Z794" s="4431">
        <f>R794+T794+V794+X794</f>
        <v>110784850</v>
      </c>
      <c r="AA794" s="59">
        <f>M794+Y794</f>
        <v>14</v>
      </c>
      <c r="AB794" s="4431">
        <f>N794+Z794</f>
        <v>775596772</v>
      </c>
      <c r="AC794" s="1909">
        <f t="shared" si="131"/>
        <v>38.888888888888893</v>
      </c>
      <c r="AD794" s="4433">
        <f t="shared" si="131"/>
        <v>43.460809903296152</v>
      </c>
      <c r="AE794" s="4296" t="s">
        <v>694</v>
      </c>
    </row>
    <row r="795" spans="1:31" s="63" customFormat="1" ht="25.5">
      <c r="A795" s="4297"/>
      <c r="B795" s="4436"/>
      <c r="C795" s="4247"/>
      <c r="D795" s="4247"/>
      <c r="E795" s="4247"/>
      <c r="F795" s="4247"/>
      <c r="G795" s="4247"/>
      <c r="H795" s="4247"/>
      <c r="I795" s="4249"/>
      <c r="J795" s="58" t="s">
        <v>700</v>
      </c>
      <c r="K795" s="59">
        <f>70*6</f>
        <v>420</v>
      </c>
      <c r="L795" s="4432"/>
      <c r="M795" s="443">
        <f>70*2</f>
        <v>140</v>
      </c>
      <c r="N795" s="4432"/>
      <c r="O795" s="59"/>
      <c r="P795" s="4432"/>
      <c r="Q795" s="443">
        <v>0</v>
      </c>
      <c r="R795" s="4432"/>
      <c r="S795" s="59"/>
      <c r="T795" s="4297"/>
      <c r="U795" s="59"/>
      <c r="V795" s="4297"/>
      <c r="W795" s="59"/>
      <c r="X795" s="4297"/>
      <c r="Y795" s="59"/>
      <c r="Z795" s="4432"/>
      <c r="AA795" s="59"/>
      <c r="AB795" s="4432"/>
      <c r="AC795" s="1909"/>
      <c r="AD795" s="4434"/>
      <c r="AE795" s="4297"/>
    </row>
    <row r="796" spans="1:31" s="63" customFormat="1" ht="99.75" customHeight="1">
      <c r="A796" s="59"/>
      <c r="B796" s="634"/>
      <c r="C796" s="1905">
        <v>1</v>
      </c>
      <c r="D796" s="1905" t="s">
        <v>65</v>
      </c>
      <c r="E796" s="1905" t="s">
        <v>198</v>
      </c>
      <c r="F796" s="1905" t="s">
        <v>66</v>
      </c>
      <c r="G796" s="1905" t="s">
        <v>66</v>
      </c>
      <c r="H796" s="1900" t="s">
        <v>198</v>
      </c>
      <c r="I796" s="58" t="s">
        <v>701</v>
      </c>
      <c r="J796" s="58" t="s">
        <v>702</v>
      </c>
      <c r="K796" s="59">
        <f>12*6</f>
        <v>72</v>
      </c>
      <c r="L796" s="60">
        <v>480000000</v>
      </c>
      <c r="M796" s="443">
        <f>12*2</f>
        <v>24</v>
      </c>
      <c r="N796" s="60">
        <v>105100000</v>
      </c>
      <c r="O796" s="59">
        <v>12</v>
      </c>
      <c r="P796" s="60">
        <v>101100000</v>
      </c>
      <c r="Q796" s="443">
        <v>0</v>
      </c>
      <c r="R796" s="60">
        <v>0</v>
      </c>
      <c r="S796" s="59"/>
      <c r="T796" s="59"/>
      <c r="U796" s="59"/>
      <c r="V796" s="59"/>
      <c r="W796" s="59"/>
      <c r="X796" s="59"/>
      <c r="Y796" s="59">
        <f t="shared" ref="Y796:Z811" si="132">Q796+S796+U796+W796</f>
        <v>0</v>
      </c>
      <c r="Z796" s="60">
        <f t="shared" si="132"/>
        <v>0</v>
      </c>
      <c r="AA796" s="59">
        <f t="shared" ref="AA796:AB800" si="133">M796+Y796</f>
        <v>24</v>
      </c>
      <c r="AB796" s="60">
        <f t="shared" si="133"/>
        <v>105100000</v>
      </c>
      <c r="AC796" s="1909">
        <f t="shared" ref="AC796:AD811" si="134">(AA796/K796)*100</f>
        <v>33.333333333333329</v>
      </c>
      <c r="AD796" s="62">
        <f t="shared" si="134"/>
        <v>21.895833333333332</v>
      </c>
      <c r="AE796" s="385" t="s">
        <v>694</v>
      </c>
    </row>
    <row r="797" spans="1:31" s="63" customFormat="1" ht="25.5">
      <c r="A797" s="59"/>
      <c r="B797" s="634"/>
      <c r="C797" s="1905">
        <v>1</v>
      </c>
      <c r="D797" s="1905" t="s">
        <v>65</v>
      </c>
      <c r="E797" s="1905" t="s">
        <v>198</v>
      </c>
      <c r="F797" s="1905" t="s">
        <v>66</v>
      </c>
      <c r="G797" s="1905" t="s">
        <v>66</v>
      </c>
      <c r="H797" s="1900" t="s">
        <v>93</v>
      </c>
      <c r="I797" s="58" t="s">
        <v>703</v>
      </c>
      <c r="J797" s="58" t="s">
        <v>704</v>
      </c>
      <c r="K797" s="59">
        <f>12*6</f>
        <v>72</v>
      </c>
      <c r="L797" s="60">
        <v>625678700</v>
      </c>
      <c r="M797" s="443">
        <f>12*2</f>
        <v>24</v>
      </c>
      <c r="N797" s="60">
        <v>179652350</v>
      </c>
      <c r="O797" s="59">
        <v>12</v>
      </c>
      <c r="P797" s="60">
        <v>121717400</v>
      </c>
      <c r="Q797" s="443">
        <v>3</v>
      </c>
      <c r="R797" s="60">
        <v>29250000</v>
      </c>
      <c r="S797" s="59"/>
      <c r="T797" s="59"/>
      <c r="U797" s="59"/>
      <c r="V797" s="59"/>
      <c r="W797" s="59"/>
      <c r="X797" s="59"/>
      <c r="Y797" s="59">
        <f t="shared" si="132"/>
        <v>3</v>
      </c>
      <c r="Z797" s="60">
        <f t="shared" si="132"/>
        <v>29250000</v>
      </c>
      <c r="AA797" s="59">
        <f t="shared" si="133"/>
        <v>27</v>
      </c>
      <c r="AB797" s="60">
        <f t="shared" si="133"/>
        <v>208902350</v>
      </c>
      <c r="AC797" s="1909">
        <f t="shared" si="134"/>
        <v>37.5</v>
      </c>
      <c r="AD797" s="62">
        <f t="shared" si="134"/>
        <v>33.388119173626976</v>
      </c>
      <c r="AE797" s="385" t="s">
        <v>694</v>
      </c>
    </row>
    <row r="798" spans="1:31" s="63" customFormat="1" ht="33" customHeight="1">
      <c r="A798" s="4296"/>
      <c r="B798" s="4435"/>
      <c r="C798" s="4246">
        <v>1</v>
      </c>
      <c r="D798" s="4246" t="s">
        <v>65</v>
      </c>
      <c r="E798" s="4246" t="s">
        <v>198</v>
      </c>
      <c r="F798" s="4246" t="s">
        <v>66</v>
      </c>
      <c r="G798" s="4246" t="s">
        <v>66</v>
      </c>
      <c r="H798" s="4246" t="s">
        <v>201</v>
      </c>
      <c r="I798" s="4248" t="s">
        <v>705</v>
      </c>
      <c r="J798" s="58" t="s">
        <v>706</v>
      </c>
      <c r="K798" s="59">
        <f>1*6</f>
        <v>6</v>
      </c>
      <c r="L798" s="4431">
        <v>60000000</v>
      </c>
      <c r="M798" s="443">
        <v>2</v>
      </c>
      <c r="N798" s="4431">
        <v>19300000</v>
      </c>
      <c r="O798" s="59">
        <v>1</v>
      </c>
      <c r="P798" s="4431">
        <v>9950000</v>
      </c>
      <c r="Q798" s="443">
        <v>0</v>
      </c>
      <c r="R798" s="4431">
        <v>2100000</v>
      </c>
      <c r="S798" s="59"/>
      <c r="T798" s="4296"/>
      <c r="U798" s="59"/>
      <c r="V798" s="4296"/>
      <c r="W798" s="59"/>
      <c r="X798" s="4296"/>
      <c r="Y798" s="59">
        <f t="shared" si="132"/>
        <v>0</v>
      </c>
      <c r="Z798" s="4431">
        <f>R798+T800+V800+X800</f>
        <v>2100000</v>
      </c>
      <c r="AA798" s="59">
        <f t="shared" si="133"/>
        <v>2</v>
      </c>
      <c r="AB798" s="4431">
        <f>N798+Z798</f>
        <v>21400000</v>
      </c>
      <c r="AC798" s="1909">
        <f t="shared" si="134"/>
        <v>33.333333333333329</v>
      </c>
      <c r="AD798" s="4437">
        <f>(AB798/L798)*100</f>
        <v>35.666666666666671</v>
      </c>
      <c r="AE798" s="385"/>
    </row>
    <row r="799" spans="1:31" s="63" customFormat="1">
      <c r="A799" s="4441"/>
      <c r="B799" s="4442"/>
      <c r="C799" s="4285"/>
      <c r="D799" s="4285"/>
      <c r="E799" s="4285"/>
      <c r="F799" s="4285"/>
      <c r="G799" s="4285"/>
      <c r="H799" s="4285"/>
      <c r="I799" s="4405"/>
      <c r="J799" s="58" t="s">
        <v>707</v>
      </c>
      <c r="K799" s="59">
        <f>15*6</f>
        <v>90</v>
      </c>
      <c r="L799" s="4440"/>
      <c r="M799" s="443">
        <v>30</v>
      </c>
      <c r="N799" s="4440"/>
      <c r="O799" s="59">
        <v>15</v>
      </c>
      <c r="P799" s="4440"/>
      <c r="Q799" s="443">
        <v>8</v>
      </c>
      <c r="R799" s="4440"/>
      <c r="S799" s="59"/>
      <c r="T799" s="4441"/>
      <c r="U799" s="59"/>
      <c r="V799" s="4441"/>
      <c r="W799" s="59"/>
      <c r="X799" s="4441"/>
      <c r="Y799" s="59">
        <f t="shared" si="132"/>
        <v>8</v>
      </c>
      <c r="Z799" s="4440"/>
      <c r="AA799" s="59">
        <f t="shared" si="133"/>
        <v>38</v>
      </c>
      <c r="AB799" s="4440"/>
      <c r="AC799" s="1909">
        <f t="shared" si="134"/>
        <v>42.222222222222221</v>
      </c>
      <c r="AD799" s="4438"/>
      <c r="AE799" s="385"/>
    </row>
    <row r="800" spans="1:31" s="63" customFormat="1" ht="38.25">
      <c r="A800" s="4297"/>
      <c r="B800" s="4436"/>
      <c r="C800" s="4247"/>
      <c r="D800" s="4247"/>
      <c r="E800" s="4247"/>
      <c r="F800" s="4247"/>
      <c r="G800" s="4247"/>
      <c r="H800" s="4247"/>
      <c r="I800" s="4249"/>
      <c r="J800" s="58" t="s">
        <v>708</v>
      </c>
      <c r="K800" s="59">
        <f>9*6</f>
        <v>54</v>
      </c>
      <c r="L800" s="4432"/>
      <c r="M800" s="443">
        <f>9*2</f>
        <v>18</v>
      </c>
      <c r="N800" s="4432"/>
      <c r="O800" s="59">
        <v>9</v>
      </c>
      <c r="P800" s="4432"/>
      <c r="Q800" s="443">
        <v>2</v>
      </c>
      <c r="R800" s="4432"/>
      <c r="S800" s="59"/>
      <c r="T800" s="4297"/>
      <c r="U800" s="59"/>
      <c r="V800" s="4297"/>
      <c r="W800" s="59"/>
      <c r="X800" s="4297"/>
      <c r="Y800" s="59">
        <f t="shared" si="132"/>
        <v>2</v>
      </c>
      <c r="Z800" s="4432"/>
      <c r="AA800" s="59">
        <f t="shared" si="133"/>
        <v>20</v>
      </c>
      <c r="AB800" s="4432"/>
      <c r="AC800" s="1909">
        <f t="shared" si="134"/>
        <v>37.037037037037038</v>
      </c>
      <c r="AD800" s="4439"/>
      <c r="AE800" s="385" t="s">
        <v>694</v>
      </c>
    </row>
    <row r="801" spans="1:31" s="63" customFormat="1">
      <c r="A801" s="1904"/>
      <c r="B801" s="1904"/>
      <c r="C801" s="1905">
        <v>1</v>
      </c>
      <c r="D801" s="1905" t="s">
        <v>65</v>
      </c>
      <c r="E801" s="1905" t="s">
        <v>198</v>
      </c>
      <c r="F801" s="1905" t="s">
        <v>66</v>
      </c>
      <c r="G801" s="1905" t="s">
        <v>66</v>
      </c>
      <c r="H801" s="1905" t="s">
        <v>202</v>
      </c>
      <c r="I801" s="384" t="s">
        <v>709</v>
      </c>
      <c r="J801" s="384" t="s">
        <v>710</v>
      </c>
      <c r="K801" s="385">
        <f t="shared" ref="K801:K811" si="135">12*6</f>
        <v>72</v>
      </c>
      <c r="L801" s="386">
        <v>210000000</v>
      </c>
      <c r="M801" s="595">
        <f t="shared" ref="M801:M811" si="136">12*2</f>
        <v>24</v>
      </c>
      <c r="N801" s="386">
        <v>51226494</v>
      </c>
      <c r="O801" s="385">
        <v>12</v>
      </c>
      <c r="P801" s="386">
        <v>48621019</v>
      </c>
      <c r="Q801" s="595">
        <v>3</v>
      </c>
      <c r="R801" s="386">
        <v>11280075</v>
      </c>
      <c r="S801" s="385"/>
      <c r="T801" s="385"/>
      <c r="U801" s="385"/>
      <c r="V801" s="385"/>
      <c r="W801" s="385"/>
      <c r="X801" s="385"/>
      <c r="Y801" s="385">
        <f t="shared" si="132"/>
        <v>3</v>
      </c>
      <c r="Z801" s="386">
        <f t="shared" si="132"/>
        <v>11280075</v>
      </c>
      <c r="AA801" s="385">
        <f t="shared" ref="AA801:AA807" si="137">M801+Y801</f>
        <v>27</v>
      </c>
      <c r="AB801" s="386">
        <f t="shared" ref="AB801:AB811" si="138">N801+Z801</f>
        <v>62506569</v>
      </c>
      <c r="AC801" s="598">
        <f t="shared" si="134"/>
        <v>37.5</v>
      </c>
      <c r="AD801" s="389">
        <f t="shared" si="134"/>
        <v>29.76503285714286</v>
      </c>
      <c r="AE801" s="385" t="s">
        <v>694</v>
      </c>
    </row>
    <row r="802" spans="1:31" s="63" customFormat="1" ht="25.5">
      <c r="A802" s="1898"/>
      <c r="B802" s="1904"/>
      <c r="C802" s="1905">
        <v>1</v>
      </c>
      <c r="D802" s="1905" t="s">
        <v>65</v>
      </c>
      <c r="E802" s="1905" t="s">
        <v>198</v>
      </c>
      <c r="F802" s="1905" t="s">
        <v>66</v>
      </c>
      <c r="G802" s="1905" t="s">
        <v>66</v>
      </c>
      <c r="H802" s="1900" t="s">
        <v>417</v>
      </c>
      <c r="I802" s="58" t="s">
        <v>711</v>
      </c>
      <c r="J802" s="58" t="s">
        <v>712</v>
      </c>
      <c r="K802" s="59">
        <f t="shared" si="135"/>
        <v>72</v>
      </c>
      <c r="L802" s="60">
        <v>180000000</v>
      </c>
      <c r="M802" s="443">
        <f t="shared" si="136"/>
        <v>24</v>
      </c>
      <c r="N802" s="60">
        <v>56615200</v>
      </c>
      <c r="O802" s="59">
        <v>12</v>
      </c>
      <c r="P802" s="60">
        <v>41343954</v>
      </c>
      <c r="Q802" s="443">
        <v>3</v>
      </c>
      <c r="R802" s="60">
        <v>15107783</v>
      </c>
      <c r="S802" s="59"/>
      <c r="T802" s="59"/>
      <c r="U802" s="59"/>
      <c r="V802" s="59"/>
      <c r="W802" s="59"/>
      <c r="X802" s="59"/>
      <c r="Y802" s="59">
        <f t="shared" si="132"/>
        <v>3</v>
      </c>
      <c r="Z802" s="60">
        <f t="shared" si="132"/>
        <v>15107783</v>
      </c>
      <c r="AA802" s="59">
        <f t="shared" si="137"/>
        <v>27</v>
      </c>
      <c r="AB802" s="60">
        <f t="shared" si="138"/>
        <v>71722983</v>
      </c>
      <c r="AC802" s="1909">
        <f t="shared" si="134"/>
        <v>37.5</v>
      </c>
      <c r="AD802" s="62">
        <f t="shared" si="134"/>
        <v>39.846101666666669</v>
      </c>
      <c r="AE802" s="385" t="s">
        <v>694</v>
      </c>
    </row>
    <row r="803" spans="1:31" s="63" customFormat="1" ht="38.25">
      <c r="A803" s="1898"/>
      <c r="B803" s="1904"/>
      <c r="C803" s="1905">
        <v>1</v>
      </c>
      <c r="D803" s="1905" t="s">
        <v>65</v>
      </c>
      <c r="E803" s="1905" t="s">
        <v>198</v>
      </c>
      <c r="F803" s="1905" t="s">
        <v>66</v>
      </c>
      <c r="G803" s="1905" t="s">
        <v>66</v>
      </c>
      <c r="H803" s="1900" t="s">
        <v>160</v>
      </c>
      <c r="I803" s="58" t="s">
        <v>713</v>
      </c>
      <c r="J803" s="58" t="s">
        <v>714</v>
      </c>
      <c r="K803" s="59">
        <f t="shared" si="135"/>
        <v>72</v>
      </c>
      <c r="L803" s="60">
        <v>111630000</v>
      </c>
      <c r="M803" s="443">
        <f t="shared" si="136"/>
        <v>24</v>
      </c>
      <c r="N803" s="60">
        <v>21850500</v>
      </c>
      <c r="O803" s="59">
        <v>12</v>
      </c>
      <c r="P803" s="60">
        <v>8152085</v>
      </c>
      <c r="Q803" s="443">
        <v>3</v>
      </c>
      <c r="R803" s="60">
        <v>3000000</v>
      </c>
      <c r="S803" s="59"/>
      <c r="T803" s="59"/>
      <c r="U803" s="59"/>
      <c r="V803" s="59"/>
      <c r="W803" s="59"/>
      <c r="X803" s="59"/>
      <c r="Y803" s="59">
        <f t="shared" si="132"/>
        <v>3</v>
      </c>
      <c r="Z803" s="60">
        <f t="shared" si="132"/>
        <v>3000000</v>
      </c>
      <c r="AA803" s="59">
        <f t="shared" si="137"/>
        <v>27</v>
      </c>
      <c r="AB803" s="60">
        <f t="shared" si="138"/>
        <v>24850500</v>
      </c>
      <c r="AC803" s="1909">
        <f t="shared" si="134"/>
        <v>37.5</v>
      </c>
      <c r="AD803" s="62">
        <f t="shared" si="134"/>
        <v>22.261488847084117</v>
      </c>
      <c r="AE803" s="385" t="s">
        <v>694</v>
      </c>
    </row>
    <row r="804" spans="1:31" s="63" customFormat="1" ht="51" customHeight="1">
      <c r="A804" s="4296"/>
      <c r="B804" s="4296"/>
      <c r="C804" s="4246">
        <v>1</v>
      </c>
      <c r="D804" s="4246" t="s">
        <v>65</v>
      </c>
      <c r="E804" s="4246" t="s">
        <v>198</v>
      </c>
      <c r="F804" s="4246" t="s">
        <v>66</v>
      </c>
      <c r="G804" s="4246" t="s">
        <v>66</v>
      </c>
      <c r="H804" s="4246" t="s">
        <v>391</v>
      </c>
      <c r="I804" s="4248" t="s">
        <v>153</v>
      </c>
      <c r="J804" s="58" t="s">
        <v>715</v>
      </c>
      <c r="K804" s="385">
        <f>8*6</f>
        <v>48</v>
      </c>
      <c r="L804" s="4443">
        <v>300000000</v>
      </c>
      <c r="M804" s="595">
        <f>8*2</f>
        <v>16</v>
      </c>
      <c r="N804" s="4443">
        <v>95050000</v>
      </c>
      <c r="O804" s="385">
        <v>8</v>
      </c>
      <c r="P804" s="4443">
        <v>28700000</v>
      </c>
      <c r="Q804" s="595">
        <v>0</v>
      </c>
      <c r="R804" s="4431">
        <v>0</v>
      </c>
      <c r="S804" s="4296"/>
      <c r="T804" s="4296"/>
      <c r="U804" s="4296"/>
      <c r="V804" s="4296"/>
      <c r="W804" s="4296"/>
      <c r="X804" s="4296"/>
      <c r="Y804" s="439">
        <f>Q804+S805+U805+W805</f>
        <v>0</v>
      </c>
      <c r="Z804" s="4431">
        <f>R804+T805+V805+X805</f>
        <v>0</v>
      </c>
      <c r="AA804" s="439">
        <f t="shared" si="137"/>
        <v>16</v>
      </c>
      <c r="AB804" s="4431">
        <f>N804+Z804</f>
        <v>95050000</v>
      </c>
      <c r="AC804" s="4433">
        <f>(AA804/K804)*100</f>
        <v>33.333333333333329</v>
      </c>
      <c r="AD804" s="4433">
        <f>(AB804/L804)*100</f>
        <v>31.683333333333337</v>
      </c>
      <c r="AE804" s="4296" t="s">
        <v>694</v>
      </c>
    </row>
    <row r="805" spans="1:31" s="63" customFormat="1" ht="35.25" customHeight="1">
      <c r="A805" s="4297"/>
      <c r="B805" s="4297"/>
      <c r="C805" s="4247"/>
      <c r="D805" s="4247"/>
      <c r="E805" s="4247"/>
      <c r="F805" s="4247"/>
      <c r="G805" s="4247"/>
      <c r="H805" s="4247"/>
      <c r="I805" s="4249"/>
      <c r="J805" s="58" t="s">
        <v>716</v>
      </c>
      <c r="K805" s="385">
        <f>5*6</f>
        <v>30</v>
      </c>
      <c r="L805" s="4443"/>
      <c r="M805" s="595">
        <v>5</v>
      </c>
      <c r="N805" s="4443"/>
      <c r="O805" s="385">
        <v>5</v>
      </c>
      <c r="P805" s="4443"/>
      <c r="Q805" s="595">
        <v>0</v>
      </c>
      <c r="R805" s="4432"/>
      <c r="S805" s="4297"/>
      <c r="T805" s="4297"/>
      <c r="U805" s="4297"/>
      <c r="V805" s="4297"/>
      <c r="W805" s="4297"/>
      <c r="X805" s="4297"/>
      <c r="Y805" s="439">
        <f>Q805+S806+U806+W806</f>
        <v>0</v>
      </c>
      <c r="Z805" s="4432"/>
      <c r="AA805" s="439">
        <f t="shared" si="137"/>
        <v>5</v>
      </c>
      <c r="AB805" s="4432"/>
      <c r="AC805" s="4434"/>
      <c r="AD805" s="4434"/>
      <c r="AE805" s="4297"/>
    </row>
    <row r="806" spans="1:31" s="63" customFormat="1" ht="75" customHeight="1">
      <c r="A806" s="1898"/>
      <c r="B806" s="1904"/>
      <c r="C806" s="1905">
        <v>1</v>
      </c>
      <c r="D806" s="1905" t="s">
        <v>65</v>
      </c>
      <c r="E806" s="1905" t="s">
        <v>198</v>
      </c>
      <c r="F806" s="1905" t="s">
        <v>66</v>
      </c>
      <c r="G806" s="1905" t="s">
        <v>66</v>
      </c>
      <c r="H806" s="1900" t="s">
        <v>155</v>
      </c>
      <c r="I806" s="58" t="s">
        <v>717</v>
      </c>
      <c r="J806" s="58" t="s">
        <v>718</v>
      </c>
      <c r="K806" s="59">
        <f t="shared" si="135"/>
        <v>72</v>
      </c>
      <c r="L806" s="60">
        <v>18000000</v>
      </c>
      <c r="M806" s="443">
        <f t="shared" si="136"/>
        <v>24</v>
      </c>
      <c r="N806" s="60">
        <v>5360000</v>
      </c>
      <c r="O806" s="59">
        <v>12</v>
      </c>
      <c r="P806" s="60">
        <v>4140000</v>
      </c>
      <c r="Q806" s="443">
        <v>0</v>
      </c>
      <c r="R806" s="60">
        <v>0</v>
      </c>
      <c r="S806" s="59"/>
      <c r="T806" s="59"/>
      <c r="U806" s="59"/>
      <c r="V806" s="59"/>
      <c r="W806" s="59"/>
      <c r="X806" s="59"/>
      <c r="Y806" s="385">
        <f t="shared" si="132"/>
        <v>0</v>
      </c>
      <c r="Z806" s="60">
        <f t="shared" si="132"/>
        <v>0</v>
      </c>
      <c r="AA806" s="385">
        <f t="shared" si="137"/>
        <v>24</v>
      </c>
      <c r="AB806" s="60">
        <f t="shared" si="138"/>
        <v>5360000</v>
      </c>
      <c r="AC806" s="1909">
        <f>(AA806/K806)*100</f>
        <v>33.333333333333329</v>
      </c>
      <c r="AD806" s="62">
        <f t="shared" si="134"/>
        <v>29.777777777777775</v>
      </c>
      <c r="AE806" s="385" t="s">
        <v>694</v>
      </c>
    </row>
    <row r="807" spans="1:31" s="63" customFormat="1" ht="34.5" customHeight="1">
      <c r="A807" s="4296"/>
      <c r="B807" s="4296"/>
      <c r="C807" s="4246">
        <v>1</v>
      </c>
      <c r="D807" s="4246" t="s">
        <v>65</v>
      </c>
      <c r="E807" s="4246" t="s">
        <v>198</v>
      </c>
      <c r="F807" s="4246" t="s">
        <v>66</v>
      </c>
      <c r="G807" s="4246" t="s">
        <v>66</v>
      </c>
      <c r="H807" s="4246" t="s">
        <v>448</v>
      </c>
      <c r="I807" s="4248" t="s">
        <v>719</v>
      </c>
      <c r="J807" s="58" t="s">
        <v>720</v>
      </c>
      <c r="K807" s="4296">
        <f t="shared" si="135"/>
        <v>72</v>
      </c>
      <c r="L807" s="4431">
        <v>120000000</v>
      </c>
      <c r="M807" s="4246">
        <f t="shared" si="136"/>
        <v>24</v>
      </c>
      <c r="N807" s="4431">
        <v>52540000</v>
      </c>
      <c r="O807" s="4296">
        <v>12</v>
      </c>
      <c r="P807" s="4431">
        <v>25900000</v>
      </c>
      <c r="Q807" s="4246">
        <v>3</v>
      </c>
      <c r="R807" s="4431">
        <v>3850000</v>
      </c>
      <c r="S807" s="4296"/>
      <c r="T807" s="4296"/>
      <c r="U807" s="4296"/>
      <c r="V807" s="4296"/>
      <c r="W807" s="4296"/>
      <c r="X807" s="4296"/>
      <c r="Y807" s="4296">
        <f>Q807+S808+U808+W808</f>
        <v>3</v>
      </c>
      <c r="Z807" s="4431">
        <f>R807+T808+V808+X808</f>
        <v>3850000</v>
      </c>
      <c r="AA807" s="4296">
        <f t="shared" si="137"/>
        <v>27</v>
      </c>
      <c r="AB807" s="4431">
        <f>N807+Z807</f>
        <v>56390000</v>
      </c>
      <c r="AC807" s="4433">
        <f>(AA807/K807)*100</f>
        <v>37.5</v>
      </c>
      <c r="AD807" s="4433">
        <f>(AB807/L807)*100</f>
        <v>46.991666666666667</v>
      </c>
      <c r="AE807" s="4296" t="s">
        <v>694</v>
      </c>
    </row>
    <row r="808" spans="1:31" s="63" customFormat="1" ht="30.75" customHeight="1">
      <c r="A808" s="4297"/>
      <c r="B808" s="4297"/>
      <c r="C808" s="4247"/>
      <c r="D808" s="4247"/>
      <c r="E808" s="4247"/>
      <c r="F808" s="4247"/>
      <c r="G808" s="4247"/>
      <c r="H808" s="4247"/>
      <c r="I808" s="4249"/>
      <c r="J808" s="58" t="s">
        <v>721</v>
      </c>
      <c r="K808" s="4297"/>
      <c r="L808" s="4432"/>
      <c r="M808" s="4247"/>
      <c r="N808" s="4432"/>
      <c r="O808" s="4297"/>
      <c r="P808" s="4432"/>
      <c r="Q808" s="4247"/>
      <c r="R808" s="4432"/>
      <c r="S808" s="4297"/>
      <c r="T808" s="4297"/>
      <c r="U808" s="4297"/>
      <c r="V808" s="4297"/>
      <c r="W808" s="4297"/>
      <c r="X808" s="4297"/>
      <c r="Y808" s="4297"/>
      <c r="Z808" s="4432"/>
      <c r="AA808" s="4297"/>
      <c r="AB808" s="4432"/>
      <c r="AC808" s="4434"/>
      <c r="AD808" s="4434"/>
      <c r="AE808" s="4297"/>
    </row>
    <row r="809" spans="1:31" s="63" customFormat="1" ht="30.75" customHeight="1">
      <c r="A809" s="4296"/>
      <c r="B809" s="4296"/>
      <c r="C809" s="4246">
        <v>1</v>
      </c>
      <c r="D809" s="4246" t="s">
        <v>65</v>
      </c>
      <c r="E809" s="4246" t="s">
        <v>198</v>
      </c>
      <c r="F809" s="4246" t="s">
        <v>66</v>
      </c>
      <c r="G809" s="4246" t="s">
        <v>66</v>
      </c>
      <c r="H809" s="4246" t="s">
        <v>167</v>
      </c>
      <c r="I809" s="4248" t="s">
        <v>722</v>
      </c>
      <c r="J809" s="58" t="s">
        <v>723</v>
      </c>
      <c r="K809" s="4296">
        <f t="shared" si="135"/>
        <v>72</v>
      </c>
      <c r="L809" s="4431">
        <v>913950000</v>
      </c>
      <c r="M809" s="4246">
        <f t="shared" si="136"/>
        <v>24</v>
      </c>
      <c r="N809" s="4431">
        <v>323125825</v>
      </c>
      <c r="O809" s="4296">
        <v>12</v>
      </c>
      <c r="P809" s="4431">
        <v>114200000</v>
      </c>
      <c r="Q809" s="4246">
        <v>3</v>
      </c>
      <c r="R809" s="4431">
        <v>21088000</v>
      </c>
      <c r="S809" s="4296"/>
      <c r="T809" s="4296"/>
      <c r="U809" s="4296"/>
      <c r="V809" s="4296"/>
      <c r="W809" s="4296"/>
      <c r="X809" s="4296"/>
      <c r="Y809" s="4296">
        <f>Q809+S810+U810+W810</f>
        <v>3</v>
      </c>
      <c r="Z809" s="4431">
        <f>R809+T810+V810+X810</f>
        <v>21088000</v>
      </c>
      <c r="AA809" s="4296">
        <f>M809+Y809</f>
        <v>27</v>
      </c>
      <c r="AB809" s="4431">
        <f>N809+Z809</f>
        <v>344213825</v>
      </c>
      <c r="AC809" s="4433">
        <f>(AA809/K809)*100</f>
        <v>37.5</v>
      </c>
      <c r="AD809" s="4433">
        <f>(AB809/L809)*100</f>
        <v>37.662216204387548</v>
      </c>
      <c r="AE809" s="4296" t="s">
        <v>694</v>
      </c>
    </row>
    <row r="810" spans="1:31" s="63" customFormat="1" ht="25.5">
      <c r="A810" s="4297"/>
      <c r="B810" s="4297"/>
      <c r="C810" s="4247"/>
      <c r="D810" s="4247"/>
      <c r="E810" s="4247"/>
      <c r="F810" s="4247"/>
      <c r="G810" s="4247"/>
      <c r="H810" s="4247"/>
      <c r="I810" s="4249"/>
      <c r="J810" s="58" t="s">
        <v>724</v>
      </c>
      <c r="K810" s="4297"/>
      <c r="L810" s="4432"/>
      <c r="M810" s="4247"/>
      <c r="N810" s="4432"/>
      <c r="O810" s="4297"/>
      <c r="P810" s="4432"/>
      <c r="Q810" s="4247"/>
      <c r="R810" s="4432"/>
      <c r="S810" s="4297"/>
      <c r="T810" s="4297"/>
      <c r="U810" s="4297"/>
      <c r="V810" s="4297"/>
      <c r="W810" s="4297"/>
      <c r="X810" s="4297"/>
      <c r="Y810" s="4297"/>
      <c r="Z810" s="4432"/>
      <c r="AA810" s="4297"/>
      <c r="AB810" s="4432"/>
      <c r="AC810" s="4434"/>
      <c r="AD810" s="4434"/>
      <c r="AE810" s="4297"/>
    </row>
    <row r="811" spans="1:31" s="63" customFormat="1" ht="25.5">
      <c r="A811" s="1898"/>
      <c r="B811" s="1904"/>
      <c r="C811" s="1905">
        <v>1</v>
      </c>
      <c r="D811" s="1905" t="s">
        <v>65</v>
      </c>
      <c r="E811" s="1905" t="s">
        <v>198</v>
      </c>
      <c r="F811" s="1905" t="s">
        <v>66</v>
      </c>
      <c r="G811" s="1905" t="s">
        <v>66</v>
      </c>
      <c r="H811" s="1900" t="s">
        <v>376</v>
      </c>
      <c r="I811" s="58" t="s">
        <v>725</v>
      </c>
      <c r="J811" s="58" t="s">
        <v>726</v>
      </c>
      <c r="K811" s="59">
        <f t="shared" si="135"/>
        <v>72</v>
      </c>
      <c r="L811" s="60">
        <v>332100000</v>
      </c>
      <c r="M811" s="443">
        <f t="shared" si="136"/>
        <v>24</v>
      </c>
      <c r="N811" s="635">
        <v>77460000</v>
      </c>
      <c r="O811" s="59">
        <v>12</v>
      </c>
      <c r="P811" s="60">
        <v>57900000</v>
      </c>
      <c r="Q811" s="443">
        <v>3</v>
      </c>
      <c r="R811" s="60">
        <v>9300000</v>
      </c>
      <c r="S811" s="59"/>
      <c r="T811" s="59"/>
      <c r="U811" s="59"/>
      <c r="V811" s="59"/>
      <c r="W811" s="59"/>
      <c r="X811" s="59"/>
      <c r="Y811" s="59">
        <f t="shared" si="132"/>
        <v>3</v>
      </c>
      <c r="Z811" s="60">
        <f t="shared" si="132"/>
        <v>9300000</v>
      </c>
      <c r="AA811" s="59">
        <f>M811+Y811</f>
        <v>27</v>
      </c>
      <c r="AB811" s="60">
        <f t="shared" si="138"/>
        <v>86760000</v>
      </c>
      <c r="AC811" s="1909">
        <f t="shared" si="134"/>
        <v>37.5</v>
      </c>
      <c r="AD811" s="62">
        <f t="shared" si="134"/>
        <v>26.124661246612469</v>
      </c>
      <c r="AE811" s="385" t="s">
        <v>694</v>
      </c>
    </row>
    <row r="812" spans="1:31" s="145" customFormat="1" ht="40.5" customHeight="1">
      <c r="A812" s="1907"/>
      <c r="B812" s="495"/>
      <c r="C812" s="623">
        <v>1</v>
      </c>
      <c r="D812" s="623" t="s">
        <v>65</v>
      </c>
      <c r="E812" s="623" t="s">
        <v>198</v>
      </c>
      <c r="F812" s="623" t="s">
        <v>66</v>
      </c>
      <c r="G812" s="623" t="s">
        <v>65</v>
      </c>
      <c r="H812" s="627"/>
      <c r="I812" s="57" t="s">
        <v>770</v>
      </c>
      <c r="J812" s="57">
        <v>3</v>
      </c>
      <c r="K812" s="630">
        <f t="shared" ref="K812:AE812" si="139">K815</f>
        <v>1</v>
      </c>
      <c r="L812" s="632">
        <f>L813</f>
        <v>1000000000</v>
      </c>
      <c r="M812" s="636">
        <f t="shared" si="139"/>
        <v>0</v>
      </c>
      <c r="N812" s="637">
        <f>N813</f>
        <v>38300000</v>
      </c>
      <c r="O812" s="630">
        <f t="shared" si="139"/>
        <v>1</v>
      </c>
      <c r="P812" s="632">
        <f>P813</f>
        <v>34525000</v>
      </c>
      <c r="Q812" s="636">
        <f t="shared" si="139"/>
        <v>0</v>
      </c>
      <c r="R812" s="632">
        <f>R813</f>
        <v>1500000</v>
      </c>
      <c r="S812" s="630">
        <f t="shared" si="139"/>
        <v>0</v>
      </c>
      <c r="T812" s="630">
        <f t="shared" si="139"/>
        <v>0</v>
      </c>
      <c r="U812" s="630">
        <f t="shared" si="139"/>
        <v>0</v>
      </c>
      <c r="V812" s="630">
        <f t="shared" si="139"/>
        <v>0</v>
      </c>
      <c r="W812" s="630">
        <f t="shared" si="139"/>
        <v>0</v>
      </c>
      <c r="X812" s="630">
        <f t="shared" si="139"/>
        <v>0</v>
      </c>
      <c r="Y812" s="630">
        <f t="shared" si="139"/>
        <v>0</v>
      </c>
      <c r="Z812" s="632">
        <f>Z813</f>
        <v>1500000</v>
      </c>
      <c r="AA812" s="630">
        <f t="shared" si="139"/>
        <v>0</v>
      </c>
      <c r="AB812" s="632">
        <f>AB813</f>
        <v>39800000</v>
      </c>
      <c r="AC812" s="626">
        <f t="shared" si="139"/>
        <v>0</v>
      </c>
      <c r="AD812" s="638">
        <f>AD813</f>
        <v>3.9800000000000004</v>
      </c>
      <c r="AE812" s="616" t="str">
        <f t="shared" si="139"/>
        <v>DPMDPPKB</v>
      </c>
    </row>
    <row r="813" spans="1:31" s="145" customFormat="1">
      <c r="A813" s="4445"/>
      <c r="B813" s="4445"/>
      <c r="C813" s="4246">
        <v>1</v>
      </c>
      <c r="D813" s="4246" t="s">
        <v>65</v>
      </c>
      <c r="E813" s="4246" t="s">
        <v>198</v>
      </c>
      <c r="F813" s="4246" t="s">
        <v>66</v>
      </c>
      <c r="G813" s="4246" t="s">
        <v>65</v>
      </c>
      <c r="H813" s="4246">
        <v>22</v>
      </c>
      <c r="I813" s="4248" t="s">
        <v>727</v>
      </c>
      <c r="J813" s="58" t="s">
        <v>728</v>
      </c>
      <c r="K813" s="630">
        <v>1</v>
      </c>
      <c r="L813" s="4431">
        <f>1000000000</f>
        <v>1000000000</v>
      </c>
      <c r="M813" s="636">
        <v>0</v>
      </c>
      <c r="N813" s="4449">
        <v>38300000</v>
      </c>
      <c r="O813" s="630">
        <v>1</v>
      </c>
      <c r="P813" s="4431">
        <v>34525000</v>
      </c>
      <c r="Q813" s="636">
        <v>1</v>
      </c>
      <c r="R813" s="4431">
        <v>1500000</v>
      </c>
      <c r="S813" s="630"/>
      <c r="T813" s="4445"/>
      <c r="U813" s="630"/>
      <c r="V813" s="4445"/>
      <c r="W813" s="630"/>
      <c r="X813" s="4445"/>
      <c r="Y813" s="59">
        <f>Q813+S813+U813+W813</f>
        <v>1</v>
      </c>
      <c r="Z813" s="4431">
        <f>R813+T815+V815+X815</f>
        <v>1500000</v>
      </c>
      <c r="AA813" s="59">
        <f>M813+Y813</f>
        <v>1</v>
      </c>
      <c r="AB813" s="4431">
        <f>N813+Z813</f>
        <v>39800000</v>
      </c>
      <c r="AC813" s="1909">
        <f>(AA813/K813)*100</f>
        <v>100</v>
      </c>
      <c r="AD813" s="4433">
        <f>(AB813/L813)*100</f>
        <v>3.9800000000000004</v>
      </c>
      <c r="AE813" s="616"/>
    </row>
    <row r="814" spans="1:31" s="63" customFormat="1">
      <c r="A814" s="4446"/>
      <c r="B814" s="4446"/>
      <c r="C814" s="4285"/>
      <c r="D814" s="4285"/>
      <c r="E814" s="4285"/>
      <c r="F814" s="4285"/>
      <c r="G814" s="4285"/>
      <c r="H814" s="4285"/>
      <c r="I814" s="4405"/>
      <c r="J814" s="58" t="s">
        <v>729</v>
      </c>
      <c r="K814" s="59">
        <v>2</v>
      </c>
      <c r="L814" s="4440"/>
      <c r="M814" s="443">
        <v>0</v>
      </c>
      <c r="N814" s="4450"/>
      <c r="O814" s="59">
        <v>2</v>
      </c>
      <c r="P814" s="4440"/>
      <c r="Q814" s="443">
        <v>0</v>
      </c>
      <c r="R814" s="4440"/>
      <c r="S814" s="59"/>
      <c r="T814" s="4446"/>
      <c r="U814" s="59"/>
      <c r="V814" s="4446"/>
      <c r="W814" s="59"/>
      <c r="X814" s="4446"/>
      <c r="Y814" s="59">
        <f>Q814+S814+U814+W814</f>
        <v>0</v>
      </c>
      <c r="Z814" s="4440"/>
      <c r="AA814" s="59">
        <f>M814+Y814</f>
        <v>0</v>
      </c>
      <c r="AB814" s="4440"/>
      <c r="AC814" s="1909">
        <f>(AA814/K814)*100</f>
        <v>0</v>
      </c>
      <c r="AD814" s="4448"/>
      <c r="AE814" s="385"/>
    </row>
    <row r="815" spans="1:31" s="63" customFormat="1" ht="36.75" customHeight="1">
      <c r="A815" s="4447"/>
      <c r="B815" s="4447"/>
      <c r="C815" s="4247"/>
      <c r="D815" s="4247"/>
      <c r="E815" s="4247"/>
      <c r="F815" s="4247"/>
      <c r="G815" s="4247"/>
      <c r="H815" s="4247"/>
      <c r="I815" s="4249"/>
      <c r="J815" s="384" t="s">
        <v>730</v>
      </c>
      <c r="K815" s="59">
        <v>1</v>
      </c>
      <c r="L815" s="4432"/>
      <c r="M815" s="443">
        <v>0</v>
      </c>
      <c r="N815" s="4451"/>
      <c r="O815" s="59">
        <v>1</v>
      </c>
      <c r="P815" s="4432"/>
      <c r="Q815" s="443">
        <v>0</v>
      </c>
      <c r="R815" s="4432"/>
      <c r="S815" s="59"/>
      <c r="T815" s="4447"/>
      <c r="U815" s="59"/>
      <c r="V815" s="4447"/>
      <c r="W815" s="59"/>
      <c r="X815" s="4447"/>
      <c r="Y815" s="59">
        <f>Q815+S815+U815+W815</f>
        <v>0</v>
      </c>
      <c r="Z815" s="4432"/>
      <c r="AA815" s="59">
        <f>M815+Y815</f>
        <v>0</v>
      </c>
      <c r="AB815" s="4432"/>
      <c r="AC815" s="1909">
        <f>(AA815/K815)*100</f>
        <v>0</v>
      </c>
      <c r="AD815" s="4434"/>
      <c r="AE815" s="385" t="s">
        <v>694</v>
      </c>
    </row>
    <row r="816" spans="1:31" s="642" customFormat="1" ht="38.25">
      <c r="A816" s="1855"/>
      <c r="B816" s="1855"/>
      <c r="C816" s="623">
        <v>1</v>
      </c>
      <c r="D816" s="623" t="s">
        <v>65</v>
      </c>
      <c r="E816" s="623" t="s">
        <v>198</v>
      </c>
      <c r="F816" s="623" t="s">
        <v>66</v>
      </c>
      <c r="G816" s="623" t="s">
        <v>155</v>
      </c>
      <c r="H816" s="1855"/>
      <c r="I816" s="618" t="s">
        <v>731</v>
      </c>
      <c r="J816" s="1855"/>
      <c r="K816" s="1855">
        <f>SUM(K817+K818+K819)</f>
        <v>740</v>
      </c>
      <c r="L816" s="640">
        <f>SUM(L817:L819)</f>
        <v>1570294000</v>
      </c>
      <c r="M816" s="1855">
        <f>SUM(M817+M818+M819)</f>
        <v>4</v>
      </c>
      <c r="N816" s="641">
        <f t="shared" ref="N816:AD816" si="140">SUM(N817+N818+N819)</f>
        <v>272600404</v>
      </c>
      <c r="O816" s="1855">
        <f>SUM(O817+O818+O819)</f>
        <v>36</v>
      </c>
      <c r="P816" s="641">
        <f t="shared" si="140"/>
        <v>366564859</v>
      </c>
      <c r="Q816" s="1855">
        <f t="shared" si="140"/>
        <v>0</v>
      </c>
      <c r="R816" s="1855">
        <f t="shared" si="140"/>
        <v>13577110</v>
      </c>
      <c r="S816" s="1855">
        <f t="shared" si="140"/>
        <v>0</v>
      </c>
      <c r="T816" s="1855">
        <f t="shared" si="140"/>
        <v>0</v>
      </c>
      <c r="U816" s="1855">
        <f t="shared" si="140"/>
        <v>0</v>
      </c>
      <c r="V816" s="1855">
        <f t="shared" si="140"/>
        <v>0</v>
      </c>
      <c r="W816" s="1855">
        <f t="shared" si="140"/>
        <v>0</v>
      </c>
      <c r="X816" s="1855">
        <f t="shared" si="140"/>
        <v>0</v>
      </c>
      <c r="Y816" s="1855">
        <f t="shared" si="140"/>
        <v>0</v>
      </c>
      <c r="Z816" s="1855">
        <f t="shared" si="140"/>
        <v>13577110</v>
      </c>
      <c r="AA816" s="1855">
        <f t="shared" si="140"/>
        <v>4</v>
      </c>
      <c r="AB816" s="1855">
        <f t="shared" si="140"/>
        <v>286177514</v>
      </c>
      <c r="AC816" s="1855">
        <f t="shared" si="140"/>
        <v>66.666666666666657</v>
      </c>
      <c r="AD816" s="1855">
        <f t="shared" si="140"/>
        <v>47.907959269124085</v>
      </c>
      <c r="AE816" s="1855" t="str">
        <f>AE817</f>
        <v>DPMDPPKB</v>
      </c>
    </row>
    <row r="817" spans="1:31" s="639" customFormat="1" ht="51">
      <c r="A817" s="1855"/>
      <c r="B817" s="1906" t="s">
        <v>732</v>
      </c>
      <c r="C817" s="1905">
        <v>1</v>
      </c>
      <c r="D817" s="1905" t="s">
        <v>65</v>
      </c>
      <c r="E817" s="1905" t="s">
        <v>198</v>
      </c>
      <c r="F817" s="1905" t="s">
        <v>66</v>
      </c>
      <c r="G817" s="1905" t="s">
        <v>155</v>
      </c>
      <c r="H817" s="643" t="s">
        <v>95</v>
      </c>
      <c r="I817" s="1906" t="s">
        <v>733</v>
      </c>
      <c r="J817" s="1906" t="s">
        <v>734</v>
      </c>
      <c r="K817" s="59">
        <f>1*6</f>
        <v>6</v>
      </c>
      <c r="L817" s="60">
        <v>445294000</v>
      </c>
      <c r="M817" s="443">
        <v>2</v>
      </c>
      <c r="N817" s="635">
        <v>95024299</v>
      </c>
      <c r="O817" s="59">
        <v>12</v>
      </c>
      <c r="P817" s="60">
        <v>200000000</v>
      </c>
      <c r="Q817" s="443">
        <v>0</v>
      </c>
      <c r="R817" s="60">
        <v>80200</v>
      </c>
      <c r="S817" s="59"/>
      <c r="T817" s="59"/>
      <c r="U817" s="59"/>
      <c r="V817" s="59"/>
      <c r="W817" s="59"/>
      <c r="X817" s="59"/>
      <c r="Y817" s="59">
        <f t="shared" ref="Y817:Z819" si="141">Q817+S817+U817+W817</f>
        <v>0</v>
      </c>
      <c r="Z817" s="60">
        <f t="shared" si="141"/>
        <v>80200</v>
      </c>
      <c r="AA817" s="59">
        <f t="shared" ref="AA817:AB819" si="142">M817+Y817</f>
        <v>2</v>
      </c>
      <c r="AB817" s="60">
        <f t="shared" si="142"/>
        <v>95104499</v>
      </c>
      <c r="AC817" s="1909">
        <f t="shared" ref="AC817:AD819" si="143">(AA817/K817)*100</f>
        <v>33.333333333333329</v>
      </c>
      <c r="AD817" s="62">
        <f t="shared" si="143"/>
        <v>21.357687056192091</v>
      </c>
      <c r="AE817" s="385" t="s">
        <v>694</v>
      </c>
    </row>
    <row r="818" spans="1:31" s="639" customFormat="1" ht="38.25">
      <c r="A818" s="1855"/>
      <c r="B818" s="1906" t="s">
        <v>735</v>
      </c>
      <c r="C818" s="1905">
        <v>1</v>
      </c>
      <c r="D818" s="1905" t="s">
        <v>65</v>
      </c>
      <c r="E818" s="1905" t="s">
        <v>198</v>
      </c>
      <c r="F818" s="1905" t="s">
        <v>66</v>
      </c>
      <c r="G818" s="1905" t="s">
        <v>155</v>
      </c>
      <c r="H818" s="643" t="s">
        <v>161</v>
      </c>
      <c r="I818" s="1906" t="s">
        <v>736</v>
      </c>
      <c r="J818" s="1892" t="s">
        <v>737</v>
      </c>
      <c r="K818" s="59">
        <f>182*4</f>
        <v>728</v>
      </c>
      <c r="L818" s="60">
        <v>345000000</v>
      </c>
      <c r="M818" s="443">
        <v>0</v>
      </c>
      <c r="N818" s="635">
        <v>0</v>
      </c>
      <c r="O818" s="59">
        <v>12</v>
      </c>
      <c r="P818" s="60">
        <v>72803055</v>
      </c>
      <c r="Q818" s="443">
        <v>0</v>
      </c>
      <c r="R818" s="60">
        <v>12704810</v>
      </c>
      <c r="S818" s="59"/>
      <c r="T818" s="59"/>
      <c r="U818" s="59"/>
      <c r="V818" s="59"/>
      <c r="W818" s="59"/>
      <c r="X818" s="59"/>
      <c r="Y818" s="59">
        <f t="shared" si="141"/>
        <v>0</v>
      </c>
      <c r="Z818" s="60">
        <f t="shared" si="141"/>
        <v>12704810</v>
      </c>
      <c r="AA818" s="59">
        <f t="shared" si="142"/>
        <v>0</v>
      </c>
      <c r="AB818" s="60">
        <f t="shared" si="142"/>
        <v>12704810</v>
      </c>
      <c r="AC818" s="1909">
        <f t="shared" si="143"/>
        <v>0</v>
      </c>
      <c r="AD818" s="62">
        <f t="shared" si="143"/>
        <v>3.6825536231884062</v>
      </c>
      <c r="AE818" s="385" t="s">
        <v>694</v>
      </c>
    </row>
    <row r="819" spans="1:31" s="639" customFormat="1" ht="38.25">
      <c r="A819" s="1855"/>
      <c r="B819" s="1906" t="s">
        <v>732</v>
      </c>
      <c r="C819" s="1905">
        <v>1</v>
      </c>
      <c r="D819" s="1905" t="s">
        <v>65</v>
      </c>
      <c r="E819" s="1905" t="s">
        <v>198</v>
      </c>
      <c r="F819" s="1905" t="s">
        <v>66</v>
      </c>
      <c r="G819" s="1905" t="s">
        <v>155</v>
      </c>
      <c r="H819" s="643" t="s">
        <v>160</v>
      </c>
      <c r="I819" s="1906" t="s">
        <v>738</v>
      </c>
      <c r="J819" s="1906" t="s">
        <v>739</v>
      </c>
      <c r="K819" s="59">
        <v>6</v>
      </c>
      <c r="L819" s="60">
        <v>780000000</v>
      </c>
      <c r="M819" s="443">
        <v>2</v>
      </c>
      <c r="N819" s="635">
        <v>177576105</v>
      </c>
      <c r="O819" s="59">
        <v>12</v>
      </c>
      <c r="P819" s="60">
        <v>93761804</v>
      </c>
      <c r="Q819" s="443">
        <v>0</v>
      </c>
      <c r="R819" s="60">
        <v>792100</v>
      </c>
      <c r="S819" s="59"/>
      <c r="T819" s="59"/>
      <c r="U819" s="59"/>
      <c r="V819" s="59"/>
      <c r="W819" s="59"/>
      <c r="X819" s="59"/>
      <c r="Y819" s="59">
        <f t="shared" si="141"/>
        <v>0</v>
      </c>
      <c r="Z819" s="60">
        <f t="shared" si="141"/>
        <v>792100</v>
      </c>
      <c r="AA819" s="59">
        <f t="shared" si="142"/>
        <v>2</v>
      </c>
      <c r="AB819" s="60">
        <f>N819+Z819</f>
        <v>178368205</v>
      </c>
      <c r="AC819" s="1909">
        <f t="shared" si="143"/>
        <v>33.333333333333329</v>
      </c>
      <c r="AD819" s="62">
        <f t="shared" si="143"/>
        <v>22.867718589743589</v>
      </c>
      <c r="AE819" s="385" t="s">
        <v>694</v>
      </c>
    </row>
    <row r="820" spans="1:31" s="642" customFormat="1" ht="38.25">
      <c r="A820" s="1855"/>
      <c r="B820" s="1855"/>
      <c r="C820" s="623">
        <v>1</v>
      </c>
      <c r="D820" s="623" t="s">
        <v>65</v>
      </c>
      <c r="E820" s="623" t="s">
        <v>198</v>
      </c>
      <c r="F820" s="623" t="s">
        <v>66</v>
      </c>
      <c r="G820" s="623" t="s">
        <v>166</v>
      </c>
      <c r="H820" s="1855"/>
      <c r="I820" s="618" t="s">
        <v>740</v>
      </c>
      <c r="J820" s="1855"/>
      <c r="K820" s="1855"/>
      <c r="L820" s="640">
        <f>L821</f>
        <v>818882800</v>
      </c>
      <c r="M820" s="1855"/>
      <c r="N820" s="641">
        <f>N821</f>
        <v>81421392</v>
      </c>
      <c r="O820" s="1855"/>
      <c r="P820" s="641">
        <f>P821</f>
        <v>163776560</v>
      </c>
      <c r="Q820" s="1855"/>
      <c r="R820" s="1855"/>
      <c r="S820" s="1855"/>
      <c r="T820" s="1855"/>
      <c r="U820" s="1855"/>
      <c r="V820" s="1855"/>
      <c r="W820" s="1855"/>
      <c r="X820" s="1855"/>
      <c r="Y820" s="1855"/>
      <c r="Z820" s="1855"/>
      <c r="AA820" s="1855"/>
      <c r="AB820" s="640">
        <f>AB821</f>
        <v>101628464</v>
      </c>
      <c r="AC820" s="495"/>
      <c r="AD820" s="495"/>
      <c r="AE820" s="616"/>
    </row>
    <row r="821" spans="1:31" s="63" customFormat="1" ht="38.25">
      <c r="A821" s="1904"/>
      <c r="B821" s="1904"/>
      <c r="C821" s="1905">
        <v>1</v>
      </c>
      <c r="D821" s="1905" t="s">
        <v>65</v>
      </c>
      <c r="E821" s="1905" t="s">
        <v>198</v>
      </c>
      <c r="F821" s="1905" t="s">
        <v>66</v>
      </c>
      <c r="G821" s="1905" t="s">
        <v>166</v>
      </c>
      <c r="H821" s="643" t="s">
        <v>65</v>
      </c>
      <c r="I821" s="384" t="s">
        <v>741</v>
      </c>
      <c r="J821" s="384" t="s">
        <v>742</v>
      </c>
      <c r="K821" s="59">
        <f>1*5</f>
        <v>5</v>
      </c>
      <c r="L821" s="60">
        <f>P821*5</f>
        <v>818882800</v>
      </c>
      <c r="M821" s="443">
        <v>1</v>
      </c>
      <c r="N821" s="635">
        <v>81421392</v>
      </c>
      <c r="O821" s="59">
        <v>12</v>
      </c>
      <c r="P821" s="60">
        <v>163776560</v>
      </c>
      <c r="Q821" s="443">
        <v>0</v>
      </c>
      <c r="R821" s="60">
        <v>20207072</v>
      </c>
      <c r="S821" s="59"/>
      <c r="T821" s="59"/>
      <c r="U821" s="59"/>
      <c r="V821" s="59"/>
      <c r="W821" s="59"/>
      <c r="X821" s="59"/>
      <c r="Y821" s="59">
        <f>Q821+S821+U821+W821</f>
        <v>0</v>
      </c>
      <c r="Z821" s="60">
        <f>R821+T821+V821+X821</f>
        <v>20207072</v>
      </c>
      <c r="AA821" s="59">
        <f>M821+Y821</f>
        <v>1</v>
      </c>
      <c r="AB821" s="60">
        <f>N821+Z821</f>
        <v>101628464</v>
      </c>
      <c r="AC821" s="1909">
        <f t="shared" ref="AC821:AD823" si="144">(AA821/K821)*100</f>
        <v>20</v>
      </c>
      <c r="AD821" s="62">
        <f t="shared" si="144"/>
        <v>12.410623840188121</v>
      </c>
      <c r="AE821" s="385" t="s">
        <v>694</v>
      </c>
    </row>
    <row r="822" spans="1:31" s="145" customFormat="1" ht="51">
      <c r="A822" s="495"/>
      <c r="B822" s="495"/>
      <c r="C822" s="623">
        <v>1</v>
      </c>
      <c r="D822" s="623" t="s">
        <v>65</v>
      </c>
      <c r="E822" s="623" t="s">
        <v>198</v>
      </c>
      <c r="F822" s="623" t="s">
        <v>66</v>
      </c>
      <c r="G822" s="623" t="s">
        <v>448</v>
      </c>
      <c r="H822" s="644"/>
      <c r="I822" s="383" t="s">
        <v>743</v>
      </c>
      <c r="J822" s="383"/>
      <c r="K822" s="630"/>
      <c r="L822" s="632">
        <f>SUM(L823)</f>
        <v>800000000</v>
      </c>
      <c r="M822" s="636"/>
      <c r="N822" s="632">
        <f>SUM(N823)</f>
        <v>120000000</v>
      </c>
      <c r="O822" s="630"/>
      <c r="P822" s="632">
        <f>SUM(P823)</f>
        <v>234014830</v>
      </c>
      <c r="Q822" s="636"/>
      <c r="R822" s="632">
        <f>SUM(R823)</f>
        <v>852000</v>
      </c>
      <c r="S822" s="630"/>
      <c r="T822" s="630"/>
      <c r="U822" s="630"/>
      <c r="V822" s="630"/>
      <c r="W822" s="630"/>
      <c r="X822" s="630"/>
      <c r="Y822" s="630"/>
      <c r="Z822" s="632"/>
      <c r="AA822" s="630"/>
      <c r="AB822" s="632">
        <f>AB823</f>
        <v>120852000</v>
      </c>
      <c r="AC822" s="626"/>
      <c r="AD822" s="638">
        <f t="shared" si="144"/>
        <v>15.1065</v>
      </c>
      <c r="AE822" s="616" t="s">
        <v>694</v>
      </c>
    </row>
    <row r="823" spans="1:31" s="63" customFormat="1" ht="25.5">
      <c r="A823" s="1904"/>
      <c r="B823" s="1904"/>
      <c r="C823" s="1905">
        <v>1</v>
      </c>
      <c r="D823" s="1905" t="s">
        <v>65</v>
      </c>
      <c r="E823" s="1905" t="s">
        <v>198</v>
      </c>
      <c r="F823" s="1905" t="s">
        <v>66</v>
      </c>
      <c r="G823" s="1905" t="s">
        <v>448</v>
      </c>
      <c r="H823" s="643" t="s">
        <v>65</v>
      </c>
      <c r="I823" s="384" t="s">
        <v>744</v>
      </c>
      <c r="J823" s="384" t="s">
        <v>745</v>
      </c>
      <c r="K823" s="59">
        <f>4</f>
        <v>4</v>
      </c>
      <c r="L823" s="60">
        <v>800000000</v>
      </c>
      <c r="M823" s="443">
        <v>1</v>
      </c>
      <c r="N823" s="635">
        <v>120000000</v>
      </c>
      <c r="O823" s="59">
        <v>12</v>
      </c>
      <c r="P823" s="60">
        <v>234014830</v>
      </c>
      <c r="Q823" s="443">
        <v>0</v>
      </c>
      <c r="R823" s="60">
        <v>852000</v>
      </c>
      <c r="S823" s="59"/>
      <c r="T823" s="59"/>
      <c r="U823" s="59"/>
      <c r="V823" s="59"/>
      <c r="W823" s="59"/>
      <c r="X823" s="59"/>
      <c r="Y823" s="59">
        <f t="shared" ref="Y823:Z828" si="145">Q823+S823+U823+W823</f>
        <v>0</v>
      </c>
      <c r="Z823" s="60">
        <f t="shared" si="145"/>
        <v>852000</v>
      </c>
      <c r="AA823" s="59">
        <f t="shared" ref="AA823:AB828" si="146">M823+Y823</f>
        <v>1</v>
      </c>
      <c r="AB823" s="60">
        <f t="shared" si="146"/>
        <v>120852000</v>
      </c>
      <c r="AC823" s="1909">
        <f t="shared" ref="AC823:AD828" si="147">(AA823/K823)*100</f>
        <v>25</v>
      </c>
      <c r="AD823" s="62">
        <f t="shared" si="144"/>
        <v>15.1065</v>
      </c>
      <c r="AE823" s="385" t="s">
        <v>694</v>
      </c>
    </row>
    <row r="824" spans="1:31" s="145" customFormat="1" ht="38.25">
      <c r="A824" s="495"/>
      <c r="B824" s="495"/>
      <c r="C824" s="623">
        <v>1</v>
      </c>
      <c r="D824" s="623" t="s">
        <v>65</v>
      </c>
      <c r="E824" s="623" t="s">
        <v>198</v>
      </c>
      <c r="F824" s="623" t="s">
        <v>66</v>
      </c>
      <c r="G824" s="623" t="s">
        <v>515</v>
      </c>
      <c r="H824" s="644"/>
      <c r="I824" s="383" t="s">
        <v>746</v>
      </c>
      <c r="J824" s="383"/>
      <c r="K824" s="630"/>
      <c r="L824" s="632">
        <f>SUM(L825+L826+L827+L828)</f>
        <v>4443226668</v>
      </c>
      <c r="M824" s="636"/>
      <c r="N824" s="632">
        <f>SUM(N825+N826+N827+N828)</f>
        <v>212987662</v>
      </c>
      <c r="O824" s="630"/>
      <c r="P824" s="632">
        <f>SUM(P825+P826+P827+P828)</f>
        <v>1043000678</v>
      </c>
      <c r="Q824" s="636"/>
      <c r="R824" s="632">
        <f>SUM(R825+R826+R827+R828)</f>
        <v>83203350</v>
      </c>
      <c r="S824" s="630"/>
      <c r="T824" s="630"/>
      <c r="U824" s="630"/>
      <c r="V824" s="630"/>
      <c r="W824" s="630"/>
      <c r="X824" s="630"/>
      <c r="Y824" s="630"/>
      <c r="Z824" s="632"/>
      <c r="AA824" s="630"/>
      <c r="AB824" s="632">
        <f>AB825+AB826+AB827+AB828</f>
        <v>296191012</v>
      </c>
      <c r="AC824" s="626"/>
      <c r="AD824" s="638"/>
      <c r="AE824" s="616" t="s">
        <v>694</v>
      </c>
    </row>
    <row r="825" spans="1:31" s="63" customFormat="1" ht="25.5">
      <c r="A825" s="1904"/>
      <c r="B825" s="1904"/>
      <c r="C825" s="1905">
        <v>1</v>
      </c>
      <c r="D825" s="1905" t="s">
        <v>65</v>
      </c>
      <c r="E825" s="1905" t="s">
        <v>198</v>
      </c>
      <c r="F825" s="1905" t="s">
        <v>66</v>
      </c>
      <c r="G825" s="1905" t="s">
        <v>515</v>
      </c>
      <c r="H825" s="643" t="s">
        <v>196</v>
      </c>
      <c r="I825" s="384" t="s">
        <v>747</v>
      </c>
      <c r="J825" s="384" t="s">
        <v>748</v>
      </c>
      <c r="K825" s="59">
        <v>182</v>
      </c>
      <c r="L825" s="60">
        <v>3000000000</v>
      </c>
      <c r="M825" s="443">
        <v>40</v>
      </c>
      <c r="N825" s="635">
        <v>84435815</v>
      </c>
      <c r="O825" s="59">
        <v>12</v>
      </c>
      <c r="P825" s="60">
        <v>815298700</v>
      </c>
      <c r="Q825" s="443">
        <v>0</v>
      </c>
      <c r="R825" s="60">
        <v>56429300</v>
      </c>
      <c r="S825" s="59"/>
      <c r="T825" s="59"/>
      <c r="U825" s="59"/>
      <c r="V825" s="59"/>
      <c r="W825" s="59"/>
      <c r="X825" s="59"/>
      <c r="Y825" s="59">
        <f t="shared" si="145"/>
        <v>0</v>
      </c>
      <c r="Z825" s="60">
        <f>R825+T825+V825+X825</f>
        <v>56429300</v>
      </c>
      <c r="AA825" s="59">
        <f t="shared" si="146"/>
        <v>40</v>
      </c>
      <c r="AB825" s="60">
        <f>N825+Z825</f>
        <v>140865115</v>
      </c>
      <c r="AC825" s="1909">
        <f t="shared" si="147"/>
        <v>21.978021978021978</v>
      </c>
      <c r="AD825" s="62">
        <f>(AB825/L825)*100</f>
        <v>4.6955038333333334</v>
      </c>
      <c r="AE825" s="385" t="s">
        <v>694</v>
      </c>
    </row>
    <row r="826" spans="1:31" s="63" customFormat="1" ht="25.5">
      <c r="A826" s="1904"/>
      <c r="B826" s="1904"/>
      <c r="C826" s="1905">
        <v>1</v>
      </c>
      <c r="D826" s="1905" t="s">
        <v>65</v>
      </c>
      <c r="E826" s="1905" t="s">
        <v>198</v>
      </c>
      <c r="F826" s="1905" t="s">
        <v>66</v>
      </c>
      <c r="G826" s="1905" t="s">
        <v>515</v>
      </c>
      <c r="H826" s="643" t="s">
        <v>95</v>
      </c>
      <c r="I826" s="384" t="s">
        <v>749</v>
      </c>
      <c r="J826" s="384" t="s">
        <v>750</v>
      </c>
      <c r="K826" s="59">
        <v>182</v>
      </c>
      <c r="L826" s="60">
        <v>658577400</v>
      </c>
      <c r="M826" s="443">
        <v>54</v>
      </c>
      <c r="N826" s="635">
        <v>128551847</v>
      </c>
      <c r="O826" s="59">
        <v>90</v>
      </c>
      <c r="P826" s="60">
        <v>151979000</v>
      </c>
      <c r="Q826" s="443">
        <v>12</v>
      </c>
      <c r="R826" s="60">
        <v>23457050</v>
      </c>
      <c r="S826" s="59"/>
      <c r="T826" s="59"/>
      <c r="U826" s="59"/>
      <c r="V826" s="59"/>
      <c r="W826" s="59"/>
      <c r="X826" s="59"/>
      <c r="Y826" s="59">
        <f t="shared" si="145"/>
        <v>12</v>
      </c>
      <c r="Z826" s="60">
        <f t="shared" si="145"/>
        <v>23457050</v>
      </c>
      <c r="AA826" s="59">
        <f t="shared" si="146"/>
        <v>66</v>
      </c>
      <c r="AB826" s="60">
        <f t="shared" si="146"/>
        <v>152008897</v>
      </c>
      <c r="AC826" s="1909">
        <f t="shared" si="147"/>
        <v>36.263736263736263</v>
      </c>
      <c r="AD826" s="62">
        <f t="shared" si="147"/>
        <v>23.0814019734051</v>
      </c>
      <c r="AE826" s="385" t="s">
        <v>694</v>
      </c>
    </row>
    <row r="827" spans="1:31" s="63" customFormat="1" ht="38.25">
      <c r="A827" s="1904"/>
      <c r="B827" s="1904"/>
      <c r="C827" s="1905">
        <v>1</v>
      </c>
      <c r="D827" s="1905" t="s">
        <v>65</v>
      </c>
      <c r="E827" s="1905" t="s">
        <v>198</v>
      </c>
      <c r="F827" s="1905" t="s">
        <v>66</v>
      </c>
      <c r="G827" s="1905" t="s">
        <v>515</v>
      </c>
      <c r="H827" s="643" t="s">
        <v>391</v>
      </c>
      <c r="I827" s="384" t="s">
        <v>751</v>
      </c>
      <c r="J827" s="384" t="s">
        <v>752</v>
      </c>
      <c r="K827" s="59">
        <f>4*6</f>
        <v>24</v>
      </c>
      <c r="L827" s="60">
        <f>P827*6</f>
        <v>244649268</v>
      </c>
      <c r="M827" s="443">
        <v>8</v>
      </c>
      <c r="N827" s="635">
        <v>0</v>
      </c>
      <c r="O827" s="59">
        <v>12</v>
      </c>
      <c r="P827" s="60">
        <v>40774878</v>
      </c>
      <c r="Q827" s="443">
        <v>0</v>
      </c>
      <c r="R827" s="60">
        <v>0</v>
      </c>
      <c r="S827" s="59"/>
      <c r="T827" s="59"/>
      <c r="U827" s="59"/>
      <c r="V827" s="59"/>
      <c r="W827" s="59"/>
      <c r="X827" s="59"/>
      <c r="Y827" s="59">
        <v>4</v>
      </c>
      <c r="Z827" s="60">
        <f t="shared" si="145"/>
        <v>0</v>
      </c>
      <c r="AA827" s="59">
        <f>M827+Y827</f>
        <v>12</v>
      </c>
      <c r="AB827" s="60">
        <f t="shared" si="146"/>
        <v>0</v>
      </c>
      <c r="AC827" s="1909">
        <f t="shared" si="147"/>
        <v>50</v>
      </c>
      <c r="AD827" s="62">
        <f t="shared" si="147"/>
        <v>0</v>
      </c>
      <c r="AE827" s="385" t="s">
        <v>694</v>
      </c>
    </row>
    <row r="828" spans="1:31" s="63" customFormat="1" ht="25.5">
      <c r="A828" s="1904"/>
      <c r="B828" s="1904"/>
      <c r="C828" s="1905">
        <v>1</v>
      </c>
      <c r="D828" s="1905" t="s">
        <v>65</v>
      </c>
      <c r="E828" s="1905" t="s">
        <v>198</v>
      </c>
      <c r="F828" s="1905" t="s">
        <v>66</v>
      </c>
      <c r="G828" s="1905" t="s">
        <v>515</v>
      </c>
      <c r="H828" s="643">
        <v>14</v>
      </c>
      <c r="I828" s="384" t="s">
        <v>753</v>
      </c>
      <c r="J828" s="384" t="s">
        <v>754</v>
      </c>
      <c r="K828" s="59">
        <f>25*4</f>
        <v>100</v>
      </c>
      <c r="L828" s="60">
        <f>90000000*6</f>
        <v>540000000</v>
      </c>
      <c r="M828" s="443">
        <f>12*2</f>
        <v>24</v>
      </c>
      <c r="N828" s="635">
        <v>0</v>
      </c>
      <c r="O828" s="59">
        <v>12</v>
      </c>
      <c r="P828" s="60">
        <v>34948100</v>
      </c>
      <c r="Q828" s="443">
        <v>2</v>
      </c>
      <c r="R828" s="60">
        <v>3317000</v>
      </c>
      <c r="S828" s="59"/>
      <c r="T828" s="59"/>
      <c r="U828" s="59"/>
      <c r="V828" s="59"/>
      <c r="W828" s="59"/>
      <c r="X828" s="59"/>
      <c r="Y828" s="59">
        <f>Q828+S828+U828+W828</f>
        <v>2</v>
      </c>
      <c r="Z828" s="60">
        <f t="shared" si="145"/>
        <v>3317000</v>
      </c>
      <c r="AA828" s="59">
        <f>M828+Y828</f>
        <v>26</v>
      </c>
      <c r="AB828" s="60">
        <f t="shared" si="146"/>
        <v>3317000</v>
      </c>
      <c r="AC828" s="1909">
        <f t="shared" si="147"/>
        <v>26</v>
      </c>
      <c r="AD828" s="62">
        <f t="shared" si="147"/>
        <v>0.61425925925925928</v>
      </c>
      <c r="AE828" s="385" t="s">
        <v>694</v>
      </c>
    </row>
    <row r="829" spans="1:31" s="145" customFormat="1" ht="38.25">
      <c r="A829" s="495"/>
      <c r="B829" s="495"/>
      <c r="C829" s="623">
        <v>1</v>
      </c>
      <c r="D829" s="623" t="s">
        <v>65</v>
      </c>
      <c r="E829" s="623" t="s">
        <v>198</v>
      </c>
      <c r="F829" s="623" t="s">
        <v>66</v>
      </c>
      <c r="G829" s="623" t="s">
        <v>459</v>
      </c>
      <c r="H829" s="644"/>
      <c r="I829" s="383" t="s">
        <v>755</v>
      </c>
      <c r="J829" s="383"/>
      <c r="K829" s="630"/>
      <c r="L829" s="632">
        <f>SUM(L830:L836)</f>
        <v>5385962000</v>
      </c>
      <c r="M829" s="636"/>
      <c r="N829" s="637"/>
      <c r="O829" s="630"/>
      <c r="P829" s="632">
        <f>SUM(P830:P836)</f>
        <v>1320564762</v>
      </c>
      <c r="Q829" s="636"/>
      <c r="R829" s="632"/>
      <c r="S829" s="630"/>
      <c r="T829" s="630"/>
      <c r="U829" s="630"/>
      <c r="V829" s="630"/>
      <c r="W829" s="630"/>
      <c r="X829" s="630"/>
      <c r="Y829" s="630"/>
      <c r="Z829" s="632"/>
      <c r="AA829" s="630"/>
      <c r="AB829" s="632">
        <f>AB830+AB831+AB836</f>
        <v>1376237853</v>
      </c>
      <c r="AC829" s="626"/>
      <c r="AD829" s="638"/>
      <c r="AE829" s="616" t="s">
        <v>694</v>
      </c>
    </row>
    <row r="830" spans="1:31" s="63" customFormat="1" ht="63.75">
      <c r="A830" s="1902"/>
      <c r="B830" s="1897"/>
      <c r="C830" s="1899">
        <v>1</v>
      </c>
      <c r="D830" s="1899" t="s">
        <v>65</v>
      </c>
      <c r="E830" s="1899" t="s">
        <v>198</v>
      </c>
      <c r="F830" s="1899" t="s">
        <v>66</v>
      </c>
      <c r="G830" s="1899" t="s">
        <v>459</v>
      </c>
      <c r="H830" s="645" t="s">
        <v>93</v>
      </c>
      <c r="I830" s="646" t="s">
        <v>756</v>
      </c>
      <c r="J830" s="433" t="s">
        <v>757</v>
      </c>
      <c r="K830" s="592">
        <f t="shared" ref="K830:K835" si="148">6*6</f>
        <v>36</v>
      </c>
      <c r="L830" s="647">
        <v>1000000000</v>
      </c>
      <c r="M830" s="593">
        <v>8</v>
      </c>
      <c r="N830" s="648">
        <v>161131599</v>
      </c>
      <c r="O830" s="592">
        <v>4</v>
      </c>
      <c r="P830" s="647">
        <v>65297631</v>
      </c>
      <c r="Q830" s="593">
        <v>1</v>
      </c>
      <c r="R830" s="647">
        <v>8883900</v>
      </c>
      <c r="S830" s="592"/>
      <c r="T830" s="592"/>
      <c r="U830" s="592"/>
      <c r="V830" s="592"/>
      <c r="W830" s="592"/>
      <c r="X830" s="592"/>
      <c r="Y830" s="592">
        <f>Q830+S830+U830+W830</f>
        <v>1</v>
      </c>
      <c r="Z830" s="647">
        <f>R830+T830+V830+X830</f>
        <v>8883900</v>
      </c>
      <c r="AA830" s="592">
        <f>M830+Y830</f>
        <v>9</v>
      </c>
      <c r="AB830" s="647">
        <f>N830+Z830</f>
        <v>170015499</v>
      </c>
      <c r="AC830" s="1908">
        <f>(AA830/K830)*100</f>
        <v>25</v>
      </c>
      <c r="AD830" s="649">
        <f>(AB830/L830)*100</f>
        <v>17.001549899999997</v>
      </c>
      <c r="AE830" s="439" t="s">
        <v>694</v>
      </c>
    </row>
    <row r="831" spans="1:31" s="385" customFormat="1">
      <c r="A831" s="4253"/>
      <c r="B831" s="4253"/>
      <c r="C831" s="4252">
        <v>1</v>
      </c>
      <c r="D831" s="4252" t="s">
        <v>65</v>
      </c>
      <c r="E831" s="4252" t="s">
        <v>198</v>
      </c>
      <c r="F831" s="4252" t="s">
        <v>66</v>
      </c>
      <c r="G831" s="4252" t="s">
        <v>459</v>
      </c>
      <c r="H831" s="4252" t="s">
        <v>202</v>
      </c>
      <c r="I831" s="4302" t="s">
        <v>758</v>
      </c>
      <c r="J831" s="384" t="s">
        <v>759</v>
      </c>
      <c r="K831" s="385">
        <f t="shared" si="148"/>
        <v>36</v>
      </c>
      <c r="L831" s="4443">
        <v>4085962000</v>
      </c>
      <c r="M831" s="595">
        <v>12</v>
      </c>
      <c r="N831" s="4444">
        <v>1073930254</v>
      </c>
      <c r="O831" s="385">
        <v>6</v>
      </c>
      <c r="P831" s="4443">
        <v>1199999866</v>
      </c>
      <c r="Q831" s="595">
        <v>1</v>
      </c>
      <c r="R831" s="4443">
        <v>66895450</v>
      </c>
      <c r="T831" s="4253"/>
      <c r="V831" s="4253"/>
      <c r="X831" s="4253"/>
      <c r="Y831" s="385">
        <f>Q831+S835+U835+W835</f>
        <v>1</v>
      </c>
      <c r="Z831" s="4443">
        <f>R831+T835+V835+X835</f>
        <v>66895450</v>
      </c>
      <c r="AA831" s="385">
        <f>M831+Y831</f>
        <v>13</v>
      </c>
      <c r="AB831" s="4443">
        <f>N831+Z831</f>
        <v>1140825704</v>
      </c>
      <c r="AC831" s="389">
        <f>(AA831/K831)*100</f>
        <v>36.111111111111107</v>
      </c>
      <c r="AD831" s="4452">
        <f>(AB831/L831)*100</f>
        <v>27.920614631266758</v>
      </c>
      <c r="AE831" s="4253" t="s">
        <v>694</v>
      </c>
    </row>
    <row r="832" spans="1:31" s="385" customFormat="1" ht="22.5" customHeight="1">
      <c r="A832" s="4253"/>
      <c r="B832" s="4253"/>
      <c r="C832" s="4252"/>
      <c r="D832" s="4252"/>
      <c r="E832" s="4252"/>
      <c r="F832" s="4252"/>
      <c r="G832" s="4252"/>
      <c r="H832" s="4252"/>
      <c r="I832" s="4302"/>
      <c r="J832" s="384" t="s">
        <v>760</v>
      </c>
      <c r="K832" s="385">
        <f t="shared" si="148"/>
        <v>36</v>
      </c>
      <c r="L832" s="4443"/>
      <c r="M832" s="595">
        <v>12</v>
      </c>
      <c r="N832" s="4444"/>
      <c r="O832" s="385">
        <v>6</v>
      </c>
      <c r="P832" s="4443"/>
      <c r="Q832" s="595">
        <v>1</v>
      </c>
      <c r="R832" s="4443"/>
      <c r="T832" s="4253"/>
      <c r="V832" s="4253"/>
      <c r="X832" s="4253"/>
      <c r="Z832" s="4443"/>
      <c r="AA832" s="385">
        <f>M832+Y832</f>
        <v>12</v>
      </c>
      <c r="AB832" s="4443"/>
      <c r="AC832" s="389">
        <f>(AA832/K832)*100</f>
        <v>33.333333333333329</v>
      </c>
      <c r="AD832" s="4452"/>
      <c r="AE832" s="4253"/>
    </row>
    <row r="833" spans="1:31" s="385" customFormat="1">
      <c r="A833" s="4253"/>
      <c r="B833" s="4253"/>
      <c r="C833" s="4252"/>
      <c r="D833" s="4252"/>
      <c r="E833" s="4252"/>
      <c r="F833" s="4252"/>
      <c r="G833" s="4252"/>
      <c r="H833" s="4252"/>
      <c r="I833" s="4302"/>
      <c r="J833" s="384" t="s">
        <v>761</v>
      </c>
      <c r="K833" s="385">
        <f t="shared" si="148"/>
        <v>36</v>
      </c>
      <c r="L833" s="4443"/>
      <c r="M833" s="595">
        <v>12</v>
      </c>
      <c r="N833" s="4444"/>
      <c r="O833" s="385">
        <v>6</v>
      </c>
      <c r="P833" s="4443"/>
      <c r="Q833" s="595">
        <v>1</v>
      </c>
      <c r="R833" s="4443"/>
      <c r="T833" s="4253"/>
      <c r="V833" s="4253"/>
      <c r="X833" s="4253"/>
      <c r="Z833" s="4443"/>
      <c r="AA833" s="385">
        <f t="shared" ref="AA833:AB836" si="149">M833+Y833</f>
        <v>12</v>
      </c>
      <c r="AB833" s="4443"/>
      <c r="AC833" s="389">
        <f>(AA833/K833*100)</f>
        <v>33.333333333333329</v>
      </c>
      <c r="AD833" s="4452"/>
      <c r="AE833" s="4253"/>
    </row>
    <row r="834" spans="1:31" s="385" customFormat="1">
      <c r="A834" s="4253"/>
      <c r="B834" s="4253"/>
      <c r="C834" s="4252"/>
      <c r="D834" s="4252"/>
      <c r="E834" s="4252"/>
      <c r="F834" s="4252"/>
      <c r="G834" s="4252"/>
      <c r="H834" s="4252"/>
      <c r="I834" s="4302"/>
      <c r="J834" s="384" t="s">
        <v>762</v>
      </c>
      <c r="K834" s="385">
        <f t="shared" si="148"/>
        <v>36</v>
      </c>
      <c r="L834" s="4443"/>
      <c r="M834" s="595">
        <v>12</v>
      </c>
      <c r="N834" s="4444"/>
      <c r="O834" s="385">
        <v>6</v>
      </c>
      <c r="P834" s="4443"/>
      <c r="Q834" s="595">
        <v>1</v>
      </c>
      <c r="R834" s="4443"/>
      <c r="T834" s="4253"/>
      <c r="V834" s="4253"/>
      <c r="X834" s="4253"/>
      <c r="Z834" s="4443"/>
      <c r="AA834" s="385">
        <f t="shared" si="149"/>
        <v>12</v>
      </c>
      <c r="AB834" s="4443"/>
      <c r="AC834" s="389">
        <f>(AA834/K834)*100</f>
        <v>33.333333333333329</v>
      </c>
      <c r="AD834" s="4452"/>
      <c r="AE834" s="4253"/>
    </row>
    <row r="835" spans="1:31" s="385" customFormat="1">
      <c r="A835" s="4253"/>
      <c r="B835" s="4253"/>
      <c r="C835" s="4252"/>
      <c r="D835" s="4252"/>
      <c r="E835" s="4252"/>
      <c r="F835" s="4252"/>
      <c r="G835" s="4252"/>
      <c r="H835" s="4252"/>
      <c r="I835" s="4302"/>
      <c r="J835" s="384" t="s">
        <v>763</v>
      </c>
      <c r="K835" s="385">
        <f t="shared" si="148"/>
        <v>36</v>
      </c>
      <c r="L835" s="4443"/>
      <c r="M835" s="595">
        <v>12</v>
      </c>
      <c r="N835" s="4444"/>
      <c r="O835" s="385">
        <v>6</v>
      </c>
      <c r="P835" s="4443"/>
      <c r="Q835" s="595">
        <v>0</v>
      </c>
      <c r="R835" s="4443"/>
      <c r="T835" s="4253"/>
      <c r="V835" s="4253"/>
      <c r="X835" s="4253"/>
      <c r="Z835" s="4443"/>
      <c r="AA835" s="385">
        <f t="shared" si="149"/>
        <v>12</v>
      </c>
      <c r="AB835" s="4443"/>
      <c r="AC835" s="389">
        <f>(AA835/K835)*100</f>
        <v>33.333333333333329</v>
      </c>
      <c r="AD835" s="4452"/>
      <c r="AE835" s="4253"/>
    </row>
    <row r="836" spans="1:31" s="63" customFormat="1" ht="51">
      <c r="A836" s="1898"/>
      <c r="B836" s="1898"/>
      <c r="C836" s="1900">
        <v>1</v>
      </c>
      <c r="D836" s="1900" t="s">
        <v>65</v>
      </c>
      <c r="E836" s="1900" t="s">
        <v>198</v>
      </c>
      <c r="F836" s="1900" t="s">
        <v>66</v>
      </c>
      <c r="G836" s="1900" t="s">
        <v>459</v>
      </c>
      <c r="H836" s="650" t="s">
        <v>93</v>
      </c>
      <c r="I836" s="58" t="s">
        <v>764</v>
      </c>
      <c r="J836" s="58" t="s">
        <v>765</v>
      </c>
      <c r="K836" s="59">
        <f>142</f>
        <v>142</v>
      </c>
      <c r="L836" s="60">
        <v>300000000</v>
      </c>
      <c r="M836" s="443">
        <v>77</v>
      </c>
      <c r="N836" s="60">
        <v>61959150</v>
      </c>
      <c r="O836" s="59">
        <v>12</v>
      </c>
      <c r="P836" s="60">
        <v>55267265</v>
      </c>
      <c r="Q836" s="443">
        <v>5</v>
      </c>
      <c r="R836" s="60">
        <v>3437500</v>
      </c>
      <c r="S836" s="59"/>
      <c r="T836" s="59"/>
      <c r="U836" s="59"/>
      <c r="V836" s="59"/>
      <c r="W836" s="59"/>
      <c r="X836" s="59"/>
      <c r="Y836" s="59">
        <f>Q836+S836+U836+W836</f>
        <v>5</v>
      </c>
      <c r="Z836" s="60">
        <f>R836+T836+V836+X836</f>
        <v>3437500</v>
      </c>
      <c r="AA836" s="59">
        <f t="shared" si="149"/>
        <v>82</v>
      </c>
      <c r="AB836" s="60">
        <f t="shared" si="149"/>
        <v>65396650</v>
      </c>
      <c r="AC836" s="1909">
        <f>(AA836/K836)*100</f>
        <v>57.74647887323944</v>
      </c>
      <c r="AD836" s="62">
        <f>(AB836/L836)*100</f>
        <v>21.798883333333333</v>
      </c>
      <c r="AE836" s="59" t="s">
        <v>694</v>
      </c>
    </row>
    <row r="837" spans="1:31" s="145" customFormat="1" ht="25.5">
      <c r="A837" s="1907"/>
      <c r="B837" s="495"/>
      <c r="C837" s="623">
        <v>1</v>
      </c>
      <c r="D837" s="623" t="s">
        <v>65</v>
      </c>
      <c r="E837" s="623" t="s">
        <v>198</v>
      </c>
      <c r="F837" s="623" t="s">
        <v>66</v>
      </c>
      <c r="G837" s="623" t="s">
        <v>363</v>
      </c>
      <c r="H837" s="651"/>
      <c r="I837" s="57" t="s">
        <v>766</v>
      </c>
      <c r="J837" s="383"/>
      <c r="K837" s="630"/>
      <c r="L837" s="632">
        <f>SUM(L838)</f>
        <v>349225800</v>
      </c>
      <c r="M837" s="636"/>
      <c r="N837" s="632">
        <f>SUM(N838)</f>
        <v>82513548</v>
      </c>
      <c r="O837" s="630"/>
      <c r="P837" s="632">
        <f>SUM(P838)</f>
        <v>110098048</v>
      </c>
      <c r="Q837" s="636"/>
      <c r="R837" s="632"/>
      <c r="S837" s="630"/>
      <c r="T837" s="630"/>
      <c r="U837" s="630"/>
      <c r="V837" s="630"/>
      <c r="W837" s="630"/>
      <c r="X837" s="630"/>
      <c r="Y837" s="630"/>
      <c r="Z837" s="632"/>
      <c r="AA837" s="630"/>
      <c r="AB837" s="632">
        <f>AB838</f>
        <v>107706348</v>
      </c>
      <c r="AC837" s="626"/>
      <c r="AD837" s="638"/>
      <c r="AE837" s="616" t="s">
        <v>694</v>
      </c>
    </row>
    <row r="838" spans="1:31" s="63" customFormat="1">
      <c r="A838" s="4296"/>
      <c r="B838" s="4296"/>
      <c r="C838" s="4246">
        <v>1</v>
      </c>
      <c r="D838" s="4246" t="s">
        <v>65</v>
      </c>
      <c r="E838" s="4246" t="s">
        <v>198</v>
      </c>
      <c r="F838" s="4246" t="s">
        <v>66</v>
      </c>
      <c r="G838" s="4246" t="s">
        <v>363</v>
      </c>
      <c r="H838" s="4246" t="s">
        <v>95</v>
      </c>
      <c r="I838" s="4248" t="s">
        <v>767</v>
      </c>
      <c r="J838" s="384" t="s">
        <v>768</v>
      </c>
      <c r="K838" s="385">
        <v>5</v>
      </c>
      <c r="L838" s="4431">
        <v>349225800</v>
      </c>
      <c r="M838" s="595">
        <v>3</v>
      </c>
      <c r="N838" s="4444">
        <v>82513548</v>
      </c>
      <c r="O838" s="385">
        <v>3</v>
      </c>
      <c r="P838" s="4443">
        <v>110098048</v>
      </c>
      <c r="Q838" s="595">
        <v>1</v>
      </c>
      <c r="R838" s="4443">
        <v>25192800</v>
      </c>
      <c r="S838" s="385"/>
      <c r="T838" s="4253"/>
      <c r="U838" s="385"/>
      <c r="V838" s="4253"/>
      <c r="W838" s="385"/>
      <c r="X838" s="4253"/>
      <c r="Y838" s="385">
        <f>Q838+S838+U838+W838</f>
        <v>1</v>
      </c>
      <c r="Z838" s="4443">
        <f>R838+T838+V838+X838</f>
        <v>25192800</v>
      </c>
      <c r="AA838" s="439">
        <f>M838+Y838</f>
        <v>4</v>
      </c>
      <c r="AB838" s="4431">
        <f>N838+Z838</f>
        <v>107706348</v>
      </c>
      <c r="AC838" s="441">
        <f>(AA838/K838)*100</f>
        <v>80</v>
      </c>
      <c r="AD838" s="4433">
        <f>(AB838/L838)*100</f>
        <v>30.841463603204573</v>
      </c>
      <c r="AE838" s="4296" t="s">
        <v>694</v>
      </c>
    </row>
    <row r="839" spans="1:31" s="63" customFormat="1" ht="25.5">
      <c r="A839" s="4297"/>
      <c r="B839" s="4297"/>
      <c r="C839" s="4247"/>
      <c r="D839" s="4247"/>
      <c r="E839" s="4247"/>
      <c r="F839" s="4247"/>
      <c r="G839" s="4247"/>
      <c r="H839" s="4247"/>
      <c r="I839" s="4249"/>
      <c r="J839" s="58" t="s">
        <v>769</v>
      </c>
      <c r="K839" s="385">
        <v>5</v>
      </c>
      <c r="L839" s="4432"/>
      <c r="M839" s="595">
        <v>3</v>
      </c>
      <c r="N839" s="4444"/>
      <c r="O839" s="385">
        <v>1</v>
      </c>
      <c r="P839" s="4443"/>
      <c r="Q839" s="595">
        <v>0</v>
      </c>
      <c r="R839" s="4443"/>
      <c r="S839" s="385"/>
      <c r="T839" s="4253"/>
      <c r="U839" s="385"/>
      <c r="V839" s="4253"/>
      <c r="W839" s="385"/>
      <c r="X839" s="4253"/>
      <c r="Y839" s="385">
        <f>Q839+S839+U839+W839</f>
        <v>0</v>
      </c>
      <c r="Z839" s="4443"/>
      <c r="AA839" s="439">
        <f>M839+Y839</f>
        <v>3</v>
      </c>
      <c r="AB839" s="4432"/>
      <c r="AC839" s="441">
        <f>(AA839/K839)*100</f>
        <v>60</v>
      </c>
      <c r="AD839" s="4434"/>
      <c r="AE839" s="4297"/>
    </row>
    <row r="840" spans="1:31" ht="19.5" customHeight="1">
      <c r="A840" s="4453"/>
      <c r="B840" s="4454"/>
      <c r="C840" s="4454"/>
      <c r="D840" s="4454"/>
      <c r="E840" s="4454"/>
      <c r="F840" s="4454"/>
      <c r="G840" s="4454"/>
      <c r="H840" s="4454"/>
      <c r="I840" s="4454"/>
      <c r="J840" s="4454"/>
      <c r="K840" s="4454"/>
      <c r="L840" s="4454"/>
      <c r="M840" s="4454"/>
      <c r="N840" s="4454"/>
      <c r="O840" s="4454"/>
      <c r="P840" s="4454"/>
      <c r="Q840" s="4454"/>
      <c r="R840" s="4454"/>
      <c r="S840" s="4454"/>
      <c r="T840" s="4454"/>
      <c r="U840" s="4454"/>
      <c r="V840" s="4454"/>
      <c r="W840" s="4454"/>
      <c r="X840" s="4454"/>
      <c r="Y840" s="4454"/>
      <c r="Z840" s="4454"/>
      <c r="AA840" s="4454"/>
      <c r="AB840" s="4454"/>
      <c r="AC840" s="4454"/>
      <c r="AD840" s="4454"/>
      <c r="AE840" s="4455"/>
    </row>
    <row r="841" spans="1:31" s="69" customFormat="1" ht="53.25" customHeight="1">
      <c r="A841" s="67">
        <v>14</v>
      </c>
      <c r="B841" s="67"/>
      <c r="C841" s="67"/>
      <c r="D841" s="67"/>
      <c r="E841" s="67"/>
      <c r="F841" s="67"/>
      <c r="G841" s="67"/>
      <c r="H841" s="67"/>
      <c r="I841" s="68" t="s">
        <v>141</v>
      </c>
      <c r="J841" s="67"/>
      <c r="K841" s="67"/>
      <c r="L841" s="67"/>
      <c r="M841" s="67"/>
      <c r="N841" s="67"/>
      <c r="O841" s="67"/>
      <c r="P841" s="67"/>
      <c r="Q841" s="67"/>
      <c r="R841" s="67"/>
      <c r="S841" s="67"/>
      <c r="T841" s="67"/>
      <c r="U841" s="67"/>
      <c r="V841" s="67"/>
      <c r="W841" s="67"/>
      <c r="X841" s="67"/>
      <c r="Y841" s="366"/>
      <c r="Z841" s="67"/>
      <c r="AA841" s="67"/>
      <c r="AB841" s="67"/>
      <c r="AC841" s="67"/>
      <c r="AD841" s="67"/>
      <c r="AE841" s="67"/>
    </row>
    <row r="842" spans="1:31" s="642" customFormat="1" ht="51">
      <c r="A842" s="616"/>
      <c r="B842" s="652"/>
      <c r="C842" s="623">
        <v>1</v>
      </c>
      <c r="D842" s="623" t="s">
        <v>65</v>
      </c>
      <c r="E842" s="623" t="s">
        <v>93</v>
      </c>
      <c r="F842" s="623" t="s">
        <v>66</v>
      </c>
      <c r="G842" s="623" t="s">
        <v>363</v>
      </c>
      <c r="H842" s="623"/>
      <c r="I842" s="383" t="s">
        <v>771</v>
      </c>
      <c r="J842" s="383"/>
      <c r="K842" s="616"/>
      <c r="L842" s="624">
        <f>SUM(L843+L846+L848)</f>
        <v>29954808546</v>
      </c>
      <c r="M842" s="617"/>
      <c r="N842" s="624">
        <f>SUM(N843+N846+N848)</f>
        <v>4156039874</v>
      </c>
      <c r="O842" s="616"/>
      <c r="P842" s="624">
        <f>SUM(P843+P846+P848)</f>
        <v>5946936291</v>
      </c>
      <c r="Q842" s="617"/>
      <c r="R842" s="624"/>
      <c r="S842" s="616"/>
      <c r="T842" s="616"/>
      <c r="U842" s="616"/>
      <c r="V842" s="616"/>
      <c r="W842" s="616"/>
      <c r="X842" s="616"/>
      <c r="Y842" s="616"/>
      <c r="Z842" s="624"/>
      <c r="AA842" s="616"/>
      <c r="AB842" s="624">
        <f>AB843+AB846+AB846+AB848</f>
        <v>12390766922</v>
      </c>
      <c r="AC842" s="622"/>
      <c r="AD842" s="493"/>
      <c r="AE842" s="616" t="s">
        <v>694</v>
      </c>
    </row>
    <row r="843" spans="1:31" s="639" customFormat="1" ht="25.5">
      <c r="A843" s="4296"/>
      <c r="B843" s="4435"/>
      <c r="C843" s="4246">
        <v>1</v>
      </c>
      <c r="D843" s="4246" t="s">
        <v>65</v>
      </c>
      <c r="E843" s="4246" t="s">
        <v>198</v>
      </c>
      <c r="F843" s="4246" t="s">
        <v>66</v>
      </c>
      <c r="G843" s="4246" t="s">
        <v>363</v>
      </c>
      <c r="H843" s="4246" t="s">
        <v>66</v>
      </c>
      <c r="I843" s="4248" t="s">
        <v>772</v>
      </c>
      <c r="J843" s="384" t="s">
        <v>773</v>
      </c>
      <c r="K843" s="385">
        <v>2</v>
      </c>
      <c r="L843" s="4431">
        <v>7479580800</v>
      </c>
      <c r="M843" s="443">
        <v>0</v>
      </c>
      <c r="N843" s="4449">
        <v>2656363524</v>
      </c>
      <c r="O843" s="385">
        <v>2</v>
      </c>
      <c r="P843" s="4431">
        <v>1461000000</v>
      </c>
      <c r="Q843" s="443">
        <v>0</v>
      </c>
      <c r="R843" s="4431">
        <v>0</v>
      </c>
      <c r="S843" s="59"/>
      <c r="T843" s="4296"/>
      <c r="U843" s="59"/>
      <c r="V843" s="4296"/>
      <c r="W843" s="59"/>
      <c r="X843" s="4296"/>
      <c r="Y843" s="59">
        <f>O843+Q843+S843+U843</f>
        <v>2</v>
      </c>
      <c r="Z843" s="4431">
        <f>R843+T843+V843</f>
        <v>0</v>
      </c>
      <c r="AA843" s="59">
        <f t="shared" ref="AA843:AA851" si="150">Q843+S843+U843+W843</f>
        <v>0</v>
      </c>
      <c r="AB843" s="4431">
        <f>N843+Z843</f>
        <v>2656363524</v>
      </c>
      <c r="AC843" s="1909">
        <f>(AA843/K843)*100</f>
        <v>0</v>
      </c>
      <c r="AD843" s="4433">
        <f>(AB843/L843)*100</f>
        <v>35.514871689065785</v>
      </c>
      <c r="AE843" s="4296" t="s">
        <v>694</v>
      </c>
    </row>
    <row r="844" spans="1:31" s="639" customFormat="1">
      <c r="A844" s="4441"/>
      <c r="B844" s="4442"/>
      <c r="C844" s="4285"/>
      <c r="D844" s="4285"/>
      <c r="E844" s="4285"/>
      <c r="F844" s="4285"/>
      <c r="G844" s="4285"/>
      <c r="H844" s="4285"/>
      <c r="I844" s="4405"/>
      <c r="J844" s="384" t="s">
        <v>774</v>
      </c>
      <c r="K844" s="385">
        <v>15</v>
      </c>
      <c r="L844" s="4440"/>
      <c r="M844" s="443">
        <v>0</v>
      </c>
      <c r="N844" s="4450"/>
      <c r="O844" s="385">
        <v>15</v>
      </c>
      <c r="P844" s="4440"/>
      <c r="Q844" s="443">
        <v>0</v>
      </c>
      <c r="R844" s="4440"/>
      <c r="S844" s="59"/>
      <c r="T844" s="4441"/>
      <c r="U844" s="59"/>
      <c r="V844" s="4441"/>
      <c r="W844" s="59"/>
      <c r="X844" s="4441"/>
      <c r="Y844" s="59">
        <f t="shared" ref="Y844:Y851" si="151">O844+Q844+S844+U844</f>
        <v>15</v>
      </c>
      <c r="Z844" s="4440"/>
      <c r="AA844" s="59">
        <f t="shared" si="150"/>
        <v>0</v>
      </c>
      <c r="AB844" s="4440"/>
      <c r="AC844" s="1909">
        <f t="shared" ref="AC844:AC851" si="152">(AA844/K844)*100</f>
        <v>0</v>
      </c>
      <c r="AD844" s="4448"/>
      <c r="AE844" s="4441"/>
    </row>
    <row r="845" spans="1:31" s="639" customFormat="1" ht="25.5">
      <c r="A845" s="4441"/>
      <c r="B845" s="4442"/>
      <c r="C845" s="4285"/>
      <c r="D845" s="4285"/>
      <c r="E845" s="4285"/>
      <c r="F845" s="4285"/>
      <c r="G845" s="4285"/>
      <c r="H845" s="4285"/>
      <c r="I845" s="4405"/>
      <c r="J845" s="384" t="s">
        <v>775</v>
      </c>
      <c r="K845" s="385">
        <v>26</v>
      </c>
      <c r="L845" s="4440"/>
      <c r="M845" s="443">
        <v>0</v>
      </c>
      <c r="N845" s="4450"/>
      <c r="O845" s="385">
        <v>26</v>
      </c>
      <c r="P845" s="4440"/>
      <c r="Q845" s="443">
        <v>0</v>
      </c>
      <c r="R845" s="4440"/>
      <c r="S845" s="59"/>
      <c r="T845" s="4441"/>
      <c r="U845" s="59"/>
      <c r="V845" s="4441"/>
      <c r="W845" s="59"/>
      <c r="X845" s="4441"/>
      <c r="Y845" s="59">
        <f t="shared" si="151"/>
        <v>26</v>
      </c>
      <c r="Z845" s="4440"/>
      <c r="AA845" s="59">
        <f t="shared" si="150"/>
        <v>0</v>
      </c>
      <c r="AB845" s="4440"/>
      <c r="AC845" s="1909">
        <f t="shared" si="152"/>
        <v>0</v>
      </c>
      <c r="AD845" s="4448"/>
      <c r="AE845" s="4441"/>
    </row>
    <row r="846" spans="1:31" s="639" customFormat="1" ht="25.5">
      <c r="A846" s="4296"/>
      <c r="B846" s="4435"/>
      <c r="C846" s="4246">
        <v>1</v>
      </c>
      <c r="D846" s="4246" t="s">
        <v>65</v>
      </c>
      <c r="E846" s="4246" t="s">
        <v>198</v>
      </c>
      <c r="F846" s="4246" t="s">
        <v>66</v>
      </c>
      <c r="G846" s="4246" t="s">
        <v>363</v>
      </c>
      <c r="H846" s="4246" t="s">
        <v>65</v>
      </c>
      <c r="I846" s="4248" t="s">
        <v>776</v>
      </c>
      <c r="J846" s="58" t="s">
        <v>777</v>
      </c>
      <c r="K846" s="59">
        <v>8</v>
      </c>
      <c r="L846" s="4431">
        <f>6*P846</f>
        <v>273277746</v>
      </c>
      <c r="M846" s="443">
        <v>0</v>
      </c>
      <c r="N846" s="4450"/>
      <c r="O846" s="59">
        <v>8</v>
      </c>
      <c r="P846" s="4431">
        <v>45546291</v>
      </c>
      <c r="Q846" s="443"/>
      <c r="R846" s="4440"/>
      <c r="S846" s="59"/>
      <c r="T846" s="4441"/>
      <c r="U846" s="59"/>
      <c r="V846" s="4441"/>
      <c r="W846" s="59"/>
      <c r="X846" s="4441"/>
      <c r="Y846" s="59">
        <f t="shared" si="151"/>
        <v>8</v>
      </c>
      <c r="Z846" s="4440">
        <v>0</v>
      </c>
      <c r="AA846" s="59">
        <f t="shared" si="150"/>
        <v>0</v>
      </c>
      <c r="AB846" s="4440">
        <v>4117363524</v>
      </c>
      <c r="AC846" s="1909">
        <f t="shared" si="152"/>
        <v>0</v>
      </c>
      <c r="AD846" s="4448">
        <v>55.048051944301477</v>
      </c>
      <c r="AE846" s="4296" t="s">
        <v>694</v>
      </c>
    </row>
    <row r="847" spans="1:31" s="639" customFormat="1" ht="25.5">
      <c r="A847" s="4441"/>
      <c r="B847" s="4442"/>
      <c r="C847" s="4285"/>
      <c r="D847" s="4285"/>
      <c r="E847" s="4285"/>
      <c r="F847" s="4285"/>
      <c r="G847" s="4285"/>
      <c r="H847" s="4285"/>
      <c r="I847" s="4405"/>
      <c r="J847" s="58" t="s">
        <v>778</v>
      </c>
      <c r="K847" s="59">
        <v>5</v>
      </c>
      <c r="L847" s="4440"/>
      <c r="M847" s="443">
        <v>0</v>
      </c>
      <c r="N847" s="4451"/>
      <c r="O847" s="59">
        <v>5</v>
      </c>
      <c r="P847" s="4440"/>
      <c r="Q847" s="443"/>
      <c r="R847" s="4432"/>
      <c r="S847" s="59"/>
      <c r="T847" s="4297"/>
      <c r="U847" s="59"/>
      <c r="V847" s="4297"/>
      <c r="W847" s="59"/>
      <c r="X847" s="4297"/>
      <c r="Y847" s="59">
        <f t="shared" si="151"/>
        <v>5</v>
      </c>
      <c r="Z847" s="4432"/>
      <c r="AA847" s="59">
        <f t="shared" si="150"/>
        <v>0</v>
      </c>
      <c r="AB847" s="4432"/>
      <c r="AC847" s="1909">
        <f t="shared" si="152"/>
        <v>0</v>
      </c>
      <c r="AD847" s="4434"/>
      <c r="AE847" s="4297"/>
    </row>
    <row r="848" spans="1:31" s="639" customFormat="1">
      <c r="A848" s="4296"/>
      <c r="B848" s="4435"/>
      <c r="C848" s="4246">
        <v>1</v>
      </c>
      <c r="D848" s="4246" t="s">
        <v>65</v>
      </c>
      <c r="E848" s="4246" t="s">
        <v>198</v>
      </c>
      <c r="F848" s="4246" t="s">
        <v>66</v>
      </c>
      <c r="G848" s="4246" t="s">
        <v>363</v>
      </c>
      <c r="H848" s="4246" t="s">
        <v>196</v>
      </c>
      <c r="I848" s="4248" t="s">
        <v>779</v>
      </c>
      <c r="J848" s="58" t="s">
        <v>780</v>
      </c>
      <c r="K848" s="59">
        <f>15*12*6</f>
        <v>1080</v>
      </c>
      <c r="L848" s="4431">
        <f>P848*5</f>
        <v>22201950000</v>
      </c>
      <c r="M848" s="443">
        <f>15*2*12</f>
        <v>360</v>
      </c>
      <c r="N848" s="4449">
        <v>1499676350</v>
      </c>
      <c r="O848" s="59">
        <f>15*12</f>
        <v>180</v>
      </c>
      <c r="P848" s="4431">
        <v>4440390000</v>
      </c>
      <c r="Q848" s="443">
        <v>3</v>
      </c>
      <c r="R848" s="4431">
        <v>128709132</v>
      </c>
      <c r="S848" s="59"/>
      <c r="T848" s="4296">
        <v>0</v>
      </c>
      <c r="U848" s="59"/>
      <c r="V848" s="4296">
        <v>0</v>
      </c>
      <c r="W848" s="59"/>
      <c r="X848" s="4296">
        <v>0</v>
      </c>
      <c r="Y848" s="59">
        <f t="shared" si="151"/>
        <v>183</v>
      </c>
      <c r="Z848" s="4431">
        <v>0</v>
      </c>
      <c r="AA848" s="59">
        <f t="shared" si="150"/>
        <v>3</v>
      </c>
      <c r="AB848" s="4431">
        <f>N848+Z848</f>
        <v>1499676350</v>
      </c>
      <c r="AC848" s="1909">
        <f t="shared" si="152"/>
        <v>0.27777777777777779</v>
      </c>
      <c r="AD848" s="4433">
        <f>(AB848/L848)*100</f>
        <v>6.7547055551426789</v>
      </c>
      <c r="AE848" s="4296" t="s">
        <v>694</v>
      </c>
    </row>
    <row r="849" spans="1:31" s="639" customFormat="1">
      <c r="A849" s="4441"/>
      <c r="B849" s="4442"/>
      <c r="C849" s="4285"/>
      <c r="D849" s="4285"/>
      <c r="E849" s="4285"/>
      <c r="F849" s="4285"/>
      <c r="G849" s="4285"/>
      <c r="H849" s="4285"/>
      <c r="I849" s="4405"/>
      <c r="J849" s="58" t="s">
        <v>781</v>
      </c>
      <c r="K849" s="59">
        <f>15*12*6</f>
        <v>1080</v>
      </c>
      <c r="L849" s="4440"/>
      <c r="M849" s="443">
        <f>15*2*12</f>
        <v>360</v>
      </c>
      <c r="N849" s="4450"/>
      <c r="O849" s="59">
        <f>15*12</f>
        <v>180</v>
      </c>
      <c r="P849" s="4440"/>
      <c r="Q849" s="443">
        <v>3</v>
      </c>
      <c r="R849" s="4440"/>
      <c r="S849" s="59"/>
      <c r="T849" s="4441"/>
      <c r="U849" s="59"/>
      <c r="V849" s="4441"/>
      <c r="W849" s="59"/>
      <c r="X849" s="4441"/>
      <c r="Y849" s="59">
        <f t="shared" si="151"/>
        <v>183</v>
      </c>
      <c r="Z849" s="4440"/>
      <c r="AA849" s="59">
        <f t="shared" si="150"/>
        <v>3</v>
      </c>
      <c r="AB849" s="4440"/>
      <c r="AC849" s="1909">
        <f t="shared" si="152"/>
        <v>0.27777777777777779</v>
      </c>
      <c r="AD849" s="4448"/>
      <c r="AE849" s="4441"/>
    </row>
    <row r="850" spans="1:31" s="639" customFormat="1" ht="25.5">
      <c r="A850" s="4441"/>
      <c r="B850" s="4442"/>
      <c r="C850" s="4285"/>
      <c r="D850" s="4285"/>
      <c r="E850" s="4285"/>
      <c r="F850" s="4285"/>
      <c r="G850" s="4285"/>
      <c r="H850" s="4285"/>
      <c r="I850" s="4405"/>
      <c r="J850" s="58" t="s">
        <v>782</v>
      </c>
      <c r="K850" s="59">
        <f>15*12*6</f>
        <v>1080</v>
      </c>
      <c r="L850" s="4440"/>
      <c r="M850" s="443">
        <f>15*2*12</f>
        <v>360</v>
      </c>
      <c r="N850" s="4450"/>
      <c r="O850" s="59">
        <f>15*12</f>
        <v>180</v>
      </c>
      <c r="P850" s="4440"/>
      <c r="Q850" s="443">
        <v>3</v>
      </c>
      <c r="R850" s="4440"/>
      <c r="S850" s="59"/>
      <c r="T850" s="4441"/>
      <c r="U850" s="59"/>
      <c r="V850" s="4441"/>
      <c r="W850" s="59"/>
      <c r="X850" s="4441"/>
      <c r="Y850" s="59">
        <f t="shared" si="151"/>
        <v>183</v>
      </c>
      <c r="Z850" s="4440"/>
      <c r="AA850" s="59">
        <f t="shared" si="150"/>
        <v>3</v>
      </c>
      <c r="AB850" s="4440"/>
      <c r="AC850" s="1909">
        <f t="shared" si="152"/>
        <v>0.27777777777777779</v>
      </c>
      <c r="AD850" s="4448"/>
      <c r="AE850" s="4441"/>
    </row>
    <row r="851" spans="1:31" s="639" customFormat="1">
      <c r="A851" s="4441"/>
      <c r="B851" s="4442"/>
      <c r="C851" s="4285"/>
      <c r="D851" s="4285"/>
      <c r="E851" s="4285"/>
      <c r="F851" s="4285"/>
      <c r="G851" s="4285"/>
      <c r="H851" s="4285"/>
      <c r="I851" s="4405"/>
      <c r="J851" s="58" t="s">
        <v>783</v>
      </c>
      <c r="K851" s="59">
        <f>15*12*6</f>
        <v>1080</v>
      </c>
      <c r="L851" s="4440"/>
      <c r="M851" s="443">
        <f>15*2*12</f>
        <v>360</v>
      </c>
      <c r="N851" s="4451"/>
      <c r="O851" s="59">
        <f>15*12</f>
        <v>180</v>
      </c>
      <c r="P851" s="4440"/>
      <c r="Q851" s="443">
        <v>3</v>
      </c>
      <c r="R851" s="4432"/>
      <c r="S851" s="59"/>
      <c r="T851" s="4297"/>
      <c r="U851" s="59"/>
      <c r="V851" s="4297"/>
      <c r="W851" s="59"/>
      <c r="X851" s="4297"/>
      <c r="Y851" s="59">
        <f t="shared" si="151"/>
        <v>183</v>
      </c>
      <c r="Z851" s="4432"/>
      <c r="AA851" s="59">
        <f t="shared" si="150"/>
        <v>3</v>
      </c>
      <c r="AB851" s="4432"/>
      <c r="AC851" s="1909">
        <f t="shared" si="152"/>
        <v>0.27777777777777779</v>
      </c>
      <c r="AD851" s="4434"/>
      <c r="AE851" s="4297"/>
    </row>
    <row r="852" spans="1:31" s="642" customFormat="1" ht="25.5">
      <c r="A852" s="616"/>
      <c r="B852" s="652"/>
      <c r="C852" s="623">
        <v>1</v>
      </c>
      <c r="D852" s="623" t="s">
        <v>65</v>
      </c>
      <c r="E852" s="623" t="s">
        <v>198</v>
      </c>
      <c r="F852" s="623" t="s">
        <v>66</v>
      </c>
      <c r="G852" s="623" t="s">
        <v>368</v>
      </c>
      <c r="H852" s="623"/>
      <c r="I852" s="383" t="s">
        <v>784</v>
      </c>
      <c r="J852" s="383"/>
      <c r="K852" s="616"/>
      <c r="L852" s="624">
        <f>L853</f>
        <v>150483974</v>
      </c>
      <c r="M852" s="636"/>
      <c r="N852" s="637"/>
      <c r="O852" s="630"/>
      <c r="P852" s="632">
        <f>P853</f>
        <v>234161150</v>
      </c>
      <c r="Q852" s="636"/>
      <c r="R852" s="632"/>
      <c r="S852" s="630"/>
      <c r="T852" s="630"/>
      <c r="U852" s="630"/>
      <c r="V852" s="630"/>
      <c r="W852" s="630"/>
      <c r="X852" s="630"/>
      <c r="Y852" s="630"/>
      <c r="Z852" s="632"/>
      <c r="AA852" s="630"/>
      <c r="AB852" s="632">
        <f>AB853</f>
        <v>0</v>
      </c>
      <c r="AC852" s="626"/>
      <c r="AD852" s="638"/>
      <c r="AE852" s="616" t="s">
        <v>694</v>
      </c>
    </row>
    <row r="853" spans="1:31" s="639" customFormat="1" ht="33" customHeight="1">
      <c r="A853" s="4296"/>
      <c r="B853" s="4435"/>
      <c r="C853" s="4246">
        <v>1</v>
      </c>
      <c r="D853" s="4246" t="s">
        <v>65</v>
      </c>
      <c r="E853" s="4246" t="s">
        <v>198</v>
      </c>
      <c r="F853" s="4246" t="s">
        <v>66</v>
      </c>
      <c r="G853" s="4246" t="s">
        <v>368</v>
      </c>
      <c r="H853" s="4246" t="s">
        <v>65</v>
      </c>
      <c r="I853" s="4248" t="s">
        <v>785</v>
      </c>
      <c r="J853" s="58" t="s">
        <v>786</v>
      </c>
      <c r="K853" s="59">
        <v>6</v>
      </c>
      <c r="L853" s="4431">
        <v>150483974</v>
      </c>
      <c r="M853" s="443">
        <v>2</v>
      </c>
      <c r="N853" s="4449">
        <v>0</v>
      </c>
      <c r="O853" s="59">
        <v>1</v>
      </c>
      <c r="P853" s="4431">
        <v>234161150</v>
      </c>
      <c r="Q853" s="443">
        <v>0</v>
      </c>
      <c r="R853" s="4431">
        <v>0</v>
      </c>
      <c r="S853" s="59"/>
      <c r="T853" s="4296"/>
      <c r="U853" s="59"/>
      <c r="V853" s="4296"/>
      <c r="W853" s="59"/>
      <c r="X853" s="4296"/>
      <c r="Y853" s="59"/>
      <c r="Z853" s="4431">
        <f>R853+T856+V856+X856</f>
        <v>0</v>
      </c>
      <c r="AA853" s="59">
        <f>M853+Y853</f>
        <v>2</v>
      </c>
      <c r="AB853" s="4431">
        <f>N853+Z853</f>
        <v>0</v>
      </c>
      <c r="AC853" s="1909">
        <f t="shared" ref="AC853:AC863" si="153">(AA853/K853)*100</f>
        <v>33.333333333333329</v>
      </c>
      <c r="AD853" s="4433">
        <f>(AB853/L853)*100</f>
        <v>0</v>
      </c>
      <c r="AE853" s="4296" t="s">
        <v>694</v>
      </c>
    </row>
    <row r="854" spans="1:31" s="639" customFormat="1" ht="25.5">
      <c r="A854" s="4441"/>
      <c r="B854" s="4442"/>
      <c r="C854" s="4285"/>
      <c r="D854" s="4285"/>
      <c r="E854" s="4285"/>
      <c r="F854" s="4285"/>
      <c r="G854" s="4285"/>
      <c r="H854" s="4285"/>
      <c r="I854" s="4405"/>
      <c r="J854" s="58" t="s">
        <v>787</v>
      </c>
      <c r="K854" s="59">
        <v>6</v>
      </c>
      <c r="L854" s="4440"/>
      <c r="M854" s="443">
        <v>2</v>
      </c>
      <c r="N854" s="4450"/>
      <c r="O854" s="59">
        <v>1</v>
      </c>
      <c r="P854" s="4440"/>
      <c r="Q854" s="443">
        <v>0</v>
      </c>
      <c r="R854" s="4440"/>
      <c r="S854" s="59"/>
      <c r="T854" s="4441"/>
      <c r="U854" s="59"/>
      <c r="V854" s="4441"/>
      <c r="W854" s="59"/>
      <c r="X854" s="4441"/>
      <c r="Y854" s="59"/>
      <c r="Z854" s="4440"/>
      <c r="AA854" s="59">
        <f>M854+Y854</f>
        <v>2</v>
      </c>
      <c r="AB854" s="4440"/>
      <c r="AC854" s="1909">
        <f t="shared" si="153"/>
        <v>33.333333333333329</v>
      </c>
      <c r="AD854" s="4448"/>
      <c r="AE854" s="4441"/>
    </row>
    <row r="855" spans="1:31" s="639" customFormat="1" ht="25.5">
      <c r="A855" s="4441"/>
      <c r="B855" s="4442"/>
      <c r="C855" s="4285"/>
      <c r="D855" s="4285"/>
      <c r="E855" s="4285"/>
      <c r="F855" s="4285"/>
      <c r="G855" s="4285"/>
      <c r="H855" s="4285"/>
      <c r="I855" s="4405"/>
      <c r="J855" s="58" t="s">
        <v>788</v>
      </c>
      <c r="K855" s="59">
        <v>6</v>
      </c>
      <c r="L855" s="4440"/>
      <c r="M855" s="443">
        <v>2</v>
      </c>
      <c r="N855" s="4450"/>
      <c r="O855" s="59">
        <v>1</v>
      </c>
      <c r="P855" s="4440"/>
      <c r="Q855" s="443">
        <v>0</v>
      </c>
      <c r="R855" s="4440"/>
      <c r="S855" s="59"/>
      <c r="T855" s="4441"/>
      <c r="U855" s="59"/>
      <c r="V855" s="4441"/>
      <c r="W855" s="59"/>
      <c r="X855" s="4441"/>
      <c r="Y855" s="59"/>
      <c r="Z855" s="4440"/>
      <c r="AA855" s="59">
        <f>M855+Y855</f>
        <v>2</v>
      </c>
      <c r="AB855" s="4440"/>
      <c r="AC855" s="1909">
        <f t="shared" si="153"/>
        <v>33.333333333333329</v>
      </c>
      <c r="AD855" s="4448"/>
      <c r="AE855" s="4441"/>
    </row>
    <row r="856" spans="1:31" s="639" customFormat="1" ht="25.5">
      <c r="A856" s="4297"/>
      <c r="B856" s="4436"/>
      <c r="C856" s="4247"/>
      <c r="D856" s="4247"/>
      <c r="E856" s="4247"/>
      <c r="F856" s="4247"/>
      <c r="G856" s="4247"/>
      <c r="H856" s="4247"/>
      <c r="I856" s="4249"/>
      <c r="J856" s="58" t="s">
        <v>789</v>
      </c>
      <c r="K856" s="59">
        <v>6</v>
      </c>
      <c r="L856" s="4432"/>
      <c r="M856" s="443">
        <v>2</v>
      </c>
      <c r="N856" s="4451"/>
      <c r="O856" s="59">
        <v>1</v>
      </c>
      <c r="P856" s="4432"/>
      <c r="Q856" s="443">
        <v>0</v>
      </c>
      <c r="R856" s="4432"/>
      <c r="S856" s="59"/>
      <c r="T856" s="4297"/>
      <c r="U856" s="59"/>
      <c r="V856" s="4297"/>
      <c r="W856" s="59"/>
      <c r="X856" s="4297"/>
      <c r="Y856" s="59">
        <f>Q856+S856+U856+W856</f>
        <v>0</v>
      </c>
      <c r="Z856" s="4432"/>
      <c r="AA856" s="59">
        <f>M856+Y856</f>
        <v>2</v>
      </c>
      <c r="AB856" s="4432"/>
      <c r="AC856" s="1909">
        <f t="shared" si="153"/>
        <v>33.333333333333329</v>
      </c>
      <c r="AD856" s="4434"/>
      <c r="AE856" s="4297"/>
    </row>
    <row r="857" spans="1:31" s="145" customFormat="1" ht="25.5">
      <c r="A857" s="630"/>
      <c r="B857" s="652"/>
      <c r="C857" s="623">
        <v>1</v>
      </c>
      <c r="D857" s="623" t="s">
        <v>65</v>
      </c>
      <c r="E857" s="623" t="s">
        <v>198</v>
      </c>
      <c r="F857" s="623" t="s">
        <v>66</v>
      </c>
      <c r="G857" s="623" t="s">
        <v>399</v>
      </c>
      <c r="H857" s="627"/>
      <c r="I857" s="57" t="s">
        <v>790</v>
      </c>
      <c r="J857" s="57"/>
      <c r="K857" s="630"/>
      <c r="L857" s="632">
        <f>L858</f>
        <v>1881075000</v>
      </c>
      <c r="M857" s="636"/>
      <c r="N857" s="637"/>
      <c r="O857" s="630"/>
      <c r="P857" s="632">
        <f>P858</f>
        <v>203325473</v>
      </c>
      <c r="Q857" s="636"/>
      <c r="R857" s="632"/>
      <c r="S857" s="630"/>
      <c r="T857" s="630"/>
      <c r="U857" s="630"/>
      <c r="V857" s="630"/>
      <c r="W857" s="630"/>
      <c r="X857" s="630"/>
      <c r="Y857" s="630"/>
      <c r="Z857" s="632"/>
      <c r="AA857" s="630"/>
      <c r="AB857" s="632">
        <f>AB858</f>
        <v>600186423</v>
      </c>
      <c r="AC857" s="1909"/>
      <c r="AD857" s="638"/>
      <c r="AE857" s="616" t="s">
        <v>694</v>
      </c>
    </row>
    <row r="858" spans="1:31" s="63" customFormat="1">
      <c r="A858" s="4296"/>
      <c r="B858" s="4435"/>
      <c r="C858" s="4246">
        <v>1</v>
      </c>
      <c r="D858" s="4246" t="s">
        <v>65</v>
      </c>
      <c r="E858" s="4246" t="s">
        <v>198</v>
      </c>
      <c r="F858" s="4246" t="s">
        <v>66</v>
      </c>
      <c r="G858" s="4246" t="s">
        <v>399</v>
      </c>
      <c r="H858" s="4246" t="s">
        <v>95</v>
      </c>
      <c r="I858" s="4248" t="s">
        <v>791</v>
      </c>
      <c r="J858" s="58" t="s">
        <v>792</v>
      </c>
      <c r="K858" s="59">
        <v>600</v>
      </c>
      <c r="L858" s="4431">
        <v>1881075000</v>
      </c>
      <c r="M858" s="443">
        <v>367</v>
      </c>
      <c r="N858" s="4449">
        <v>555510000</v>
      </c>
      <c r="O858" s="59">
        <v>100</v>
      </c>
      <c r="P858" s="4431">
        <v>203325473</v>
      </c>
      <c r="Q858" s="443">
        <v>89</v>
      </c>
      <c r="R858" s="4431">
        <v>44676423</v>
      </c>
      <c r="S858" s="59"/>
      <c r="T858" s="4296"/>
      <c r="U858" s="59"/>
      <c r="V858" s="4296"/>
      <c r="W858" s="59"/>
      <c r="X858" s="4296"/>
      <c r="Y858" s="59"/>
      <c r="Z858" s="4431">
        <f>R858+T863+V863+X863</f>
        <v>44676423</v>
      </c>
      <c r="AA858" s="59">
        <f t="shared" ref="AA858:AA863" si="154">M858+Y858</f>
        <v>367</v>
      </c>
      <c r="AB858" s="4431">
        <f>N858+Z858</f>
        <v>600186423</v>
      </c>
      <c r="AC858" s="1909">
        <f t="shared" si="153"/>
        <v>61.166666666666671</v>
      </c>
      <c r="AD858" s="4433">
        <f>(AB858/L858)*100</f>
        <v>31.906565288465373</v>
      </c>
      <c r="AE858" s="4296" t="s">
        <v>694</v>
      </c>
    </row>
    <row r="859" spans="1:31" s="63" customFormat="1" ht="18.75" customHeight="1">
      <c r="A859" s="4441"/>
      <c r="B859" s="4442"/>
      <c r="C859" s="4285"/>
      <c r="D859" s="4285"/>
      <c r="E859" s="4285"/>
      <c r="F859" s="4285"/>
      <c r="G859" s="4285"/>
      <c r="H859" s="4285"/>
      <c r="I859" s="4405"/>
      <c r="J859" s="58" t="s">
        <v>793</v>
      </c>
      <c r="K859" s="59">
        <v>300</v>
      </c>
      <c r="L859" s="4440"/>
      <c r="M859" s="443">
        <v>177</v>
      </c>
      <c r="N859" s="4450"/>
      <c r="O859" s="59">
        <v>50</v>
      </c>
      <c r="P859" s="4440"/>
      <c r="Q859" s="443">
        <v>0</v>
      </c>
      <c r="R859" s="4440"/>
      <c r="S859" s="59"/>
      <c r="T859" s="4441"/>
      <c r="U859" s="59"/>
      <c r="V859" s="4441"/>
      <c r="W859" s="59"/>
      <c r="X859" s="4441"/>
      <c r="Y859" s="59"/>
      <c r="Z859" s="4440"/>
      <c r="AA859" s="59">
        <f t="shared" si="154"/>
        <v>177</v>
      </c>
      <c r="AB859" s="4440"/>
      <c r="AC859" s="1909">
        <f t="shared" si="153"/>
        <v>59</v>
      </c>
      <c r="AD859" s="4448"/>
      <c r="AE859" s="4441"/>
    </row>
    <row r="860" spans="1:31" s="63" customFormat="1" ht="18.75" customHeight="1">
      <c r="A860" s="4441"/>
      <c r="B860" s="4442"/>
      <c r="C860" s="4285"/>
      <c r="D860" s="4285"/>
      <c r="E860" s="4285"/>
      <c r="F860" s="4285"/>
      <c r="G860" s="4285"/>
      <c r="H860" s="4285"/>
      <c r="I860" s="4405"/>
      <c r="J860" s="58" t="s">
        <v>794</v>
      </c>
      <c r="K860" s="59">
        <v>600</v>
      </c>
      <c r="L860" s="4440"/>
      <c r="M860" s="443">
        <v>290</v>
      </c>
      <c r="N860" s="4450"/>
      <c r="O860" s="59">
        <v>100</v>
      </c>
      <c r="P860" s="4440"/>
      <c r="Q860" s="443">
        <v>0</v>
      </c>
      <c r="R860" s="4440"/>
      <c r="S860" s="59"/>
      <c r="T860" s="4441"/>
      <c r="U860" s="59"/>
      <c r="V860" s="4441"/>
      <c r="W860" s="59"/>
      <c r="X860" s="4441"/>
      <c r="Y860" s="59"/>
      <c r="Z860" s="4440"/>
      <c r="AA860" s="59">
        <f t="shared" si="154"/>
        <v>290</v>
      </c>
      <c r="AB860" s="4440"/>
      <c r="AC860" s="1909">
        <f t="shared" si="153"/>
        <v>48.333333333333336</v>
      </c>
      <c r="AD860" s="4448"/>
      <c r="AE860" s="4441"/>
    </row>
    <row r="861" spans="1:31" s="63" customFormat="1">
      <c r="A861" s="4441"/>
      <c r="B861" s="4442"/>
      <c r="C861" s="4285"/>
      <c r="D861" s="4285"/>
      <c r="E861" s="4285"/>
      <c r="F861" s="4285"/>
      <c r="G861" s="4285"/>
      <c r="H861" s="4285"/>
      <c r="I861" s="4405"/>
      <c r="J861" s="58" t="s">
        <v>795</v>
      </c>
      <c r="K861" s="59">
        <v>6</v>
      </c>
      <c r="L861" s="4440"/>
      <c r="M861" s="443">
        <v>2</v>
      </c>
      <c r="N861" s="4450"/>
      <c r="O861" s="59">
        <v>1</v>
      </c>
      <c r="P861" s="4440"/>
      <c r="Q861" s="443">
        <v>0</v>
      </c>
      <c r="R861" s="4440"/>
      <c r="S861" s="59"/>
      <c r="T861" s="4441"/>
      <c r="U861" s="59"/>
      <c r="V861" s="4441"/>
      <c r="W861" s="59"/>
      <c r="X861" s="4441"/>
      <c r="Y861" s="59"/>
      <c r="Z861" s="4440"/>
      <c r="AA861" s="59">
        <f t="shared" si="154"/>
        <v>2</v>
      </c>
      <c r="AB861" s="4440"/>
      <c r="AC861" s="1909">
        <f t="shared" si="153"/>
        <v>33.333333333333329</v>
      </c>
      <c r="AD861" s="4448"/>
      <c r="AE861" s="4441"/>
    </row>
    <row r="862" spans="1:31" s="63" customFormat="1" ht="25.5">
      <c r="A862" s="4441"/>
      <c r="B862" s="4442"/>
      <c r="C862" s="4285"/>
      <c r="D862" s="4285"/>
      <c r="E862" s="4285"/>
      <c r="F862" s="4285"/>
      <c r="G862" s="4285"/>
      <c r="H862" s="4285"/>
      <c r="I862" s="4405"/>
      <c r="J862" s="58" t="s">
        <v>796</v>
      </c>
      <c r="K862" s="59">
        <v>6</v>
      </c>
      <c r="L862" s="4440"/>
      <c r="M862" s="443">
        <v>2</v>
      </c>
      <c r="N862" s="4450"/>
      <c r="O862" s="59">
        <v>1</v>
      </c>
      <c r="P862" s="4440"/>
      <c r="Q862" s="443">
        <v>0</v>
      </c>
      <c r="R862" s="4440"/>
      <c r="S862" s="59"/>
      <c r="T862" s="4441"/>
      <c r="U862" s="59"/>
      <c r="V862" s="4441"/>
      <c r="W862" s="59"/>
      <c r="X862" s="4441"/>
      <c r="Y862" s="59"/>
      <c r="Z862" s="4440"/>
      <c r="AA862" s="59">
        <f t="shared" si="154"/>
        <v>2</v>
      </c>
      <c r="AB862" s="4440"/>
      <c r="AC862" s="1909">
        <f t="shared" si="153"/>
        <v>33.333333333333329</v>
      </c>
      <c r="AD862" s="4448"/>
      <c r="AE862" s="4441"/>
    </row>
    <row r="863" spans="1:31" s="63" customFormat="1" ht="25.5">
      <c r="A863" s="4297"/>
      <c r="B863" s="4436"/>
      <c r="C863" s="4247"/>
      <c r="D863" s="4247"/>
      <c r="E863" s="4247"/>
      <c r="F863" s="4247"/>
      <c r="G863" s="4247"/>
      <c r="H863" s="4247"/>
      <c r="I863" s="4249"/>
      <c r="J863" s="58" t="s">
        <v>797</v>
      </c>
      <c r="K863" s="59">
        <v>6</v>
      </c>
      <c r="L863" s="4432"/>
      <c r="M863" s="443">
        <v>2</v>
      </c>
      <c r="N863" s="4451"/>
      <c r="O863" s="59">
        <v>1</v>
      </c>
      <c r="P863" s="4432"/>
      <c r="Q863" s="443">
        <v>0</v>
      </c>
      <c r="R863" s="4432"/>
      <c r="S863" s="59"/>
      <c r="T863" s="4297"/>
      <c r="U863" s="59"/>
      <c r="V863" s="4297"/>
      <c r="W863" s="59"/>
      <c r="X863" s="4297"/>
      <c r="Y863" s="59">
        <f>Q863+S863+U863+W863</f>
        <v>0</v>
      </c>
      <c r="Z863" s="4432"/>
      <c r="AA863" s="59">
        <f t="shared" si="154"/>
        <v>2</v>
      </c>
      <c r="AB863" s="4432"/>
      <c r="AC863" s="1909">
        <f t="shared" si="153"/>
        <v>33.333333333333329</v>
      </c>
      <c r="AD863" s="4434"/>
      <c r="AE863" s="4297"/>
    </row>
    <row r="864" spans="1:31" s="145" customFormat="1" ht="25.5">
      <c r="A864" s="630"/>
      <c r="B864" s="652"/>
      <c r="C864" s="623">
        <v>1</v>
      </c>
      <c r="D864" s="623" t="s">
        <v>65</v>
      </c>
      <c r="E864" s="623" t="s">
        <v>107</v>
      </c>
      <c r="F864" s="623" t="s">
        <v>65</v>
      </c>
      <c r="G864" s="623" t="s">
        <v>161</v>
      </c>
      <c r="H864" s="627"/>
      <c r="I864" s="57" t="s">
        <v>798</v>
      </c>
      <c r="J864" s="57"/>
      <c r="K864" s="630"/>
      <c r="L864" s="632">
        <f>L865</f>
        <v>250000000</v>
      </c>
      <c r="M864" s="636"/>
      <c r="N864" s="637"/>
      <c r="O864" s="630"/>
      <c r="P864" s="632">
        <f>P865</f>
        <v>36230500</v>
      </c>
      <c r="Q864" s="636"/>
      <c r="R864" s="632"/>
      <c r="S864" s="630"/>
      <c r="T864" s="630"/>
      <c r="U864" s="630"/>
      <c r="V864" s="630"/>
      <c r="W864" s="630"/>
      <c r="X864" s="630"/>
      <c r="Y864" s="630"/>
      <c r="Z864" s="632"/>
      <c r="AA864" s="630"/>
      <c r="AB864" s="632">
        <f>AB865</f>
        <v>15736500</v>
      </c>
      <c r="AC864" s="626"/>
      <c r="AD864" s="638"/>
      <c r="AE864" s="616" t="s">
        <v>694</v>
      </c>
    </row>
    <row r="865" spans="1:31" s="63" customFormat="1">
      <c r="A865" s="4296"/>
      <c r="B865" s="4435"/>
      <c r="C865" s="4246">
        <v>1</v>
      </c>
      <c r="D865" s="4246" t="s">
        <v>65</v>
      </c>
      <c r="E865" s="4246" t="s">
        <v>107</v>
      </c>
      <c r="F865" s="4246" t="s">
        <v>65</v>
      </c>
      <c r="G865" s="4246" t="s">
        <v>161</v>
      </c>
      <c r="H865" s="4246" t="s">
        <v>202</v>
      </c>
      <c r="I865" s="4248" t="s">
        <v>799</v>
      </c>
      <c r="J865" s="58" t="s">
        <v>800</v>
      </c>
      <c r="K865" s="59">
        <v>6</v>
      </c>
      <c r="L865" s="4431">
        <v>250000000</v>
      </c>
      <c r="M865" s="443">
        <v>2</v>
      </c>
      <c r="N865" s="4449">
        <v>15736500</v>
      </c>
      <c r="O865" s="59">
        <v>1</v>
      </c>
      <c r="P865" s="4431">
        <v>36230500</v>
      </c>
      <c r="Q865" s="443">
        <v>0</v>
      </c>
      <c r="R865" s="4431">
        <v>0</v>
      </c>
      <c r="S865" s="59"/>
      <c r="T865" s="4296"/>
      <c r="U865" s="59"/>
      <c r="V865" s="4296"/>
      <c r="W865" s="59"/>
      <c r="X865" s="4296"/>
      <c r="Y865" s="59"/>
      <c r="Z865" s="4431">
        <f>R865+T866+V866+X866</f>
        <v>0</v>
      </c>
      <c r="AA865" s="59">
        <f>M865+Y865</f>
        <v>2</v>
      </c>
      <c r="AB865" s="4431">
        <f>N865+Z865</f>
        <v>15736500</v>
      </c>
      <c r="AC865" s="626">
        <f>(AA865/K865)*100</f>
        <v>33.333333333333329</v>
      </c>
      <c r="AD865" s="4433">
        <f>(AB865/L865)*100</f>
        <v>6.2946</v>
      </c>
      <c r="AE865" s="4296" t="s">
        <v>694</v>
      </c>
    </row>
    <row r="866" spans="1:31" s="63" customFormat="1">
      <c r="A866" s="4297"/>
      <c r="B866" s="4436"/>
      <c r="C866" s="4247"/>
      <c r="D866" s="4247"/>
      <c r="E866" s="4247"/>
      <c r="F866" s="4247"/>
      <c r="G866" s="4247"/>
      <c r="H866" s="4247"/>
      <c r="I866" s="4249"/>
      <c r="J866" s="58" t="s">
        <v>801</v>
      </c>
      <c r="K866" s="59">
        <v>6</v>
      </c>
      <c r="L866" s="4432"/>
      <c r="M866" s="443">
        <v>2</v>
      </c>
      <c r="N866" s="4451"/>
      <c r="O866" s="59">
        <v>1</v>
      </c>
      <c r="P866" s="4432"/>
      <c r="Q866" s="443">
        <v>0</v>
      </c>
      <c r="R866" s="4432"/>
      <c r="S866" s="59"/>
      <c r="T866" s="4297"/>
      <c r="U866" s="59"/>
      <c r="V866" s="4297"/>
      <c r="W866" s="59"/>
      <c r="X866" s="4297"/>
      <c r="Y866" s="59">
        <f>Q866+S866+U866+W866</f>
        <v>0</v>
      </c>
      <c r="Z866" s="4432"/>
      <c r="AA866" s="59">
        <f>M866+Y866</f>
        <v>2</v>
      </c>
      <c r="AB866" s="4432"/>
      <c r="AC866" s="626">
        <f>(AA866/K866)*100</f>
        <v>33.333333333333329</v>
      </c>
      <c r="AD866" s="4434"/>
      <c r="AE866" s="4297"/>
    </row>
    <row r="867" spans="1:31" ht="15.75" customHeight="1">
      <c r="A867" s="56"/>
      <c r="B867" s="56"/>
      <c r="C867" s="56"/>
      <c r="D867" s="4461"/>
      <c r="E867" s="4462"/>
      <c r="F867" s="4462"/>
      <c r="G867" s="4462"/>
      <c r="H867" s="4462"/>
      <c r="I867" s="4462"/>
      <c r="J867" s="4462"/>
      <c r="K867" s="4462"/>
      <c r="L867" s="4462"/>
      <c r="M867" s="4462"/>
      <c r="N867" s="4462"/>
      <c r="O867" s="4462"/>
      <c r="P867" s="4462"/>
      <c r="Q867" s="4462"/>
      <c r="R867" s="4462"/>
      <c r="S867" s="4462"/>
      <c r="T867" s="4462"/>
      <c r="U867" s="4462"/>
      <c r="V867" s="4462"/>
      <c r="W867" s="4462"/>
      <c r="X867" s="4462"/>
      <c r="Y867" s="4462"/>
      <c r="Z867" s="4462"/>
      <c r="AA867" s="4462"/>
      <c r="AB867" s="4462"/>
      <c r="AC867" s="4462"/>
      <c r="AD867" s="4462"/>
      <c r="AE867" s="4463"/>
    </row>
    <row r="868" spans="1:31" s="69" customFormat="1" ht="27.75" customHeight="1">
      <c r="A868" s="74">
        <v>15</v>
      </c>
      <c r="B868" s="74"/>
      <c r="C868" s="74"/>
      <c r="D868" s="74"/>
      <c r="E868" s="74"/>
      <c r="F868" s="74"/>
      <c r="G868" s="74"/>
      <c r="H868" s="74"/>
      <c r="I868" s="76" t="s">
        <v>142</v>
      </c>
      <c r="J868" s="74"/>
      <c r="K868" s="74"/>
      <c r="L868" s="74"/>
      <c r="M868" s="74"/>
      <c r="N868" s="74"/>
      <c r="O868" s="74"/>
      <c r="P868" s="74"/>
      <c r="Q868" s="74"/>
      <c r="R868" s="74"/>
      <c r="S868" s="74"/>
      <c r="T868" s="74"/>
      <c r="U868" s="74"/>
      <c r="V868" s="74"/>
      <c r="W868" s="74"/>
      <c r="X868" s="74"/>
      <c r="Y868" s="564"/>
      <c r="Z868" s="74"/>
      <c r="AA868" s="74"/>
      <c r="AB868" s="74"/>
      <c r="AC868" s="74"/>
      <c r="AD868" s="74"/>
      <c r="AE868" s="74"/>
    </row>
    <row r="869" spans="1:31" s="545" customFormat="1" ht="51" customHeight="1">
      <c r="A869" s="532"/>
      <c r="B869" s="533"/>
      <c r="C869" s="532" t="s">
        <v>146</v>
      </c>
      <c r="D869" s="532" t="s">
        <v>65</v>
      </c>
      <c r="E869" s="532" t="s">
        <v>66</v>
      </c>
      <c r="F869" s="534"/>
      <c r="G869" s="534"/>
      <c r="H869" s="535"/>
      <c r="I869" s="535" t="s">
        <v>520</v>
      </c>
      <c r="J869" s="534" t="s">
        <v>521</v>
      </c>
      <c r="K869" s="536">
        <f>SUM(K870:K883)</f>
        <v>1008</v>
      </c>
      <c r="L869" s="537">
        <f>SUM(L870:L883)</f>
        <v>7806354500</v>
      </c>
      <c r="M869" s="538">
        <f>SUM(M870:M883)</f>
        <v>336</v>
      </c>
      <c r="N869" s="539">
        <v>1906560189</v>
      </c>
      <c r="O869" s="538">
        <f>SUM(O870:O883)</f>
        <v>168</v>
      </c>
      <c r="P869" s="539">
        <f>SUM(P870:P883)</f>
        <v>736373855</v>
      </c>
      <c r="Q869" s="542">
        <f>(Q870+Q871+Q872+Q873+Q874+Q875+Q876+Q877+Q878+Q879+Q880+Q881+Q882+Q883)/14</f>
        <v>3</v>
      </c>
      <c r="R869" s="539">
        <f>SUM(R870:R883)</f>
        <v>102846107</v>
      </c>
      <c r="S869" s="540"/>
      <c r="T869" s="539"/>
      <c r="U869" s="540"/>
      <c r="V869" s="539"/>
      <c r="W869" s="540"/>
      <c r="X869" s="539"/>
      <c r="Y869" s="541">
        <f>(Y870+Y871+Y872+Y873+Y874+Y875+Y876+Y877+Y878+Y879+Y880+Y881+Y882+Y883)/14</f>
        <v>2.5714285714285716</v>
      </c>
      <c r="Z869" s="539">
        <f>SUM(Z870:Z883)</f>
        <v>102846107</v>
      </c>
      <c r="AA869" s="542">
        <f>(AA870+AA871+AA872+AA873+AA874+AA875+AA876+AA877+AA878+AA879+AA880+AA881+AA882+AA883)/14</f>
        <v>26.571428571428573</v>
      </c>
      <c r="AB869" s="543">
        <f t="shared" ref="AB869:AB915" si="155">N869+Z869</f>
        <v>2009406296</v>
      </c>
      <c r="AC869" s="544">
        <f t="shared" ref="AC869:AD896" si="156">(AA869/K869)*100</f>
        <v>2.6360544217687076</v>
      </c>
      <c r="AD869" s="540">
        <f t="shared" si="156"/>
        <v>25.740648800922379</v>
      </c>
      <c r="AE869" s="536" t="s">
        <v>522</v>
      </c>
    </row>
    <row r="870" spans="1:31" s="512" customFormat="1" ht="51" customHeight="1">
      <c r="A870" s="500"/>
      <c r="B870" s="500"/>
      <c r="C870" s="501" t="s">
        <v>146</v>
      </c>
      <c r="D870" s="501" t="s">
        <v>65</v>
      </c>
      <c r="E870" s="501" t="s">
        <v>66</v>
      </c>
      <c r="F870" s="501" t="s">
        <v>65</v>
      </c>
      <c r="G870" s="500"/>
      <c r="H870" s="500"/>
      <c r="I870" s="502" t="s">
        <v>195</v>
      </c>
      <c r="J870" s="500" t="s">
        <v>523</v>
      </c>
      <c r="K870" s="503">
        <v>72</v>
      </c>
      <c r="L870" s="504">
        <v>458693000</v>
      </c>
      <c r="M870" s="503">
        <v>24</v>
      </c>
      <c r="N870" s="504">
        <v>125548679</v>
      </c>
      <c r="O870" s="505">
        <v>12</v>
      </c>
      <c r="P870" s="504">
        <v>80400000</v>
      </c>
      <c r="Q870" s="510">
        <v>3</v>
      </c>
      <c r="R870" s="504">
        <v>7630299</v>
      </c>
      <c r="S870" s="500"/>
      <c r="T870" s="507"/>
      <c r="U870" s="500"/>
      <c r="V870" s="504"/>
      <c r="W870" s="508"/>
      <c r="X870" s="504"/>
      <c r="Y870" s="505">
        <v>3</v>
      </c>
      <c r="Z870" s="504">
        <v>7630299</v>
      </c>
      <c r="AA870" s="509">
        <f t="shared" ref="AA870:AA915" si="157">M870+Y870</f>
        <v>27</v>
      </c>
      <c r="AB870" s="510">
        <f t="shared" si="155"/>
        <v>133178978</v>
      </c>
      <c r="AC870" s="511">
        <f t="shared" si="156"/>
        <v>37.5</v>
      </c>
      <c r="AD870" s="508">
        <f t="shared" si="156"/>
        <v>29.034447440880939</v>
      </c>
      <c r="AE870" s="500"/>
    </row>
    <row r="871" spans="1:31" s="512" customFormat="1" ht="42" customHeight="1">
      <c r="A871" s="500"/>
      <c r="B871" s="500"/>
      <c r="C871" s="501" t="s">
        <v>146</v>
      </c>
      <c r="D871" s="501" t="s">
        <v>65</v>
      </c>
      <c r="E871" s="501" t="s">
        <v>66</v>
      </c>
      <c r="F871" s="501" t="s">
        <v>196</v>
      </c>
      <c r="G871" s="500"/>
      <c r="H871" s="500"/>
      <c r="I871" s="502" t="s">
        <v>524</v>
      </c>
      <c r="J871" s="500" t="s">
        <v>525</v>
      </c>
      <c r="K871" s="503">
        <v>72</v>
      </c>
      <c r="L871" s="504">
        <v>1307900000</v>
      </c>
      <c r="M871" s="503">
        <v>24</v>
      </c>
      <c r="N871" s="504">
        <v>463960000</v>
      </c>
      <c r="O871" s="505">
        <v>12</v>
      </c>
      <c r="P871" s="504">
        <v>44822025</v>
      </c>
      <c r="Q871" s="510">
        <v>3</v>
      </c>
      <c r="R871" s="504"/>
      <c r="S871" s="500"/>
      <c r="T871" s="507"/>
      <c r="U871" s="500"/>
      <c r="V871" s="504"/>
      <c r="W871" s="508"/>
      <c r="X871" s="504"/>
      <c r="Y871" s="503"/>
      <c r="Z871" s="504"/>
      <c r="AA871" s="509">
        <f t="shared" si="157"/>
        <v>24</v>
      </c>
      <c r="AB871" s="510">
        <f t="shared" si="155"/>
        <v>463960000</v>
      </c>
      <c r="AC871" s="511">
        <f t="shared" si="156"/>
        <v>33.333333333333329</v>
      </c>
      <c r="AD871" s="508">
        <f t="shared" si="156"/>
        <v>35.473660065754267</v>
      </c>
      <c r="AE871" s="500"/>
    </row>
    <row r="872" spans="1:31" s="512" customFormat="1" ht="45" customHeight="1">
      <c r="A872" s="500"/>
      <c r="B872" s="500"/>
      <c r="C872" s="501" t="s">
        <v>146</v>
      </c>
      <c r="D872" s="501" t="s">
        <v>65</v>
      </c>
      <c r="E872" s="501" t="s">
        <v>66</v>
      </c>
      <c r="F872" s="501" t="s">
        <v>198</v>
      </c>
      <c r="G872" s="500"/>
      <c r="H872" s="500"/>
      <c r="I872" s="502" t="s">
        <v>199</v>
      </c>
      <c r="J872" s="500" t="s">
        <v>526</v>
      </c>
      <c r="K872" s="503">
        <v>72</v>
      </c>
      <c r="L872" s="504">
        <v>390400000</v>
      </c>
      <c r="M872" s="503">
        <v>24</v>
      </c>
      <c r="N872" s="504">
        <v>125137000</v>
      </c>
      <c r="O872" s="505">
        <v>12</v>
      </c>
      <c r="P872" s="504">
        <v>119100000</v>
      </c>
      <c r="Q872" s="510">
        <v>3</v>
      </c>
      <c r="R872" s="504">
        <v>18600000</v>
      </c>
      <c r="S872" s="500"/>
      <c r="T872" s="510"/>
      <c r="U872" s="513"/>
      <c r="V872" s="504"/>
      <c r="W872" s="508"/>
      <c r="X872" s="504"/>
      <c r="Y872" s="503">
        <v>3</v>
      </c>
      <c r="Z872" s="504">
        <v>18600000</v>
      </c>
      <c r="AA872" s="509">
        <f t="shared" si="157"/>
        <v>27</v>
      </c>
      <c r="AB872" s="510">
        <f t="shared" si="155"/>
        <v>143737000</v>
      </c>
      <c r="AC872" s="511">
        <f t="shared" si="156"/>
        <v>37.5</v>
      </c>
      <c r="AD872" s="508">
        <f t="shared" si="156"/>
        <v>36.817879098360656</v>
      </c>
      <c r="AE872" s="500"/>
    </row>
    <row r="873" spans="1:31" s="512" customFormat="1" ht="45.75" customHeight="1">
      <c r="A873" s="500"/>
      <c r="B873" s="500"/>
      <c r="C873" s="501" t="s">
        <v>146</v>
      </c>
      <c r="D873" s="501" t="s">
        <v>65</v>
      </c>
      <c r="E873" s="501" t="s">
        <v>66</v>
      </c>
      <c r="F873" s="501" t="s">
        <v>93</v>
      </c>
      <c r="G873" s="500"/>
      <c r="H873" s="500"/>
      <c r="I873" s="502" t="s">
        <v>200</v>
      </c>
      <c r="J873" s="500" t="s">
        <v>527</v>
      </c>
      <c r="K873" s="503">
        <v>72</v>
      </c>
      <c r="L873" s="504">
        <v>276581000</v>
      </c>
      <c r="M873" s="503">
        <v>24</v>
      </c>
      <c r="N873" s="504">
        <v>65014000</v>
      </c>
      <c r="O873" s="505">
        <v>12</v>
      </c>
      <c r="P873" s="504">
        <v>17712500</v>
      </c>
      <c r="Q873" s="510">
        <v>3</v>
      </c>
      <c r="R873" s="504">
        <v>2708000</v>
      </c>
      <c r="S873" s="500"/>
      <c r="T873" s="510"/>
      <c r="U873" s="500"/>
      <c r="V873" s="504"/>
      <c r="W873" s="508"/>
      <c r="X873" s="504"/>
      <c r="Y873" s="503">
        <v>3</v>
      </c>
      <c r="Z873" s="504">
        <v>2708000</v>
      </c>
      <c r="AA873" s="509">
        <f t="shared" si="157"/>
        <v>27</v>
      </c>
      <c r="AB873" s="510">
        <f t="shared" si="155"/>
        <v>67722000</v>
      </c>
      <c r="AC873" s="511">
        <f t="shared" si="156"/>
        <v>37.5</v>
      </c>
      <c r="AD873" s="508">
        <f t="shared" si="156"/>
        <v>24.485412953167426</v>
      </c>
      <c r="AE873" s="500"/>
    </row>
    <row r="874" spans="1:31" s="512" customFormat="1" ht="36.75" customHeight="1">
      <c r="A874" s="500"/>
      <c r="B874" s="500"/>
      <c r="C874" s="501" t="s">
        <v>146</v>
      </c>
      <c r="D874" s="501" t="s">
        <v>65</v>
      </c>
      <c r="E874" s="501" t="s">
        <v>66</v>
      </c>
      <c r="F874" s="501" t="s">
        <v>201</v>
      </c>
      <c r="G874" s="500"/>
      <c r="H874" s="500"/>
      <c r="I874" s="502" t="s">
        <v>528</v>
      </c>
      <c r="J874" s="500" t="s">
        <v>529</v>
      </c>
      <c r="K874" s="503">
        <v>72</v>
      </c>
      <c r="L874" s="504">
        <v>1307900000</v>
      </c>
      <c r="M874" s="503">
        <v>24</v>
      </c>
      <c r="N874" s="504">
        <v>30970500</v>
      </c>
      <c r="O874" s="505">
        <v>12</v>
      </c>
      <c r="P874" s="504">
        <v>21880000</v>
      </c>
      <c r="Q874" s="510">
        <v>3</v>
      </c>
      <c r="R874" s="504"/>
      <c r="S874" s="500"/>
      <c r="T874" s="510"/>
      <c r="U874" s="500"/>
      <c r="V874" s="504"/>
      <c r="W874" s="508"/>
      <c r="X874" s="504"/>
      <c r="Y874" s="503"/>
      <c r="Z874" s="504"/>
      <c r="AA874" s="509">
        <f t="shared" si="157"/>
        <v>24</v>
      </c>
      <c r="AB874" s="510">
        <f t="shared" si="155"/>
        <v>30970500</v>
      </c>
      <c r="AC874" s="511">
        <f t="shared" si="156"/>
        <v>33.333333333333329</v>
      </c>
      <c r="AD874" s="508">
        <f t="shared" si="156"/>
        <v>2.3679562657695543</v>
      </c>
      <c r="AE874" s="500"/>
    </row>
    <row r="875" spans="1:31" s="512" customFormat="1" ht="46.5" customHeight="1">
      <c r="A875" s="500"/>
      <c r="B875" s="500"/>
      <c r="C875" s="501" t="s">
        <v>146</v>
      </c>
      <c r="D875" s="501" t="s">
        <v>65</v>
      </c>
      <c r="E875" s="501" t="s">
        <v>66</v>
      </c>
      <c r="F875" s="501" t="s">
        <v>202</v>
      </c>
      <c r="G875" s="500"/>
      <c r="H875" s="500"/>
      <c r="I875" s="502" t="s">
        <v>203</v>
      </c>
      <c r="J875" s="500" t="s">
        <v>530</v>
      </c>
      <c r="K875" s="503">
        <v>72</v>
      </c>
      <c r="L875" s="504">
        <v>249965100</v>
      </c>
      <c r="M875" s="503">
        <v>24</v>
      </c>
      <c r="N875" s="504">
        <v>77185030</v>
      </c>
      <c r="O875" s="505">
        <v>12</v>
      </c>
      <c r="P875" s="504">
        <v>34097870</v>
      </c>
      <c r="Q875" s="510">
        <v>3</v>
      </c>
      <c r="R875" s="504">
        <v>3724500</v>
      </c>
      <c r="S875" s="500"/>
      <c r="T875" s="510"/>
      <c r="U875" s="500"/>
      <c r="V875" s="504"/>
      <c r="W875" s="508"/>
      <c r="X875" s="504"/>
      <c r="Y875" s="503">
        <v>3</v>
      </c>
      <c r="Z875" s="504">
        <v>3724500</v>
      </c>
      <c r="AA875" s="509">
        <f t="shared" si="157"/>
        <v>27</v>
      </c>
      <c r="AB875" s="510">
        <f t="shared" si="155"/>
        <v>80909530</v>
      </c>
      <c r="AC875" s="511">
        <f t="shared" si="156"/>
        <v>37.5</v>
      </c>
      <c r="AD875" s="508">
        <f t="shared" si="156"/>
        <v>32.368330618954403</v>
      </c>
      <c r="AE875" s="500"/>
    </row>
    <row r="876" spans="1:31" s="512" customFormat="1" ht="47.25" customHeight="1">
      <c r="A876" s="500"/>
      <c r="B876" s="500"/>
      <c r="C876" s="501" t="s">
        <v>146</v>
      </c>
      <c r="D876" s="501" t="s">
        <v>65</v>
      </c>
      <c r="E876" s="501" t="s">
        <v>66</v>
      </c>
      <c r="F876" s="501" t="s">
        <v>417</v>
      </c>
      <c r="G876" s="500"/>
      <c r="H876" s="500"/>
      <c r="I876" s="502" t="s">
        <v>204</v>
      </c>
      <c r="J876" s="500" t="s">
        <v>531</v>
      </c>
      <c r="K876" s="503">
        <v>72</v>
      </c>
      <c r="L876" s="504">
        <v>515573400</v>
      </c>
      <c r="M876" s="503">
        <v>24</v>
      </c>
      <c r="N876" s="504">
        <v>142130320</v>
      </c>
      <c r="O876" s="505">
        <v>12</v>
      </c>
      <c r="P876" s="504">
        <v>30550600</v>
      </c>
      <c r="Q876" s="510">
        <v>3</v>
      </c>
      <c r="R876" s="504">
        <v>2780000</v>
      </c>
      <c r="S876" s="500"/>
      <c r="T876" s="510"/>
      <c r="U876" s="500"/>
      <c r="V876" s="504"/>
      <c r="W876" s="508"/>
      <c r="X876" s="504"/>
      <c r="Y876" s="503">
        <v>3</v>
      </c>
      <c r="Z876" s="504">
        <v>2780000</v>
      </c>
      <c r="AA876" s="509">
        <f t="shared" si="157"/>
        <v>27</v>
      </c>
      <c r="AB876" s="510">
        <f t="shared" si="155"/>
        <v>144910320</v>
      </c>
      <c r="AC876" s="511">
        <f t="shared" si="156"/>
        <v>37.5</v>
      </c>
      <c r="AD876" s="508">
        <f t="shared" si="156"/>
        <v>28.106632343716726</v>
      </c>
      <c r="AE876" s="500"/>
    </row>
    <row r="877" spans="1:31" s="512" customFormat="1" ht="45.75" customHeight="1">
      <c r="A877" s="500"/>
      <c r="B877" s="500"/>
      <c r="C877" s="501" t="s">
        <v>146</v>
      </c>
      <c r="D877" s="501" t="s">
        <v>65</v>
      </c>
      <c r="E877" s="501" t="s">
        <v>66</v>
      </c>
      <c r="F877" s="501" t="s">
        <v>160</v>
      </c>
      <c r="G877" s="500"/>
      <c r="H877" s="500"/>
      <c r="I877" s="502" t="s">
        <v>205</v>
      </c>
      <c r="J877" s="500" t="s">
        <v>532</v>
      </c>
      <c r="K877" s="503">
        <v>72</v>
      </c>
      <c r="L877" s="504">
        <v>63682000</v>
      </c>
      <c r="M877" s="503">
        <v>24</v>
      </c>
      <c r="N877" s="504">
        <v>17707000</v>
      </c>
      <c r="O877" s="505">
        <v>12</v>
      </c>
      <c r="P877" s="504">
        <v>17079910</v>
      </c>
      <c r="Q877" s="510">
        <v>3</v>
      </c>
      <c r="R877" s="504">
        <v>692238</v>
      </c>
      <c r="S877" s="500"/>
      <c r="T877" s="510"/>
      <c r="U877" s="511"/>
      <c r="V877" s="504"/>
      <c r="W877" s="508"/>
      <c r="X877" s="504"/>
      <c r="Y877" s="503">
        <v>3</v>
      </c>
      <c r="Z877" s="504">
        <v>692238</v>
      </c>
      <c r="AA877" s="509">
        <f t="shared" si="157"/>
        <v>27</v>
      </c>
      <c r="AB877" s="510">
        <f t="shared" si="155"/>
        <v>18399238</v>
      </c>
      <c r="AC877" s="511">
        <f t="shared" si="156"/>
        <v>37.5</v>
      </c>
      <c r="AD877" s="508">
        <f t="shared" si="156"/>
        <v>28.892368330140382</v>
      </c>
      <c r="AE877" s="500"/>
    </row>
    <row r="878" spans="1:31" s="512" customFormat="1" ht="47.25" customHeight="1">
      <c r="A878" s="500"/>
      <c r="B878" s="500"/>
      <c r="C878" s="501" t="s">
        <v>146</v>
      </c>
      <c r="D878" s="501" t="s">
        <v>65</v>
      </c>
      <c r="E878" s="501" t="s">
        <v>66</v>
      </c>
      <c r="F878" s="501" t="s">
        <v>155</v>
      </c>
      <c r="G878" s="500"/>
      <c r="H878" s="500"/>
      <c r="I878" s="502" t="s">
        <v>533</v>
      </c>
      <c r="J878" s="500" t="s">
        <v>534</v>
      </c>
      <c r="K878" s="503">
        <v>72</v>
      </c>
      <c r="L878" s="504">
        <v>122400000</v>
      </c>
      <c r="M878" s="503">
        <v>24</v>
      </c>
      <c r="N878" s="504">
        <v>35800000</v>
      </c>
      <c r="O878" s="505">
        <v>12</v>
      </c>
      <c r="P878" s="504">
        <v>14500000</v>
      </c>
      <c r="Q878" s="510">
        <v>3</v>
      </c>
      <c r="R878" s="504">
        <v>720000</v>
      </c>
      <c r="S878" s="500"/>
      <c r="T878" s="510"/>
      <c r="U878" s="500"/>
      <c r="V878" s="504"/>
      <c r="W878" s="508"/>
      <c r="X878" s="504"/>
      <c r="Y878" s="503">
        <v>3</v>
      </c>
      <c r="Z878" s="504">
        <v>720000</v>
      </c>
      <c r="AA878" s="509">
        <f t="shared" si="157"/>
        <v>27</v>
      </c>
      <c r="AB878" s="510">
        <f t="shared" si="155"/>
        <v>36520000</v>
      </c>
      <c r="AC878" s="511">
        <f t="shared" si="156"/>
        <v>37.5</v>
      </c>
      <c r="AD878" s="508">
        <f t="shared" si="156"/>
        <v>29.836601307189543</v>
      </c>
      <c r="AE878" s="500"/>
    </row>
    <row r="879" spans="1:31" s="512" customFormat="1" ht="43.5" customHeight="1">
      <c r="A879" s="500"/>
      <c r="B879" s="500"/>
      <c r="C879" s="501" t="s">
        <v>146</v>
      </c>
      <c r="D879" s="501" t="s">
        <v>65</v>
      </c>
      <c r="E879" s="501" t="s">
        <v>66</v>
      </c>
      <c r="F879" s="501" t="s">
        <v>448</v>
      </c>
      <c r="G879" s="500"/>
      <c r="H879" s="500"/>
      <c r="I879" s="502" t="s">
        <v>206</v>
      </c>
      <c r="J879" s="500" t="s">
        <v>535</v>
      </c>
      <c r="K879" s="503">
        <v>72</v>
      </c>
      <c r="L879" s="504">
        <v>202150000</v>
      </c>
      <c r="M879" s="503">
        <v>24</v>
      </c>
      <c r="N879" s="504">
        <v>45797500</v>
      </c>
      <c r="O879" s="505">
        <v>12</v>
      </c>
      <c r="P879" s="504">
        <v>49850000</v>
      </c>
      <c r="Q879" s="510">
        <v>3</v>
      </c>
      <c r="R879" s="504">
        <v>4930200</v>
      </c>
      <c r="S879" s="500"/>
      <c r="T879" s="510"/>
      <c r="U879" s="500"/>
      <c r="V879" s="504"/>
      <c r="W879" s="508"/>
      <c r="X879" s="504"/>
      <c r="Y879" s="503">
        <v>3</v>
      </c>
      <c r="Z879" s="504">
        <v>4930200</v>
      </c>
      <c r="AA879" s="509">
        <f t="shared" si="157"/>
        <v>27</v>
      </c>
      <c r="AB879" s="510">
        <f t="shared" si="155"/>
        <v>50727700</v>
      </c>
      <c r="AC879" s="511">
        <f t="shared" si="156"/>
        <v>37.5</v>
      </c>
      <c r="AD879" s="508">
        <f t="shared" si="156"/>
        <v>25.094088548107841</v>
      </c>
      <c r="AE879" s="500"/>
    </row>
    <row r="880" spans="1:31" s="512" customFormat="1" ht="48" customHeight="1">
      <c r="A880" s="500"/>
      <c r="B880" s="500"/>
      <c r="C880" s="501" t="s">
        <v>146</v>
      </c>
      <c r="D880" s="501" t="s">
        <v>65</v>
      </c>
      <c r="E880" s="501" t="s">
        <v>66</v>
      </c>
      <c r="F880" s="501" t="s">
        <v>167</v>
      </c>
      <c r="G880" s="500"/>
      <c r="H880" s="500"/>
      <c r="I880" s="502" t="s">
        <v>207</v>
      </c>
      <c r="J880" s="500" t="s">
        <v>536</v>
      </c>
      <c r="K880" s="503">
        <v>72</v>
      </c>
      <c r="L880" s="504">
        <v>1419650000</v>
      </c>
      <c r="M880" s="503">
        <v>24</v>
      </c>
      <c r="N880" s="504">
        <v>344217400</v>
      </c>
      <c r="O880" s="505">
        <v>12</v>
      </c>
      <c r="P880" s="504">
        <v>115350000</v>
      </c>
      <c r="Q880" s="510">
        <v>3</v>
      </c>
      <c r="R880" s="504">
        <v>38328200</v>
      </c>
      <c r="S880" s="500"/>
      <c r="T880" s="510"/>
      <c r="U880" s="500"/>
      <c r="V880" s="504"/>
      <c r="W880" s="508"/>
      <c r="X880" s="504"/>
      <c r="Y880" s="503">
        <v>3</v>
      </c>
      <c r="Z880" s="504">
        <v>38328200</v>
      </c>
      <c r="AA880" s="509">
        <f t="shared" si="157"/>
        <v>27</v>
      </c>
      <c r="AB880" s="510">
        <f t="shared" si="155"/>
        <v>382545600</v>
      </c>
      <c r="AC880" s="511">
        <f t="shared" si="156"/>
        <v>37.5</v>
      </c>
      <c r="AD880" s="508">
        <f t="shared" si="156"/>
        <v>26.946472722149828</v>
      </c>
      <c r="AE880" s="500"/>
    </row>
    <row r="881" spans="1:31" s="512" customFormat="1" ht="47.25" customHeight="1">
      <c r="A881" s="500"/>
      <c r="B881" s="500"/>
      <c r="C881" s="501" t="s">
        <v>146</v>
      </c>
      <c r="D881" s="501" t="s">
        <v>65</v>
      </c>
      <c r="E881" s="501" t="s">
        <v>66</v>
      </c>
      <c r="F881" s="501" t="s">
        <v>376</v>
      </c>
      <c r="G881" s="500"/>
      <c r="H881" s="500"/>
      <c r="I881" s="502" t="s">
        <v>208</v>
      </c>
      <c r="J881" s="500" t="s">
        <v>537</v>
      </c>
      <c r="K881" s="503">
        <v>72</v>
      </c>
      <c r="L881" s="504">
        <v>1062200000</v>
      </c>
      <c r="M881" s="503">
        <v>24</v>
      </c>
      <c r="N881" s="504">
        <v>316250000</v>
      </c>
      <c r="O881" s="505">
        <v>12</v>
      </c>
      <c r="P881" s="504">
        <v>63900000</v>
      </c>
      <c r="Q881" s="510">
        <v>3</v>
      </c>
      <c r="R881" s="504">
        <v>9500000</v>
      </c>
      <c r="S881" s="500"/>
      <c r="T881" s="510"/>
      <c r="U881" s="500"/>
      <c r="V881" s="504"/>
      <c r="W881" s="508"/>
      <c r="X881" s="504"/>
      <c r="Y881" s="503">
        <v>3</v>
      </c>
      <c r="Z881" s="504">
        <v>9500000</v>
      </c>
      <c r="AA881" s="509">
        <f t="shared" si="157"/>
        <v>27</v>
      </c>
      <c r="AB881" s="510">
        <f t="shared" si="155"/>
        <v>325750000</v>
      </c>
      <c r="AC881" s="511">
        <f t="shared" si="156"/>
        <v>37.5</v>
      </c>
      <c r="AD881" s="508">
        <f t="shared" si="156"/>
        <v>30.667482583317639</v>
      </c>
      <c r="AE881" s="500"/>
    </row>
    <row r="882" spans="1:31" s="512" customFormat="1" ht="45" customHeight="1">
      <c r="A882" s="500"/>
      <c r="B882" s="500"/>
      <c r="C882" s="501" t="s">
        <v>146</v>
      </c>
      <c r="D882" s="501" t="s">
        <v>65</v>
      </c>
      <c r="E882" s="501" t="s">
        <v>66</v>
      </c>
      <c r="F882" s="501" t="s">
        <v>163</v>
      </c>
      <c r="G882" s="500"/>
      <c r="H882" s="500"/>
      <c r="I882" s="502" t="s">
        <v>538</v>
      </c>
      <c r="J882" s="500" t="s">
        <v>539</v>
      </c>
      <c r="K882" s="503">
        <v>72</v>
      </c>
      <c r="L882" s="504">
        <v>351260000</v>
      </c>
      <c r="M882" s="503">
        <v>24</v>
      </c>
      <c r="N882" s="504">
        <v>90842760</v>
      </c>
      <c r="O882" s="505">
        <v>12</v>
      </c>
      <c r="P882" s="504">
        <v>114130950</v>
      </c>
      <c r="Q882" s="510">
        <v>3</v>
      </c>
      <c r="R882" s="504">
        <v>11232670</v>
      </c>
      <c r="S882" s="500"/>
      <c r="T882" s="510"/>
      <c r="U882" s="500"/>
      <c r="V882" s="504"/>
      <c r="W882" s="508"/>
      <c r="X882" s="504"/>
      <c r="Y882" s="503">
        <v>3</v>
      </c>
      <c r="Z882" s="504">
        <v>11232670</v>
      </c>
      <c r="AA882" s="509">
        <f t="shared" si="157"/>
        <v>27</v>
      </c>
      <c r="AB882" s="510">
        <f t="shared" si="155"/>
        <v>102075430</v>
      </c>
      <c r="AC882" s="511">
        <f t="shared" si="156"/>
        <v>37.5</v>
      </c>
      <c r="AD882" s="508">
        <f t="shared" si="156"/>
        <v>29.059793315492797</v>
      </c>
      <c r="AE882" s="500"/>
    </row>
    <row r="883" spans="1:31" s="512" customFormat="1" ht="45.75" customHeight="1">
      <c r="A883" s="500"/>
      <c r="B883" s="500"/>
      <c r="C883" s="501" t="s">
        <v>146</v>
      </c>
      <c r="D883" s="501" t="s">
        <v>65</v>
      </c>
      <c r="E883" s="501" t="s">
        <v>66</v>
      </c>
      <c r="F883" s="501" t="s">
        <v>363</v>
      </c>
      <c r="G883" s="500"/>
      <c r="H883" s="514"/>
      <c r="I883" s="502" t="s">
        <v>540</v>
      </c>
      <c r="J883" s="500" t="s">
        <v>541</v>
      </c>
      <c r="K883" s="503">
        <v>72</v>
      </c>
      <c r="L883" s="504">
        <v>78000000</v>
      </c>
      <c r="M883" s="503">
        <v>24</v>
      </c>
      <c r="N883" s="504">
        <v>26000000</v>
      </c>
      <c r="O883" s="505">
        <v>12</v>
      </c>
      <c r="P883" s="504">
        <v>13000000</v>
      </c>
      <c r="Q883" s="510">
        <v>3</v>
      </c>
      <c r="R883" s="504">
        <v>2000000</v>
      </c>
      <c r="S883" s="500"/>
      <c r="T883" s="510"/>
      <c r="U883" s="513"/>
      <c r="V883" s="504"/>
      <c r="W883" s="508"/>
      <c r="X883" s="504"/>
      <c r="Y883" s="515">
        <v>3</v>
      </c>
      <c r="Z883" s="504">
        <v>2000000</v>
      </c>
      <c r="AA883" s="509">
        <f t="shared" si="157"/>
        <v>27</v>
      </c>
      <c r="AB883" s="510">
        <f t="shared" si="155"/>
        <v>28000000</v>
      </c>
      <c r="AC883" s="511">
        <f t="shared" si="156"/>
        <v>37.5</v>
      </c>
      <c r="AD883" s="508">
        <f t="shared" si="156"/>
        <v>35.897435897435898</v>
      </c>
      <c r="AE883" s="500"/>
    </row>
    <row r="884" spans="1:31" s="559" customFormat="1" ht="51.75" customHeight="1">
      <c r="A884" s="546"/>
      <c r="B884" s="547"/>
      <c r="C884" s="548" t="s">
        <v>146</v>
      </c>
      <c r="D884" s="548" t="s">
        <v>65</v>
      </c>
      <c r="E884" s="548" t="s">
        <v>65</v>
      </c>
      <c r="F884" s="549"/>
      <c r="G884" s="549"/>
      <c r="H884" s="550"/>
      <c r="I884" s="550" t="s">
        <v>162</v>
      </c>
      <c r="J884" s="549" t="s">
        <v>542</v>
      </c>
      <c r="K884" s="551">
        <v>100</v>
      </c>
      <c r="L884" s="552">
        <f>SUM(L885:L887)</f>
        <v>2954809000</v>
      </c>
      <c r="M884" s="572">
        <v>40</v>
      </c>
      <c r="N884" s="552">
        <f>SUM(N885:N887)</f>
        <v>1139091550</v>
      </c>
      <c r="O884" s="553">
        <v>20</v>
      </c>
      <c r="P884" s="552">
        <f>SUM(P885:P887)</f>
        <v>493262539</v>
      </c>
      <c r="Q884" s="572">
        <v>5</v>
      </c>
      <c r="R884" s="552">
        <f>SUM(R885:R887)</f>
        <v>62195962</v>
      </c>
      <c r="S884" s="554"/>
      <c r="T884" s="552"/>
      <c r="U884" s="554"/>
      <c r="V884" s="552"/>
      <c r="W884" s="554"/>
      <c r="X884" s="552"/>
      <c r="Y884" s="572">
        <f>Q884</f>
        <v>5</v>
      </c>
      <c r="Z884" s="552">
        <f>SUM(Z885:Z887)</f>
        <v>62195962</v>
      </c>
      <c r="AA884" s="573">
        <f t="shared" si="157"/>
        <v>45</v>
      </c>
      <c r="AB884" s="556">
        <f t="shared" si="155"/>
        <v>1201287512</v>
      </c>
      <c r="AC884" s="557">
        <f t="shared" si="156"/>
        <v>45</v>
      </c>
      <c r="AD884" s="574">
        <f t="shared" si="156"/>
        <v>40.655335488689794</v>
      </c>
      <c r="AE884" s="551" t="s">
        <v>522</v>
      </c>
    </row>
    <row r="885" spans="1:31" s="512" customFormat="1" ht="35.25" customHeight="1">
      <c r="A885" s="500"/>
      <c r="B885" s="500"/>
      <c r="C885" s="501" t="s">
        <v>146</v>
      </c>
      <c r="D885" s="501" t="s">
        <v>65</v>
      </c>
      <c r="E885" s="501" t="s">
        <v>65</v>
      </c>
      <c r="F885" s="501" t="s">
        <v>161</v>
      </c>
      <c r="G885" s="516"/>
      <c r="H885" s="517"/>
      <c r="I885" s="502" t="s">
        <v>543</v>
      </c>
      <c r="J885" s="500" t="s">
        <v>544</v>
      </c>
      <c r="K885" s="503">
        <v>4</v>
      </c>
      <c r="L885" s="504">
        <v>800000000</v>
      </c>
      <c r="M885" s="515">
        <v>0</v>
      </c>
      <c r="N885" s="504">
        <v>532871100</v>
      </c>
      <c r="O885" s="503">
        <v>1</v>
      </c>
      <c r="P885" s="504">
        <v>56357539</v>
      </c>
      <c r="Q885" s="515">
        <v>0</v>
      </c>
      <c r="R885" s="504"/>
      <c r="S885" s="500"/>
      <c r="T885" s="510"/>
      <c r="U885" s="500"/>
      <c r="V885" s="504"/>
      <c r="W885" s="508"/>
      <c r="X885" s="504"/>
      <c r="Y885" s="503"/>
      <c r="Z885" s="504"/>
      <c r="AA885" s="511">
        <f t="shared" si="157"/>
        <v>0</v>
      </c>
      <c r="AB885" s="510">
        <f t="shared" si="155"/>
        <v>532871100</v>
      </c>
      <c r="AC885" s="511">
        <f t="shared" si="156"/>
        <v>0</v>
      </c>
      <c r="AD885" s="504">
        <f t="shared" si="156"/>
        <v>66.608887500000009</v>
      </c>
      <c r="AE885" s="500"/>
    </row>
    <row r="886" spans="1:31" s="512" customFormat="1" ht="41.25" customHeight="1">
      <c r="A886" s="500"/>
      <c r="B886" s="500"/>
      <c r="C886" s="501" t="s">
        <v>146</v>
      </c>
      <c r="D886" s="501" t="s">
        <v>65</v>
      </c>
      <c r="E886" s="501" t="s">
        <v>65</v>
      </c>
      <c r="F886" s="501" t="s">
        <v>163</v>
      </c>
      <c r="G886" s="516"/>
      <c r="H886" s="517"/>
      <c r="I886" s="518" t="s">
        <v>545</v>
      </c>
      <c r="J886" s="500" t="s">
        <v>546</v>
      </c>
      <c r="K886" s="503">
        <v>72</v>
      </c>
      <c r="L886" s="504">
        <v>508500000</v>
      </c>
      <c r="M886" s="519">
        <v>24</v>
      </c>
      <c r="N886" s="504">
        <v>167250000</v>
      </c>
      <c r="O886" s="519">
        <v>12</v>
      </c>
      <c r="P886" s="504">
        <v>83600000</v>
      </c>
      <c r="Q886" s="520">
        <v>25</v>
      </c>
      <c r="R886" s="504">
        <v>4000000</v>
      </c>
      <c r="S886" s="500"/>
      <c r="T886" s="510"/>
      <c r="U886" s="500"/>
      <c r="V886" s="504"/>
      <c r="W886" s="508"/>
      <c r="X886" s="504"/>
      <c r="Y886" s="515">
        <v>3</v>
      </c>
      <c r="Z886" s="504">
        <v>4000000</v>
      </c>
      <c r="AA886" s="511">
        <f t="shared" si="157"/>
        <v>27</v>
      </c>
      <c r="AB886" s="510">
        <f t="shared" si="155"/>
        <v>171250000</v>
      </c>
      <c r="AC886" s="511">
        <f t="shared" si="156"/>
        <v>37.5</v>
      </c>
      <c r="AD886" s="504">
        <f t="shared" si="156"/>
        <v>33.677482792527044</v>
      </c>
      <c r="AE886" s="500"/>
    </row>
    <row r="887" spans="1:31" s="512" customFormat="1" ht="47.25" customHeight="1">
      <c r="A887" s="500"/>
      <c r="B887" s="500"/>
      <c r="C887" s="501" t="s">
        <v>146</v>
      </c>
      <c r="D887" s="501" t="s">
        <v>65</v>
      </c>
      <c r="E887" s="501" t="s">
        <v>65</v>
      </c>
      <c r="F887" s="501" t="s">
        <v>165</v>
      </c>
      <c r="G887" s="516"/>
      <c r="H887" s="517"/>
      <c r="I887" s="502" t="s">
        <v>547</v>
      </c>
      <c r="J887" s="500" t="s">
        <v>548</v>
      </c>
      <c r="K887" s="503">
        <v>72</v>
      </c>
      <c r="L887" s="504">
        <v>1646309000</v>
      </c>
      <c r="M887" s="519">
        <v>24</v>
      </c>
      <c r="N887" s="504">
        <v>438970450</v>
      </c>
      <c r="O887" s="519">
        <v>12</v>
      </c>
      <c r="P887" s="504">
        <v>353305000</v>
      </c>
      <c r="Q887" s="515" t="s">
        <v>549</v>
      </c>
      <c r="R887" s="504">
        <v>58195962</v>
      </c>
      <c r="S887" s="500"/>
      <c r="T887" s="510"/>
      <c r="U887" s="500"/>
      <c r="V887" s="504"/>
      <c r="W887" s="508"/>
      <c r="X887" s="504"/>
      <c r="Y887" s="503">
        <v>3</v>
      </c>
      <c r="Z887" s="504">
        <v>58195962</v>
      </c>
      <c r="AA887" s="511">
        <f t="shared" si="157"/>
        <v>27</v>
      </c>
      <c r="AB887" s="510">
        <f t="shared" si="155"/>
        <v>497166412</v>
      </c>
      <c r="AC887" s="511">
        <f t="shared" si="156"/>
        <v>37.5</v>
      </c>
      <c r="AD887" s="504">
        <f t="shared" si="156"/>
        <v>30.198851612911064</v>
      </c>
      <c r="AE887" s="500"/>
    </row>
    <row r="888" spans="1:31" s="559" customFormat="1" ht="48" customHeight="1">
      <c r="A888" s="546"/>
      <c r="B888" s="547"/>
      <c r="C888" s="583">
        <v>1</v>
      </c>
      <c r="D888" s="583" t="s">
        <v>65</v>
      </c>
      <c r="E888" s="583" t="s">
        <v>95</v>
      </c>
      <c r="F888" s="583"/>
      <c r="G888" s="549"/>
      <c r="H888" s="550"/>
      <c r="I888" s="550" t="s">
        <v>550</v>
      </c>
      <c r="J888" s="546" t="s">
        <v>551</v>
      </c>
      <c r="K888" s="576">
        <v>5</v>
      </c>
      <c r="L888" s="558">
        <v>1250000000</v>
      </c>
      <c r="M888" s="578">
        <v>1</v>
      </c>
      <c r="N888" s="578">
        <v>103833800</v>
      </c>
      <c r="O888" s="578">
        <f>O889</f>
        <v>0</v>
      </c>
      <c r="P888" s="578"/>
      <c r="Q888" s="578"/>
      <c r="R888" s="578"/>
      <c r="S888" s="578"/>
      <c r="T888" s="578"/>
      <c r="U888" s="578"/>
      <c r="V888" s="578"/>
      <c r="W888" s="578"/>
      <c r="X888" s="578"/>
      <c r="Y888" s="578"/>
      <c r="Z888" s="578"/>
      <c r="AA888" s="557">
        <f t="shared" si="157"/>
        <v>1</v>
      </c>
      <c r="AB888" s="579">
        <f t="shared" si="155"/>
        <v>103833800</v>
      </c>
      <c r="AC888" s="557">
        <f t="shared" si="156"/>
        <v>20</v>
      </c>
      <c r="AD888" s="558">
        <f t="shared" si="156"/>
        <v>8.3067039999999999</v>
      </c>
      <c r="AE888" s="576" t="s">
        <v>522</v>
      </c>
    </row>
    <row r="889" spans="1:31" s="512" customFormat="1" ht="39.75" customHeight="1">
      <c r="A889" s="500"/>
      <c r="B889" s="500"/>
      <c r="C889" s="501">
        <v>1</v>
      </c>
      <c r="D889" s="501" t="s">
        <v>65</v>
      </c>
      <c r="E889" s="501" t="s">
        <v>95</v>
      </c>
      <c r="F889" s="501" t="s">
        <v>66</v>
      </c>
      <c r="G889" s="516"/>
      <c r="H889" s="517"/>
      <c r="I889" s="502" t="s">
        <v>552</v>
      </c>
      <c r="J889" s="500" t="s">
        <v>553</v>
      </c>
      <c r="K889" s="503">
        <v>5</v>
      </c>
      <c r="L889" s="504">
        <v>1250000000</v>
      </c>
      <c r="M889" s="515">
        <v>1</v>
      </c>
      <c r="N889" s="504">
        <v>103833800</v>
      </c>
      <c r="O889" s="515"/>
      <c r="P889" s="504"/>
      <c r="Q889" s="515"/>
      <c r="R889" s="504"/>
      <c r="S889" s="504"/>
      <c r="T889" s="504"/>
      <c r="U889" s="504"/>
      <c r="V889" s="504"/>
      <c r="W889" s="521"/>
      <c r="X889" s="504"/>
      <c r="Y889" s="515"/>
      <c r="Z889" s="504"/>
      <c r="AA889" s="511">
        <f t="shared" si="157"/>
        <v>1</v>
      </c>
      <c r="AB889" s="510">
        <f t="shared" si="155"/>
        <v>103833800</v>
      </c>
      <c r="AC889" s="511">
        <f t="shared" si="156"/>
        <v>20</v>
      </c>
      <c r="AD889" s="504">
        <f t="shared" si="156"/>
        <v>8.3067039999999999</v>
      </c>
      <c r="AE889" s="500"/>
    </row>
    <row r="890" spans="1:31" s="559" customFormat="1" ht="70.5" customHeight="1">
      <c r="A890" s="546"/>
      <c r="B890" s="547"/>
      <c r="C890" s="549">
        <v>1</v>
      </c>
      <c r="D890" s="548" t="s">
        <v>65</v>
      </c>
      <c r="E890" s="548" t="s">
        <v>197</v>
      </c>
      <c r="F890" s="549"/>
      <c r="G890" s="549"/>
      <c r="H890" s="550"/>
      <c r="I890" s="575" t="s">
        <v>554</v>
      </c>
      <c r="J890" s="549" t="s">
        <v>555</v>
      </c>
      <c r="K890" s="576">
        <f>K891</f>
        <v>72</v>
      </c>
      <c r="L890" s="558">
        <f>L891</f>
        <v>507707790</v>
      </c>
      <c r="M890" s="576">
        <f>M891</f>
        <v>24</v>
      </c>
      <c r="N890" s="558">
        <v>165442416</v>
      </c>
      <c r="O890" s="576">
        <f>O891</f>
        <v>12</v>
      </c>
      <c r="P890" s="558">
        <f>P891</f>
        <v>131239036</v>
      </c>
      <c r="Q890" s="574">
        <f>Q891</f>
        <v>25</v>
      </c>
      <c r="R890" s="558">
        <f>R891</f>
        <v>6732760</v>
      </c>
      <c r="S890" s="576"/>
      <c r="T890" s="577"/>
      <c r="U890" s="576"/>
      <c r="V890" s="577"/>
      <c r="W890" s="576"/>
      <c r="X890" s="577"/>
      <c r="Y890" s="578">
        <v>3</v>
      </c>
      <c r="Z890" s="558">
        <f>Z891</f>
        <v>6732760</v>
      </c>
      <c r="AA890" s="557">
        <f t="shared" si="157"/>
        <v>27</v>
      </c>
      <c r="AB890" s="579">
        <f t="shared" si="155"/>
        <v>172175176</v>
      </c>
      <c r="AC890" s="557">
        <f t="shared" si="156"/>
        <v>37.5</v>
      </c>
      <c r="AD890" s="558">
        <f t="shared" si="156"/>
        <v>33.91225807269965</v>
      </c>
      <c r="AE890" s="576" t="s">
        <v>522</v>
      </c>
    </row>
    <row r="891" spans="1:31" s="512" customFormat="1" ht="45" customHeight="1">
      <c r="A891" s="500"/>
      <c r="B891" s="500"/>
      <c r="C891" s="500">
        <v>1</v>
      </c>
      <c r="D891" s="501" t="s">
        <v>65</v>
      </c>
      <c r="E891" s="501" t="s">
        <v>197</v>
      </c>
      <c r="F891" s="501" t="s">
        <v>198</v>
      </c>
      <c r="G891" s="500"/>
      <c r="H891" s="514"/>
      <c r="I891" s="502" t="s">
        <v>556</v>
      </c>
      <c r="J891" s="500" t="s">
        <v>557</v>
      </c>
      <c r="K891" s="503">
        <v>72</v>
      </c>
      <c r="L891" s="504">
        <v>507707790</v>
      </c>
      <c r="M891" s="503">
        <v>24</v>
      </c>
      <c r="N891" s="504">
        <v>165442416</v>
      </c>
      <c r="O891" s="503">
        <v>12</v>
      </c>
      <c r="P891" s="504">
        <v>131239036</v>
      </c>
      <c r="Q891" s="520">
        <v>25</v>
      </c>
      <c r="R891" s="504">
        <v>6732760</v>
      </c>
      <c r="S891" s="500"/>
      <c r="T891" s="510"/>
      <c r="U891" s="500"/>
      <c r="V891" s="504"/>
      <c r="W891" s="508"/>
      <c r="X891" s="504"/>
      <c r="Y891" s="503">
        <v>3</v>
      </c>
      <c r="Z891" s="504">
        <v>6732760</v>
      </c>
      <c r="AA891" s="511">
        <f t="shared" si="157"/>
        <v>27</v>
      </c>
      <c r="AB891" s="510">
        <f t="shared" si="155"/>
        <v>172175176</v>
      </c>
      <c r="AC891" s="511">
        <f t="shared" si="156"/>
        <v>37.5</v>
      </c>
      <c r="AD891" s="504">
        <f t="shared" si="156"/>
        <v>33.91225807269965</v>
      </c>
      <c r="AE891" s="500"/>
    </row>
    <row r="892" spans="1:31" s="559" customFormat="1" ht="54.75" customHeight="1">
      <c r="A892" s="546"/>
      <c r="B892" s="547"/>
      <c r="C892" s="548" t="s">
        <v>146</v>
      </c>
      <c r="D892" s="548" t="s">
        <v>65</v>
      </c>
      <c r="E892" s="548" t="s">
        <v>201</v>
      </c>
      <c r="F892" s="548" t="s">
        <v>155</v>
      </c>
      <c r="G892" s="549"/>
      <c r="H892" s="550"/>
      <c r="I892" s="550" t="s">
        <v>558</v>
      </c>
      <c r="J892" s="549" t="s">
        <v>559</v>
      </c>
      <c r="K892" s="576">
        <f t="shared" ref="K892:Q892" si="158">K893</f>
        <v>17</v>
      </c>
      <c r="L892" s="558">
        <f t="shared" si="158"/>
        <v>27450321877</v>
      </c>
      <c r="M892" s="576">
        <f t="shared" si="158"/>
        <v>2</v>
      </c>
      <c r="N892" s="558">
        <f t="shared" si="158"/>
        <v>3006530877</v>
      </c>
      <c r="O892" s="576">
        <f t="shared" si="158"/>
        <v>3</v>
      </c>
      <c r="P892" s="578">
        <f t="shared" si="158"/>
        <v>4443791000</v>
      </c>
      <c r="Q892" s="578">
        <f t="shared" si="158"/>
        <v>0</v>
      </c>
      <c r="R892" s="578">
        <f>R893</f>
        <v>62551400</v>
      </c>
      <c r="S892" s="574"/>
      <c r="T892" s="558"/>
      <c r="U892" s="574"/>
      <c r="V892" s="558"/>
      <c r="W892" s="574"/>
      <c r="X892" s="558"/>
      <c r="Y892" s="578">
        <f>Y893</f>
        <v>0</v>
      </c>
      <c r="Z892" s="578">
        <f>Z893</f>
        <v>62551400</v>
      </c>
      <c r="AA892" s="557">
        <f t="shared" si="157"/>
        <v>2</v>
      </c>
      <c r="AB892" s="579">
        <f t="shared" si="155"/>
        <v>3069082277</v>
      </c>
      <c r="AC892" s="557">
        <f t="shared" si="156"/>
        <v>11.76470588235294</v>
      </c>
      <c r="AD892" s="558">
        <f t="shared" si="156"/>
        <v>11.180496501104836</v>
      </c>
      <c r="AE892" s="576" t="s">
        <v>522</v>
      </c>
    </row>
    <row r="893" spans="1:31" s="512" customFormat="1" ht="39.75" customHeight="1">
      <c r="A893" s="500"/>
      <c r="B893" s="500"/>
      <c r="C893" s="501" t="s">
        <v>146</v>
      </c>
      <c r="D893" s="501" t="s">
        <v>65</v>
      </c>
      <c r="E893" s="501" t="s">
        <v>201</v>
      </c>
      <c r="F893" s="501" t="s">
        <v>155</v>
      </c>
      <c r="G893" s="501">
        <v>40</v>
      </c>
      <c r="H893" s="500"/>
      <c r="I893" s="500" t="s">
        <v>560</v>
      </c>
      <c r="J893" s="500" t="s">
        <v>561</v>
      </c>
      <c r="K893" s="503">
        <v>17</v>
      </c>
      <c r="L893" s="504">
        <v>27450321877</v>
      </c>
      <c r="M893" s="519">
        <v>2</v>
      </c>
      <c r="N893" s="504">
        <v>3006530877</v>
      </c>
      <c r="O893" s="503">
        <v>3</v>
      </c>
      <c r="P893" s="504">
        <v>4443791000</v>
      </c>
      <c r="Q893" s="503"/>
      <c r="R893" s="504">
        <v>62551400</v>
      </c>
      <c r="S893" s="500"/>
      <c r="T893" s="510"/>
      <c r="U893" s="500"/>
      <c r="V893" s="504"/>
      <c r="W893" s="508"/>
      <c r="X893" s="504"/>
      <c r="Y893" s="503"/>
      <c r="Z893" s="504">
        <v>62551400</v>
      </c>
      <c r="AA893" s="511">
        <f t="shared" si="157"/>
        <v>2</v>
      </c>
      <c r="AB893" s="510">
        <f t="shared" si="155"/>
        <v>3069082277</v>
      </c>
      <c r="AC893" s="511">
        <f t="shared" si="156"/>
        <v>11.76470588235294</v>
      </c>
      <c r="AD893" s="504">
        <f t="shared" si="156"/>
        <v>11.180496501104836</v>
      </c>
      <c r="AE893" s="500"/>
    </row>
    <row r="894" spans="1:31" s="559" customFormat="1" ht="63.75">
      <c r="A894" s="549"/>
      <c r="B894" s="547"/>
      <c r="C894" s="548" t="s">
        <v>146</v>
      </c>
      <c r="D894" s="548" t="s">
        <v>65</v>
      </c>
      <c r="E894" s="548" t="s">
        <v>201</v>
      </c>
      <c r="F894" s="548">
        <v>15</v>
      </c>
      <c r="G894" s="549"/>
      <c r="H894" s="550"/>
      <c r="I894" s="550" t="s">
        <v>562</v>
      </c>
      <c r="J894" s="549" t="s">
        <v>563</v>
      </c>
      <c r="K894" s="549">
        <f>SUM(K895:K896)</f>
        <v>25</v>
      </c>
      <c r="L894" s="552">
        <f>L895+L896</f>
        <v>2140156690</v>
      </c>
      <c r="M894" s="551">
        <f>SUM(M895:M896)</f>
        <v>7</v>
      </c>
      <c r="N894" s="552">
        <f>N895+N896</f>
        <v>461730650</v>
      </c>
      <c r="O894" s="551">
        <f>SUM(O895:O896)</f>
        <v>2</v>
      </c>
      <c r="P894" s="552">
        <f>P895+P896</f>
        <v>89241070</v>
      </c>
      <c r="Q894" s="580">
        <f>(Q895+Q896)/2</f>
        <v>0</v>
      </c>
      <c r="R894" s="552">
        <f>R895+R896</f>
        <v>1309560</v>
      </c>
      <c r="S894" s="554"/>
      <c r="T894" s="552"/>
      <c r="U894" s="554"/>
      <c r="V894" s="552"/>
      <c r="W894" s="554"/>
      <c r="X894" s="552"/>
      <c r="Y894" s="580">
        <f>(Y895+Y896)/2</f>
        <v>0</v>
      </c>
      <c r="Z894" s="552">
        <f>Z895+Z896</f>
        <v>1309560</v>
      </c>
      <c r="AA894" s="555">
        <f t="shared" si="157"/>
        <v>7</v>
      </c>
      <c r="AB894" s="556">
        <f t="shared" si="155"/>
        <v>463040210</v>
      </c>
      <c r="AC894" s="557">
        <f t="shared" si="156"/>
        <v>28.000000000000004</v>
      </c>
      <c r="AD894" s="558">
        <f t="shared" si="156"/>
        <v>21.635808824820206</v>
      </c>
      <c r="AE894" s="551" t="s">
        <v>522</v>
      </c>
    </row>
    <row r="895" spans="1:31" s="512" customFormat="1" ht="51">
      <c r="A895" s="500"/>
      <c r="B895" s="500"/>
      <c r="C895" s="501" t="s">
        <v>146</v>
      </c>
      <c r="D895" s="501" t="s">
        <v>65</v>
      </c>
      <c r="E895" s="501" t="s">
        <v>201</v>
      </c>
      <c r="F895" s="501" t="s">
        <v>166</v>
      </c>
      <c r="G895" s="501">
        <v>13</v>
      </c>
      <c r="H895" s="500"/>
      <c r="I895" s="500" t="s">
        <v>564</v>
      </c>
      <c r="J895" s="500" t="s">
        <v>565</v>
      </c>
      <c r="K895" s="500">
        <v>18</v>
      </c>
      <c r="L895" s="504">
        <v>1110197260</v>
      </c>
      <c r="M895" s="503">
        <v>4</v>
      </c>
      <c r="N895" s="504">
        <v>197920910</v>
      </c>
      <c r="O895" s="503">
        <v>1</v>
      </c>
      <c r="P895" s="504">
        <v>36401350</v>
      </c>
      <c r="Q895" s="503"/>
      <c r="R895" s="504"/>
      <c r="S895" s="500"/>
      <c r="T895" s="510"/>
      <c r="U895" s="500"/>
      <c r="V895" s="504"/>
      <c r="W895" s="508"/>
      <c r="X895" s="504"/>
      <c r="Y895" s="503"/>
      <c r="Z895" s="504"/>
      <c r="AA895" s="511">
        <f t="shared" si="157"/>
        <v>4</v>
      </c>
      <c r="AB895" s="510">
        <f t="shared" si="155"/>
        <v>197920910</v>
      </c>
      <c r="AC895" s="511">
        <f t="shared" si="156"/>
        <v>22.222222222222221</v>
      </c>
      <c r="AD895" s="504">
        <f t="shared" si="156"/>
        <v>17.827544449172933</v>
      </c>
      <c r="AE895" s="500"/>
    </row>
    <row r="896" spans="1:31" s="499" customFormat="1" ht="38.25">
      <c r="A896" s="516"/>
      <c r="B896" s="500"/>
      <c r="C896" s="501" t="s">
        <v>146</v>
      </c>
      <c r="D896" s="501" t="s">
        <v>65</v>
      </c>
      <c r="E896" s="501" t="s">
        <v>201</v>
      </c>
      <c r="F896" s="501" t="s">
        <v>166</v>
      </c>
      <c r="G896" s="501">
        <v>14</v>
      </c>
      <c r="H896" s="500"/>
      <c r="I896" s="500" t="s">
        <v>566</v>
      </c>
      <c r="J896" s="500" t="s">
        <v>567</v>
      </c>
      <c r="K896" s="522">
        <v>7</v>
      </c>
      <c r="L896" s="504">
        <v>1029959430</v>
      </c>
      <c r="M896" s="519">
        <v>3</v>
      </c>
      <c r="N896" s="504">
        <v>263809740</v>
      </c>
      <c r="O896" s="519">
        <v>1</v>
      </c>
      <c r="P896" s="504">
        <v>52839720</v>
      </c>
      <c r="Q896" s="523">
        <v>0</v>
      </c>
      <c r="R896" s="524">
        <v>1309560</v>
      </c>
      <c r="S896" s="500"/>
      <c r="T896" s="510"/>
      <c r="U896" s="500"/>
      <c r="V896" s="524"/>
      <c r="W896" s="521"/>
      <c r="X896" s="504"/>
      <c r="Y896" s="523"/>
      <c r="Z896" s="524">
        <v>1309560</v>
      </c>
      <c r="AA896" s="511">
        <f t="shared" si="157"/>
        <v>3</v>
      </c>
      <c r="AB896" s="510">
        <f t="shared" si="155"/>
        <v>265119300</v>
      </c>
      <c r="AC896" s="511">
        <f t="shared" si="156"/>
        <v>42.857142857142854</v>
      </c>
      <c r="AD896" s="504">
        <f t="shared" si="156"/>
        <v>25.740751749804357</v>
      </c>
      <c r="AE896" s="516"/>
    </row>
    <row r="897" spans="1:31" s="559" customFormat="1" ht="47.25" customHeight="1">
      <c r="A897" s="546"/>
      <c r="B897" s="547"/>
      <c r="C897" s="548" t="s">
        <v>146</v>
      </c>
      <c r="D897" s="548" t="s">
        <v>65</v>
      </c>
      <c r="E897" s="548" t="s">
        <v>201</v>
      </c>
      <c r="F897" s="548" t="s">
        <v>448</v>
      </c>
      <c r="G897" s="549"/>
      <c r="H897" s="550"/>
      <c r="I897" s="550" t="s">
        <v>568</v>
      </c>
      <c r="J897" s="549" t="s">
        <v>569</v>
      </c>
      <c r="K897" s="576"/>
      <c r="L897" s="558">
        <f>SUM(L898:L903)</f>
        <v>6152269160</v>
      </c>
      <c r="M897" s="581"/>
      <c r="N897" s="558">
        <f>SUM(N898:N903)</f>
        <v>1430348550</v>
      </c>
      <c r="O897" s="576"/>
      <c r="P897" s="558">
        <f>SUM(P898:P903)</f>
        <v>307623630</v>
      </c>
      <c r="Q897" s="574">
        <f>(Q898+Q899+Q900+Q901+Q902+Q903)/6</f>
        <v>16.666666666666668</v>
      </c>
      <c r="R897" s="558">
        <f>SUM(R898:R903)</f>
        <v>92036020</v>
      </c>
      <c r="S897" s="574"/>
      <c r="T897" s="558"/>
      <c r="U897" s="574"/>
      <c r="V897" s="558"/>
      <c r="W897" s="574"/>
      <c r="X897" s="558"/>
      <c r="Y897" s="582">
        <f>(Y898+Y899+Y900+Y901+Y902+Y903)/6</f>
        <v>2</v>
      </c>
      <c r="Z897" s="558">
        <f>SUM(Z898:Z903)</f>
        <v>92036020</v>
      </c>
      <c r="AA897" s="557">
        <f t="shared" si="157"/>
        <v>2</v>
      </c>
      <c r="AB897" s="579">
        <f t="shared" si="155"/>
        <v>1522384570</v>
      </c>
      <c r="AC897" s="557">
        <f>SUM(AC898:AC903)/6</f>
        <v>31.666666666666668</v>
      </c>
      <c r="AD897" s="558">
        <f t="shared" ref="AD897:AD915" si="159">(AB897/L897)*100</f>
        <v>24.745090476503144</v>
      </c>
      <c r="AE897" s="576" t="s">
        <v>522</v>
      </c>
    </row>
    <row r="898" spans="1:31" s="512" customFormat="1" ht="38.25">
      <c r="A898" s="500"/>
      <c r="B898" s="500"/>
      <c r="C898" s="501" t="s">
        <v>146</v>
      </c>
      <c r="D898" s="501" t="s">
        <v>65</v>
      </c>
      <c r="E898" s="501" t="s">
        <v>201</v>
      </c>
      <c r="F898" s="501" t="s">
        <v>448</v>
      </c>
      <c r="G898" s="501" t="s">
        <v>167</v>
      </c>
      <c r="H898" s="500"/>
      <c r="I898" s="502" t="s">
        <v>570</v>
      </c>
      <c r="J898" s="500" t="s">
        <v>571</v>
      </c>
      <c r="K898" s="503">
        <v>72</v>
      </c>
      <c r="L898" s="504">
        <v>1579879500</v>
      </c>
      <c r="M898" s="503">
        <v>24</v>
      </c>
      <c r="N898" s="504">
        <v>342663720</v>
      </c>
      <c r="O898" s="503">
        <v>12</v>
      </c>
      <c r="P898" s="504">
        <v>96800000</v>
      </c>
      <c r="Q898" s="506">
        <v>25</v>
      </c>
      <c r="R898" s="504">
        <v>17400000</v>
      </c>
      <c r="S898" s="500"/>
      <c r="T898" s="510"/>
      <c r="U898" s="500"/>
      <c r="V898" s="504"/>
      <c r="W898" s="508"/>
      <c r="X898" s="504"/>
      <c r="Y898" s="503">
        <v>3</v>
      </c>
      <c r="Z898" s="504">
        <v>17400000</v>
      </c>
      <c r="AA898" s="511">
        <f t="shared" si="157"/>
        <v>27</v>
      </c>
      <c r="AB898" s="510">
        <f t="shared" si="155"/>
        <v>360063720</v>
      </c>
      <c r="AC898" s="511">
        <f t="shared" ref="AC898:AC905" si="160">(AA898/K898)*100</f>
        <v>37.5</v>
      </c>
      <c r="AD898" s="504">
        <f t="shared" si="159"/>
        <v>22.790581180400153</v>
      </c>
      <c r="AE898" s="500"/>
    </row>
    <row r="899" spans="1:31" s="512" customFormat="1" ht="51">
      <c r="A899" s="500"/>
      <c r="B899" s="500"/>
      <c r="C899" s="501" t="s">
        <v>146</v>
      </c>
      <c r="D899" s="501" t="s">
        <v>65</v>
      </c>
      <c r="E899" s="501" t="s">
        <v>201</v>
      </c>
      <c r="F899" s="501" t="s">
        <v>448</v>
      </c>
      <c r="G899" s="501" t="s">
        <v>165</v>
      </c>
      <c r="H899" s="500"/>
      <c r="I899" s="502" t="s">
        <v>572</v>
      </c>
      <c r="J899" s="500" t="s">
        <v>573</v>
      </c>
      <c r="K899" s="503">
        <v>72</v>
      </c>
      <c r="L899" s="504">
        <v>1220761500</v>
      </c>
      <c r="M899" s="503">
        <v>24</v>
      </c>
      <c r="N899" s="504">
        <v>254183850</v>
      </c>
      <c r="O899" s="503">
        <v>12</v>
      </c>
      <c r="P899" s="504">
        <v>6449500</v>
      </c>
      <c r="Q899" s="503">
        <v>25</v>
      </c>
      <c r="R899" s="504">
        <v>18318900</v>
      </c>
      <c r="S899" s="500"/>
      <c r="T899" s="510"/>
      <c r="U899" s="511"/>
      <c r="V899" s="504"/>
      <c r="W899" s="508"/>
      <c r="X899" s="504"/>
      <c r="Y899" s="503">
        <v>3</v>
      </c>
      <c r="Z899" s="504">
        <v>18318900</v>
      </c>
      <c r="AA899" s="511">
        <f t="shared" si="157"/>
        <v>27</v>
      </c>
      <c r="AB899" s="510">
        <f t="shared" si="155"/>
        <v>272502750</v>
      </c>
      <c r="AC899" s="511">
        <f t="shared" si="160"/>
        <v>37.5</v>
      </c>
      <c r="AD899" s="504">
        <f t="shared" si="159"/>
        <v>22.322357806991782</v>
      </c>
      <c r="AE899" s="500"/>
    </row>
    <row r="900" spans="1:31" s="512" customFormat="1" ht="38.25">
      <c r="A900" s="500"/>
      <c r="B900" s="500"/>
      <c r="C900" s="501" t="s">
        <v>146</v>
      </c>
      <c r="D900" s="501" t="s">
        <v>65</v>
      </c>
      <c r="E900" s="501" t="s">
        <v>201</v>
      </c>
      <c r="F900" s="501" t="s">
        <v>448</v>
      </c>
      <c r="G900" s="501" t="s">
        <v>515</v>
      </c>
      <c r="H900" s="500"/>
      <c r="I900" s="502" t="s">
        <v>574</v>
      </c>
      <c r="J900" s="500" t="s">
        <v>575</v>
      </c>
      <c r="K900" s="503">
        <v>72</v>
      </c>
      <c r="L900" s="504">
        <v>712792120</v>
      </c>
      <c r="M900" s="503">
        <v>24</v>
      </c>
      <c r="N900" s="504">
        <v>212117990</v>
      </c>
      <c r="O900" s="503">
        <v>12</v>
      </c>
      <c r="P900" s="504">
        <v>48035150</v>
      </c>
      <c r="Q900" s="503">
        <v>25</v>
      </c>
      <c r="R900" s="504">
        <v>5802750</v>
      </c>
      <c r="S900" s="500"/>
      <c r="T900" s="510"/>
      <c r="U900" s="500"/>
      <c r="V900" s="504"/>
      <c r="W900" s="508"/>
      <c r="X900" s="504"/>
      <c r="Y900" s="503">
        <v>3</v>
      </c>
      <c r="Z900" s="504">
        <v>5802750</v>
      </c>
      <c r="AA900" s="511">
        <f t="shared" si="157"/>
        <v>27</v>
      </c>
      <c r="AB900" s="510">
        <f t="shared" si="155"/>
        <v>217920740</v>
      </c>
      <c r="AC900" s="511">
        <f t="shared" si="160"/>
        <v>37.5</v>
      </c>
      <c r="AD900" s="504">
        <f t="shared" si="159"/>
        <v>30.572832370818016</v>
      </c>
      <c r="AE900" s="500"/>
    </row>
    <row r="901" spans="1:31" s="512" customFormat="1" ht="51">
      <c r="A901" s="500"/>
      <c r="B901" s="500"/>
      <c r="C901" s="501" t="s">
        <v>146</v>
      </c>
      <c r="D901" s="501" t="s">
        <v>65</v>
      </c>
      <c r="E901" s="501" t="s">
        <v>201</v>
      </c>
      <c r="F901" s="501" t="s">
        <v>448</v>
      </c>
      <c r="G901" s="501" t="s">
        <v>363</v>
      </c>
      <c r="H901" s="500"/>
      <c r="I901" s="502" t="s">
        <v>576</v>
      </c>
      <c r="J901" s="500" t="s">
        <v>577</v>
      </c>
      <c r="K901" s="503">
        <v>5</v>
      </c>
      <c r="L901" s="504">
        <v>345000000</v>
      </c>
      <c r="M901" s="515">
        <v>1</v>
      </c>
      <c r="N901" s="504">
        <v>32690500</v>
      </c>
      <c r="O901" s="515">
        <v>1</v>
      </c>
      <c r="P901" s="504">
        <v>25815500</v>
      </c>
      <c r="Q901" s="503"/>
      <c r="R901" s="504">
        <v>10943000</v>
      </c>
      <c r="S901" s="500"/>
      <c r="T901" s="510"/>
      <c r="U901" s="500"/>
      <c r="V901" s="504"/>
      <c r="W901" s="508"/>
      <c r="X901" s="504"/>
      <c r="Y901" s="503"/>
      <c r="Z901" s="504">
        <v>10943000</v>
      </c>
      <c r="AA901" s="511">
        <f t="shared" si="157"/>
        <v>1</v>
      </c>
      <c r="AB901" s="510">
        <f t="shared" si="155"/>
        <v>43633500</v>
      </c>
      <c r="AC901" s="511">
        <f t="shared" si="160"/>
        <v>20</v>
      </c>
      <c r="AD901" s="504">
        <f t="shared" si="159"/>
        <v>12.647391304347828</v>
      </c>
      <c r="AE901" s="500"/>
    </row>
    <row r="902" spans="1:31" s="499" customFormat="1" ht="38.25">
      <c r="A902" s="516"/>
      <c r="B902" s="500"/>
      <c r="C902" s="501" t="s">
        <v>146</v>
      </c>
      <c r="D902" s="501" t="s">
        <v>65</v>
      </c>
      <c r="E902" s="501" t="s">
        <v>201</v>
      </c>
      <c r="F902" s="501" t="s">
        <v>448</v>
      </c>
      <c r="G902" s="501" t="s">
        <v>178</v>
      </c>
      <c r="H902" s="500"/>
      <c r="I902" s="502" t="s">
        <v>578</v>
      </c>
      <c r="J902" s="500" t="s">
        <v>579</v>
      </c>
      <c r="K902" s="503">
        <v>5</v>
      </c>
      <c r="L902" s="504">
        <v>225000000</v>
      </c>
      <c r="M902" s="515">
        <v>1</v>
      </c>
      <c r="N902" s="504">
        <v>29034500</v>
      </c>
      <c r="O902" s="515">
        <v>1</v>
      </c>
      <c r="P902" s="504">
        <v>16684500</v>
      </c>
      <c r="Q902" s="503"/>
      <c r="R902" s="504"/>
      <c r="S902" s="500"/>
      <c r="T902" s="510"/>
      <c r="U902" s="500"/>
      <c r="V902" s="504"/>
      <c r="W902" s="508"/>
      <c r="X902" s="504"/>
      <c r="Y902" s="503"/>
      <c r="Z902" s="504"/>
      <c r="AA902" s="511">
        <f t="shared" si="157"/>
        <v>1</v>
      </c>
      <c r="AB902" s="510">
        <f t="shared" si="155"/>
        <v>29034500</v>
      </c>
      <c r="AC902" s="511">
        <f t="shared" si="160"/>
        <v>20</v>
      </c>
      <c r="AD902" s="504">
        <f t="shared" si="159"/>
        <v>12.904222222222222</v>
      </c>
      <c r="AE902" s="516"/>
    </row>
    <row r="903" spans="1:31" s="512" customFormat="1" ht="63.75">
      <c r="A903" s="500"/>
      <c r="B903" s="500"/>
      <c r="C903" s="501" t="s">
        <v>146</v>
      </c>
      <c r="D903" s="501" t="s">
        <v>65</v>
      </c>
      <c r="E903" s="501" t="s">
        <v>201</v>
      </c>
      <c r="F903" s="501" t="s">
        <v>448</v>
      </c>
      <c r="G903" s="525">
        <v>30</v>
      </c>
      <c r="H903" s="500"/>
      <c r="I903" s="500" t="s">
        <v>580</v>
      </c>
      <c r="J903" s="500" t="s">
        <v>581</v>
      </c>
      <c r="K903" s="503">
        <v>72</v>
      </c>
      <c r="L903" s="504">
        <v>2068836040</v>
      </c>
      <c r="M903" s="503">
        <v>24</v>
      </c>
      <c r="N903" s="504">
        <v>559657990</v>
      </c>
      <c r="O903" s="503">
        <v>12</v>
      </c>
      <c r="P903" s="504">
        <v>113838980</v>
      </c>
      <c r="Q903" s="503">
        <v>25</v>
      </c>
      <c r="R903" s="504">
        <v>39571370</v>
      </c>
      <c r="S903" s="500"/>
      <c r="T903" s="510"/>
      <c r="U903" s="500"/>
      <c r="V903" s="504"/>
      <c r="W903" s="508"/>
      <c r="X903" s="504"/>
      <c r="Y903" s="503">
        <v>3</v>
      </c>
      <c r="Z903" s="504">
        <v>39571370</v>
      </c>
      <c r="AA903" s="511">
        <f t="shared" si="157"/>
        <v>27</v>
      </c>
      <c r="AB903" s="510">
        <f t="shared" si="155"/>
        <v>599229360</v>
      </c>
      <c r="AC903" s="511">
        <f t="shared" si="160"/>
        <v>37.5</v>
      </c>
      <c r="AD903" s="504">
        <f t="shared" si="159"/>
        <v>28.964565021788776</v>
      </c>
      <c r="AE903" s="500"/>
    </row>
    <row r="904" spans="1:31" s="559" customFormat="1" ht="38.25">
      <c r="A904" s="546"/>
      <c r="B904" s="547"/>
      <c r="C904" s="583">
        <v>1</v>
      </c>
      <c r="D904" s="583" t="s">
        <v>65</v>
      </c>
      <c r="E904" s="583" t="s">
        <v>201</v>
      </c>
      <c r="F904" s="583">
        <v>18</v>
      </c>
      <c r="G904" s="584"/>
      <c r="H904" s="546"/>
      <c r="I904" s="546" t="s">
        <v>582</v>
      </c>
      <c r="J904" s="546" t="s">
        <v>583</v>
      </c>
      <c r="K904" s="576">
        <f t="shared" ref="K904:P904" si="161">K905</f>
        <v>1</v>
      </c>
      <c r="L904" s="558">
        <f t="shared" si="161"/>
        <v>300000000</v>
      </c>
      <c r="M904" s="585">
        <f t="shared" si="161"/>
        <v>0</v>
      </c>
      <c r="N904" s="558">
        <f t="shared" si="161"/>
        <v>0</v>
      </c>
      <c r="O904" s="576">
        <f t="shared" si="161"/>
        <v>1</v>
      </c>
      <c r="P904" s="558">
        <f t="shared" si="161"/>
        <v>36275999</v>
      </c>
      <c r="Q904" s="576"/>
      <c r="R904" s="558"/>
      <c r="S904" s="546"/>
      <c r="T904" s="579"/>
      <c r="U904" s="546"/>
      <c r="V904" s="558"/>
      <c r="W904" s="574"/>
      <c r="X904" s="558"/>
      <c r="Y904" s="576"/>
      <c r="Z904" s="558"/>
      <c r="AA904" s="557">
        <f t="shared" si="157"/>
        <v>0</v>
      </c>
      <c r="AB904" s="579">
        <f t="shared" si="155"/>
        <v>0</v>
      </c>
      <c r="AC904" s="557">
        <f t="shared" si="160"/>
        <v>0</v>
      </c>
      <c r="AD904" s="558">
        <f t="shared" si="159"/>
        <v>0</v>
      </c>
      <c r="AE904" s="546"/>
    </row>
    <row r="905" spans="1:31" s="512" customFormat="1" ht="48.75" customHeight="1">
      <c r="A905" s="500"/>
      <c r="B905" s="500"/>
      <c r="C905" s="501">
        <v>1</v>
      </c>
      <c r="D905" s="501" t="s">
        <v>65</v>
      </c>
      <c r="E905" s="501" t="s">
        <v>201</v>
      </c>
      <c r="F905" s="501">
        <v>18</v>
      </c>
      <c r="G905" s="525">
        <v>14</v>
      </c>
      <c r="H905" s="500"/>
      <c r="I905" s="500" t="s">
        <v>584</v>
      </c>
      <c r="J905" s="500" t="s">
        <v>585</v>
      </c>
      <c r="K905" s="503">
        <v>1</v>
      </c>
      <c r="L905" s="504">
        <v>300000000</v>
      </c>
      <c r="M905" s="515">
        <v>0</v>
      </c>
      <c r="N905" s="504">
        <v>0</v>
      </c>
      <c r="O905" s="503">
        <v>1</v>
      </c>
      <c r="P905" s="504">
        <v>36275999</v>
      </c>
      <c r="Q905" s="503"/>
      <c r="R905" s="504"/>
      <c r="S905" s="500"/>
      <c r="T905" s="504"/>
      <c r="U905" s="500"/>
      <c r="V905" s="504"/>
      <c r="W905" s="508"/>
      <c r="X905" s="504"/>
      <c r="Y905" s="503"/>
      <c r="Z905" s="504"/>
      <c r="AA905" s="511">
        <f t="shared" si="157"/>
        <v>0</v>
      </c>
      <c r="AB905" s="510">
        <f t="shared" si="155"/>
        <v>0</v>
      </c>
      <c r="AC905" s="511">
        <f t="shared" si="160"/>
        <v>0</v>
      </c>
      <c r="AD905" s="504">
        <f t="shared" si="159"/>
        <v>0</v>
      </c>
      <c r="AE905" s="500"/>
    </row>
    <row r="906" spans="1:31" s="559" customFormat="1" ht="50.25" customHeight="1">
      <c r="A906" s="546"/>
      <c r="B906" s="547"/>
      <c r="C906" s="583">
        <v>1</v>
      </c>
      <c r="D906" s="583" t="s">
        <v>65</v>
      </c>
      <c r="E906" s="583" t="s">
        <v>201</v>
      </c>
      <c r="F906" s="583">
        <v>19</v>
      </c>
      <c r="G906" s="584"/>
      <c r="H906" s="546"/>
      <c r="I906" s="546" t="s">
        <v>586</v>
      </c>
      <c r="J906" s="546" t="s">
        <v>587</v>
      </c>
      <c r="K906" s="586"/>
      <c r="L906" s="558">
        <f>SUM(L907:L908)</f>
        <v>41640000000</v>
      </c>
      <c r="M906" s="558">
        <f>SUM(M907:M908)</f>
        <v>0</v>
      </c>
      <c r="N906" s="558">
        <f>SUM(N907:N908)</f>
        <v>0</v>
      </c>
      <c r="O906" s="576"/>
      <c r="P906" s="558">
        <f>SUM(P907:P908)</f>
        <v>8439990300</v>
      </c>
      <c r="Q906" s="581">
        <f>(Q907+Q908)/2</f>
        <v>15.725</v>
      </c>
      <c r="R906" s="558">
        <f>SUM(R907:R908)</f>
        <v>973286870</v>
      </c>
      <c r="S906" s="546"/>
      <c r="T906" s="579"/>
      <c r="U906" s="546"/>
      <c r="V906" s="558"/>
      <c r="W906" s="574"/>
      <c r="X906" s="558"/>
      <c r="Y906" s="581">
        <f>(Y907+Y908)/2</f>
        <v>2.5</v>
      </c>
      <c r="Z906" s="558">
        <f>SUM(Z907:Z908)</f>
        <v>973286870</v>
      </c>
      <c r="AA906" s="557">
        <f t="shared" si="157"/>
        <v>2.5</v>
      </c>
      <c r="AB906" s="579">
        <f t="shared" si="155"/>
        <v>973286870</v>
      </c>
      <c r="AC906" s="557">
        <f>(AC907+AC908)/2</f>
        <v>3.5579004329004329</v>
      </c>
      <c r="AD906" s="558">
        <f t="shared" si="159"/>
        <v>2.3373844140249762</v>
      </c>
      <c r="AE906" s="546"/>
    </row>
    <row r="907" spans="1:31" s="512" customFormat="1" ht="37.5" customHeight="1">
      <c r="A907" s="500"/>
      <c r="B907" s="500"/>
      <c r="C907" s="501">
        <v>1</v>
      </c>
      <c r="D907" s="501" t="s">
        <v>65</v>
      </c>
      <c r="E907" s="501" t="s">
        <v>201</v>
      </c>
      <c r="F907" s="501">
        <v>19</v>
      </c>
      <c r="G907" s="525" t="s">
        <v>95</v>
      </c>
      <c r="H907" s="500"/>
      <c r="I907" s="500" t="s">
        <v>588</v>
      </c>
      <c r="J907" s="500" t="s">
        <v>589</v>
      </c>
      <c r="K907" s="503">
        <v>231</v>
      </c>
      <c r="L907" s="504">
        <v>28440000000</v>
      </c>
      <c r="M907" s="515">
        <v>0</v>
      </c>
      <c r="N907" s="504">
        <v>0</v>
      </c>
      <c r="O907" s="503">
        <v>31</v>
      </c>
      <c r="P907" s="504">
        <v>4440000000</v>
      </c>
      <c r="Q907" s="503">
        <v>6.45</v>
      </c>
      <c r="R907" s="504">
        <v>27050470</v>
      </c>
      <c r="S907" s="500"/>
      <c r="T907" s="510"/>
      <c r="U907" s="500"/>
      <c r="V907" s="504"/>
      <c r="W907" s="508"/>
      <c r="X907" s="504"/>
      <c r="Y907" s="503">
        <v>2</v>
      </c>
      <c r="Z907" s="504">
        <v>27050470</v>
      </c>
      <c r="AA907" s="511">
        <f t="shared" si="157"/>
        <v>2</v>
      </c>
      <c r="AB907" s="510">
        <f t="shared" si="155"/>
        <v>27050470</v>
      </c>
      <c r="AC907" s="511">
        <f>(AA907/K907)*100</f>
        <v>0.86580086580086579</v>
      </c>
      <c r="AD907" s="504">
        <f t="shared" si="159"/>
        <v>9.5114170182841073E-2</v>
      </c>
      <c r="AE907" s="500"/>
    </row>
    <row r="908" spans="1:31" s="512" customFormat="1" ht="45.75" customHeight="1">
      <c r="A908" s="500"/>
      <c r="B908" s="500"/>
      <c r="C908" s="501">
        <v>1</v>
      </c>
      <c r="D908" s="501" t="s">
        <v>65</v>
      </c>
      <c r="E908" s="501" t="s">
        <v>201</v>
      </c>
      <c r="F908" s="501">
        <v>19</v>
      </c>
      <c r="G908" s="525" t="s">
        <v>161</v>
      </c>
      <c r="H908" s="500"/>
      <c r="I908" s="500" t="s">
        <v>590</v>
      </c>
      <c r="J908" s="500" t="s">
        <v>591</v>
      </c>
      <c r="K908" s="503">
        <v>48</v>
      </c>
      <c r="L908" s="504">
        <v>13200000000</v>
      </c>
      <c r="M908" s="515">
        <v>0</v>
      </c>
      <c r="N908" s="504">
        <v>0</v>
      </c>
      <c r="O908" s="503">
        <v>12</v>
      </c>
      <c r="P908" s="504">
        <v>3999990300</v>
      </c>
      <c r="Q908" s="520">
        <v>25</v>
      </c>
      <c r="R908" s="504">
        <v>946236400</v>
      </c>
      <c r="S908" s="500"/>
      <c r="T908" s="507"/>
      <c r="U908" s="500"/>
      <c r="V908" s="504"/>
      <c r="W908" s="508"/>
      <c r="X908" s="504"/>
      <c r="Y908" s="503">
        <v>3</v>
      </c>
      <c r="Z908" s="504">
        <v>946236400</v>
      </c>
      <c r="AA908" s="511">
        <f t="shared" si="157"/>
        <v>3</v>
      </c>
      <c r="AB908" s="510">
        <f t="shared" si="155"/>
        <v>946236400</v>
      </c>
      <c r="AC908" s="511">
        <f>(AA908/K908)*100</f>
        <v>6.25</v>
      </c>
      <c r="AD908" s="504">
        <f t="shared" si="159"/>
        <v>7.168457575757575</v>
      </c>
      <c r="AE908" s="500"/>
    </row>
    <row r="909" spans="1:31" s="559" customFormat="1" ht="76.5">
      <c r="A909" s="546"/>
      <c r="B909" s="547"/>
      <c r="C909" s="548" t="s">
        <v>146</v>
      </c>
      <c r="D909" s="548" t="s">
        <v>65</v>
      </c>
      <c r="E909" s="548" t="s">
        <v>201</v>
      </c>
      <c r="F909" s="549">
        <v>20</v>
      </c>
      <c r="G909" s="549"/>
      <c r="H909" s="550"/>
      <c r="I909" s="550" t="s">
        <v>592</v>
      </c>
      <c r="J909" s="549" t="s">
        <v>593</v>
      </c>
      <c r="K909" s="578"/>
      <c r="L909" s="558">
        <f>SUM(L910:L911)</f>
        <v>5977646190</v>
      </c>
      <c r="M909" s="587"/>
      <c r="N909" s="558">
        <f>SUM(N910:N911)</f>
        <v>733419920</v>
      </c>
      <c r="O909" s="576"/>
      <c r="P909" s="558">
        <f>SUM(P910:P911)</f>
        <v>3628876440</v>
      </c>
      <c r="Q909" s="576">
        <f>(Q910+Q911)/2</f>
        <v>12.5</v>
      </c>
      <c r="R909" s="558">
        <f>SUM(R910:R911)</f>
        <v>203415170</v>
      </c>
      <c r="S909" s="574"/>
      <c r="T909" s="558"/>
      <c r="U909" s="574"/>
      <c r="V909" s="558"/>
      <c r="W909" s="574"/>
      <c r="X909" s="558"/>
      <c r="Y909" s="576">
        <f>(Y910+Y911)/2</f>
        <v>1.5</v>
      </c>
      <c r="Z909" s="558">
        <f>SUM(Z910:Z911)</f>
        <v>203415170</v>
      </c>
      <c r="AA909" s="557">
        <f t="shared" si="157"/>
        <v>1.5</v>
      </c>
      <c r="AB909" s="579">
        <f t="shared" si="155"/>
        <v>936835090</v>
      </c>
      <c r="AC909" s="557">
        <f>(AC910+AC911)/2</f>
        <v>18.75</v>
      </c>
      <c r="AD909" s="558">
        <f t="shared" si="159"/>
        <v>15.672307463884877</v>
      </c>
      <c r="AE909" s="576" t="s">
        <v>522</v>
      </c>
    </row>
    <row r="910" spans="1:31" s="512" customFormat="1" ht="36" customHeight="1">
      <c r="A910" s="500"/>
      <c r="B910" s="500"/>
      <c r="C910" s="501" t="s">
        <v>146</v>
      </c>
      <c r="D910" s="501" t="s">
        <v>65</v>
      </c>
      <c r="E910" s="501" t="s">
        <v>201</v>
      </c>
      <c r="F910" s="500">
        <v>20</v>
      </c>
      <c r="G910" s="501" t="s">
        <v>95</v>
      </c>
      <c r="H910" s="500"/>
      <c r="I910" s="502" t="s">
        <v>594</v>
      </c>
      <c r="J910" s="500" t="s">
        <v>595</v>
      </c>
      <c r="K910" s="515">
        <v>72</v>
      </c>
      <c r="L910" s="504">
        <v>2572033840</v>
      </c>
      <c r="M910" s="519">
        <v>24</v>
      </c>
      <c r="N910" s="504">
        <v>733419920</v>
      </c>
      <c r="O910" s="503">
        <v>12</v>
      </c>
      <c r="P910" s="504">
        <v>223264090</v>
      </c>
      <c r="Q910" s="503">
        <v>25</v>
      </c>
      <c r="R910" s="504">
        <v>181189170</v>
      </c>
      <c r="S910" s="500"/>
      <c r="T910" s="510"/>
      <c r="U910" s="500"/>
      <c r="V910" s="504"/>
      <c r="W910" s="508"/>
      <c r="X910" s="504"/>
      <c r="Y910" s="503">
        <v>3</v>
      </c>
      <c r="Z910" s="504">
        <v>181189170</v>
      </c>
      <c r="AA910" s="511">
        <f t="shared" si="157"/>
        <v>27</v>
      </c>
      <c r="AB910" s="510">
        <f t="shared" si="155"/>
        <v>914609090</v>
      </c>
      <c r="AC910" s="511">
        <f t="shared" ref="AC910:AC915" si="162">(AA910/K910)*100</f>
        <v>37.5</v>
      </c>
      <c r="AD910" s="504">
        <f t="shared" si="159"/>
        <v>35.559761142178445</v>
      </c>
      <c r="AE910" s="500"/>
    </row>
    <row r="911" spans="1:31" s="512" customFormat="1" ht="36" customHeight="1">
      <c r="A911" s="500"/>
      <c r="B911" s="500"/>
      <c r="C911" s="501" t="s">
        <v>146</v>
      </c>
      <c r="D911" s="501" t="s">
        <v>65</v>
      </c>
      <c r="E911" s="501" t="s">
        <v>201</v>
      </c>
      <c r="F911" s="500">
        <v>20</v>
      </c>
      <c r="G911" s="501" t="s">
        <v>161</v>
      </c>
      <c r="H911" s="500"/>
      <c r="I911" s="502" t="s">
        <v>596</v>
      </c>
      <c r="J911" s="500" t="s">
        <v>597</v>
      </c>
      <c r="K911" s="515">
        <v>1</v>
      </c>
      <c r="L911" s="504">
        <v>3405612350</v>
      </c>
      <c r="M911" s="515">
        <v>0</v>
      </c>
      <c r="N911" s="504"/>
      <c r="O911" s="503">
        <v>1</v>
      </c>
      <c r="P911" s="504">
        <v>3405612350</v>
      </c>
      <c r="Q911" s="503"/>
      <c r="R911" s="504">
        <v>22226000</v>
      </c>
      <c r="S911" s="500"/>
      <c r="T911" s="510"/>
      <c r="U911" s="500"/>
      <c r="V911" s="504"/>
      <c r="W911" s="508"/>
      <c r="X911" s="504"/>
      <c r="Y911" s="503"/>
      <c r="Z911" s="504">
        <v>22226000</v>
      </c>
      <c r="AA911" s="511">
        <f t="shared" si="157"/>
        <v>0</v>
      </c>
      <c r="AB911" s="510">
        <f t="shared" si="155"/>
        <v>22226000</v>
      </c>
      <c r="AC911" s="511">
        <f t="shared" si="162"/>
        <v>0</v>
      </c>
      <c r="AD911" s="504">
        <f t="shared" si="159"/>
        <v>0.65262859409116247</v>
      </c>
      <c r="AE911" s="500"/>
    </row>
    <row r="912" spans="1:31" s="559" customFormat="1" ht="51">
      <c r="A912" s="546"/>
      <c r="B912" s="547"/>
      <c r="C912" s="548" t="s">
        <v>146</v>
      </c>
      <c r="D912" s="548" t="s">
        <v>65</v>
      </c>
      <c r="E912" s="548" t="s">
        <v>201</v>
      </c>
      <c r="F912" s="548" t="s">
        <v>360</v>
      </c>
      <c r="G912" s="549"/>
      <c r="H912" s="550"/>
      <c r="I912" s="550" t="s">
        <v>598</v>
      </c>
      <c r="J912" s="549" t="s">
        <v>599</v>
      </c>
      <c r="K912" s="551">
        <f t="shared" ref="K912:R912" si="163">K913</f>
        <v>72</v>
      </c>
      <c r="L912" s="588">
        <f t="shared" si="163"/>
        <v>1638034700</v>
      </c>
      <c r="M912" s="551">
        <f t="shared" si="163"/>
        <v>24</v>
      </c>
      <c r="N912" s="588">
        <f t="shared" si="163"/>
        <v>424069190</v>
      </c>
      <c r="O912" s="551">
        <f t="shared" si="163"/>
        <v>12</v>
      </c>
      <c r="P912" s="588">
        <f t="shared" si="163"/>
        <v>85737500</v>
      </c>
      <c r="Q912" s="551">
        <f t="shared" si="163"/>
        <v>25</v>
      </c>
      <c r="R912" s="588">
        <f t="shared" si="163"/>
        <v>20007010</v>
      </c>
      <c r="S912" s="551"/>
      <c r="T912" s="558"/>
      <c r="U912" s="574"/>
      <c r="V912" s="558"/>
      <c r="W912" s="574"/>
      <c r="X912" s="558"/>
      <c r="Y912" s="578">
        <f>Y913</f>
        <v>3</v>
      </c>
      <c r="Z912" s="558">
        <f>Z913</f>
        <v>20007010</v>
      </c>
      <c r="AA912" s="557">
        <f t="shared" si="157"/>
        <v>27</v>
      </c>
      <c r="AB912" s="579">
        <f t="shared" si="155"/>
        <v>444076200</v>
      </c>
      <c r="AC912" s="557">
        <f t="shared" si="162"/>
        <v>37.5</v>
      </c>
      <c r="AD912" s="558">
        <f t="shared" si="159"/>
        <v>27.110304806119185</v>
      </c>
      <c r="AE912" s="576" t="s">
        <v>522</v>
      </c>
    </row>
    <row r="913" spans="1:31" s="512" customFormat="1" ht="36.75" customHeight="1">
      <c r="A913" s="500"/>
      <c r="B913" s="500"/>
      <c r="C913" s="501" t="s">
        <v>146</v>
      </c>
      <c r="D913" s="501" t="s">
        <v>65</v>
      </c>
      <c r="E913" s="501" t="s">
        <v>201</v>
      </c>
      <c r="F913" s="501" t="s">
        <v>360</v>
      </c>
      <c r="G913" s="501" t="s">
        <v>66</v>
      </c>
      <c r="H913" s="500"/>
      <c r="I913" s="502" t="s">
        <v>600</v>
      </c>
      <c r="J913" s="500" t="s">
        <v>601</v>
      </c>
      <c r="K913" s="503">
        <v>72</v>
      </c>
      <c r="L913" s="504">
        <v>1638034700</v>
      </c>
      <c r="M913" s="503">
        <v>24</v>
      </c>
      <c r="N913" s="504">
        <v>424069190</v>
      </c>
      <c r="O913" s="503">
        <v>12</v>
      </c>
      <c r="P913" s="504">
        <v>85737500</v>
      </c>
      <c r="Q913" s="503">
        <v>25</v>
      </c>
      <c r="R913" s="504">
        <v>20007010</v>
      </c>
      <c r="S913" s="500"/>
      <c r="T913" s="510"/>
      <c r="U913" s="511"/>
      <c r="V913" s="504"/>
      <c r="W913" s="508"/>
      <c r="X913" s="504"/>
      <c r="Y913" s="503">
        <v>3</v>
      </c>
      <c r="Z913" s="504">
        <v>20007010</v>
      </c>
      <c r="AA913" s="511">
        <f t="shared" si="157"/>
        <v>27</v>
      </c>
      <c r="AB913" s="510">
        <f t="shared" si="155"/>
        <v>444076200</v>
      </c>
      <c r="AC913" s="511">
        <f t="shared" si="162"/>
        <v>37.5</v>
      </c>
      <c r="AD913" s="504">
        <f t="shared" si="159"/>
        <v>27.110304806119185</v>
      </c>
      <c r="AE913" s="500"/>
    </row>
    <row r="914" spans="1:31" s="559" customFormat="1" ht="63.75">
      <c r="A914" s="546"/>
      <c r="B914" s="547"/>
      <c r="C914" s="548" t="s">
        <v>602</v>
      </c>
      <c r="D914" s="548" t="s">
        <v>66</v>
      </c>
      <c r="E914" s="548" t="s">
        <v>196</v>
      </c>
      <c r="F914" s="548" t="s">
        <v>155</v>
      </c>
      <c r="G914" s="549"/>
      <c r="H914" s="550"/>
      <c r="I914" s="550" t="s">
        <v>603</v>
      </c>
      <c r="J914" s="589" t="s">
        <v>604</v>
      </c>
      <c r="K914" s="551">
        <f t="shared" ref="K914:R914" si="164">K915</f>
        <v>72</v>
      </c>
      <c r="L914" s="552">
        <f t="shared" si="164"/>
        <v>2100753040</v>
      </c>
      <c r="M914" s="576">
        <f t="shared" si="164"/>
        <v>24</v>
      </c>
      <c r="N914" s="558">
        <f t="shared" si="164"/>
        <v>497724839</v>
      </c>
      <c r="O914" s="576">
        <f t="shared" si="164"/>
        <v>12</v>
      </c>
      <c r="P914" s="558">
        <f t="shared" si="164"/>
        <v>227350100</v>
      </c>
      <c r="Q914" s="558">
        <f t="shared" si="164"/>
        <v>25</v>
      </c>
      <c r="R914" s="558">
        <f t="shared" si="164"/>
        <v>64694360</v>
      </c>
      <c r="S914" s="546"/>
      <c r="T914" s="579"/>
      <c r="U914" s="576"/>
      <c r="V914" s="558"/>
      <c r="W914" s="576"/>
      <c r="X914" s="558"/>
      <c r="Y914" s="578">
        <f>Y915</f>
        <v>3</v>
      </c>
      <c r="Z914" s="558">
        <f>Z915</f>
        <v>64694360</v>
      </c>
      <c r="AA914" s="557">
        <f t="shared" si="157"/>
        <v>27</v>
      </c>
      <c r="AB914" s="579">
        <f t="shared" si="155"/>
        <v>562419199</v>
      </c>
      <c r="AC914" s="557">
        <f t="shared" si="162"/>
        <v>37.5</v>
      </c>
      <c r="AD914" s="558">
        <f t="shared" si="159"/>
        <v>26.772266339312306</v>
      </c>
      <c r="AE914" s="576" t="s">
        <v>522</v>
      </c>
    </row>
    <row r="915" spans="1:31" s="512" customFormat="1" ht="38.25" customHeight="1" thickBot="1">
      <c r="A915" s="500"/>
      <c r="B915" s="500"/>
      <c r="C915" s="526" t="s">
        <v>602</v>
      </c>
      <c r="D915" s="526" t="s">
        <v>66</v>
      </c>
      <c r="E915" s="526" t="s">
        <v>196</v>
      </c>
      <c r="F915" s="526" t="s">
        <v>155</v>
      </c>
      <c r="G915" s="526" t="s">
        <v>165</v>
      </c>
      <c r="H915" s="514"/>
      <c r="I915" s="527" t="s">
        <v>605</v>
      </c>
      <c r="J915" s="518" t="s">
        <v>606</v>
      </c>
      <c r="K915" s="503">
        <v>72</v>
      </c>
      <c r="L915" s="504">
        <v>2100753040</v>
      </c>
      <c r="M915" s="503">
        <v>24</v>
      </c>
      <c r="N915" s="504">
        <v>497724839</v>
      </c>
      <c r="O915" s="503">
        <v>12</v>
      </c>
      <c r="P915" s="504">
        <v>227350100</v>
      </c>
      <c r="Q915" s="503">
        <v>25</v>
      </c>
      <c r="R915" s="504">
        <v>64694360</v>
      </c>
      <c r="S915" s="500"/>
      <c r="T915" s="510"/>
      <c r="U915" s="500"/>
      <c r="V915" s="504"/>
      <c r="W915" s="508"/>
      <c r="X915" s="504"/>
      <c r="Y915" s="503">
        <v>3</v>
      </c>
      <c r="Z915" s="504">
        <v>64694360</v>
      </c>
      <c r="AA915" s="511">
        <f t="shared" si="157"/>
        <v>27</v>
      </c>
      <c r="AB915" s="510">
        <f t="shared" si="155"/>
        <v>562419199</v>
      </c>
      <c r="AC915" s="511">
        <f t="shared" si="162"/>
        <v>37.5</v>
      </c>
      <c r="AD915" s="504">
        <f t="shared" si="159"/>
        <v>26.772266339312306</v>
      </c>
      <c r="AE915" s="500"/>
    </row>
    <row r="916" spans="1:31" s="512" customFormat="1" ht="20.100000000000001" customHeight="1" thickBot="1">
      <c r="A916" s="4464" t="s">
        <v>607</v>
      </c>
      <c r="B916" s="4464"/>
      <c r="C916" s="4464"/>
      <c r="D916" s="4464"/>
      <c r="E916" s="4464"/>
      <c r="F916" s="4464"/>
      <c r="G916" s="4464"/>
      <c r="H916" s="4464"/>
      <c r="I916" s="4464"/>
      <c r="J916" s="4464"/>
      <c r="K916" s="4464"/>
      <c r="L916" s="4464"/>
      <c r="M916" s="4464"/>
      <c r="N916" s="4464"/>
      <c r="O916" s="4464"/>
      <c r="P916" s="4464"/>
      <c r="Q916" s="528"/>
      <c r="R916" s="529"/>
      <c r="S916" s="1896"/>
      <c r="T916" s="1896"/>
      <c r="U916" s="1896"/>
      <c r="V916" s="1896"/>
      <c r="W916" s="1896"/>
      <c r="X916" s="530"/>
      <c r="Y916" s="528">
        <f>R1048</f>
        <v>0</v>
      </c>
      <c r="Z916" s="531">
        <f>Z869+Z884+Z888+Z890+Z892+Z894+Z897+Z904+Z906+Z909+Z912+Z914</f>
        <v>1589075219</v>
      </c>
      <c r="AA916" s="528">
        <f>(AA869+AA884+AA888+AA890+AA892+AA894+AA897+AA904+AA906+AA909+AA912+AA914)/12</f>
        <v>14.047619047619046</v>
      </c>
      <c r="AB916" s="531">
        <f>AB869+AB884+AB888+AB890+AB892+AB894+AB897+AB904+AB906+AB909+AB912+AB914</f>
        <v>11457827200</v>
      </c>
      <c r="AC916" s="1896"/>
      <c r="AD916" s="1896"/>
      <c r="AE916" s="1896"/>
    </row>
    <row r="917" spans="1:31" s="512" customFormat="1" ht="20.100000000000001" customHeight="1" thickBot="1">
      <c r="A917" s="4464" t="s">
        <v>608</v>
      </c>
      <c r="B917" s="4464"/>
      <c r="C917" s="4464"/>
      <c r="D917" s="4464"/>
      <c r="E917" s="4464"/>
      <c r="F917" s="4464"/>
      <c r="G917" s="4464"/>
      <c r="H917" s="4464"/>
      <c r="I917" s="4464"/>
      <c r="J917" s="4464"/>
      <c r="K917" s="4464"/>
      <c r="L917" s="4464"/>
      <c r="M917" s="4464"/>
      <c r="N917" s="4464"/>
      <c r="O917" s="4464"/>
      <c r="P917" s="4464"/>
      <c r="Q917" s="1896"/>
      <c r="R917" s="1896"/>
      <c r="S917" s="1896"/>
      <c r="T917" s="1896"/>
      <c r="U917" s="1896"/>
      <c r="V917" s="1896"/>
      <c r="W917" s="1896"/>
      <c r="X917" s="1896"/>
      <c r="Y917" s="565"/>
      <c r="Z917" s="1896"/>
      <c r="AA917" s="4465"/>
      <c r="AB917" s="4465"/>
      <c r="AC917" s="4465"/>
      <c r="AD917" s="4465"/>
      <c r="AE917" s="4465"/>
    </row>
    <row r="918" spans="1:31" ht="22.5" customHeight="1">
      <c r="A918" s="4466"/>
      <c r="B918" s="4467"/>
      <c r="C918" s="4467"/>
      <c r="D918" s="4467"/>
      <c r="E918" s="4467"/>
      <c r="F918" s="4467"/>
      <c r="G918" s="4467"/>
      <c r="H918" s="4467"/>
      <c r="I918" s="4467"/>
      <c r="J918" s="4467"/>
      <c r="K918" s="4467"/>
      <c r="L918" s="4467"/>
      <c r="M918" s="4467"/>
      <c r="N918" s="4467"/>
      <c r="O918" s="4467"/>
      <c r="P918" s="4467"/>
      <c r="Q918" s="4467"/>
      <c r="R918" s="4467"/>
      <c r="S918" s="4467"/>
      <c r="T918" s="4467"/>
      <c r="U918" s="4467"/>
      <c r="V918" s="4467"/>
      <c r="W918" s="4467"/>
      <c r="X918" s="4467"/>
      <c r="Y918" s="4467"/>
      <c r="Z918" s="4467"/>
      <c r="AA918" s="4467"/>
      <c r="AB918" s="4467"/>
      <c r="AC918" s="4467"/>
      <c r="AD918" s="4467"/>
      <c r="AE918" s="4468"/>
    </row>
    <row r="919" spans="1:31" s="69" customFormat="1" ht="27.75" customHeight="1">
      <c r="A919" s="67">
        <v>16</v>
      </c>
      <c r="B919" s="67"/>
      <c r="C919" s="67"/>
      <c r="D919" s="67"/>
      <c r="E919" s="67"/>
      <c r="F919" s="67"/>
      <c r="G919" s="67"/>
      <c r="H919" s="67"/>
      <c r="I919" s="68" t="s">
        <v>143</v>
      </c>
      <c r="J919" s="67"/>
      <c r="K919" s="67"/>
      <c r="L919" s="67"/>
      <c r="M919" s="67"/>
      <c r="N919" s="67"/>
      <c r="O919" s="67"/>
      <c r="P919" s="67"/>
      <c r="Q919" s="67"/>
      <c r="R919" s="67"/>
      <c r="S919" s="67"/>
      <c r="T919" s="67"/>
      <c r="U919" s="67"/>
      <c r="V919" s="67"/>
      <c r="W919" s="67"/>
      <c r="X919" s="67"/>
      <c r="Y919" s="366"/>
      <c r="Z919" s="67"/>
      <c r="AA919" s="67"/>
      <c r="AB919" s="67"/>
      <c r="AC919" s="67"/>
      <c r="AD919" s="67"/>
      <c r="AE919" s="67"/>
    </row>
    <row r="920" spans="1:31" s="498" customFormat="1" ht="51">
      <c r="A920" s="4458"/>
      <c r="B920" s="4405" t="s">
        <v>609</v>
      </c>
      <c r="C920" s="610">
        <v>1</v>
      </c>
      <c r="D920" s="611" t="s">
        <v>65</v>
      </c>
      <c r="E920" s="610">
        <v>10</v>
      </c>
      <c r="F920" s="611" t="s">
        <v>66</v>
      </c>
      <c r="G920" s="610">
        <v>20</v>
      </c>
      <c r="H920" s="610"/>
      <c r="I920" s="594" t="s">
        <v>610</v>
      </c>
      <c r="J920" s="1894" t="s">
        <v>611</v>
      </c>
      <c r="K920" s="612">
        <v>1</v>
      </c>
      <c r="L920" s="545"/>
      <c r="M920" s="545"/>
      <c r="N920" s="545"/>
      <c r="O920" s="613"/>
      <c r="P920" s="614"/>
      <c r="Q920" s="613"/>
      <c r="R920" s="615"/>
      <c r="S920" s="545"/>
      <c r="T920" s="545"/>
      <c r="U920" s="545"/>
      <c r="V920" s="545"/>
      <c r="W920" s="545"/>
      <c r="X920" s="545"/>
      <c r="Y920" s="545"/>
      <c r="Z920" s="545"/>
      <c r="AA920" s="545"/>
      <c r="AB920" s="545"/>
      <c r="AC920" s="545"/>
      <c r="AD920" s="545"/>
      <c r="AE920" s="610" t="s">
        <v>612</v>
      </c>
    </row>
    <row r="921" spans="1:31" s="494" customFormat="1" ht="38.25">
      <c r="A921" s="4458"/>
      <c r="B921" s="4405"/>
      <c r="C921" s="385">
        <v>1</v>
      </c>
      <c r="D921" s="595" t="s">
        <v>65</v>
      </c>
      <c r="E921" s="385">
        <v>10</v>
      </c>
      <c r="F921" s="595" t="s">
        <v>66</v>
      </c>
      <c r="G921" s="595" t="s">
        <v>66</v>
      </c>
      <c r="H921" s="595" t="s">
        <v>65</v>
      </c>
      <c r="I921" s="384" t="s">
        <v>613</v>
      </c>
      <c r="J921" s="1906" t="s">
        <v>614</v>
      </c>
      <c r="K921" s="385">
        <f>12*5</f>
        <v>60</v>
      </c>
      <c r="L921" s="596">
        <f>67920+73200+150000+187500+200000</f>
        <v>678620</v>
      </c>
      <c r="M921" s="385">
        <v>12</v>
      </c>
      <c r="N921" s="597">
        <v>39952</v>
      </c>
      <c r="O921" s="1892">
        <v>12</v>
      </c>
      <c r="P921" s="597">
        <v>73200</v>
      </c>
      <c r="Q921" s="1892">
        <v>3</v>
      </c>
      <c r="R921" s="596">
        <v>7472</v>
      </c>
      <c r="S921" s="497"/>
      <c r="T921" s="497"/>
      <c r="U921" s="497"/>
      <c r="V921" s="497"/>
      <c r="W921" s="497"/>
      <c r="X921" s="497"/>
      <c r="Y921" s="497"/>
      <c r="Z921" s="497"/>
      <c r="AA921" s="497"/>
      <c r="AB921" s="596">
        <v>73200</v>
      </c>
      <c r="AC921" s="497"/>
      <c r="AD921" s="598">
        <f>AB921/L921*100%</f>
        <v>0.10786596327841796</v>
      </c>
      <c r="AE921" s="385" t="s">
        <v>612</v>
      </c>
    </row>
    <row r="922" spans="1:31" s="494" customFormat="1" ht="38.25">
      <c r="A922" s="4458"/>
      <c r="B922" s="4405"/>
      <c r="C922" s="385">
        <v>1</v>
      </c>
      <c r="D922" s="595" t="s">
        <v>65</v>
      </c>
      <c r="E922" s="385">
        <v>10</v>
      </c>
      <c r="F922" s="595" t="s">
        <v>66</v>
      </c>
      <c r="G922" s="595" t="s">
        <v>66</v>
      </c>
      <c r="H922" s="595" t="s">
        <v>198</v>
      </c>
      <c r="I922" s="384" t="s">
        <v>615</v>
      </c>
      <c r="J922" s="1906" t="s">
        <v>616</v>
      </c>
      <c r="K922" s="385">
        <v>60</v>
      </c>
      <c r="L922" s="596">
        <f>58500+73350+58500+73125+79500</f>
        <v>342975</v>
      </c>
      <c r="M922" s="385">
        <v>12</v>
      </c>
      <c r="N922" s="597">
        <v>46350</v>
      </c>
      <c r="O922" s="1892">
        <v>12</v>
      </c>
      <c r="P922" s="597">
        <v>73350</v>
      </c>
      <c r="Q922" s="1892">
        <v>3</v>
      </c>
      <c r="R922" s="596">
        <v>7565</v>
      </c>
      <c r="S922" s="497"/>
      <c r="T922" s="497"/>
      <c r="U922" s="497"/>
      <c r="V922" s="497"/>
      <c r="W922" s="497"/>
      <c r="X922" s="497"/>
      <c r="Y922" s="497"/>
      <c r="Z922" s="497"/>
      <c r="AA922" s="497"/>
      <c r="AB922" s="596">
        <v>73350</v>
      </c>
      <c r="AC922" s="497"/>
      <c r="AD922" s="598">
        <f t="shared" ref="AD922:AD959" si="165">AB922/L922*100%</f>
        <v>0.2138639842554122</v>
      </c>
      <c r="AE922" s="385" t="s">
        <v>612</v>
      </c>
    </row>
    <row r="923" spans="1:31" s="494" customFormat="1" ht="38.25">
      <c r="A923" s="4458"/>
      <c r="B923" s="4405"/>
      <c r="C923" s="385">
        <v>1</v>
      </c>
      <c r="D923" s="595" t="s">
        <v>65</v>
      </c>
      <c r="E923" s="385">
        <v>10</v>
      </c>
      <c r="F923" s="595" t="s">
        <v>66</v>
      </c>
      <c r="G923" s="595" t="s">
        <v>66</v>
      </c>
      <c r="H923" s="595" t="s">
        <v>93</v>
      </c>
      <c r="I923" s="384" t="s">
        <v>617</v>
      </c>
      <c r="J923" s="1906" t="s">
        <v>618</v>
      </c>
      <c r="K923" s="385">
        <v>60</v>
      </c>
      <c r="L923" s="596">
        <f>31051+41603+37000+46250+50500</f>
        <v>206404</v>
      </c>
      <c r="M923" s="385">
        <v>12</v>
      </c>
      <c r="N923" s="597">
        <v>30035</v>
      </c>
      <c r="O923" s="1892">
        <v>12</v>
      </c>
      <c r="P923" s="597">
        <v>41603</v>
      </c>
      <c r="Q923" s="1892">
        <v>3</v>
      </c>
      <c r="R923" s="596">
        <v>9718</v>
      </c>
      <c r="S923" s="497"/>
      <c r="T923" s="497"/>
      <c r="U923" s="497"/>
      <c r="V923" s="497"/>
      <c r="W923" s="497"/>
      <c r="X923" s="497"/>
      <c r="Y923" s="497"/>
      <c r="Z923" s="497"/>
      <c r="AA923" s="497"/>
      <c r="AB923" s="597">
        <v>41603</v>
      </c>
      <c r="AC923" s="497"/>
      <c r="AD923" s="598">
        <f t="shared" si="165"/>
        <v>0.20156101625937481</v>
      </c>
      <c r="AE923" s="385" t="s">
        <v>612</v>
      </c>
    </row>
    <row r="924" spans="1:31" s="494" customFormat="1" ht="38.25">
      <c r="A924" s="4458"/>
      <c r="B924" s="4405"/>
      <c r="C924" s="385">
        <v>1</v>
      </c>
      <c r="D924" s="595" t="s">
        <v>65</v>
      </c>
      <c r="E924" s="385">
        <v>10</v>
      </c>
      <c r="F924" s="595" t="s">
        <v>66</v>
      </c>
      <c r="G924" s="595" t="s">
        <v>66</v>
      </c>
      <c r="H924" s="595" t="s">
        <v>201</v>
      </c>
      <c r="I924" s="384" t="s">
        <v>619</v>
      </c>
      <c r="J924" s="1906" t="s">
        <v>620</v>
      </c>
      <c r="K924" s="599">
        <v>1</v>
      </c>
      <c r="L924" s="596">
        <f>5989+42900+50000+50000+50000</f>
        <v>198889</v>
      </c>
      <c r="M924" s="599">
        <v>0.2</v>
      </c>
      <c r="N924" s="597">
        <v>5892</v>
      </c>
      <c r="O924" s="1892">
        <v>12</v>
      </c>
      <c r="P924" s="597">
        <v>42000</v>
      </c>
      <c r="Q924" s="600">
        <f>R924/P924*100%</f>
        <v>1.9047619047619049E-2</v>
      </c>
      <c r="R924" s="596">
        <v>800</v>
      </c>
      <c r="S924" s="497"/>
      <c r="T924" s="497"/>
      <c r="U924" s="497"/>
      <c r="V924" s="497"/>
      <c r="W924" s="497"/>
      <c r="X924" s="497"/>
      <c r="Y924" s="497"/>
      <c r="Z924" s="497"/>
      <c r="AA924" s="497"/>
      <c r="AB924" s="597">
        <v>42000</v>
      </c>
      <c r="AC924" s="497"/>
      <c r="AD924" s="598">
        <f t="shared" si="165"/>
        <v>0.21117306638376179</v>
      </c>
      <c r="AE924" s="385" t="s">
        <v>612</v>
      </c>
    </row>
    <row r="925" spans="1:31" s="494" customFormat="1" ht="25.5">
      <c r="A925" s="4458"/>
      <c r="B925" s="4405"/>
      <c r="C925" s="385">
        <v>1</v>
      </c>
      <c r="D925" s="595" t="s">
        <v>65</v>
      </c>
      <c r="E925" s="385">
        <v>10</v>
      </c>
      <c r="F925" s="595" t="s">
        <v>66</v>
      </c>
      <c r="G925" s="595" t="s">
        <v>66</v>
      </c>
      <c r="H925" s="595">
        <v>10</v>
      </c>
      <c r="I925" s="384" t="s">
        <v>150</v>
      </c>
      <c r="J925" s="1906" t="s">
        <v>621</v>
      </c>
      <c r="K925" s="599">
        <v>1</v>
      </c>
      <c r="L925" s="596">
        <f>37173+29963+50000+62500+68000</f>
        <v>247636</v>
      </c>
      <c r="M925" s="599">
        <v>0.2</v>
      </c>
      <c r="N925" s="597">
        <v>37172</v>
      </c>
      <c r="O925" s="601">
        <v>0.2</v>
      </c>
      <c r="P925" s="597">
        <v>29963</v>
      </c>
      <c r="Q925" s="1892">
        <v>3</v>
      </c>
      <c r="R925" s="596">
        <v>20848</v>
      </c>
      <c r="S925" s="497"/>
      <c r="T925" s="497"/>
      <c r="U925" s="497"/>
      <c r="V925" s="497"/>
      <c r="W925" s="497"/>
      <c r="X925" s="497"/>
      <c r="Y925" s="497"/>
      <c r="Z925" s="497"/>
      <c r="AA925" s="497"/>
      <c r="AB925" s="597">
        <v>29963</v>
      </c>
      <c r="AC925" s="497"/>
      <c r="AD925" s="598">
        <f t="shared" si="165"/>
        <v>0.12099613949506534</v>
      </c>
      <c r="AE925" s="385" t="s">
        <v>612</v>
      </c>
    </row>
    <row r="926" spans="1:31" s="494" customFormat="1" ht="38.25">
      <c r="A926" s="4458"/>
      <c r="B926" s="4405"/>
      <c r="C926" s="385">
        <v>1</v>
      </c>
      <c r="D926" s="595" t="s">
        <v>65</v>
      </c>
      <c r="E926" s="385">
        <v>10</v>
      </c>
      <c r="F926" s="595" t="s">
        <v>66</v>
      </c>
      <c r="G926" s="595" t="s">
        <v>66</v>
      </c>
      <c r="H926" s="595">
        <v>11</v>
      </c>
      <c r="I926" s="384" t="s">
        <v>151</v>
      </c>
      <c r="J926" s="1906" t="s">
        <v>622</v>
      </c>
      <c r="K926" s="599">
        <v>1</v>
      </c>
      <c r="L926" s="596">
        <f>37814+32617+120000+150000+180000</f>
        <v>520431</v>
      </c>
      <c r="M926" s="599">
        <v>0.2</v>
      </c>
      <c r="N926" s="597">
        <v>37814</v>
      </c>
      <c r="O926" s="601">
        <v>0.2</v>
      </c>
      <c r="P926" s="597">
        <v>32617</v>
      </c>
      <c r="Q926" s="1892">
        <v>3</v>
      </c>
      <c r="R926" s="596">
        <v>5650</v>
      </c>
      <c r="S926" s="497"/>
      <c r="T926" s="497"/>
      <c r="U926" s="497"/>
      <c r="V926" s="497"/>
      <c r="W926" s="497"/>
      <c r="X926" s="497"/>
      <c r="Y926" s="497"/>
      <c r="Z926" s="497"/>
      <c r="AA926" s="497"/>
      <c r="AB926" s="597">
        <v>32617</v>
      </c>
      <c r="AC926" s="497"/>
      <c r="AD926" s="598">
        <f t="shared" si="165"/>
        <v>6.2673053680507115E-2</v>
      </c>
      <c r="AE926" s="385" t="s">
        <v>612</v>
      </c>
    </row>
    <row r="927" spans="1:31" s="494" customFormat="1" ht="51">
      <c r="A927" s="4458"/>
      <c r="B927" s="4405"/>
      <c r="C927" s="385">
        <v>1</v>
      </c>
      <c r="D927" s="595" t="s">
        <v>65</v>
      </c>
      <c r="E927" s="385">
        <v>10</v>
      </c>
      <c r="F927" s="595" t="s">
        <v>66</v>
      </c>
      <c r="G927" s="595" t="s">
        <v>66</v>
      </c>
      <c r="H927" s="595">
        <v>12</v>
      </c>
      <c r="I927" s="384" t="s">
        <v>623</v>
      </c>
      <c r="J927" s="1906" t="s">
        <v>624</v>
      </c>
      <c r="K927" s="599">
        <v>1</v>
      </c>
      <c r="L927" s="596">
        <f>7519+15938+20000+25000+30000</f>
        <v>98457</v>
      </c>
      <c r="M927" s="599">
        <v>0.2</v>
      </c>
      <c r="N927" s="597">
        <v>7498</v>
      </c>
      <c r="O927" s="601">
        <v>0.2</v>
      </c>
      <c r="P927" s="597">
        <v>15938</v>
      </c>
      <c r="Q927" s="1892">
        <v>3</v>
      </c>
      <c r="R927" s="596">
        <v>0</v>
      </c>
      <c r="S927" s="497"/>
      <c r="T927" s="497"/>
      <c r="U927" s="497"/>
      <c r="V927" s="497"/>
      <c r="W927" s="497"/>
      <c r="X927" s="497"/>
      <c r="Y927" s="497"/>
      <c r="Z927" s="497"/>
      <c r="AA927" s="497"/>
      <c r="AB927" s="597">
        <v>15938</v>
      </c>
      <c r="AC927" s="497"/>
      <c r="AD927" s="598">
        <f t="shared" si="165"/>
        <v>0.16187777405364778</v>
      </c>
      <c r="AE927" s="385" t="s">
        <v>612</v>
      </c>
    </row>
    <row r="928" spans="1:31" s="494" customFormat="1" ht="38.25">
      <c r="A928" s="4458"/>
      <c r="B928" s="4405"/>
      <c r="C928" s="385">
        <v>1</v>
      </c>
      <c r="D928" s="595" t="s">
        <v>65</v>
      </c>
      <c r="E928" s="385">
        <v>10</v>
      </c>
      <c r="F928" s="595" t="s">
        <v>66</v>
      </c>
      <c r="G928" s="595" t="s">
        <v>66</v>
      </c>
      <c r="H928" s="595">
        <v>15</v>
      </c>
      <c r="I928" s="384" t="s">
        <v>625</v>
      </c>
      <c r="J928" s="1906" t="s">
        <v>626</v>
      </c>
      <c r="K928" s="385">
        <v>60</v>
      </c>
      <c r="L928" s="596">
        <f>19000+21400+25000+31250+36000</f>
        <v>132650</v>
      </c>
      <c r="M928" s="602" t="s">
        <v>602</v>
      </c>
      <c r="N928" s="597">
        <v>13785</v>
      </c>
      <c r="O928" s="1892">
        <v>3</v>
      </c>
      <c r="P928" s="597">
        <v>21400</v>
      </c>
      <c r="Q928" s="1892">
        <v>3</v>
      </c>
      <c r="R928" s="596">
        <v>505</v>
      </c>
      <c r="S928" s="497"/>
      <c r="T928" s="497"/>
      <c r="U928" s="497"/>
      <c r="V928" s="497"/>
      <c r="W928" s="497"/>
      <c r="X928" s="497"/>
      <c r="Y928" s="497"/>
      <c r="Z928" s="497"/>
      <c r="AA928" s="497"/>
      <c r="AB928" s="597">
        <v>21400</v>
      </c>
      <c r="AC928" s="497"/>
      <c r="AD928" s="598">
        <f t="shared" si="165"/>
        <v>0.16132679984922729</v>
      </c>
      <c r="AE928" s="385" t="s">
        <v>612</v>
      </c>
    </row>
    <row r="929" spans="1:31" s="494" customFormat="1" ht="25.5">
      <c r="A929" s="4458"/>
      <c r="B929" s="4405"/>
      <c r="C929" s="385">
        <v>1</v>
      </c>
      <c r="D929" s="595" t="s">
        <v>65</v>
      </c>
      <c r="E929" s="385">
        <v>10</v>
      </c>
      <c r="F929" s="595" t="s">
        <v>66</v>
      </c>
      <c r="G929" s="595" t="s">
        <v>66</v>
      </c>
      <c r="H929" s="595">
        <v>17</v>
      </c>
      <c r="I929" s="384" t="s">
        <v>157</v>
      </c>
      <c r="J929" s="1906" t="s">
        <v>627</v>
      </c>
      <c r="K929" s="599">
        <v>1</v>
      </c>
      <c r="L929" s="596">
        <f>22450+22500+40000+50000+55000</f>
        <v>189950</v>
      </c>
      <c r="M929" s="599">
        <v>0.2</v>
      </c>
      <c r="N929" s="597">
        <v>21630</v>
      </c>
      <c r="O929" s="601">
        <v>0.2</v>
      </c>
      <c r="P929" s="597">
        <v>22500</v>
      </c>
      <c r="Q929" s="600">
        <f>R929/P929*100%</f>
        <v>0.25226666666666664</v>
      </c>
      <c r="R929" s="596">
        <v>5676</v>
      </c>
      <c r="S929" s="497"/>
      <c r="T929" s="497"/>
      <c r="U929" s="497"/>
      <c r="V929" s="497"/>
      <c r="W929" s="497"/>
      <c r="X929" s="497"/>
      <c r="Y929" s="497"/>
      <c r="Z929" s="497"/>
      <c r="AA929" s="497"/>
      <c r="AB929" s="597">
        <v>22500</v>
      </c>
      <c r="AC929" s="497"/>
      <c r="AD929" s="598">
        <f t="shared" si="165"/>
        <v>0.11845222426954462</v>
      </c>
      <c r="AE929" s="385" t="s">
        <v>612</v>
      </c>
    </row>
    <row r="930" spans="1:31" s="494" customFormat="1" ht="38.25">
      <c r="A930" s="4458"/>
      <c r="B930" s="4405"/>
      <c r="C930" s="385">
        <v>1</v>
      </c>
      <c r="D930" s="595" t="s">
        <v>65</v>
      </c>
      <c r="E930" s="385">
        <v>10</v>
      </c>
      <c r="F930" s="595" t="s">
        <v>66</v>
      </c>
      <c r="G930" s="595" t="s">
        <v>66</v>
      </c>
      <c r="H930" s="595">
        <v>18</v>
      </c>
      <c r="I930" s="384" t="s">
        <v>628</v>
      </c>
      <c r="J930" s="1906" t="s">
        <v>629</v>
      </c>
      <c r="K930" s="599">
        <v>1</v>
      </c>
      <c r="L930" s="596">
        <f>146200+182950+150000+187500+200000</f>
        <v>866650</v>
      </c>
      <c r="M930" s="599">
        <v>0.2</v>
      </c>
      <c r="N930" s="597">
        <v>144977</v>
      </c>
      <c r="O930" s="601">
        <v>0.2</v>
      </c>
      <c r="P930" s="597">
        <v>182950</v>
      </c>
      <c r="Q930" s="600">
        <f>R930/P930*100%</f>
        <v>0.35917463787920195</v>
      </c>
      <c r="R930" s="596">
        <v>65711</v>
      </c>
      <c r="S930" s="497"/>
      <c r="T930" s="497"/>
      <c r="U930" s="497"/>
      <c r="V930" s="497"/>
      <c r="W930" s="497"/>
      <c r="X930" s="497"/>
      <c r="Y930" s="497"/>
      <c r="Z930" s="497"/>
      <c r="AA930" s="497"/>
      <c r="AB930" s="597">
        <v>182950</v>
      </c>
      <c r="AC930" s="497"/>
      <c r="AD930" s="598">
        <f t="shared" si="165"/>
        <v>0.21110021346564356</v>
      </c>
      <c r="AE930" s="385" t="s">
        <v>612</v>
      </c>
    </row>
    <row r="931" spans="1:31" s="494" customFormat="1" ht="38.25">
      <c r="A931" s="4458"/>
      <c r="B931" s="4405"/>
      <c r="C931" s="385">
        <v>1</v>
      </c>
      <c r="D931" s="595" t="s">
        <v>65</v>
      </c>
      <c r="E931" s="385">
        <v>10</v>
      </c>
      <c r="F931" s="595" t="s">
        <v>66</v>
      </c>
      <c r="G931" s="595" t="s">
        <v>66</v>
      </c>
      <c r="H931" s="595">
        <v>20</v>
      </c>
      <c r="I931" s="384" t="s">
        <v>630</v>
      </c>
      <c r="J931" s="1906" t="s">
        <v>631</v>
      </c>
      <c r="K931" s="599">
        <v>1</v>
      </c>
      <c r="L931" s="596">
        <v>60000</v>
      </c>
      <c r="M931" s="599">
        <v>0.2</v>
      </c>
      <c r="N931" s="597">
        <v>62450</v>
      </c>
      <c r="O931" s="601">
        <v>0.2</v>
      </c>
      <c r="P931" s="597">
        <v>37800</v>
      </c>
      <c r="Q931" s="600">
        <f>R931/P931*100%</f>
        <v>0.38293650793650796</v>
      </c>
      <c r="R931" s="596">
        <v>14475</v>
      </c>
      <c r="S931" s="497"/>
      <c r="T931" s="497"/>
      <c r="U931" s="497"/>
      <c r="V931" s="497"/>
      <c r="W931" s="497"/>
      <c r="X931" s="497"/>
      <c r="Y931" s="497"/>
      <c r="Z931" s="497"/>
      <c r="AA931" s="497"/>
      <c r="AB931" s="597">
        <v>37800</v>
      </c>
      <c r="AC931" s="497"/>
      <c r="AD931" s="598">
        <f t="shared" si="165"/>
        <v>0.63</v>
      </c>
      <c r="AE931" s="385" t="s">
        <v>612</v>
      </c>
    </row>
    <row r="932" spans="1:31" s="494" customFormat="1" ht="51">
      <c r="A932" s="4458"/>
      <c r="B932" s="4405"/>
      <c r="C932" s="385">
        <v>1</v>
      </c>
      <c r="D932" s="595" t="s">
        <v>65</v>
      </c>
      <c r="E932" s="385">
        <v>10</v>
      </c>
      <c r="F932" s="595" t="s">
        <v>66</v>
      </c>
      <c r="G932" s="595" t="s">
        <v>66</v>
      </c>
      <c r="H932" s="595">
        <v>22</v>
      </c>
      <c r="I932" s="384" t="s">
        <v>168</v>
      </c>
      <c r="J932" s="1906" t="s">
        <v>632</v>
      </c>
      <c r="K932" s="385">
        <v>30</v>
      </c>
      <c r="L932" s="596">
        <v>57000</v>
      </c>
      <c r="M932" s="385">
        <f>30/5</f>
        <v>6</v>
      </c>
      <c r="N932" s="597">
        <v>39082</v>
      </c>
      <c r="O932" s="1892">
        <v>6</v>
      </c>
      <c r="P932" s="597">
        <v>20995</v>
      </c>
      <c r="Q932" s="1892">
        <v>0</v>
      </c>
      <c r="R932" s="596">
        <v>1500</v>
      </c>
      <c r="S932" s="497"/>
      <c r="T932" s="497"/>
      <c r="U932" s="497"/>
      <c r="V932" s="497"/>
      <c r="W932" s="497"/>
      <c r="X932" s="497"/>
      <c r="Y932" s="497"/>
      <c r="Z932" s="497"/>
      <c r="AA932" s="497"/>
      <c r="AB932" s="597">
        <v>20995</v>
      </c>
      <c r="AC932" s="497"/>
      <c r="AD932" s="598">
        <f t="shared" si="165"/>
        <v>0.36833333333333335</v>
      </c>
      <c r="AE932" s="385" t="s">
        <v>612</v>
      </c>
    </row>
    <row r="933" spans="1:31" s="498" customFormat="1" ht="38.25">
      <c r="A933" s="4458"/>
      <c r="B933" s="4405"/>
      <c r="C933" s="616">
        <v>1</v>
      </c>
      <c r="D933" s="617" t="s">
        <v>65</v>
      </c>
      <c r="E933" s="616">
        <v>10</v>
      </c>
      <c r="F933" s="617" t="s">
        <v>66</v>
      </c>
      <c r="G933" s="617" t="s">
        <v>65</v>
      </c>
      <c r="H933" s="617"/>
      <c r="I933" s="383" t="s">
        <v>257</v>
      </c>
      <c r="J933" s="618" t="s">
        <v>633</v>
      </c>
      <c r="K933" s="616"/>
      <c r="L933" s="619">
        <f>SUM(L934:L937)</f>
        <v>640000</v>
      </c>
      <c r="M933" s="616"/>
      <c r="N933" s="620"/>
      <c r="O933" s="1855"/>
      <c r="P933" s="620">
        <f>SUM(P934:P937)</f>
        <v>455270</v>
      </c>
      <c r="Q933" s="1855">
        <v>3</v>
      </c>
      <c r="R933" s="619"/>
      <c r="S933" s="621"/>
      <c r="T933" s="621"/>
      <c r="U933" s="621"/>
      <c r="V933" s="621"/>
      <c r="W933" s="621"/>
      <c r="X933" s="621"/>
      <c r="Y933" s="621"/>
      <c r="Z933" s="621"/>
      <c r="AA933" s="621"/>
      <c r="AB933" s="620">
        <f>SUM(AB934:AB937)</f>
        <v>455270</v>
      </c>
      <c r="AC933" s="621"/>
      <c r="AD933" s="622">
        <f t="shared" si="165"/>
        <v>0.71135937500000002</v>
      </c>
      <c r="AE933" s="616" t="s">
        <v>612</v>
      </c>
    </row>
    <row r="934" spans="1:31" s="494" customFormat="1" ht="38.25">
      <c r="A934" s="4458"/>
      <c r="B934" s="4405"/>
      <c r="C934" s="385">
        <v>1</v>
      </c>
      <c r="D934" s="595" t="s">
        <v>65</v>
      </c>
      <c r="E934" s="385">
        <v>10</v>
      </c>
      <c r="F934" s="595" t="s">
        <v>66</v>
      </c>
      <c r="G934" s="595" t="s">
        <v>65</v>
      </c>
      <c r="H934" s="595">
        <v>22</v>
      </c>
      <c r="I934" s="384" t="s">
        <v>258</v>
      </c>
      <c r="J934" s="1906" t="s">
        <v>634</v>
      </c>
      <c r="K934" s="599">
        <v>1</v>
      </c>
      <c r="L934" s="596">
        <v>290000</v>
      </c>
      <c r="M934" s="599">
        <v>0.2</v>
      </c>
      <c r="N934" s="597">
        <v>62050</v>
      </c>
      <c r="O934" s="601">
        <v>0.2</v>
      </c>
      <c r="P934" s="597">
        <v>200000</v>
      </c>
      <c r="Q934" s="1892">
        <v>0</v>
      </c>
      <c r="R934" s="596">
        <v>0</v>
      </c>
      <c r="S934" s="497"/>
      <c r="T934" s="497"/>
      <c r="U934" s="497"/>
      <c r="V934" s="497"/>
      <c r="W934" s="497"/>
      <c r="X934" s="497"/>
      <c r="Y934" s="497"/>
      <c r="Z934" s="497"/>
      <c r="AA934" s="497"/>
      <c r="AB934" s="597">
        <v>200000</v>
      </c>
      <c r="AC934" s="497"/>
      <c r="AD934" s="598">
        <f t="shared" si="165"/>
        <v>0.68965517241379315</v>
      </c>
      <c r="AE934" s="385" t="s">
        <v>612</v>
      </c>
    </row>
    <row r="935" spans="1:31" s="494" customFormat="1" ht="38.25">
      <c r="A935" s="4458"/>
      <c r="B935" s="4405"/>
      <c r="C935" s="385">
        <v>1</v>
      </c>
      <c r="D935" s="595" t="s">
        <v>65</v>
      </c>
      <c r="E935" s="385">
        <v>10</v>
      </c>
      <c r="F935" s="595" t="s">
        <v>66</v>
      </c>
      <c r="G935" s="595" t="s">
        <v>65</v>
      </c>
      <c r="H935" s="595">
        <v>24</v>
      </c>
      <c r="I935" s="384" t="s">
        <v>224</v>
      </c>
      <c r="J935" s="1906" t="s">
        <v>635</v>
      </c>
      <c r="K935" s="599">
        <v>1</v>
      </c>
      <c r="L935" s="596">
        <v>80000</v>
      </c>
      <c r="M935" s="599">
        <v>0.2</v>
      </c>
      <c r="N935" s="597">
        <v>44069</v>
      </c>
      <c r="O935" s="601">
        <v>0.2</v>
      </c>
      <c r="P935" s="597">
        <v>65950</v>
      </c>
      <c r="Q935" s="600">
        <f>R935/P935*100%</f>
        <v>0.21172100075815012</v>
      </c>
      <c r="R935" s="596">
        <v>13963</v>
      </c>
      <c r="S935" s="497"/>
      <c r="T935" s="497"/>
      <c r="U935" s="497"/>
      <c r="V935" s="497"/>
      <c r="W935" s="497"/>
      <c r="X935" s="497"/>
      <c r="Y935" s="497"/>
      <c r="Z935" s="497"/>
      <c r="AA935" s="497"/>
      <c r="AB935" s="597">
        <v>65950</v>
      </c>
      <c r="AC935" s="497"/>
      <c r="AD935" s="598">
        <f t="shared" si="165"/>
        <v>0.82437499999999997</v>
      </c>
      <c r="AE935" s="385" t="s">
        <v>612</v>
      </c>
    </row>
    <row r="936" spans="1:31" s="494" customFormat="1" ht="25.5">
      <c r="A936" s="4458"/>
      <c r="B936" s="4405"/>
      <c r="C936" s="385">
        <v>1</v>
      </c>
      <c r="D936" s="595" t="s">
        <v>65</v>
      </c>
      <c r="E936" s="385">
        <v>10</v>
      </c>
      <c r="F936" s="595" t="s">
        <v>66</v>
      </c>
      <c r="G936" s="595" t="s">
        <v>65</v>
      </c>
      <c r="H936" s="595">
        <v>82</v>
      </c>
      <c r="I936" s="384" t="s">
        <v>636</v>
      </c>
      <c r="J936" s="384" t="s">
        <v>637</v>
      </c>
      <c r="K936" s="385">
        <v>15</v>
      </c>
      <c r="L936" s="596">
        <v>90000</v>
      </c>
      <c r="M936" s="385">
        <v>2</v>
      </c>
      <c r="N936" s="597">
        <v>42220</v>
      </c>
      <c r="O936" s="1892">
        <v>3</v>
      </c>
      <c r="P936" s="597">
        <v>66670</v>
      </c>
      <c r="Q936" s="1892">
        <v>0</v>
      </c>
      <c r="R936" s="596">
        <v>0</v>
      </c>
      <c r="S936" s="497"/>
      <c r="T936" s="497"/>
      <c r="U936" s="497"/>
      <c r="V936" s="497"/>
      <c r="W936" s="497"/>
      <c r="X936" s="497"/>
      <c r="Y936" s="497"/>
      <c r="Z936" s="497"/>
      <c r="AA936" s="497"/>
      <c r="AB936" s="597">
        <v>66670</v>
      </c>
      <c r="AC936" s="497"/>
      <c r="AD936" s="598">
        <f t="shared" si="165"/>
        <v>0.74077777777777776</v>
      </c>
      <c r="AE936" s="385" t="s">
        <v>612</v>
      </c>
    </row>
    <row r="937" spans="1:31" s="494" customFormat="1" ht="25.5">
      <c r="A937" s="4458"/>
      <c r="B937" s="4405"/>
      <c r="C937" s="385">
        <v>1</v>
      </c>
      <c r="D937" s="595" t="s">
        <v>65</v>
      </c>
      <c r="E937" s="385">
        <v>10</v>
      </c>
      <c r="F937" s="595" t="s">
        <v>66</v>
      </c>
      <c r="G937" s="595" t="s">
        <v>65</v>
      </c>
      <c r="H937" s="595">
        <v>84</v>
      </c>
      <c r="I937" s="384" t="s">
        <v>638</v>
      </c>
      <c r="J937" s="1906" t="s">
        <v>639</v>
      </c>
      <c r="K937" s="599">
        <v>1</v>
      </c>
      <c r="L937" s="596">
        <v>180000</v>
      </c>
      <c r="M937" s="599">
        <v>0.2</v>
      </c>
      <c r="N937" s="597">
        <v>449129</v>
      </c>
      <c r="O937" s="601">
        <v>0.2</v>
      </c>
      <c r="P937" s="597">
        <v>122650</v>
      </c>
      <c r="Q937" s="1892">
        <v>0</v>
      </c>
      <c r="R937" s="596">
        <v>0</v>
      </c>
      <c r="S937" s="497"/>
      <c r="T937" s="497"/>
      <c r="U937" s="497"/>
      <c r="V937" s="497"/>
      <c r="W937" s="497"/>
      <c r="X937" s="497"/>
      <c r="Y937" s="497"/>
      <c r="Z937" s="497"/>
      <c r="AA937" s="497"/>
      <c r="AB937" s="597">
        <v>122650</v>
      </c>
      <c r="AC937" s="497"/>
      <c r="AD937" s="598">
        <f t="shared" si="165"/>
        <v>0.68138888888888893</v>
      </c>
      <c r="AE937" s="385" t="s">
        <v>612</v>
      </c>
    </row>
    <row r="938" spans="1:31" s="498" customFormat="1" ht="38.25">
      <c r="A938" s="4458"/>
      <c r="B938" s="4405"/>
      <c r="C938" s="616">
        <v>1</v>
      </c>
      <c r="D938" s="617" t="s">
        <v>65</v>
      </c>
      <c r="E938" s="616">
        <v>10</v>
      </c>
      <c r="F938" s="617" t="s">
        <v>66</v>
      </c>
      <c r="G938" s="617" t="s">
        <v>161</v>
      </c>
      <c r="H938" s="617"/>
      <c r="I938" s="383" t="s">
        <v>640</v>
      </c>
      <c r="J938" s="618" t="s">
        <v>641</v>
      </c>
      <c r="K938" s="616"/>
      <c r="L938" s="619">
        <f>SUM(L939)</f>
        <v>55000</v>
      </c>
      <c r="M938" s="616"/>
      <c r="N938" s="620"/>
      <c r="O938" s="1855"/>
      <c r="P938" s="619">
        <f>P939</f>
        <v>31278</v>
      </c>
      <c r="Q938" s="1855"/>
      <c r="R938" s="619"/>
      <c r="S938" s="621"/>
      <c r="T938" s="621"/>
      <c r="U938" s="621"/>
      <c r="V938" s="621"/>
      <c r="W938" s="621"/>
      <c r="X938" s="621"/>
      <c r="Y938" s="621"/>
      <c r="Z938" s="621"/>
      <c r="AA938" s="621"/>
      <c r="AB938" s="619">
        <f>SUM(AB939)</f>
        <v>31278</v>
      </c>
      <c r="AC938" s="621"/>
      <c r="AD938" s="622">
        <f t="shared" si="165"/>
        <v>0.56869090909090914</v>
      </c>
      <c r="AE938" s="616" t="s">
        <v>612</v>
      </c>
    </row>
    <row r="939" spans="1:31" s="494" customFormat="1" ht="63.75">
      <c r="A939" s="4459"/>
      <c r="B939" s="4249"/>
      <c r="C939" s="385">
        <v>1</v>
      </c>
      <c r="D939" s="595" t="s">
        <v>65</v>
      </c>
      <c r="E939" s="385">
        <v>10</v>
      </c>
      <c r="F939" s="595" t="s">
        <v>66</v>
      </c>
      <c r="G939" s="595" t="s">
        <v>161</v>
      </c>
      <c r="H939" s="595">
        <v>43</v>
      </c>
      <c r="I939" s="384" t="s">
        <v>642</v>
      </c>
      <c r="J939" s="1906" t="s">
        <v>643</v>
      </c>
      <c r="K939" s="599">
        <v>1</v>
      </c>
      <c r="L939" s="596">
        <v>55000</v>
      </c>
      <c r="M939" s="599">
        <v>0.2</v>
      </c>
      <c r="N939" s="597">
        <v>10207</v>
      </c>
      <c r="O939" s="601">
        <v>0.2</v>
      </c>
      <c r="P939" s="596">
        <v>31278</v>
      </c>
      <c r="Q939" s="1892">
        <v>3</v>
      </c>
      <c r="R939" s="596">
        <v>0</v>
      </c>
      <c r="S939" s="497"/>
      <c r="T939" s="497"/>
      <c r="U939" s="497"/>
      <c r="V939" s="497"/>
      <c r="W939" s="497"/>
      <c r="X939" s="497"/>
      <c r="Y939" s="497"/>
      <c r="Z939" s="497"/>
      <c r="AA939" s="497"/>
      <c r="AB939" s="596">
        <v>31278</v>
      </c>
      <c r="AC939" s="497"/>
      <c r="AD939" s="598">
        <f t="shared" si="165"/>
        <v>0.56869090909090914</v>
      </c>
      <c r="AE939" s="385" t="s">
        <v>612</v>
      </c>
    </row>
    <row r="940" spans="1:31" s="145" customFormat="1" ht="63.75">
      <c r="A940" s="4238">
        <v>2</v>
      </c>
      <c r="B940" s="4248" t="s">
        <v>644</v>
      </c>
      <c r="C940" s="623">
        <v>1</v>
      </c>
      <c r="D940" s="623" t="s">
        <v>65</v>
      </c>
      <c r="E940" s="623">
        <v>10</v>
      </c>
      <c r="F940" s="623" t="s">
        <v>66</v>
      </c>
      <c r="G940" s="623">
        <v>18</v>
      </c>
      <c r="H940" s="495"/>
      <c r="I940" s="383" t="s">
        <v>645</v>
      </c>
      <c r="J940" s="383" t="s">
        <v>646</v>
      </c>
      <c r="K940" s="616">
        <v>20</v>
      </c>
      <c r="L940" s="619">
        <f>SUM(L941:L942)</f>
        <v>395332</v>
      </c>
      <c r="M940" s="616">
        <v>5</v>
      </c>
      <c r="N940" s="624">
        <f>SUM(N941:N942)</f>
        <v>351528</v>
      </c>
      <c r="O940" s="616">
        <v>7</v>
      </c>
      <c r="P940" s="624">
        <f>SUM(P941:P942)</f>
        <v>332332</v>
      </c>
      <c r="Q940" s="616">
        <v>0</v>
      </c>
      <c r="R940" s="620">
        <f>SUM(R941:R942)</f>
        <v>18470</v>
      </c>
      <c r="S940" s="616"/>
      <c r="T940" s="616"/>
      <c r="U940" s="616"/>
      <c r="V940" s="616"/>
      <c r="W940" s="616"/>
      <c r="X940" s="616"/>
      <c r="Y940" s="616">
        <f>Q940+S940+U940+W940</f>
        <v>0</v>
      </c>
      <c r="Z940" s="625">
        <f>SUM(Z941:Z1052)</f>
        <v>686592606.68000007</v>
      </c>
      <c r="AA940" s="616">
        <f>M940+Y940</f>
        <v>5</v>
      </c>
      <c r="AB940" s="619">
        <f>SUM(AB941:AB942)</f>
        <v>368998</v>
      </c>
      <c r="AC940" s="626">
        <f>(AA940/K940)*100</f>
        <v>25</v>
      </c>
      <c r="AD940" s="622">
        <f t="shared" si="165"/>
        <v>0.93338763368510513</v>
      </c>
      <c r="AE940" s="616" t="s">
        <v>612</v>
      </c>
    </row>
    <row r="941" spans="1:31" s="63" customFormat="1" ht="51">
      <c r="A941" s="4460"/>
      <c r="B941" s="4405"/>
      <c r="C941" s="1905">
        <v>1</v>
      </c>
      <c r="D941" s="1905" t="s">
        <v>65</v>
      </c>
      <c r="E941" s="1905">
        <v>10</v>
      </c>
      <c r="F941" s="1905" t="s">
        <v>66</v>
      </c>
      <c r="G941" s="1905">
        <v>18</v>
      </c>
      <c r="H941" s="1900" t="s">
        <v>161</v>
      </c>
      <c r="I941" s="58" t="s">
        <v>647</v>
      </c>
      <c r="J941" s="58" t="s">
        <v>648</v>
      </c>
      <c r="K941" s="603">
        <f>2028*5</f>
        <v>10140</v>
      </c>
      <c r="L941" s="60">
        <v>125014</v>
      </c>
      <c r="M941" s="604">
        <f>1920+108</f>
        <v>2028</v>
      </c>
      <c r="N941" s="604">
        <v>81208</v>
      </c>
      <c r="O941" s="59">
        <v>2028</v>
      </c>
      <c r="P941" s="61">
        <v>125014</v>
      </c>
      <c r="Q941" s="443">
        <v>0</v>
      </c>
      <c r="R941" s="60">
        <v>17470</v>
      </c>
      <c r="S941" s="59"/>
      <c r="T941" s="59"/>
      <c r="U941" s="59"/>
      <c r="V941" s="59"/>
      <c r="W941" s="59"/>
      <c r="X941" s="59"/>
      <c r="Y941" s="59">
        <f>Q941+S941+U941+W941</f>
        <v>0</v>
      </c>
      <c r="Z941" s="60">
        <f>R941+T941+V941+X941</f>
        <v>17470</v>
      </c>
      <c r="AA941" s="59">
        <f>M941+Y941</f>
        <v>2028</v>
      </c>
      <c r="AB941" s="605">
        <f>N941+Z941</f>
        <v>98678</v>
      </c>
      <c r="AC941" s="1909">
        <f>(AA941/K941)*100</f>
        <v>20</v>
      </c>
      <c r="AD941" s="598">
        <f t="shared" si="165"/>
        <v>0.78933559441342571</v>
      </c>
      <c r="AE941" s="59" t="s">
        <v>612</v>
      </c>
    </row>
    <row r="942" spans="1:31" s="63" customFormat="1" ht="51">
      <c r="A942" s="4460"/>
      <c r="B942" s="4405"/>
      <c r="C942" s="1905">
        <v>1</v>
      </c>
      <c r="D942" s="1905" t="s">
        <v>65</v>
      </c>
      <c r="E942" s="1905">
        <v>10</v>
      </c>
      <c r="F942" s="1905" t="s">
        <v>66</v>
      </c>
      <c r="G942" s="1905">
        <v>18</v>
      </c>
      <c r="H942" s="1900" t="s">
        <v>198</v>
      </c>
      <c r="I942" s="58" t="s">
        <v>649</v>
      </c>
      <c r="J942" s="58" t="s">
        <v>650</v>
      </c>
      <c r="K942" s="606">
        <f>8*5</f>
        <v>40</v>
      </c>
      <c r="L942" s="60">
        <v>270318</v>
      </c>
      <c r="M942" s="60">
        <v>8</v>
      </c>
      <c r="N942" s="60">
        <v>270320</v>
      </c>
      <c r="O942" s="59">
        <v>8</v>
      </c>
      <c r="P942" s="61">
        <v>207318</v>
      </c>
      <c r="Q942" s="443">
        <v>0</v>
      </c>
      <c r="R942" s="60">
        <v>1000</v>
      </c>
      <c r="S942" s="59"/>
      <c r="T942" s="59"/>
      <c r="U942" s="59"/>
      <c r="V942" s="59"/>
      <c r="W942" s="59"/>
      <c r="X942" s="59"/>
      <c r="Y942" s="59"/>
      <c r="Z942" s="60"/>
      <c r="AA942" s="59">
        <f>M942+Y942</f>
        <v>8</v>
      </c>
      <c r="AB942" s="605">
        <f t="shared" ref="AB942:AB959" si="166">N942+Z942</f>
        <v>270320</v>
      </c>
      <c r="AC942" s="1909">
        <f t="shared" ref="AC942:AC959" si="167">(AA942/K942)*100</f>
        <v>20</v>
      </c>
      <c r="AD942" s="598">
        <f t="shared" si="165"/>
        <v>1.0000073986933908</v>
      </c>
      <c r="AE942" s="59" t="s">
        <v>612</v>
      </c>
    </row>
    <row r="943" spans="1:31" s="63" customFormat="1" ht="51">
      <c r="A943" s="4460"/>
      <c r="B943" s="4405"/>
      <c r="C943" s="1900">
        <v>1</v>
      </c>
      <c r="D943" s="1900" t="s">
        <v>65</v>
      </c>
      <c r="E943" s="1905">
        <v>10</v>
      </c>
      <c r="F943" s="1900" t="s">
        <v>66</v>
      </c>
      <c r="G943" s="1900">
        <v>19</v>
      </c>
      <c r="H943" s="1900"/>
      <c r="I943" s="383" t="s">
        <v>651</v>
      </c>
      <c r="J943" s="58" t="s">
        <v>652</v>
      </c>
      <c r="K943" s="1887">
        <v>15</v>
      </c>
      <c r="L943" s="60">
        <f>SUM(L944:L947)</f>
        <v>644835</v>
      </c>
      <c r="M943" s="60">
        <f>SUM(M944:M947)</f>
        <v>273.39999999999998</v>
      </c>
      <c r="N943" s="60">
        <f>SUM(N944:N947)</f>
        <v>589915</v>
      </c>
      <c r="O943" s="59">
        <v>10</v>
      </c>
      <c r="P943" s="61">
        <f>SUM(P944:P946)</f>
        <v>449582</v>
      </c>
      <c r="Q943" s="443"/>
      <c r="R943" s="60"/>
      <c r="S943" s="59"/>
      <c r="T943" s="59"/>
      <c r="U943" s="59"/>
      <c r="V943" s="59"/>
      <c r="W943" s="59"/>
      <c r="X943" s="59"/>
      <c r="Y943" s="59"/>
      <c r="Z943" s="60"/>
      <c r="AA943" s="59">
        <f t="shared" ref="AA943:AA959" si="168">M943+Y943</f>
        <v>273.39999999999998</v>
      </c>
      <c r="AB943" s="605">
        <f>N943+Z943</f>
        <v>589915</v>
      </c>
      <c r="AC943" s="1909">
        <f t="shared" si="167"/>
        <v>1822.6666666666667</v>
      </c>
      <c r="AD943" s="598">
        <f t="shared" si="165"/>
        <v>0.91483092574069336</v>
      </c>
      <c r="AE943" s="59" t="s">
        <v>612</v>
      </c>
    </row>
    <row r="944" spans="1:31" s="63" customFormat="1" ht="38.25">
      <c r="A944" s="4460"/>
      <c r="B944" s="4405"/>
      <c r="C944" s="1900">
        <v>1</v>
      </c>
      <c r="D944" s="1900" t="s">
        <v>65</v>
      </c>
      <c r="E944" s="1905">
        <v>10</v>
      </c>
      <c r="F944" s="1900" t="s">
        <v>66</v>
      </c>
      <c r="G944" s="1900">
        <v>19</v>
      </c>
      <c r="H944" s="1900">
        <v>14</v>
      </c>
      <c r="I944" s="58" t="s">
        <v>653</v>
      </c>
      <c r="J944" s="58" t="s">
        <v>654</v>
      </c>
      <c r="K944" s="606">
        <f>15*5</f>
        <v>75</v>
      </c>
      <c r="L944" s="60">
        <v>112357</v>
      </c>
      <c r="M944" s="443">
        <v>1</v>
      </c>
      <c r="N944" s="604">
        <v>57221</v>
      </c>
      <c r="O944" s="59">
        <v>15</v>
      </c>
      <c r="P944" s="61">
        <v>112357</v>
      </c>
      <c r="Q944" s="443"/>
      <c r="R944" s="60">
        <v>1100</v>
      </c>
      <c r="S944" s="59"/>
      <c r="T944" s="59"/>
      <c r="U944" s="59"/>
      <c r="V944" s="59"/>
      <c r="W944" s="59"/>
      <c r="X944" s="59"/>
      <c r="Y944" s="59"/>
      <c r="Z944" s="60"/>
      <c r="AA944" s="59">
        <f t="shared" si="168"/>
        <v>1</v>
      </c>
      <c r="AB944" s="605">
        <f t="shared" si="166"/>
        <v>57221</v>
      </c>
      <c r="AC944" s="1909">
        <f t="shared" si="167"/>
        <v>1.3333333333333335</v>
      </c>
      <c r="AD944" s="598">
        <f t="shared" si="165"/>
        <v>0.50927846062105608</v>
      </c>
      <c r="AE944" s="59" t="s">
        <v>612</v>
      </c>
    </row>
    <row r="945" spans="1:31" s="63" customFormat="1" ht="69.75" customHeight="1">
      <c r="A945" s="4460"/>
      <c r="B945" s="4405"/>
      <c r="C945" s="1900">
        <v>1</v>
      </c>
      <c r="D945" s="1900" t="s">
        <v>65</v>
      </c>
      <c r="E945" s="1905">
        <v>10</v>
      </c>
      <c r="F945" s="1900" t="s">
        <v>66</v>
      </c>
      <c r="G945" s="1900">
        <v>19</v>
      </c>
      <c r="H945" s="1900"/>
      <c r="I945" s="58" t="s">
        <v>655</v>
      </c>
      <c r="J945" s="58" t="s">
        <v>656</v>
      </c>
      <c r="K945" s="607">
        <v>1</v>
      </c>
      <c r="L945" s="60">
        <v>63519</v>
      </c>
      <c r="M945" s="608">
        <v>0.2</v>
      </c>
      <c r="N945" s="604">
        <v>67052</v>
      </c>
      <c r="O945" s="59">
        <v>100</v>
      </c>
      <c r="P945" s="61">
        <v>63519</v>
      </c>
      <c r="Q945" s="443"/>
      <c r="R945" s="60">
        <v>1026</v>
      </c>
      <c r="S945" s="59"/>
      <c r="T945" s="59"/>
      <c r="U945" s="59"/>
      <c r="V945" s="59"/>
      <c r="W945" s="59"/>
      <c r="X945" s="59"/>
      <c r="Y945" s="59"/>
      <c r="Z945" s="60"/>
      <c r="AA945" s="59">
        <f t="shared" si="168"/>
        <v>0.2</v>
      </c>
      <c r="AB945" s="605">
        <f t="shared" si="166"/>
        <v>67052</v>
      </c>
      <c r="AC945" s="1909">
        <f t="shared" si="167"/>
        <v>20</v>
      </c>
      <c r="AD945" s="598">
        <f t="shared" si="165"/>
        <v>1.055621152725956</v>
      </c>
      <c r="AE945" s="59" t="s">
        <v>612</v>
      </c>
    </row>
    <row r="946" spans="1:31" s="63" customFormat="1" ht="54" customHeight="1">
      <c r="A946" s="4460"/>
      <c r="B946" s="4405"/>
      <c r="C946" s="1900">
        <v>1</v>
      </c>
      <c r="D946" s="1900" t="s">
        <v>65</v>
      </c>
      <c r="E946" s="1905">
        <v>10</v>
      </c>
      <c r="F946" s="1900" t="s">
        <v>66</v>
      </c>
      <c r="G946" s="1900">
        <v>19</v>
      </c>
      <c r="H946" s="1900" t="s">
        <v>357</v>
      </c>
      <c r="I946" s="58" t="s">
        <v>657</v>
      </c>
      <c r="J946" s="58" t="s">
        <v>658</v>
      </c>
      <c r="K946" s="607">
        <v>1</v>
      </c>
      <c r="L946" s="60">
        <v>273706</v>
      </c>
      <c r="M946" s="608">
        <v>0.2</v>
      </c>
      <c r="N946" s="604">
        <v>371022</v>
      </c>
      <c r="O946" s="59">
        <v>100</v>
      </c>
      <c r="P946" s="61">
        <v>273706</v>
      </c>
      <c r="Q946" s="443"/>
      <c r="R946" s="60">
        <v>7322</v>
      </c>
      <c r="S946" s="59"/>
      <c r="T946" s="59"/>
      <c r="U946" s="59"/>
      <c r="V946" s="59"/>
      <c r="W946" s="59"/>
      <c r="X946" s="59"/>
      <c r="Y946" s="59"/>
      <c r="Z946" s="60"/>
      <c r="AA946" s="59">
        <f t="shared" si="168"/>
        <v>0.2</v>
      </c>
      <c r="AB946" s="605">
        <f t="shared" si="166"/>
        <v>371022</v>
      </c>
      <c r="AC946" s="1909">
        <f t="shared" si="167"/>
        <v>20</v>
      </c>
      <c r="AD946" s="598">
        <f t="shared" si="165"/>
        <v>1.3555493851066474</v>
      </c>
      <c r="AE946" s="59" t="s">
        <v>612</v>
      </c>
    </row>
    <row r="947" spans="1:31" s="63" customFormat="1" ht="76.5">
      <c r="A947" s="4239"/>
      <c r="B947" s="4249"/>
      <c r="C947" s="1900">
        <v>1</v>
      </c>
      <c r="D947" s="1900" t="s">
        <v>65</v>
      </c>
      <c r="E947" s="1905">
        <v>10</v>
      </c>
      <c r="F947" s="1900" t="s">
        <v>66</v>
      </c>
      <c r="G947" s="1900">
        <v>19</v>
      </c>
      <c r="H947" s="1900" t="s">
        <v>357</v>
      </c>
      <c r="I947" s="58" t="s">
        <v>659</v>
      </c>
      <c r="J947" s="58" t="s">
        <v>660</v>
      </c>
      <c r="K947" s="1887">
        <f>90*3*5</f>
        <v>1350</v>
      </c>
      <c r="L947" s="60">
        <v>195253</v>
      </c>
      <c r="M947" s="443">
        <v>272</v>
      </c>
      <c r="N947" s="604">
        <v>94620</v>
      </c>
      <c r="O947" s="59">
        <v>272</v>
      </c>
      <c r="P947" s="61">
        <v>195253</v>
      </c>
      <c r="Q947" s="443"/>
      <c r="R947" s="60">
        <v>8439</v>
      </c>
      <c r="S947" s="59"/>
      <c r="T947" s="59"/>
      <c r="U947" s="59"/>
      <c r="V947" s="59"/>
      <c r="W947" s="59"/>
      <c r="X947" s="59"/>
      <c r="Y947" s="59"/>
      <c r="Z947" s="60"/>
      <c r="AA947" s="59">
        <f t="shared" si="168"/>
        <v>272</v>
      </c>
      <c r="AB947" s="605">
        <f t="shared" si="166"/>
        <v>94620</v>
      </c>
      <c r="AC947" s="1909">
        <f t="shared" si="167"/>
        <v>20.148148148148149</v>
      </c>
      <c r="AD947" s="598">
        <f t="shared" si="165"/>
        <v>0.48460202916216394</v>
      </c>
      <c r="AE947" s="59" t="s">
        <v>612</v>
      </c>
    </row>
    <row r="948" spans="1:31" s="114" customFormat="1" ht="51">
      <c r="A948" s="4238">
        <v>3</v>
      </c>
      <c r="B948" s="4248" t="s">
        <v>661</v>
      </c>
      <c r="C948" s="627">
        <v>1</v>
      </c>
      <c r="D948" s="627" t="s">
        <v>65</v>
      </c>
      <c r="E948" s="623">
        <v>10</v>
      </c>
      <c r="F948" s="627" t="s">
        <v>66</v>
      </c>
      <c r="G948" s="627">
        <v>15</v>
      </c>
      <c r="H948" s="627"/>
      <c r="I948" s="383" t="s">
        <v>662</v>
      </c>
      <c r="J948" s="383" t="s">
        <v>663</v>
      </c>
      <c r="K948" s="383">
        <v>6</v>
      </c>
      <c r="L948" s="628">
        <f>SUM(L949:L950)</f>
        <v>77096</v>
      </c>
      <c r="M948" s="383">
        <v>8</v>
      </c>
      <c r="N948" s="629">
        <f>64810+98000</f>
        <v>162810</v>
      </c>
      <c r="O948" s="383">
        <v>2</v>
      </c>
      <c r="P948" s="628">
        <f>SUM(P949:P951)</f>
        <v>131417</v>
      </c>
      <c r="Q948" s="383">
        <v>1</v>
      </c>
      <c r="R948" s="628">
        <v>25875</v>
      </c>
      <c r="S948" s="383"/>
      <c r="T948" s="383"/>
      <c r="U948" s="383"/>
      <c r="V948" s="383"/>
      <c r="W948" s="383"/>
      <c r="X948" s="383"/>
      <c r="Y948" s="628"/>
      <c r="Z948" s="628"/>
      <c r="AA948" s="630">
        <f t="shared" si="168"/>
        <v>8</v>
      </c>
      <c r="AB948" s="631">
        <f t="shared" si="166"/>
        <v>162810</v>
      </c>
      <c r="AC948" s="626">
        <f t="shared" si="167"/>
        <v>133.33333333333331</v>
      </c>
      <c r="AD948" s="622">
        <f t="shared" si="165"/>
        <v>2.1117827124623845</v>
      </c>
      <c r="AE948" s="616" t="s">
        <v>612</v>
      </c>
    </row>
    <row r="949" spans="1:31" s="475" customFormat="1" ht="63.75">
      <c r="A949" s="4460"/>
      <c r="B949" s="4405"/>
      <c r="C949" s="1900">
        <v>1</v>
      </c>
      <c r="D949" s="1900" t="s">
        <v>65</v>
      </c>
      <c r="E949" s="1905">
        <v>10</v>
      </c>
      <c r="F949" s="1900" t="s">
        <v>66</v>
      </c>
      <c r="G949" s="1900">
        <v>15</v>
      </c>
      <c r="H949" s="1900" t="s">
        <v>198</v>
      </c>
      <c r="I949" s="384" t="s">
        <v>664</v>
      </c>
      <c r="J949" s="384" t="s">
        <v>665</v>
      </c>
      <c r="K949" s="384">
        <v>6</v>
      </c>
      <c r="L949" s="590">
        <v>40418</v>
      </c>
      <c r="M949" s="384">
        <v>2</v>
      </c>
      <c r="N949" s="590">
        <v>56278</v>
      </c>
      <c r="O949" s="384">
        <v>2</v>
      </c>
      <c r="P949" s="590">
        <v>40418</v>
      </c>
      <c r="Q949" s="384"/>
      <c r="R949" s="590">
        <v>0</v>
      </c>
      <c r="S949" s="384"/>
      <c r="T949" s="384"/>
      <c r="U949" s="384"/>
      <c r="V949" s="384"/>
      <c r="W949" s="384"/>
      <c r="X949" s="384"/>
      <c r="Y949" s="590"/>
      <c r="Z949" s="590"/>
      <c r="AA949" s="59">
        <f t="shared" si="168"/>
        <v>2</v>
      </c>
      <c r="AB949" s="605">
        <f t="shared" si="166"/>
        <v>56278</v>
      </c>
      <c r="AC949" s="1909">
        <f t="shared" si="167"/>
        <v>33.333333333333329</v>
      </c>
      <c r="AD949" s="598">
        <f t="shared" si="165"/>
        <v>1.3923994259983177</v>
      </c>
      <c r="AE949" s="385" t="s">
        <v>612</v>
      </c>
    </row>
    <row r="950" spans="1:31" s="475" customFormat="1" ht="63.75">
      <c r="A950" s="4460"/>
      <c r="B950" s="4405"/>
      <c r="C950" s="1900">
        <v>1</v>
      </c>
      <c r="D950" s="1900" t="s">
        <v>65</v>
      </c>
      <c r="E950" s="1905">
        <v>10</v>
      </c>
      <c r="F950" s="1900" t="s">
        <v>66</v>
      </c>
      <c r="G950" s="1900">
        <v>15</v>
      </c>
      <c r="H950" s="1900" t="s">
        <v>93</v>
      </c>
      <c r="I950" s="384" t="s">
        <v>666</v>
      </c>
      <c r="J950" s="384" t="s">
        <v>667</v>
      </c>
      <c r="K950" s="384">
        <f>90*3*5</f>
        <v>1350</v>
      </c>
      <c r="L950" s="590">
        <v>36678</v>
      </c>
      <c r="M950" s="384">
        <f>90*3</f>
        <v>270</v>
      </c>
      <c r="N950" s="590">
        <v>0</v>
      </c>
      <c r="O950" s="384">
        <v>0</v>
      </c>
      <c r="P950" s="590">
        <v>36678</v>
      </c>
      <c r="Q950" s="384"/>
      <c r="R950" s="590">
        <v>0</v>
      </c>
      <c r="S950" s="384"/>
      <c r="T950" s="384"/>
      <c r="U950" s="384"/>
      <c r="V950" s="384"/>
      <c r="W950" s="384"/>
      <c r="X950" s="384"/>
      <c r="Y950" s="590"/>
      <c r="Z950" s="590"/>
      <c r="AA950" s="59">
        <f t="shared" si="168"/>
        <v>270</v>
      </c>
      <c r="AB950" s="605">
        <f t="shared" si="166"/>
        <v>0</v>
      </c>
      <c r="AC950" s="1909">
        <f t="shared" si="167"/>
        <v>20</v>
      </c>
      <c r="AD950" s="598">
        <f t="shared" si="165"/>
        <v>0</v>
      </c>
      <c r="AE950" s="385" t="s">
        <v>612</v>
      </c>
    </row>
    <row r="951" spans="1:31" s="114" customFormat="1" ht="38.25">
      <c r="A951" s="4460"/>
      <c r="B951" s="4405"/>
      <c r="C951" s="627">
        <v>1</v>
      </c>
      <c r="D951" s="627" t="s">
        <v>65</v>
      </c>
      <c r="E951" s="623">
        <v>10</v>
      </c>
      <c r="F951" s="627" t="s">
        <v>66</v>
      </c>
      <c r="G951" s="627">
        <v>17</v>
      </c>
      <c r="H951" s="627"/>
      <c r="I951" s="383" t="s">
        <v>668</v>
      </c>
      <c r="J951" s="383" t="s">
        <v>669</v>
      </c>
      <c r="K951" s="383">
        <v>1350</v>
      </c>
      <c r="L951" s="628">
        <f>L952</f>
        <v>54321</v>
      </c>
      <c r="M951" s="383">
        <v>0</v>
      </c>
      <c r="N951" s="628">
        <f>SUM(N952)</f>
        <v>0</v>
      </c>
      <c r="O951" s="383">
        <v>90</v>
      </c>
      <c r="P951" s="628">
        <f>P952</f>
        <v>54321</v>
      </c>
      <c r="Q951" s="383"/>
      <c r="R951" s="628"/>
      <c r="S951" s="383"/>
      <c r="T951" s="383"/>
      <c r="U951" s="383"/>
      <c r="V951" s="383"/>
      <c r="W951" s="383"/>
      <c r="X951" s="383"/>
      <c r="Y951" s="628"/>
      <c r="Z951" s="628"/>
      <c r="AA951" s="630">
        <f t="shared" si="168"/>
        <v>0</v>
      </c>
      <c r="AB951" s="631">
        <f t="shared" si="166"/>
        <v>0</v>
      </c>
      <c r="AC951" s="626">
        <f t="shared" si="167"/>
        <v>0</v>
      </c>
      <c r="AD951" s="622">
        <f t="shared" si="165"/>
        <v>0</v>
      </c>
      <c r="AE951" s="616" t="s">
        <v>612</v>
      </c>
    </row>
    <row r="952" spans="1:31" s="475" customFormat="1" ht="37.5" customHeight="1">
      <c r="A952" s="4460"/>
      <c r="B952" s="4405"/>
      <c r="C952" s="1900">
        <v>1</v>
      </c>
      <c r="D952" s="1900" t="s">
        <v>65</v>
      </c>
      <c r="E952" s="1905">
        <v>10</v>
      </c>
      <c r="F952" s="1900" t="s">
        <v>66</v>
      </c>
      <c r="G952" s="1900">
        <v>17</v>
      </c>
      <c r="H952" s="1900" t="s">
        <v>66</v>
      </c>
      <c r="I952" s="384" t="s">
        <v>670</v>
      </c>
      <c r="J952" s="384" t="s">
        <v>671</v>
      </c>
      <c r="K952" s="384">
        <f>90*3*5</f>
        <v>1350</v>
      </c>
      <c r="L952" s="590">
        <v>54321</v>
      </c>
      <c r="M952" s="384">
        <f>90*2</f>
        <v>180</v>
      </c>
      <c r="N952" s="590">
        <v>0</v>
      </c>
      <c r="O952" s="384">
        <v>90</v>
      </c>
      <c r="P952" s="590">
        <v>54321</v>
      </c>
      <c r="Q952" s="384"/>
      <c r="R952" s="590">
        <v>0</v>
      </c>
      <c r="S952" s="384"/>
      <c r="T952" s="384"/>
      <c r="U952" s="384"/>
      <c r="V952" s="384"/>
      <c r="W952" s="384"/>
      <c r="X952" s="384"/>
      <c r="Y952" s="590"/>
      <c r="Z952" s="590"/>
      <c r="AA952" s="59">
        <f t="shared" si="168"/>
        <v>180</v>
      </c>
      <c r="AB952" s="605">
        <f t="shared" si="166"/>
        <v>0</v>
      </c>
      <c r="AC952" s="1909">
        <f t="shared" si="167"/>
        <v>13.333333333333334</v>
      </c>
      <c r="AD952" s="598">
        <f t="shared" si="165"/>
        <v>0</v>
      </c>
      <c r="AE952" s="385" t="s">
        <v>612</v>
      </c>
    </row>
    <row r="953" spans="1:31" s="475" customFormat="1" ht="38.25">
      <c r="A953" s="4460"/>
      <c r="B953" s="4405"/>
      <c r="C953" s="1900">
        <v>1</v>
      </c>
      <c r="D953" s="1900" t="s">
        <v>65</v>
      </c>
      <c r="E953" s="1905">
        <v>10</v>
      </c>
      <c r="F953" s="1900" t="s">
        <v>66</v>
      </c>
      <c r="G953" s="1900">
        <v>19</v>
      </c>
      <c r="H953" s="1900"/>
      <c r="I953" s="383" t="s">
        <v>672</v>
      </c>
      <c r="J953" s="384" t="s">
        <v>673</v>
      </c>
      <c r="K953" s="384">
        <v>6</v>
      </c>
      <c r="L953" s="590">
        <f>SUM(L954:L955)</f>
        <v>820042</v>
      </c>
      <c r="M953" s="384"/>
      <c r="N953" s="590">
        <f>SUM(N954:N955)</f>
        <v>559000</v>
      </c>
      <c r="O953" s="384">
        <v>2</v>
      </c>
      <c r="P953" s="590">
        <f>SUM(P954:P955)</f>
        <v>820042</v>
      </c>
      <c r="Q953" s="384"/>
      <c r="R953" s="590"/>
      <c r="S953" s="384"/>
      <c r="T953" s="384"/>
      <c r="U953" s="384"/>
      <c r="V953" s="384"/>
      <c r="W953" s="384"/>
      <c r="X953" s="384"/>
      <c r="Y953" s="590"/>
      <c r="Z953" s="590"/>
      <c r="AA953" s="59">
        <f t="shared" si="168"/>
        <v>0</v>
      </c>
      <c r="AB953" s="605">
        <f t="shared" si="166"/>
        <v>559000</v>
      </c>
      <c r="AC953" s="1909">
        <f t="shared" si="167"/>
        <v>0</v>
      </c>
      <c r="AD953" s="598">
        <f t="shared" si="165"/>
        <v>0.68167240214525593</v>
      </c>
      <c r="AE953" s="385" t="s">
        <v>612</v>
      </c>
    </row>
    <row r="954" spans="1:31" s="475" customFormat="1" ht="89.25">
      <c r="A954" s="4460"/>
      <c r="B954" s="4405"/>
      <c r="C954" s="1900">
        <v>1</v>
      </c>
      <c r="D954" s="1900" t="s">
        <v>65</v>
      </c>
      <c r="E954" s="1905">
        <v>10</v>
      </c>
      <c r="F954" s="1900" t="s">
        <v>66</v>
      </c>
      <c r="G954" s="1900">
        <v>19</v>
      </c>
      <c r="H954" s="1900" t="s">
        <v>417</v>
      </c>
      <c r="I954" s="384" t="s">
        <v>674</v>
      </c>
      <c r="J954" s="384" t="s">
        <v>675</v>
      </c>
      <c r="K954" s="384">
        <v>5</v>
      </c>
      <c r="L954" s="590">
        <v>126694</v>
      </c>
      <c r="M954" s="384">
        <v>0</v>
      </c>
      <c r="N954" s="590">
        <v>559000</v>
      </c>
      <c r="O954" s="384">
        <v>1</v>
      </c>
      <c r="P954" s="590">
        <v>126694</v>
      </c>
      <c r="Q954" s="384"/>
      <c r="R954" s="590"/>
      <c r="S954" s="384"/>
      <c r="T954" s="384"/>
      <c r="U954" s="384"/>
      <c r="V954" s="384"/>
      <c r="W954" s="384"/>
      <c r="X954" s="384"/>
      <c r="Y954" s="590"/>
      <c r="Z954" s="590"/>
      <c r="AA954" s="59">
        <f t="shared" si="168"/>
        <v>0</v>
      </c>
      <c r="AB954" s="605">
        <f t="shared" si="166"/>
        <v>559000</v>
      </c>
      <c r="AC954" s="1909">
        <f t="shared" si="167"/>
        <v>0</v>
      </c>
      <c r="AD954" s="598">
        <f t="shared" si="165"/>
        <v>4.4122057871722422</v>
      </c>
      <c r="AE954" s="385" t="s">
        <v>612</v>
      </c>
    </row>
    <row r="955" spans="1:31" s="475" customFormat="1" ht="51">
      <c r="A955" s="4460"/>
      <c r="B955" s="4405"/>
      <c r="C955" s="1900">
        <v>1</v>
      </c>
      <c r="D955" s="1900" t="s">
        <v>65</v>
      </c>
      <c r="E955" s="1905">
        <v>10</v>
      </c>
      <c r="F955" s="1900" t="s">
        <v>66</v>
      </c>
      <c r="G955" s="1900">
        <v>19</v>
      </c>
      <c r="H955" s="1900" t="s">
        <v>167</v>
      </c>
      <c r="I955" s="384" t="s">
        <v>676</v>
      </c>
      <c r="J955" s="384" t="s">
        <v>677</v>
      </c>
      <c r="K955" s="591">
        <v>1</v>
      </c>
      <c r="L955" s="590">
        <v>693348</v>
      </c>
      <c r="M955" s="591">
        <v>0.2</v>
      </c>
      <c r="N955" s="590">
        <v>0</v>
      </c>
      <c r="O955" s="591">
        <v>0.2</v>
      </c>
      <c r="P955" s="590">
        <v>693348</v>
      </c>
      <c r="Q955" s="384"/>
      <c r="R955" s="590"/>
      <c r="S955" s="384"/>
      <c r="T955" s="384"/>
      <c r="U955" s="384"/>
      <c r="V955" s="384"/>
      <c r="W955" s="384"/>
      <c r="X955" s="384"/>
      <c r="Y955" s="590"/>
      <c r="Z955" s="590"/>
      <c r="AA955" s="59">
        <f t="shared" si="168"/>
        <v>0.2</v>
      </c>
      <c r="AB955" s="60">
        <f t="shared" si="166"/>
        <v>0</v>
      </c>
      <c r="AC955" s="1909">
        <f t="shared" si="167"/>
        <v>20</v>
      </c>
      <c r="AD955" s="598">
        <f t="shared" si="165"/>
        <v>0</v>
      </c>
      <c r="AE955" s="385" t="s">
        <v>612</v>
      </c>
    </row>
    <row r="956" spans="1:31" s="114" customFormat="1" ht="25.5">
      <c r="A956" s="4460"/>
      <c r="B956" s="4405"/>
      <c r="C956" s="627">
        <v>1</v>
      </c>
      <c r="D956" s="627" t="s">
        <v>65</v>
      </c>
      <c r="E956" s="623">
        <v>10</v>
      </c>
      <c r="F956" s="627" t="s">
        <v>66</v>
      </c>
      <c r="G956" s="627">
        <v>20</v>
      </c>
      <c r="H956" s="627"/>
      <c r="I956" s="383" t="s">
        <v>678</v>
      </c>
      <c r="J956" s="383"/>
      <c r="K956" s="383">
        <v>100</v>
      </c>
      <c r="L956" s="628">
        <f>SUM(L957:L959)</f>
        <v>2600753</v>
      </c>
      <c r="M956" s="383"/>
      <c r="N956" s="628">
        <f>SUM(N957:N959)</f>
        <v>0</v>
      </c>
      <c r="O956" s="383"/>
      <c r="P956" s="628">
        <f>SUM(P957:P959)</f>
        <v>2600753</v>
      </c>
      <c r="Q956" s="383"/>
      <c r="R956" s="628"/>
      <c r="S956" s="383"/>
      <c r="T956" s="383"/>
      <c r="U956" s="383"/>
      <c r="V956" s="383"/>
      <c r="W956" s="383"/>
      <c r="X956" s="383"/>
      <c r="Y956" s="628"/>
      <c r="Z956" s="628"/>
      <c r="AA956" s="630">
        <f t="shared" si="168"/>
        <v>0</v>
      </c>
      <c r="AB956" s="632">
        <f>SUM(AB957:AB959)</f>
        <v>0</v>
      </c>
      <c r="AC956" s="626">
        <f t="shared" si="167"/>
        <v>0</v>
      </c>
      <c r="AD956" s="622">
        <f t="shared" si="165"/>
        <v>0</v>
      </c>
      <c r="AE956" s="616" t="s">
        <v>612</v>
      </c>
    </row>
    <row r="957" spans="1:31" s="475" customFormat="1" ht="38.25">
      <c r="A957" s="4460"/>
      <c r="B957" s="4405"/>
      <c r="C957" s="1900">
        <v>1</v>
      </c>
      <c r="D957" s="1900" t="s">
        <v>65</v>
      </c>
      <c r="E957" s="1905">
        <v>10</v>
      </c>
      <c r="F957" s="1900" t="s">
        <v>66</v>
      </c>
      <c r="G957" s="1900">
        <v>20</v>
      </c>
      <c r="H957" s="1900" t="s">
        <v>65</v>
      </c>
      <c r="I957" s="384" t="s">
        <v>679</v>
      </c>
      <c r="J957" s="384" t="s">
        <v>680</v>
      </c>
      <c r="K957" s="384">
        <v>100</v>
      </c>
      <c r="L957" s="590">
        <v>340894</v>
      </c>
      <c r="M957" s="384">
        <v>0</v>
      </c>
      <c r="N957" s="590">
        <v>0</v>
      </c>
      <c r="O957" s="384">
        <v>0</v>
      </c>
      <c r="P957" s="590">
        <v>340894</v>
      </c>
      <c r="Q957" s="384">
        <v>0</v>
      </c>
      <c r="R957" s="590">
        <v>58045</v>
      </c>
      <c r="S957" s="384"/>
      <c r="T957" s="384"/>
      <c r="U957" s="384"/>
      <c r="V957" s="384"/>
      <c r="W957" s="384"/>
      <c r="X957" s="384"/>
      <c r="Y957" s="590"/>
      <c r="Z957" s="590"/>
      <c r="AA957" s="59">
        <f t="shared" si="168"/>
        <v>0</v>
      </c>
      <c r="AB957" s="60">
        <f t="shared" si="166"/>
        <v>0</v>
      </c>
      <c r="AC957" s="1909">
        <f t="shared" si="167"/>
        <v>0</v>
      </c>
      <c r="AD957" s="598">
        <f t="shared" si="165"/>
        <v>0</v>
      </c>
      <c r="AE957" s="385" t="s">
        <v>612</v>
      </c>
    </row>
    <row r="958" spans="1:31" s="475" customFormat="1" ht="38.25">
      <c r="A958" s="4460"/>
      <c r="B958" s="4405"/>
      <c r="C958" s="1900">
        <v>1</v>
      </c>
      <c r="D958" s="1900" t="s">
        <v>65</v>
      </c>
      <c r="E958" s="1905">
        <v>10</v>
      </c>
      <c r="F958" s="1900" t="s">
        <v>66</v>
      </c>
      <c r="G958" s="1900">
        <v>20</v>
      </c>
      <c r="H958" s="1900" t="s">
        <v>196</v>
      </c>
      <c r="I958" s="384" t="s">
        <v>681</v>
      </c>
      <c r="J958" s="384" t="s">
        <v>682</v>
      </c>
      <c r="K958" s="384">
        <v>46</v>
      </c>
      <c r="L958" s="590">
        <v>2126545</v>
      </c>
      <c r="M958" s="384">
        <v>0</v>
      </c>
      <c r="N958" s="590">
        <v>0</v>
      </c>
      <c r="O958" s="384">
        <v>0</v>
      </c>
      <c r="P958" s="590">
        <v>2126545</v>
      </c>
      <c r="Q958" s="384">
        <v>0</v>
      </c>
      <c r="R958" s="590">
        <v>8867</v>
      </c>
      <c r="S958" s="384"/>
      <c r="T958" s="384"/>
      <c r="U958" s="384"/>
      <c r="V958" s="384"/>
      <c r="W958" s="384"/>
      <c r="X958" s="384"/>
      <c r="Y958" s="590"/>
      <c r="Z958" s="590">
        <v>0</v>
      </c>
      <c r="AA958" s="59">
        <f t="shared" si="168"/>
        <v>0</v>
      </c>
      <c r="AB958" s="60">
        <f>N958+Z958</f>
        <v>0</v>
      </c>
      <c r="AC958" s="1909">
        <f t="shared" si="167"/>
        <v>0</v>
      </c>
      <c r="AD958" s="598">
        <f t="shared" si="165"/>
        <v>0</v>
      </c>
      <c r="AE958" s="385" t="s">
        <v>612</v>
      </c>
    </row>
    <row r="959" spans="1:31" s="475" customFormat="1" ht="38.25">
      <c r="A959" s="4239"/>
      <c r="B959" s="4249"/>
      <c r="C959" s="1900">
        <v>1</v>
      </c>
      <c r="D959" s="1900" t="s">
        <v>65</v>
      </c>
      <c r="E959" s="1905">
        <v>10</v>
      </c>
      <c r="F959" s="1900" t="s">
        <v>66</v>
      </c>
      <c r="G959" s="1900">
        <v>20</v>
      </c>
      <c r="H959" s="1900" t="s">
        <v>196</v>
      </c>
      <c r="I959" s="384" t="s">
        <v>683</v>
      </c>
      <c r="J959" s="384" t="s">
        <v>684</v>
      </c>
      <c r="K959" s="384">
        <v>100</v>
      </c>
      <c r="L959" s="590">
        <v>133314</v>
      </c>
      <c r="M959" s="384">
        <v>0</v>
      </c>
      <c r="N959" s="590">
        <v>0</v>
      </c>
      <c r="O959" s="384">
        <v>0</v>
      </c>
      <c r="P959" s="590">
        <v>133314</v>
      </c>
      <c r="Q959" s="384">
        <v>0</v>
      </c>
      <c r="R959" s="590">
        <v>0</v>
      </c>
      <c r="S959" s="384"/>
      <c r="T959" s="384"/>
      <c r="U959" s="384"/>
      <c r="V959" s="384"/>
      <c r="W959" s="384"/>
      <c r="X959" s="384"/>
      <c r="Y959" s="590"/>
      <c r="Z959" s="590"/>
      <c r="AA959" s="59">
        <f t="shared" si="168"/>
        <v>0</v>
      </c>
      <c r="AB959" s="60">
        <f t="shared" si="166"/>
        <v>0</v>
      </c>
      <c r="AC959" s="1909">
        <f t="shared" si="167"/>
        <v>0</v>
      </c>
      <c r="AD959" s="598">
        <f t="shared" si="165"/>
        <v>0</v>
      </c>
      <c r="AE959" s="385" t="s">
        <v>612</v>
      </c>
    </row>
    <row r="960" spans="1:31" s="494" customFormat="1" ht="15">
      <c r="A960" s="4427" t="s">
        <v>100</v>
      </c>
      <c r="B960" s="4427"/>
      <c r="C960" s="4427"/>
      <c r="D960" s="4427"/>
      <c r="E960" s="4427"/>
      <c r="F960" s="4427"/>
      <c r="G960" s="4427"/>
      <c r="H960" s="4427"/>
      <c r="I960" s="4427"/>
      <c r="J960" s="4427"/>
      <c r="K960" s="4427"/>
      <c r="L960" s="4427"/>
      <c r="M960" s="4427"/>
      <c r="N960" s="4427"/>
      <c r="O960" s="4427"/>
      <c r="P960" s="496">
        <f>P940+P943+P948+P953+P956+AU1051</f>
        <v>4493310</v>
      </c>
      <c r="Q960" s="4428"/>
      <c r="R960" s="4428"/>
      <c r="S960" s="4428"/>
      <c r="T960" s="4428"/>
      <c r="U960" s="4428"/>
      <c r="V960" s="4428"/>
      <c r="W960" s="4428"/>
      <c r="X960" s="4428"/>
      <c r="Y960" s="4428"/>
      <c r="Z960" s="4428"/>
      <c r="AA960" s="4428"/>
      <c r="AB960" s="496">
        <f>AB940+BG1054</f>
        <v>368998</v>
      </c>
      <c r="AC960" s="497"/>
      <c r="AD960" s="497"/>
      <c r="AE960" s="497"/>
    </row>
    <row r="961" spans="1:31" s="494" customFormat="1">
      <c r="A961" s="4427" t="s">
        <v>101</v>
      </c>
      <c r="B961" s="4427"/>
      <c r="C961" s="4427"/>
      <c r="D961" s="4427"/>
      <c r="E961" s="4427"/>
      <c r="F961" s="4427"/>
      <c r="G961" s="4427"/>
      <c r="H961" s="4427"/>
      <c r="I961" s="4427"/>
      <c r="J961" s="4427"/>
      <c r="K961" s="4427"/>
      <c r="L961" s="4427"/>
      <c r="M961" s="4427"/>
      <c r="N961" s="4427"/>
      <c r="O961" s="4427"/>
      <c r="P961" s="4427"/>
      <c r="Q961" s="4427"/>
      <c r="R961" s="4427"/>
      <c r="S961" s="4427"/>
      <c r="T961" s="4427"/>
      <c r="U961" s="4427"/>
      <c r="V961" s="4427"/>
      <c r="W961" s="4427"/>
      <c r="X961" s="4427"/>
      <c r="Y961" s="4427"/>
      <c r="Z961" s="4427"/>
      <c r="AA961" s="4427"/>
      <c r="AB961" s="4427"/>
      <c r="AC961" s="609" t="e">
        <f>AVERAGE(AD941:AD1052)</f>
        <v>#VALUE!</v>
      </c>
      <c r="AD961" s="609">
        <f>(AB960/P960)*100</f>
        <v>8.2121643064912053</v>
      </c>
      <c r="AE961" s="497"/>
    </row>
    <row r="962" spans="1:31" s="494" customFormat="1">
      <c r="A962" s="4427" t="s">
        <v>102</v>
      </c>
      <c r="B962" s="4427"/>
      <c r="C962" s="4427"/>
      <c r="D962" s="4427"/>
      <c r="E962" s="4427"/>
      <c r="F962" s="4427"/>
      <c r="G962" s="4427"/>
      <c r="H962" s="4427"/>
      <c r="I962" s="4427"/>
      <c r="J962" s="4427"/>
      <c r="K962" s="4427"/>
      <c r="L962" s="4427"/>
      <c r="M962" s="4427"/>
      <c r="N962" s="4427"/>
      <c r="O962" s="4427"/>
      <c r="P962" s="4427"/>
      <c r="Q962" s="4427"/>
      <c r="R962" s="4427"/>
      <c r="S962" s="4427"/>
      <c r="T962" s="4427"/>
      <c r="U962" s="4427"/>
      <c r="V962" s="4427"/>
      <c r="W962" s="4427"/>
      <c r="X962" s="4427"/>
      <c r="Y962" s="4427"/>
      <c r="Z962" s="4427"/>
      <c r="AA962" s="4427"/>
      <c r="AB962" s="4427"/>
      <c r="AC962" s="1891" t="e">
        <f>IF(AC961&gt;=45,"ST",IF(AC961&gt;=38,"T",IF(AC961&gt;=32,"S",IF(AC961&gt;=25,"R","SR"))))</f>
        <v>#VALUE!</v>
      </c>
      <c r="AD962" s="1891" t="str">
        <f>IF(AD961&gt;=45,"ST",IF(AD961&gt;=38,"T",IF(AD961&gt;=32,"S",IF(AD961&gt;=25,"R","SR"))))</f>
        <v>SR</v>
      </c>
      <c r="AE962" s="497"/>
    </row>
    <row r="963" spans="1:31" s="69" customFormat="1" ht="40.5" customHeight="1">
      <c r="A963" s="67">
        <v>17</v>
      </c>
      <c r="B963" s="67"/>
      <c r="C963" s="67"/>
      <c r="D963" s="67"/>
      <c r="E963" s="67"/>
      <c r="F963" s="67"/>
      <c r="G963" s="67"/>
      <c r="H963" s="67"/>
      <c r="I963" s="68" t="s">
        <v>144</v>
      </c>
      <c r="J963" s="67"/>
      <c r="K963" s="67"/>
      <c r="L963" s="67"/>
      <c r="M963" s="67"/>
      <c r="N963" s="67"/>
      <c r="O963" s="67"/>
      <c r="P963" s="67"/>
      <c r="Q963" s="67"/>
      <c r="R963" s="67"/>
      <c r="S963" s="67"/>
      <c r="T963" s="67"/>
      <c r="U963" s="67"/>
      <c r="V963" s="67"/>
      <c r="W963" s="67"/>
      <c r="X963" s="67"/>
      <c r="Y963" s="366"/>
      <c r="Z963" s="67"/>
      <c r="AA963" s="67"/>
      <c r="AB963" s="67"/>
      <c r="AC963" s="67"/>
      <c r="AD963" s="67"/>
      <c r="AE963" s="67"/>
    </row>
    <row r="964" spans="1:31" s="2109" customFormat="1" ht="51">
      <c r="A964" s="616">
        <v>11</v>
      </c>
      <c r="B964" s="628">
        <v>3387953000</v>
      </c>
      <c r="C964" s="623" t="s">
        <v>197</v>
      </c>
      <c r="D964" s="623">
        <v>1</v>
      </c>
      <c r="E964" s="623" t="s">
        <v>65</v>
      </c>
      <c r="F964" s="623">
        <v>11</v>
      </c>
      <c r="G964" s="623">
        <v>1</v>
      </c>
      <c r="H964" s="627"/>
      <c r="I964" s="383" t="s">
        <v>2153</v>
      </c>
      <c r="J964" s="384" t="s">
        <v>439</v>
      </c>
      <c r="K964" s="344">
        <v>72</v>
      </c>
      <c r="L964" s="628">
        <f>SUM(L965:L975)</f>
        <v>3387953</v>
      </c>
      <c r="M964" s="383">
        <v>24</v>
      </c>
      <c r="N964" s="2110">
        <f>SUM(N965:N975)</f>
        <v>1213259.8570000001</v>
      </c>
      <c r="O964" s="383">
        <v>12</v>
      </c>
      <c r="P964" s="628">
        <f>SUM(P965:P975)</f>
        <v>941487.8</v>
      </c>
      <c r="Q964" s="383">
        <v>3</v>
      </c>
      <c r="R964" s="628">
        <f>SUM(R965:R975)</f>
        <v>127913.34</v>
      </c>
      <c r="S964" s="383"/>
      <c r="T964" s="383"/>
      <c r="U964" s="383"/>
      <c r="V964" s="383"/>
      <c r="W964" s="383"/>
      <c r="X964" s="383"/>
      <c r="Y964" s="385">
        <f t="shared" ref="Y964:Z982" si="169">Q964+S964+U964+W964</f>
        <v>3</v>
      </c>
      <c r="Z964" s="628">
        <f t="shared" si="169"/>
        <v>127913.34</v>
      </c>
      <c r="AA964" s="384">
        <f t="shared" ref="AA964:AB983" si="170">M964+Y964</f>
        <v>27</v>
      </c>
      <c r="AB964" s="624">
        <f t="shared" si="170"/>
        <v>1341173.1970000002</v>
      </c>
      <c r="AC964" s="2111">
        <f t="shared" ref="AC964:AC982" si="171">AA964/K964*100</f>
        <v>37.5</v>
      </c>
      <c r="AD964" s="2112">
        <f t="shared" ref="AD964:AD982" si="172">AB964/L964*100%</f>
        <v>0.39586534907656634</v>
      </c>
      <c r="AE964" s="2113" t="s">
        <v>2058</v>
      </c>
    </row>
    <row r="965" spans="1:31" s="1383" customFormat="1" ht="38.25">
      <c r="A965" s="1389"/>
      <c r="B965" s="1399"/>
      <c r="C965" s="1381" t="s">
        <v>197</v>
      </c>
      <c r="D965" s="1381">
        <v>1</v>
      </c>
      <c r="E965" s="1381" t="s">
        <v>65</v>
      </c>
      <c r="F965" s="1381">
        <v>11</v>
      </c>
      <c r="G965" s="1381">
        <v>1</v>
      </c>
      <c r="H965" s="1382" t="s">
        <v>65</v>
      </c>
      <c r="I965" s="1385" t="s">
        <v>2154</v>
      </c>
      <c r="J965" s="1385" t="s">
        <v>2155</v>
      </c>
      <c r="K965" s="233">
        <f t="shared" ref="K965:K974" si="173">12*6</f>
        <v>72</v>
      </c>
      <c r="L965" s="1400">
        <v>402100</v>
      </c>
      <c r="M965" s="1385">
        <v>24</v>
      </c>
      <c r="N965" s="1386">
        <f>40030.82+65330.88</f>
        <v>105361.7</v>
      </c>
      <c r="O965" s="1396">
        <v>12</v>
      </c>
      <c r="P965" s="1387">
        <v>200640</v>
      </c>
      <c r="Q965" s="1385">
        <v>3</v>
      </c>
      <c r="R965" s="1387">
        <v>16058.67</v>
      </c>
      <c r="S965" s="1385"/>
      <c r="T965" s="1401"/>
      <c r="U965" s="1385"/>
      <c r="V965" s="1385"/>
      <c r="W965" s="1385"/>
      <c r="X965" s="1385"/>
      <c r="Y965" s="1389">
        <f t="shared" si="169"/>
        <v>3</v>
      </c>
      <c r="Z965" s="1387">
        <f t="shared" si="169"/>
        <v>16058.67</v>
      </c>
      <c r="AA965" s="1385">
        <f t="shared" si="170"/>
        <v>27</v>
      </c>
      <c r="AB965" s="1376">
        <f t="shared" si="170"/>
        <v>121420.37</v>
      </c>
      <c r="AC965" s="1377">
        <f t="shared" si="171"/>
        <v>37.5</v>
      </c>
      <c r="AD965" s="1378">
        <f t="shared" si="172"/>
        <v>0.30196560557075353</v>
      </c>
      <c r="AE965" s="1379" t="s">
        <v>2058</v>
      </c>
    </row>
    <row r="966" spans="1:31" s="1383" customFormat="1" ht="38.25">
      <c r="A966" s="1389"/>
      <c r="B966" s="1399"/>
      <c r="C966" s="1381" t="s">
        <v>197</v>
      </c>
      <c r="D966" s="1381">
        <v>1</v>
      </c>
      <c r="E966" s="1381" t="s">
        <v>65</v>
      </c>
      <c r="F966" s="1381">
        <v>11</v>
      </c>
      <c r="G966" s="1381">
        <v>2</v>
      </c>
      <c r="H966" s="1382" t="s">
        <v>198</v>
      </c>
      <c r="I966" s="1385" t="s">
        <v>2156</v>
      </c>
      <c r="J966" s="1385" t="s">
        <v>2157</v>
      </c>
      <c r="K966" s="233">
        <f t="shared" si="173"/>
        <v>72</v>
      </c>
      <c r="L966" s="1400">
        <v>630000</v>
      </c>
      <c r="M966" s="1385">
        <v>24</v>
      </c>
      <c r="N966" s="1386">
        <f>104200+88942</f>
        <v>193142</v>
      </c>
      <c r="O966" s="1396">
        <v>12</v>
      </c>
      <c r="P966" s="1387">
        <v>110400</v>
      </c>
      <c r="Q966" s="1385">
        <v>3</v>
      </c>
      <c r="R966" s="1387">
        <v>17600</v>
      </c>
      <c r="S966" s="1385"/>
      <c r="T966" s="1401"/>
      <c r="U966" s="1385"/>
      <c r="V966" s="1385"/>
      <c r="W966" s="1385"/>
      <c r="X966" s="1385"/>
      <c r="Y966" s="1389">
        <f t="shared" si="169"/>
        <v>3</v>
      </c>
      <c r="Z966" s="1387">
        <f t="shared" si="169"/>
        <v>17600</v>
      </c>
      <c r="AA966" s="1385">
        <f t="shared" si="170"/>
        <v>27</v>
      </c>
      <c r="AB966" s="1376">
        <f t="shared" si="170"/>
        <v>210742</v>
      </c>
      <c r="AC966" s="1377">
        <f t="shared" si="171"/>
        <v>37.5</v>
      </c>
      <c r="AD966" s="1378">
        <f t="shared" si="172"/>
        <v>0.33451111111111109</v>
      </c>
      <c r="AE966" s="1379" t="s">
        <v>2058</v>
      </c>
    </row>
    <row r="967" spans="1:31" s="1383" customFormat="1" ht="25.5">
      <c r="A967" s="1389"/>
      <c r="B967" s="1390"/>
      <c r="C967" s="1381" t="s">
        <v>197</v>
      </c>
      <c r="D967" s="1381">
        <v>1</v>
      </c>
      <c r="E967" s="1381" t="s">
        <v>65</v>
      </c>
      <c r="F967" s="1381">
        <v>11</v>
      </c>
      <c r="G967" s="1381">
        <v>2</v>
      </c>
      <c r="H967" s="1382" t="s">
        <v>93</v>
      </c>
      <c r="I967" s="1385" t="s">
        <v>149</v>
      </c>
      <c r="J967" s="1385" t="s">
        <v>2158</v>
      </c>
      <c r="K967" s="233">
        <f t="shared" si="173"/>
        <v>72</v>
      </c>
      <c r="L967" s="1400">
        <v>284964</v>
      </c>
      <c r="M967" s="1385">
        <v>24</v>
      </c>
      <c r="N967" s="1386">
        <f>39964+81148</f>
        <v>121112</v>
      </c>
      <c r="O967" s="1396">
        <v>12</v>
      </c>
      <c r="P967" s="1387">
        <v>241993</v>
      </c>
      <c r="Q967" s="1385">
        <v>3</v>
      </c>
      <c r="R967" s="1387">
        <v>34250.5</v>
      </c>
      <c r="S967" s="1385"/>
      <c r="T967" s="1401"/>
      <c r="U967" s="1385"/>
      <c r="V967" s="1385"/>
      <c r="W967" s="1385"/>
      <c r="X967" s="1385"/>
      <c r="Y967" s="1389">
        <f t="shared" si="169"/>
        <v>3</v>
      </c>
      <c r="Z967" s="1387">
        <f t="shared" si="169"/>
        <v>34250.5</v>
      </c>
      <c r="AA967" s="1385">
        <f t="shared" si="170"/>
        <v>27</v>
      </c>
      <c r="AB967" s="1376">
        <f t="shared" si="170"/>
        <v>155362.5</v>
      </c>
      <c r="AC967" s="1377">
        <f t="shared" si="171"/>
        <v>37.5</v>
      </c>
      <c r="AD967" s="1378">
        <f t="shared" si="172"/>
        <v>0.54520044637217335</v>
      </c>
      <c r="AE967" s="1379" t="s">
        <v>2058</v>
      </c>
    </row>
    <row r="968" spans="1:31" s="1383" customFormat="1" ht="25.5">
      <c r="A968" s="1389"/>
      <c r="B968" s="1390"/>
      <c r="C968" s="1381" t="s">
        <v>197</v>
      </c>
      <c r="D968" s="1381">
        <v>1</v>
      </c>
      <c r="E968" s="1381" t="s">
        <v>65</v>
      </c>
      <c r="F968" s="1381">
        <v>11</v>
      </c>
      <c r="G968" s="1381">
        <v>2</v>
      </c>
      <c r="H968" s="1382">
        <v>10</v>
      </c>
      <c r="I968" s="1385" t="s">
        <v>150</v>
      </c>
      <c r="J968" s="1385" t="s">
        <v>2159</v>
      </c>
      <c r="K968" s="233">
        <f t="shared" si="173"/>
        <v>72</v>
      </c>
      <c r="L968" s="1386">
        <v>207102.3</v>
      </c>
      <c r="M968" s="1385">
        <v>24</v>
      </c>
      <c r="N968" s="1386">
        <f>39998.69+35428.5</f>
        <v>75427.19</v>
      </c>
      <c r="O968" s="1396">
        <v>12</v>
      </c>
      <c r="P968" s="1387">
        <v>35614.9</v>
      </c>
      <c r="Q968" s="1385">
        <v>3</v>
      </c>
      <c r="R968" s="1387">
        <v>5955.72</v>
      </c>
      <c r="S968" s="1385"/>
      <c r="T968" s="1401"/>
      <c r="U968" s="1385"/>
      <c r="V968" s="1385"/>
      <c r="W968" s="1385"/>
      <c r="X968" s="1385"/>
      <c r="Y968" s="1389">
        <f t="shared" si="169"/>
        <v>3</v>
      </c>
      <c r="Z968" s="1387">
        <f t="shared" si="169"/>
        <v>5955.72</v>
      </c>
      <c r="AA968" s="1385">
        <f t="shared" si="170"/>
        <v>27</v>
      </c>
      <c r="AB968" s="1376">
        <f t="shared" si="170"/>
        <v>81382.91</v>
      </c>
      <c r="AC968" s="1377">
        <f t="shared" si="171"/>
        <v>37.5</v>
      </c>
      <c r="AD968" s="1378">
        <f t="shared" si="172"/>
        <v>0.39295995264176209</v>
      </c>
      <c r="AE968" s="1379" t="s">
        <v>2058</v>
      </c>
    </row>
    <row r="969" spans="1:31" s="1383" customFormat="1" ht="38.25">
      <c r="A969" s="1389"/>
      <c r="B969" s="1390"/>
      <c r="C969" s="1381" t="s">
        <v>197</v>
      </c>
      <c r="D969" s="1381">
        <v>1</v>
      </c>
      <c r="E969" s="1381" t="s">
        <v>65</v>
      </c>
      <c r="F969" s="1381">
        <v>11</v>
      </c>
      <c r="G969" s="1381">
        <v>2</v>
      </c>
      <c r="H969" s="1382">
        <v>11</v>
      </c>
      <c r="I969" s="1385" t="s">
        <v>151</v>
      </c>
      <c r="J969" s="1385" t="s">
        <v>2160</v>
      </c>
      <c r="K969" s="233">
        <f t="shared" si="173"/>
        <v>72</v>
      </c>
      <c r="L969" s="1386">
        <v>198786.7</v>
      </c>
      <c r="M969" s="1385">
        <v>24</v>
      </c>
      <c r="N969" s="1386">
        <f>26786.8+42016.6</f>
        <v>68803.399999999994</v>
      </c>
      <c r="O969" s="1396">
        <v>12</v>
      </c>
      <c r="P969" s="1387">
        <v>35324</v>
      </c>
      <c r="Q969" s="1385">
        <v>3</v>
      </c>
      <c r="R969" s="1387">
        <v>0</v>
      </c>
      <c r="S969" s="1385"/>
      <c r="T969" s="1401"/>
      <c r="U969" s="1385"/>
      <c r="V969" s="1385"/>
      <c r="W969" s="1385"/>
      <c r="X969" s="1385"/>
      <c r="Y969" s="1389">
        <f t="shared" si="169"/>
        <v>3</v>
      </c>
      <c r="Z969" s="1387">
        <f t="shared" si="169"/>
        <v>0</v>
      </c>
      <c r="AA969" s="1385">
        <f t="shared" si="170"/>
        <v>27</v>
      </c>
      <c r="AB969" s="1376">
        <f t="shared" si="170"/>
        <v>68803.399999999994</v>
      </c>
      <c r="AC969" s="1377">
        <f t="shared" si="171"/>
        <v>37.5</v>
      </c>
      <c r="AD969" s="1378">
        <f t="shared" si="172"/>
        <v>0.3461167170640691</v>
      </c>
      <c r="AE969" s="1379" t="s">
        <v>2058</v>
      </c>
    </row>
    <row r="970" spans="1:31" s="1383" customFormat="1" ht="51">
      <c r="A970" s="1389"/>
      <c r="B970" s="1390"/>
      <c r="C970" s="1381" t="s">
        <v>197</v>
      </c>
      <c r="D970" s="1381">
        <v>1</v>
      </c>
      <c r="E970" s="1381" t="s">
        <v>65</v>
      </c>
      <c r="F970" s="1381">
        <v>11</v>
      </c>
      <c r="G970" s="1381">
        <v>2</v>
      </c>
      <c r="H970" s="1382">
        <v>11</v>
      </c>
      <c r="I970" s="1385" t="s">
        <v>2161</v>
      </c>
      <c r="J970" s="1385" t="s">
        <v>2162</v>
      </c>
      <c r="K970" s="233">
        <f t="shared" si="173"/>
        <v>72</v>
      </c>
      <c r="L970" s="1386">
        <v>75000</v>
      </c>
      <c r="M970" s="1385">
        <v>24</v>
      </c>
      <c r="N970" s="1386">
        <f>37463+14693</f>
        <v>52156</v>
      </c>
      <c r="O970" s="1396">
        <v>12</v>
      </c>
      <c r="P970" s="1387">
        <v>12455</v>
      </c>
      <c r="Q970" s="1385">
        <v>3</v>
      </c>
      <c r="R970" s="1387">
        <v>0</v>
      </c>
      <c r="S970" s="1385"/>
      <c r="T970" s="1401"/>
      <c r="U970" s="1385"/>
      <c r="V970" s="1385"/>
      <c r="W970" s="1385"/>
      <c r="X970" s="1385"/>
      <c r="Y970" s="1389">
        <f t="shared" si="169"/>
        <v>3</v>
      </c>
      <c r="Z970" s="1387">
        <f t="shared" si="169"/>
        <v>0</v>
      </c>
      <c r="AA970" s="1385">
        <f t="shared" si="170"/>
        <v>27</v>
      </c>
      <c r="AB970" s="1376">
        <f t="shared" si="170"/>
        <v>52156</v>
      </c>
      <c r="AC970" s="1377">
        <f t="shared" si="171"/>
        <v>37.5</v>
      </c>
      <c r="AD970" s="1378">
        <f t="shared" si="172"/>
        <v>0.69541333333333333</v>
      </c>
      <c r="AE970" s="1379" t="s">
        <v>2058</v>
      </c>
    </row>
    <row r="971" spans="1:31" s="1383" customFormat="1" ht="63.75">
      <c r="A971" s="1389"/>
      <c r="B971" s="1390"/>
      <c r="C971" s="1381" t="s">
        <v>197</v>
      </c>
      <c r="D971" s="1381">
        <v>1</v>
      </c>
      <c r="E971" s="1381" t="s">
        <v>65</v>
      </c>
      <c r="F971" s="1381">
        <v>11</v>
      </c>
      <c r="G971" s="1381">
        <v>2</v>
      </c>
      <c r="H971" s="1382">
        <v>15</v>
      </c>
      <c r="I971" s="1385" t="s">
        <v>156</v>
      </c>
      <c r="J971" s="1385" t="s">
        <v>2163</v>
      </c>
      <c r="K971" s="233">
        <f t="shared" si="173"/>
        <v>72</v>
      </c>
      <c r="L971" s="1386">
        <v>60000</v>
      </c>
      <c r="M971" s="1385">
        <v>24</v>
      </c>
      <c r="N971" s="1386">
        <f>8000+11820</f>
        <v>19820</v>
      </c>
      <c r="O971" s="1396">
        <v>12</v>
      </c>
      <c r="P971" s="1387">
        <v>13260</v>
      </c>
      <c r="Q971" s="1385">
        <v>3</v>
      </c>
      <c r="R971" s="1387">
        <v>840</v>
      </c>
      <c r="S971" s="1385"/>
      <c r="T971" s="1401"/>
      <c r="U971" s="1385"/>
      <c r="V971" s="1385"/>
      <c r="W971" s="1385"/>
      <c r="X971" s="1385"/>
      <c r="Y971" s="1389">
        <f t="shared" si="169"/>
        <v>3</v>
      </c>
      <c r="Z971" s="1387">
        <f t="shared" si="169"/>
        <v>840</v>
      </c>
      <c r="AA971" s="1385">
        <f t="shared" si="170"/>
        <v>27</v>
      </c>
      <c r="AB971" s="1376">
        <f t="shared" si="170"/>
        <v>20660</v>
      </c>
      <c r="AC971" s="1377">
        <f t="shared" si="171"/>
        <v>37.5</v>
      </c>
      <c r="AD971" s="1378">
        <f t="shared" si="172"/>
        <v>0.34433333333333332</v>
      </c>
      <c r="AE971" s="1379" t="s">
        <v>2058</v>
      </c>
    </row>
    <row r="972" spans="1:31" s="1383" customFormat="1" ht="51">
      <c r="A972" s="1389"/>
      <c r="B972" s="1390"/>
      <c r="C972" s="1381" t="s">
        <v>197</v>
      </c>
      <c r="D972" s="1381">
        <v>1</v>
      </c>
      <c r="E972" s="1381" t="s">
        <v>65</v>
      </c>
      <c r="F972" s="1381">
        <v>11</v>
      </c>
      <c r="G972" s="1381">
        <v>2</v>
      </c>
      <c r="H972" s="1382">
        <v>17</v>
      </c>
      <c r="I972" s="1385" t="s">
        <v>157</v>
      </c>
      <c r="J972" s="1385" t="s">
        <v>2164</v>
      </c>
      <c r="K972" s="233">
        <f t="shared" si="173"/>
        <v>72</v>
      </c>
      <c r="L972" s="1386">
        <v>230000</v>
      </c>
      <c r="M972" s="1385">
        <v>24</v>
      </c>
      <c r="N972" s="1386">
        <f>43642.5+45182.5</f>
        <v>88825</v>
      </c>
      <c r="O972" s="1396">
        <v>12</v>
      </c>
      <c r="P972" s="1387">
        <v>50655</v>
      </c>
      <c r="Q972" s="1385">
        <v>3</v>
      </c>
      <c r="R972" s="1387">
        <v>4345</v>
      </c>
      <c r="S972" s="1385"/>
      <c r="T972" s="1401"/>
      <c r="U972" s="1385"/>
      <c r="V972" s="1385"/>
      <c r="W972" s="1385"/>
      <c r="X972" s="1385"/>
      <c r="Y972" s="1389">
        <f t="shared" si="169"/>
        <v>3</v>
      </c>
      <c r="Z972" s="1387">
        <f t="shared" si="169"/>
        <v>4345</v>
      </c>
      <c r="AA972" s="1385">
        <f t="shared" si="170"/>
        <v>27</v>
      </c>
      <c r="AB972" s="1376">
        <f t="shared" si="170"/>
        <v>93170</v>
      </c>
      <c r="AC972" s="1377">
        <f t="shared" si="171"/>
        <v>37.5</v>
      </c>
      <c r="AD972" s="1378">
        <f t="shared" si="172"/>
        <v>0.40508695652173915</v>
      </c>
      <c r="AE972" s="1379" t="s">
        <v>2058</v>
      </c>
    </row>
    <row r="973" spans="1:31" s="1383" customFormat="1" ht="51">
      <c r="A973" s="1389"/>
      <c r="B973" s="1390"/>
      <c r="C973" s="1381" t="s">
        <v>197</v>
      </c>
      <c r="D973" s="1381">
        <v>1</v>
      </c>
      <c r="E973" s="1381" t="s">
        <v>65</v>
      </c>
      <c r="F973" s="1381">
        <v>11</v>
      </c>
      <c r="G973" s="1381">
        <v>2</v>
      </c>
      <c r="H973" s="1382">
        <v>18</v>
      </c>
      <c r="I973" s="1385" t="s">
        <v>628</v>
      </c>
      <c r="J973" s="1385" t="s">
        <v>2165</v>
      </c>
      <c r="K973" s="233">
        <f t="shared" si="173"/>
        <v>72</v>
      </c>
      <c r="L973" s="1386">
        <v>750000</v>
      </c>
      <c r="M973" s="1385">
        <v>24</v>
      </c>
      <c r="N973" s="1386">
        <f>142347.038+144200.529</f>
        <v>286547.56700000004</v>
      </c>
      <c r="O973" s="1396">
        <v>12</v>
      </c>
      <c r="P973" s="1387">
        <v>130300</v>
      </c>
      <c r="Q973" s="1385">
        <v>3</v>
      </c>
      <c r="R973" s="1387">
        <v>31448.45</v>
      </c>
      <c r="S973" s="1385"/>
      <c r="T973" s="1401"/>
      <c r="U973" s="1385"/>
      <c r="V973" s="1385"/>
      <c r="W973" s="1385"/>
      <c r="X973" s="1385"/>
      <c r="Y973" s="1389">
        <f t="shared" si="169"/>
        <v>3</v>
      </c>
      <c r="Z973" s="1387">
        <f t="shared" si="169"/>
        <v>31448.45</v>
      </c>
      <c r="AA973" s="1385">
        <f t="shared" si="170"/>
        <v>27</v>
      </c>
      <c r="AB973" s="1376">
        <f t="shared" si="170"/>
        <v>317996.01700000005</v>
      </c>
      <c r="AC973" s="1377">
        <f t="shared" si="171"/>
        <v>37.5</v>
      </c>
      <c r="AD973" s="1378">
        <f t="shared" si="172"/>
        <v>0.4239946893333334</v>
      </c>
      <c r="AE973" s="1379" t="s">
        <v>2058</v>
      </c>
    </row>
    <row r="974" spans="1:31" s="1383" customFormat="1" ht="51">
      <c r="A974" s="1389"/>
      <c r="B974" s="1390"/>
      <c r="C974" s="1381" t="s">
        <v>197</v>
      </c>
      <c r="D974" s="1381">
        <v>1</v>
      </c>
      <c r="E974" s="1381" t="s">
        <v>65</v>
      </c>
      <c r="F974" s="1381">
        <v>11</v>
      </c>
      <c r="G974" s="1381">
        <v>2</v>
      </c>
      <c r="H974" s="1382">
        <v>20</v>
      </c>
      <c r="I974" s="1385" t="s">
        <v>630</v>
      </c>
      <c r="J974" s="1385" t="s">
        <v>2166</v>
      </c>
      <c r="K974" s="233">
        <f t="shared" si="173"/>
        <v>72</v>
      </c>
      <c r="L974" s="1386">
        <v>400000</v>
      </c>
      <c r="M974" s="1385">
        <v>24</v>
      </c>
      <c r="N974" s="1386">
        <f>131050+71015</f>
        <v>202065</v>
      </c>
      <c r="O974" s="1396">
        <v>12</v>
      </c>
      <c r="P974" s="1387">
        <v>70350</v>
      </c>
      <c r="Q974" s="1385">
        <v>3</v>
      </c>
      <c r="R974" s="1387">
        <v>17415</v>
      </c>
      <c r="S974" s="1385"/>
      <c r="T974" s="1401"/>
      <c r="U974" s="1385"/>
      <c r="V974" s="1385"/>
      <c r="W974" s="1385"/>
      <c r="X974" s="1385"/>
      <c r="Y974" s="1389">
        <f t="shared" si="169"/>
        <v>3</v>
      </c>
      <c r="Z974" s="1387">
        <f t="shared" si="169"/>
        <v>17415</v>
      </c>
      <c r="AA974" s="1385">
        <f t="shared" si="170"/>
        <v>27</v>
      </c>
      <c r="AB974" s="1376">
        <f t="shared" si="170"/>
        <v>219480</v>
      </c>
      <c r="AC974" s="1377">
        <f t="shared" si="171"/>
        <v>37.5</v>
      </c>
      <c r="AD974" s="1378">
        <f t="shared" si="172"/>
        <v>0.54869999999999997</v>
      </c>
      <c r="AE974" s="1379" t="s">
        <v>2058</v>
      </c>
    </row>
    <row r="975" spans="1:31" s="1383" customFormat="1" ht="38.25">
      <c r="A975" s="1389"/>
      <c r="B975" s="1390"/>
      <c r="C975" s="1381" t="s">
        <v>197</v>
      </c>
      <c r="D975" s="1381">
        <v>1</v>
      </c>
      <c r="E975" s="1381" t="s">
        <v>65</v>
      </c>
      <c r="F975" s="1381">
        <v>11</v>
      </c>
      <c r="G975" s="1381">
        <v>2</v>
      </c>
      <c r="H975" s="1382">
        <v>22</v>
      </c>
      <c r="I975" s="233" t="s">
        <v>2167</v>
      </c>
      <c r="J975" s="1385" t="s">
        <v>2168</v>
      </c>
      <c r="K975" s="233">
        <v>60</v>
      </c>
      <c r="L975" s="1386">
        <v>150000</v>
      </c>
      <c r="M975" s="1385"/>
      <c r="N975" s="1386">
        <f>0+0</f>
        <v>0</v>
      </c>
      <c r="O975" s="1396">
        <v>10</v>
      </c>
      <c r="P975" s="1387">
        <v>40495.9</v>
      </c>
      <c r="Q975" s="1385">
        <v>2</v>
      </c>
      <c r="R975" s="1387">
        <v>0</v>
      </c>
      <c r="S975" s="1385"/>
      <c r="T975" s="1401"/>
      <c r="U975" s="1385"/>
      <c r="V975" s="1385"/>
      <c r="W975" s="1385"/>
      <c r="X975" s="1385"/>
      <c r="Y975" s="1389">
        <f t="shared" si="169"/>
        <v>2</v>
      </c>
      <c r="Z975" s="1387">
        <f t="shared" si="169"/>
        <v>0</v>
      </c>
      <c r="AA975" s="1385">
        <f t="shared" si="170"/>
        <v>2</v>
      </c>
      <c r="AB975" s="1376">
        <f t="shared" si="170"/>
        <v>0</v>
      </c>
      <c r="AC975" s="1377">
        <f t="shared" si="171"/>
        <v>3.3333333333333335</v>
      </c>
      <c r="AD975" s="1378">
        <f t="shared" si="172"/>
        <v>0</v>
      </c>
      <c r="AE975" s="1379" t="s">
        <v>2058</v>
      </c>
    </row>
    <row r="976" spans="1:31" s="2109" customFormat="1" ht="63.75">
      <c r="A976" s="616">
        <v>12</v>
      </c>
      <c r="B976" s="2110">
        <v>2938147000</v>
      </c>
      <c r="C976" s="623">
        <v>1</v>
      </c>
      <c r="D976" s="623">
        <v>1</v>
      </c>
      <c r="E976" s="623" t="s">
        <v>65</v>
      </c>
      <c r="F976" s="623">
        <v>11</v>
      </c>
      <c r="G976" s="623" t="s">
        <v>65</v>
      </c>
      <c r="H976" s="627"/>
      <c r="I976" s="383" t="s">
        <v>2169</v>
      </c>
      <c r="J976" s="1906" t="s">
        <v>453</v>
      </c>
      <c r="K976" s="344">
        <v>100</v>
      </c>
      <c r="L976" s="2110">
        <f>SUM(L977:L980)</f>
        <v>2938147</v>
      </c>
      <c r="M976" s="383">
        <v>33</v>
      </c>
      <c r="N976" s="2110">
        <f>SUM(N977:N980)</f>
        <v>707151.02600000007</v>
      </c>
      <c r="O976" s="383">
        <v>16</v>
      </c>
      <c r="P976" s="2110">
        <f>SUM(P977:P980)</f>
        <v>362812.5</v>
      </c>
      <c r="Q976" s="383">
        <v>6</v>
      </c>
      <c r="R976" s="628">
        <f>SUM(R977:R980)</f>
        <v>27783</v>
      </c>
      <c r="S976" s="383"/>
      <c r="T976" s="383"/>
      <c r="U976" s="383"/>
      <c r="V976" s="383"/>
      <c r="W976" s="383"/>
      <c r="X976" s="383"/>
      <c r="Y976" s="385">
        <f t="shared" si="169"/>
        <v>6</v>
      </c>
      <c r="Z976" s="628">
        <f t="shared" si="169"/>
        <v>27783</v>
      </c>
      <c r="AA976" s="2104">
        <f t="shared" si="170"/>
        <v>39</v>
      </c>
      <c r="AB976" s="2105">
        <f t="shared" si="170"/>
        <v>734934.02600000007</v>
      </c>
      <c r="AC976" s="2106">
        <f t="shared" si="171"/>
        <v>39</v>
      </c>
      <c r="AD976" s="2107">
        <f t="shared" si="172"/>
        <v>0.25013521311220988</v>
      </c>
      <c r="AE976" s="2108" t="s">
        <v>2058</v>
      </c>
    </row>
    <row r="977" spans="1:31" s="1383" customFormat="1" ht="38.25">
      <c r="A977" s="1389"/>
      <c r="B977" s="1399"/>
      <c r="C977" s="1381">
        <v>1</v>
      </c>
      <c r="D977" s="1381">
        <v>1</v>
      </c>
      <c r="E977" s="1381" t="s">
        <v>65</v>
      </c>
      <c r="F977" s="1381">
        <v>11</v>
      </c>
      <c r="G977" s="1381" t="s">
        <v>65</v>
      </c>
      <c r="H977" s="1382" t="s">
        <v>201</v>
      </c>
      <c r="I977" s="1385" t="s">
        <v>2170</v>
      </c>
      <c r="J977" s="1385" t="s">
        <v>2171</v>
      </c>
      <c r="K977" s="233">
        <v>80</v>
      </c>
      <c r="L977" s="1386">
        <v>1305942</v>
      </c>
      <c r="M977" s="1385">
        <v>20</v>
      </c>
      <c r="N977" s="1386">
        <f>4325+245883.5</f>
        <v>250208.5</v>
      </c>
      <c r="O977" s="1396">
        <v>29</v>
      </c>
      <c r="P977" s="1387">
        <v>154470</v>
      </c>
      <c r="Q977" s="1385"/>
      <c r="R977" s="1387">
        <v>0</v>
      </c>
      <c r="S977" s="1385"/>
      <c r="T977" s="1401"/>
      <c r="U977" s="1385"/>
      <c r="V977" s="1385"/>
      <c r="W977" s="1385"/>
      <c r="X977" s="1385"/>
      <c r="Y977" s="1389">
        <f t="shared" si="169"/>
        <v>0</v>
      </c>
      <c r="Z977" s="1387">
        <f t="shared" si="169"/>
        <v>0</v>
      </c>
      <c r="AA977" s="1385">
        <f t="shared" si="170"/>
        <v>20</v>
      </c>
      <c r="AB977" s="1376">
        <f t="shared" si="170"/>
        <v>250208.5</v>
      </c>
      <c r="AC977" s="1377">
        <f t="shared" si="171"/>
        <v>25</v>
      </c>
      <c r="AD977" s="1378">
        <f t="shared" si="172"/>
        <v>0.19159235249344916</v>
      </c>
      <c r="AE977" s="1379" t="s">
        <v>2058</v>
      </c>
    </row>
    <row r="978" spans="1:31" s="1383" customFormat="1" ht="51">
      <c r="A978" s="1389"/>
      <c r="B978" s="1399"/>
      <c r="C978" s="1381">
        <v>1</v>
      </c>
      <c r="D978" s="1381">
        <v>1</v>
      </c>
      <c r="E978" s="1381" t="s">
        <v>65</v>
      </c>
      <c r="F978" s="1381">
        <v>11</v>
      </c>
      <c r="G978" s="1381" t="s">
        <v>65</v>
      </c>
      <c r="H978" s="1382">
        <v>22</v>
      </c>
      <c r="I978" s="1385" t="s">
        <v>1566</v>
      </c>
      <c r="J978" s="1385" t="s">
        <v>2172</v>
      </c>
      <c r="K978" s="233">
        <v>72</v>
      </c>
      <c r="L978" s="1386">
        <v>380000</v>
      </c>
      <c r="M978" s="1385">
        <v>24</v>
      </c>
      <c r="N978" s="1386">
        <f>68205+67095.376</f>
        <v>135300.37599999999</v>
      </c>
      <c r="O978" s="1396">
        <v>12</v>
      </c>
      <c r="P978" s="1387">
        <v>30000</v>
      </c>
      <c r="Q978" s="1385">
        <v>3</v>
      </c>
      <c r="R978" s="1387">
        <v>0</v>
      </c>
      <c r="S978" s="1385"/>
      <c r="T978" s="1401"/>
      <c r="U978" s="1385"/>
      <c r="V978" s="1385"/>
      <c r="W978" s="1385"/>
      <c r="X978" s="1385"/>
      <c r="Y978" s="1389">
        <f t="shared" si="169"/>
        <v>3</v>
      </c>
      <c r="Z978" s="1387">
        <f t="shared" si="169"/>
        <v>0</v>
      </c>
      <c r="AA978" s="1385">
        <f t="shared" si="170"/>
        <v>27</v>
      </c>
      <c r="AB978" s="1376">
        <f t="shared" si="170"/>
        <v>135300.37599999999</v>
      </c>
      <c r="AC978" s="1377">
        <f t="shared" si="171"/>
        <v>37.5</v>
      </c>
      <c r="AD978" s="1378">
        <f t="shared" si="172"/>
        <v>0.35605362105263155</v>
      </c>
      <c r="AE978" s="1379" t="s">
        <v>2058</v>
      </c>
    </row>
    <row r="979" spans="1:31" s="1383" customFormat="1" ht="63.75">
      <c r="A979" s="1389"/>
      <c r="B979" s="1390"/>
      <c r="C979" s="1381">
        <v>1</v>
      </c>
      <c r="D979" s="1381">
        <v>1</v>
      </c>
      <c r="E979" s="1381" t="s">
        <v>65</v>
      </c>
      <c r="F979" s="1381">
        <v>11</v>
      </c>
      <c r="G979" s="1381" t="s">
        <v>65</v>
      </c>
      <c r="H979" s="1382">
        <v>24</v>
      </c>
      <c r="I979" s="1385" t="s">
        <v>2173</v>
      </c>
      <c r="J979" s="1385" t="s">
        <v>2174</v>
      </c>
      <c r="K979" s="233">
        <v>72</v>
      </c>
      <c r="L979" s="1386">
        <v>1101655</v>
      </c>
      <c r="M979" s="1385">
        <v>24</v>
      </c>
      <c r="N979" s="1386">
        <f>131666.45+163825.7</f>
        <v>295492.15000000002</v>
      </c>
      <c r="O979" s="1396">
        <v>12</v>
      </c>
      <c r="P979" s="1387">
        <v>166942.5</v>
      </c>
      <c r="Q979" s="1385">
        <v>3</v>
      </c>
      <c r="R979" s="1387">
        <v>27083</v>
      </c>
      <c r="S979" s="1385"/>
      <c r="T979" s="1401"/>
      <c r="U979" s="1385"/>
      <c r="V979" s="1385"/>
      <c r="W979" s="1385"/>
      <c r="X979" s="1385"/>
      <c r="Y979" s="1389">
        <f t="shared" si="169"/>
        <v>3</v>
      </c>
      <c r="Z979" s="1387">
        <f t="shared" si="169"/>
        <v>27083</v>
      </c>
      <c r="AA979" s="1385">
        <f t="shared" si="170"/>
        <v>27</v>
      </c>
      <c r="AB979" s="1376">
        <f t="shared" si="170"/>
        <v>322575.15000000002</v>
      </c>
      <c r="AC979" s="1377">
        <f t="shared" si="171"/>
        <v>37.5</v>
      </c>
      <c r="AD979" s="1378">
        <f t="shared" si="172"/>
        <v>0.29280959102441328</v>
      </c>
      <c r="AE979" s="1379" t="s">
        <v>2058</v>
      </c>
    </row>
    <row r="980" spans="1:31" s="1383" customFormat="1" ht="63.75">
      <c r="A980" s="1389"/>
      <c r="B980" s="1390"/>
      <c r="C980" s="1381">
        <v>1</v>
      </c>
      <c r="D980" s="1381">
        <v>1</v>
      </c>
      <c r="E980" s="1381" t="s">
        <v>65</v>
      </c>
      <c r="F980" s="1381">
        <v>11</v>
      </c>
      <c r="G980" s="1381" t="s">
        <v>65</v>
      </c>
      <c r="H980" s="1382">
        <v>26</v>
      </c>
      <c r="I980" s="1385" t="s">
        <v>2175</v>
      </c>
      <c r="J980" s="1385" t="s">
        <v>2176</v>
      </c>
      <c r="K980" s="233">
        <v>72</v>
      </c>
      <c r="L980" s="1386">
        <v>150550</v>
      </c>
      <c r="M980" s="1385">
        <v>24</v>
      </c>
      <c r="N980" s="1386">
        <f>15050+11100</f>
        <v>26150</v>
      </c>
      <c r="O980" s="1396">
        <v>12</v>
      </c>
      <c r="P980" s="1387">
        <v>11400</v>
      </c>
      <c r="Q980" s="1385">
        <v>3</v>
      </c>
      <c r="R980" s="1387">
        <v>700</v>
      </c>
      <c r="S980" s="1385"/>
      <c r="T980" s="1401"/>
      <c r="U980" s="1385"/>
      <c r="V980" s="1385"/>
      <c r="W980" s="1385"/>
      <c r="X980" s="1385"/>
      <c r="Y980" s="1389">
        <f t="shared" si="169"/>
        <v>3</v>
      </c>
      <c r="Z980" s="1387">
        <f t="shared" si="169"/>
        <v>700</v>
      </c>
      <c r="AA980" s="1385">
        <f t="shared" si="170"/>
        <v>27</v>
      </c>
      <c r="AB980" s="1376">
        <f t="shared" si="170"/>
        <v>26850</v>
      </c>
      <c r="AC980" s="1377">
        <f t="shared" si="171"/>
        <v>37.5</v>
      </c>
      <c r="AD980" s="1378">
        <f t="shared" si="172"/>
        <v>0.17834606443042178</v>
      </c>
      <c r="AE980" s="1402"/>
    </row>
    <row r="981" spans="1:31" s="2117" customFormat="1" ht="38.25">
      <c r="A981" s="385"/>
      <c r="B981" s="2114"/>
      <c r="C981" s="368" t="s">
        <v>66</v>
      </c>
      <c r="D981" s="368" t="s">
        <v>66</v>
      </c>
      <c r="E981" s="368" t="s">
        <v>66</v>
      </c>
      <c r="F981" s="368" t="s">
        <v>66</v>
      </c>
      <c r="G981" s="368" t="s">
        <v>161</v>
      </c>
      <c r="H981" s="1900"/>
      <c r="I981" s="344" t="s">
        <v>264</v>
      </c>
      <c r="J981" s="344" t="s">
        <v>2177</v>
      </c>
      <c r="K981" s="741">
        <v>50</v>
      </c>
      <c r="L981" s="2110">
        <f>L982</f>
        <v>283139</v>
      </c>
      <c r="M981" s="384">
        <v>18</v>
      </c>
      <c r="N981" s="2115">
        <f>SUM(N982)</f>
        <v>100000</v>
      </c>
      <c r="O981" s="1259"/>
      <c r="P981" s="590"/>
      <c r="Q981" s="384"/>
      <c r="R981" s="590"/>
      <c r="S981" s="384"/>
      <c r="T981" s="1205"/>
      <c r="U981" s="384"/>
      <c r="V981" s="384"/>
      <c r="W981" s="384"/>
      <c r="X981" s="384"/>
      <c r="Y981" s="385">
        <f t="shared" si="169"/>
        <v>0</v>
      </c>
      <c r="Z981" s="590">
        <f t="shared" si="169"/>
        <v>0</v>
      </c>
      <c r="AA981" s="384">
        <f t="shared" si="170"/>
        <v>18</v>
      </c>
      <c r="AB981" s="624">
        <f t="shared" si="170"/>
        <v>100000</v>
      </c>
      <c r="AC981" s="2111">
        <f t="shared" si="171"/>
        <v>36</v>
      </c>
      <c r="AD981" s="2112">
        <f t="shared" si="172"/>
        <v>0.35318341874485676</v>
      </c>
      <c r="AE981" s="2116"/>
    </row>
    <row r="982" spans="1:31" s="1383" customFormat="1" ht="38.25">
      <c r="A982" s="1389"/>
      <c r="B982" s="1390"/>
      <c r="C982" s="1381"/>
      <c r="D982" s="1381"/>
      <c r="E982" s="1381"/>
      <c r="F982" s="1381"/>
      <c r="G982" s="1381"/>
      <c r="H982" s="1382"/>
      <c r="I982" s="235" t="s">
        <v>209</v>
      </c>
      <c r="J982" s="233" t="s">
        <v>2178</v>
      </c>
      <c r="K982" s="233">
        <v>24</v>
      </c>
      <c r="L982" s="1386">
        <v>283139</v>
      </c>
      <c r="M982" s="1385">
        <v>9</v>
      </c>
      <c r="N982" s="1386">
        <v>100000</v>
      </c>
      <c r="O982" s="1396"/>
      <c r="P982" s="1387"/>
      <c r="Q982" s="1385"/>
      <c r="R982" s="1387"/>
      <c r="S982" s="1385"/>
      <c r="T982" s="1401"/>
      <c r="U982" s="1385"/>
      <c r="V982" s="1385"/>
      <c r="W982" s="1385"/>
      <c r="X982" s="1385"/>
      <c r="Y982" s="1389">
        <f t="shared" si="169"/>
        <v>0</v>
      </c>
      <c r="Z982" s="1387">
        <f t="shared" si="169"/>
        <v>0</v>
      </c>
      <c r="AA982" s="1385">
        <f t="shared" si="170"/>
        <v>9</v>
      </c>
      <c r="AB982" s="1376">
        <f t="shared" si="170"/>
        <v>100000</v>
      </c>
      <c r="AC982" s="1377">
        <f t="shared" si="171"/>
        <v>37.5</v>
      </c>
      <c r="AD982" s="1378">
        <f t="shared" si="172"/>
        <v>0.35318341874485676</v>
      </c>
      <c r="AE982" s="1402"/>
    </row>
    <row r="983" spans="1:31" s="1383" customFormat="1" ht="15">
      <c r="A983" s="4244" t="s">
        <v>89</v>
      </c>
      <c r="B983" s="4244"/>
      <c r="C983" s="4245"/>
      <c r="D983" s="4245"/>
      <c r="E983" s="4245"/>
      <c r="F983" s="4245"/>
      <c r="G983" s="4245"/>
      <c r="H983" s="4245"/>
      <c r="I983" s="4245"/>
      <c r="J983" s="4245"/>
      <c r="K983" s="4245"/>
      <c r="L983" s="4245"/>
      <c r="M983" s="4245"/>
      <c r="N983" s="4245"/>
      <c r="O983" s="4245"/>
      <c r="P983" s="4245"/>
      <c r="Q983" s="4245"/>
      <c r="R983" s="4245"/>
      <c r="S983" s="4245"/>
      <c r="T983" s="4245"/>
      <c r="U983" s="4245"/>
      <c r="V983" s="4245"/>
      <c r="W983" s="4245"/>
      <c r="X983" s="4245"/>
      <c r="Y983" s="4245"/>
      <c r="Z983" s="4245"/>
      <c r="AA983" s="1385">
        <f t="shared" si="170"/>
        <v>0</v>
      </c>
      <c r="AB983" s="1387"/>
      <c r="AC983" s="1377" t="e">
        <f>AVERAGE(AC903:AC982)</f>
        <v>#VALUE!</v>
      </c>
      <c r="AD983" s="1378">
        <f>Q985/P985</f>
        <v>0.24849704084453411</v>
      </c>
      <c r="AE983" s="1402"/>
    </row>
    <row r="984" spans="1:31" customFormat="1" ht="15">
      <c r="A984" s="4456" t="s">
        <v>90</v>
      </c>
      <c r="B984" s="4456"/>
      <c r="C984" s="4457"/>
      <c r="D984" s="4457"/>
      <c r="E984" s="4457"/>
      <c r="F984" s="4457"/>
      <c r="G984" s="4457"/>
      <c r="H984" s="4457"/>
      <c r="I984" s="4457"/>
      <c r="J984" s="4457"/>
      <c r="K984" s="4457"/>
      <c r="L984" s="4457"/>
      <c r="M984" s="4457"/>
      <c r="N984" s="4457"/>
      <c r="O984" s="4457"/>
      <c r="P984" s="4457"/>
      <c r="Q984" s="4457"/>
      <c r="R984" s="4457"/>
      <c r="S984" s="4457"/>
      <c r="T984" s="4457"/>
      <c r="U984" s="4457"/>
      <c r="V984" s="4457"/>
      <c r="W984" s="4457"/>
      <c r="X984" s="4457"/>
      <c r="Y984" s="4457"/>
      <c r="Z984" s="4457"/>
      <c r="AA984" s="4457"/>
      <c r="AB984" s="4457"/>
      <c r="AC984" s="1379" t="e">
        <f>IF(AC983&gt;=45,"ST",IF(AC983&gt;=38,"T",IF(AC983&gt;=32,"S",IF(AC983&gt;=25,"R","SR"))))</f>
        <v>#VALUE!</v>
      </c>
      <c r="AD984" s="1379" t="str">
        <f>IF(AD983&gt;=45,"ST",IF(AD983&gt;=38,"T",IF(AD983&gt;=32,"S",IF(AD983&gt;=25,"R","SR"))))</f>
        <v>SR</v>
      </c>
      <c r="AE984" s="1402"/>
    </row>
    <row r="985" spans="1:31" customFormat="1" ht="16.5">
      <c r="A985" s="4486" t="s">
        <v>100</v>
      </c>
      <c r="B985" s="4486"/>
      <c r="C985" s="4486"/>
      <c r="D985" s="4486"/>
      <c r="E985" s="4486"/>
      <c r="F985" s="4486"/>
      <c r="G985" s="4486"/>
      <c r="H985" s="4486"/>
      <c r="I985" s="4486"/>
      <c r="J985" s="4486"/>
      <c r="K985" s="4486"/>
      <c r="L985" s="4486"/>
      <c r="M985" s="4486"/>
      <c r="N985" s="4486"/>
      <c r="O985" s="4486"/>
      <c r="P985" s="1403">
        <f>P981+P976+P964+P962+P958+P955+P948+P934+P922+P920+P912+P905+P903</f>
        <v>240381439.30000001</v>
      </c>
      <c r="Q985" s="4487">
        <f>Z903+Z905+Z912+Z920+Z922+Z934+Z948+Z955+Z958+Z962+Z964+Z976</f>
        <v>59734076.340000004</v>
      </c>
      <c r="R985" s="4488"/>
      <c r="S985" s="4488"/>
      <c r="T985" s="4488"/>
      <c r="U985" s="4488"/>
      <c r="V985" s="4488"/>
      <c r="W985" s="4488"/>
      <c r="X985" s="4488"/>
      <c r="Y985" s="4488"/>
      <c r="Z985" s="4488"/>
      <c r="AA985" s="4489"/>
      <c r="AB985" s="1403"/>
      <c r="AC985" s="1404"/>
      <c r="AD985" s="1404"/>
      <c r="AE985" s="1404"/>
    </row>
    <row r="986" spans="1:31" s="69" customFormat="1" ht="40.5" customHeight="1">
      <c r="A986" s="74">
        <v>18</v>
      </c>
      <c r="B986" s="74"/>
      <c r="C986" s="74"/>
      <c r="D986" s="74"/>
      <c r="E986" s="74"/>
      <c r="F986" s="74"/>
      <c r="G986" s="74"/>
      <c r="H986" s="74"/>
      <c r="I986" s="76" t="s">
        <v>145</v>
      </c>
      <c r="J986" s="74"/>
      <c r="K986" s="74"/>
      <c r="L986" s="74"/>
      <c r="M986" s="74"/>
      <c r="N986" s="74"/>
      <c r="O986" s="74"/>
      <c r="P986" s="74"/>
      <c r="Q986" s="74"/>
      <c r="R986" s="74"/>
      <c r="S986" s="74"/>
      <c r="T986" s="74"/>
      <c r="U986" s="74"/>
      <c r="V986" s="74"/>
      <c r="W986" s="74"/>
      <c r="X986" s="74"/>
      <c r="Y986" s="564"/>
      <c r="Z986" s="74"/>
      <c r="AA986" s="74"/>
      <c r="AB986" s="74"/>
      <c r="AC986" s="74"/>
      <c r="AD986" s="74"/>
      <c r="AE986" s="74"/>
    </row>
    <row r="987" spans="1:31" s="1297" customFormat="1" ht="46.5" customHeight="1">
      <c r="A987" s="1299" t="s">
        <v>66</v>
      </c>
      <c r="B987" s="1300" t="s">
        <v>1935</v>
      </c>
      <c r="C987" s="1301" t="s">
        <v>146</v>
      </c>
      <c r="D987" s="1301" t="s">
        <v>65</v>
      </c>
      <c r="E987" s="1301">
        <v>12</v>
      </c>
      <c r="F987" s="1302" t="s">
        <v>1936</v>
      </c>
      <c r="G987" s="1302"/>
      <c r="H987" s="1302"/>
      <c r="I987" s="1303" t="s">
        <v>520</v>
      </c>
      <c r="J987" s="1300" t="s">
        <v>1937</v>
      </c>
      <c r="K987" s="1304">
        <v>0.9</v>
      </c>
      <c r="L987" s="1305">
        <f>SUM(L988:L999)</f>
        <v>1036253689</v>
      </c>
      <c r="M987" s="1306">
        <v>0.9607</v>
      </c>
      <c r="N987" s="1305">
        <f>SUM(N988:N1000)</f>
        <v>691767385</v>
      </c>
      <c r="O987" s="1306">
        <v>0.26290000000000002</v>
      </c>
      <c r="P987" s="1305">
        <f>SUM(P988:P1001)</f>
        <v>550131434</v>
      </c>
      <c r="Q987" s="1307">
        <f>+R987/P987*100</f>
        <v>24.285607173648614</v>
      </c>
      <c r="R987" s="1305">
        <f>SUM(R988:R1000)</f>
        <v>133602759</v>
      </c>
      <c r="S987" s="1308"/>
      <c r="T987" s="1305"/>
      <c r="U987" s="1308"/>
      <c r="V987" s="1305"/>
      <c r="W987" s="1300"/>
      <c r="X987" s="1300"/>
      <c r="Y987" s="1309">
        <f>+Q987</f>
        <v>24.285607173648614</v>
      </c>
      <c r="Z987" s="1305">
        <f>+R987</f>
        <v>133602759</v>
      </c>
      <c r="AA987" s="1310">
        <f t="shared" ref="AA987:AB1038" si="174">M987+Y987</f>
        <v>25.246307173648614</v>
      </c>
      <c r="AB987" s="1311">
        <f>N987+Z987</f>
        <v>825370144</v>
      </c>
      <c r="AC987" s="1312">
        <f>+Y987</f>
        <v>24.285607173648614</v>
      </c>
      <c r="AD987" s="1313">
        <f>(AB987/L987)*100%</f>
        <v>0.79649428779982856</v>
      </c>
      <c r="AE987" s="1314" t="s">
        <v>1938</v>
      </c>
    </row>
    <row r="988" spans="1:31" s="1298" customFormat="1" ht="38.25" customHeight="1">
      <c r="A988" s="1314"/>
      <c r="B988" s="1314"/>
      <c r="C988" s="1301" t="s">
        <v>146</v>
      </c>
      <c r="D988" s="1301" t="s">
        <v>65</v>
      </c>
      <c r="E988" s="1301">
        <v>12</v>
      </c>
      <c r="F988" s="1302" t="s">
        <v>1936</v>
      </c>
      <c r="G988" s="1302"/>
      <c r="H988" s="1315" t="s">
        <v>65</v>
      </c>
      <c r="I988" s="1316" t="s">
        <v>147</v>
      </c>
      <c r="J988" s="1317" t="s">
        <v>1939</v>
      </c>
      <c r="K988" s="1318">
        <v>1</v>
      </c>
      <c r="L988" s="1319">
        <v>102021120</v>
      </c>
      <c r="M988" s="1320" t="s">
        <v>1940</v>
      </c>
      <c r="N988" s="1321">
        <v>46344612</v>
      </c>
      <c r="O988" s="1320" t="s">
        <v>1941</v>
      </c>
      <c r="P988" s="1321">
        <v>42000000</v>
      </c>
      <c r="Q988" s="1307">
        <f>+R988/P988*100</f>
        <v>11.367997619047619</v>
      </c>
      <c r="R988" s="1319">
        <v>4774559</v>
      </c>
      <c r="S988" s="1308"/>
      <c r="T988" s="1319"/>
      <c r="U988" s="1308"/>
      <c r="V988" s="1322"/>
      <c r="W988" s="1314"/>
      <c r="X988" s="1314"/>
      <c r="Y988" s="1309">
        <f t="shared" ref="Y988:Z1038" si="175">+Q988</f>
        <v>11.367997619047619</v>
      </c>
      <c r="Z988" s="1305">
        <f t="shared" si="175"/>
        <v>4774559</v>
      </c>
      <c r="AA988" s="1310">
        <f t="shared" si="174"/>
        <v>12.190397619047619</v>
      </c>
      <c r="AB988" s="1311">
        <f t="shared" si="174"/>
        <v>51119171</v>
      </c>
      <c r="AC988" s="1312">
        <f t="shared" ref="AC988:AC1042" si="176">+Y988</f>
        <v>11.367997619047619</v>
      </c>
      <c r="AD988" s="1313">
        <f>(AB988/L988)*100%</f>
        <v>0.50106459329205566</v>
      </c>
      <c r="AE988" s="1314" t="s">
        <v>1938</v>
      </c>
    </row>
    <row r="989" spans="1:31" s="1298" customFormat="1" ht="42" customHeight="1">
      <c r="A989" s="1314"/>
      <c r="B989" s="1314"/>
      <c r="C989" s="1301" t="s">
        <v>146</v>
      </c>
      <c r="D989" s="1301" t="s">
        <v>65</v>
      </c>
      <c r="E989" s="1301">
        <v>12</v>
      </c>
      <c r="F989" s="1302" t="s">
        <v>1936</v>
      </c>
      <c r="G989" s="1302"/>
      <c r="H989" s="1323" t="s">
        <v>1942</v>
      </c>
      <c r="I989" s="1324" t="s">
        <v>148</v>
      </c>
      <c r="J989" s="1325" t="s">
        <v>1943</v>
      </c>
      <c r="K989" s="1318">
        <v>1</v>
      </c>
      <c r="L989" s="1319">
        <v>120056200</v>
      </c>
      <c r="M989" s="1310">
        <v>0.88439999999999996</v>
      </c>
      <c r="N989" s="1319">
        <v>64030000</v>
      </c>
      <c r="O989" s="1310">
        <v>0.13719999999999999</v>
      </c>
      <c r="P989" s="1319">
        <v>67800000</v>
      </c>
      <c r="Q989" s="1307">
        <f t="shared" ref="Q989:Q1038" si="177">+R989/P989*100</f>
        <v>16.592920353982301</v>
      </c>
      <c r="R989" s="1319">
        <v>11250000</v>
      </c>
      <c r="S989" s="1308"/>
      <c r="T989" s="1319"/>
      <c r="U989" s="1308"/>
      <c r="V989" s="1322"/>
      <c r="W989" s="1314"/>
      <c r="X989" s="1314"/>
      <c r="Y989" s="1309">
        <f t="shared" si="175"/>
        <v>16.592920353982301</v>
      </c>
      <c r="Z989" s="1305">
        <f t="shared" si="175"/>
        <v>11250000</v>
      </c>
      <c r="AA989" s="1310">
        <f t="shared" si="174"/>
        <v>17.4773203539823</v>
      </c>
      <c r="AB989" s="1311">
        <f t="shared" si="174"/>
        <v>75280000</v>
      </c>
      <c r="AC989" s="1312">
        <f t="shared" si="176"/>
        <v>16.592920353982301</v>
      </c>
      <c r="AD989" s="1313">
        <f t="shared" ref="AD989:AD1038" si="178">(AB989/L989)*100%</f>
        <v>0.62703966975466485</v>
      </c>
      <c r="AE989" s="1314" t="s">
        <v>1938</v>
      </c>
    </row>
    <row r="990" spans="1:31" s="1298" customFormat="1" ht="42" customHeight="1">
      <c r="A990" s="1314"/>
      <c r="B990" s="1314"/>
      <c r="C990" s="1301" t="s">
        <v>146</v>
      </c>
      <c r="D990" s="1301" t="s">
        <v>65</v>
      </c>
      <c r="E990" s="1301">
        <v>12</v>
      </c>
      <c r="F990" s="1302" t="s">
        <v>1936</v>
      </c>
      <c r="G990" s="1302"/>
      <c r="H990" s="1323" t="s">
        <v>1944</v>
      </c>
      <c r="I990" s="1326" t="s">
        <v>149</v>
      </c>
      <c r="J990" s="1325" t="s">
        <v>1945</v>
      </c>
      <c r="K990" s="1318">
        <v>1</v>
      </c>
      <c r="L990" s="1319">
        <v>32454950</v>
      </c>
      <c r="M990" s="1310">
        <v>0.96719999999999995</v>
      </c>
      <c r="N990" s="1319">
        <v>13163000</v>
      </c>
      <c r="O990" s="1314">
        <v>0</v>
      </c>
      <c r="P990" s="1319">
        <v>82018500</v>
      </c>
      <c r="Q990" s="1307">
        <f t="shared" si="177"/>
        <v>1.1186500606570469</v>
      </c>
      <c r="R990" s="1319">
        <v>917500</v>
      </c>
      <c r="S990" s="1308"/>
      <c r="T990" s="1319"/>
      <c r="U990" s="1308"/>
      <c r="V990" s="1322"/>
      <c r="W990" s="1314"/>
      <c r="X990" s="1314"/>
      <c r="Y990" s="1309">
        <f t="shared" si="175"/>
        <v>1.1186500606570469</v>
      </c>
      <c r="Z990" s="1305">
        <f t="shared" si="175"/>
        <v>917500</v>
      </c>
      <c r="AA990" s="1310">
        <f t="shared" si="174"/>
        <v>2.0858500606570467</v>
      </c>
      <c r="AB990" s="1311">
        <f t="shared" si="174"/>
        <v>14080500</v>
      </c>
      <c r="AC990" s="1312">
        <f t="shared" si="176"/>
        <v>1.1186500606570469</v>
      </c>
      <c r="AD990" s="1313">
        <f t="shared" si="178"/>
        <v>0.43384753327304465</v>
      </c>
      <c r="AE990" s="1314" t="s">
        <v>1938</v>
      </c>
    </row>
    <row r="991" spans="1:31" s="1298" customFormat="1" ht="44.25" customHeight="1">
      <c r="A991" s="1314"/>
      <c r="B991" s="1314"/>
      <c r="C991" s="1301" t="s">
        <v>146</v>
      </c>
      <c r="D991" s="1301" t="s">
        <v>65</v>
      </c>
      <c r="E991" s="1301">
        <v>12</v>
      </c>
      <c r="F991" s="1302" t="s">
        <v>1936</v>
      </c>
      <c r="G991" s="1302"/>
      <c r="H991" s="1323" t="s">
        <v>1946</v>
      </c>
      <c r="I991" s="1326" t="s">
        <v>1410</v>
      </c>
      <c r="J991" s="1325" t="s">
        <v>1947</v>
      </c>
      <c r="K991" s="1318">
        <v>1</v>
      </c>
      <c r="L991" s="1319">
        <v>22254320</v>
      </c>
      <c r="M991" s="1327" t="s">
        <v>1948</v>
      </c>
      <c r="N991" s="1319">
        <v>10680000</v>
      </c>
      <c r="O991" s="1310">
        <v>0.1283</v>
      </c>
      <c r="P991" s="1319">
        <v>15200000</v>
      </c>
      <c r="Q991" s="1307">
        <f t="shared" si="177"/>
        <v>12.828947368421053</v>
      </c>
      <c r="R991" s="1319">
        <v>1950000</v>
      </c>
      <c r="S991" s="1308"/>
      <c r="T991" s="1319"/>
      <c r="U991" s="1308"/>
      <c r="V991" s="1322"/>
      <c r="W991" s="1314"/>
      <c r="X991" s="1314"/>
      <c r="Y991" s="1309">
        <f t="shared" si="175"/>
        <v>12.828947368421053</v>
      </c>
      <c r="Z991" s="1305">
        <f t="shared" si="175"/>
        <v>1950000</v>
      </c>
      <c r="AA991" s="1310">
        <f t="shared" si="174"/>
        <v>13.827047368421052</v>
      </c>
      <c r="AB991" s="1311">
        <f t="shared" si="174"/>
        <v>12630000</v>
      </c>
      <c r="AC991" s="1312">
        <f t="shared" si="176"/>
        <v>12.828947368421053</v>
      </c>
      <c r="AD991" s="1313">
        <f t="shared" si="178"/>
        <v>0.56753025929347656</v>
      </c>
      <c r="AE991" s="1314" t="s">
        <v>1938</v>
      </c>
    </row>
    <row r="992" spans="1:31" s="1298" customFormat="1" ht="39.75" customHeight="1">
      <c r="A992" s="1314"/>
      <c r="B992" s="1314"/>
      <c r="C992" s="1301" t="s">
        <v>146</v>
      </c>
      <c r="D992" s="1301" t="s">
        <v>65</v>
      </c>
      <c r="E992" s="1301">
        <v>12</v>
      </c>
      <c r="F992" s="1302" t="s">
        <v>1936</v>
      </c>
      <c r="G992" s="1302"/>
      <c r="H992" s="1323" t="s">
        <v>1949</v>
      </c>
      <c r="I992" s="1326" t="s">
        <v>150</v>
      </c>
      <c r="J992" s="1325" t="s">
        <v>1950</v>
      </c>
      <c r="K992" s="1318">
        <v>1</v>
      </c>
      <c r="L992" s="1319">
        <v>67330829</v>
      </c>
      <c r="M992" s="1310">
        <v>0.98260000000000003</v>
      </c>
      <c r="N992" s="1319">
        <v>31906000</v>
      </c>
      <c r="O992" s="1310">
        <v>0.24990000000000001</v>
      </c>
      <c r="P992" s="1319">
        <v>32324500</v>
      </c>
      <c r="Q992" s="1307">
        <f t="shared" si="177"/>
        <v>25.100156228247922</v>
      </c>
      <c r="R992" s="1319">
        <v>8113500</v>
      </c>
      <c r="S992" s="1308"/>
      <c r="T992" s="1319"/>
      <c r="U992" s="1308"/>
      <c r="V992" s="1322"/>
      <c r="W992" s="1314"/>
      <c r="X992" s="1314"/>
      <c r="Y992" s="1309">
        <f t="shared" si="175"/>
        <v>25.100156228247922</v>
      </c>
      <c r="Z992" s="1305">
        <f t="shared" si="175"/>
        <v>8113500</v>
      </c>
      <c r="AA992" s="1310">
        <f t="shared" si="174"/>
        <v>26.082756228247924</v>
      </c>
      <c r="AB992" s="1311">
        <f t="shared" si="174"/>
        <v>40019500</v>
      </c>
      <c r="AC992" s="1312">
        <f t="shared" si="176"/>
        <v>25.100156228247922</v>
      </c>
      <c r="AD992" s="1313">
        <f t="shared" si="178"/>
        <v>0.59437111638711593</v>
      </c>
      <c r="AE992" s="1314" t="s">
        <v>1938</v>
      </c>
    </row>
    <row r="993" spans="1:31" s="1298" customFormat="1" ht="41.25" customHeight="1">
      <c r="A993" s="1314"/>
      <c r="B993" s="1314"/>
      <c r="C993" s="1301" t="s">
        <v>146</v>
      </c>
      <c r="D993" s="1301" t="s">
        <v>65</v>
      </c>
      <c r="E993" s="1301">
        <v>12</v>
      </c>
      <c r="F993" s="1302" t="s">
        <v>1936</v>
      </c>
      <c r="G993" s="1302"/>
      <c r="H993" s="1323" t="s">
        <v>1951</v>
      </c>
      <c r="I993" s="1326" t="s">
        <v>151</v>
      </c>
      <c r="J993" s="1325" t="s">
        <v>1952</v>
      </c>
      <c r="K993" s="1318">
        <v>1</v>
      </c>
      <c r="L993" s="1319">
        <v>66396935</v>
      </c>
      <c r="M993" s="1327" t="s">
        <v>1953</v>
      </c>
      <c r="N993" s="1319">
        <v>45274000</v>
      </c>
      <c r="O993" s="1310">
        <v>0.16389999999999999</v>
      </c>
      <c r="P993" s="1319">
        <v>24870700</v>
      </c>
      <c r="Q993" s="1307">
        <f t="shared" si="177"/>
        <v>29.884160880071732</v>
      </c>
      <c r="R993" s="1319">
        <v>7432400</v>
      </c>
      <c r="S993" s="1308"/>
      <c r="T993" s="1319"/>
      <c r="U993" s="1308"/>
      <c r="V993" s="1322"/>
      <c r="W993" s="1314"/>
      <c r="X993" s="1314"/>
      <c r="Y993" s="1309">
        <f t="shared" si="175"/>
        <v>29.884160880071732</v>
      </c>
      <c r="Z993" s="1305">
        <f t="shared" si="175"/>
        <v>7432400</v>
      </c>
      <c r="AA993" s="1310">
        <f t="shared" si="174"/>
        <v>30.882460880071733</v>
      </c>
      <c r="AB993" s="1311">
        <f t="shared" si="174"/>
        <v>52706400</v>
      </c>
      <c r="AC993" s="1312">
        <f t="shared" si="176"/>
        <v>29.884160880071732</v>
      </c>
      <c r="AD993" s="1313">
        <f t="shared" si="178"/>
        <v>0.79380772621507301</v>
      </c>
      <c r="AE993" s="1314" t="s">
        <v>1938</v>
      </c>
    </row>
    <row r="994" spans="1:31" s="1298" customFormat="1" ht="45.75" customHeight="1">
      <c r="A994" s="1314"/>
      <c r="B994" s="1314"/>
      <c r="C994" s="1301" t="s">
        <v>146</v>
      </c>
      <c r="D994" s="1301" t="s">
        <v>65</v>
      </c>
      <c r="E994" s="1301">
        <v>12</v>
      </c>
      <c r="F994" s="1302" t="s">
        <v>1936</v>
      </c>
      <c r="G994" s="1302"/>
      <c r="H994" s="1323" t="s">
        <v>1954</v>
      </c>
      <c r="I994" s="1328" t="s">
        <v>152</v>
      </c>
      <c r="J994" s="1325" t="s">
        <v>1955</v>
      </c>
      <c r="K994" s="1318">
        <v>1</v>
      </c>
      <c r="L994" s="1319">
        <v>30735562</v>
      </c>
      <c r="M994" s="1310">
        <v>0.99619999999999997</v>
      </c>
      <c r="N994" s="1319">
        <v>8061700</v>
      </c>
      <c r="O994" s="1310">
        <v>3.1800000000000002E-2</v>
      </c>
      <c r="P994" s="1319">
        <v>14831000</v>
      </c>
      <c r="Q994" s="1307">
        <f t="shared" si="177"/>
        <v>3.1838716202548718</v>
      </c>
      <c r="R994" s="1319">
        <v>472200</v>
      </c>
      <c r="S994" s="1308"/>
      <c r="T994" s="1319"/>
      <c r="U994" s="1308"/>
      <c r="V994" s="1322"/>
      <c r="W994" s="1314"/>
      <c r="X994" s="1314"/>
      <c r="Y994" s="1309">
        <f t="shared" si="175"/>
        <v>3.1838716202548718</v>
      </c>
      <c r="Z994" s="1305">
        <f t="shared" si="175"/>
        <v>472200</v>
      </c>
      <c r="AA994" s="1310">
        <f t="shared" si="174"/>
        <v>4.1800716202548713</v>
      </c>
      <c r="AB994" s="1311">
        <f t="shared" si="174"/>
        <v>8533900</v>
      </c>
      <c r="AC994" s="1312">
        <f t="shared" si="176"/>
        <v>3.1838716202548718</v>
      </c>
      <c r="AD994" s="1313">
        <f t="shared" si="178"/>
        <v>0.27765557044312383</v>
      </c>
      <c r="AE994" s="1314" t="s">
        <v>1938</v>
      </c>
    </row>
    <row r="995" spans="1:31" s="1298" customFormat="1" ht="45.75" customHeight="1">
      <c r="A995" s="1314"/>
      <c r="B995" s="1314"/>
      <c r="C995" s="1301" t="s">
        <v>146</v>
      </c>
      <c r="D995" s="1301" t="s">
        <v>65</v>
      </c>
      <c r="E995" s="1301">
        <v>12</v>
      </c>
      <c r="F995" s="1302" t="s">
        <v>1936</v>
      </c>
      <c r="G995" s="1302"/>
      <c r="H995" s="1323"/>
      <c r="I995" s="1328" t="s">
        <v>153</v>
      </c>
      <c r="J995" s="1325" t="s">
        <v>1956</v>
      </c>
      <c r="K995" s="1318">
        <v>1</v>
      </c>
      <c r="L995" s="1319">
        <v>86000000</v>
      </c>
      <c r="M995" s="1327">
        <v>0.9849</v>
      </c>
      <c r="N995" s="1319">
        <v>57940000</v>
      </c>
      <c r="O995" s="1320" t="s">
        <v>154</v>
      </c>
      <c r="P995" s="1319">
        <v>37650000</v>
      </c>
      <c r="Q995" s="1307">
        <f t="shared" si="177"/>
        <v>0</v>
      </c>
      <c r="R995" s="1319">
        <v>0</v>
      </c>
      <c r="S995" s="1308"/>
      <c r="T995" s="1319"/>
      <c r="U995" s="1308"/>
      <c r="V995" s="1322"/>
      <c r="W995" s="1314"/>
      <c r="X995" s="1314"/>
      <c r="Y995" s="1309">
        <f t="shared" si="175"/>
        <v>0</v>
      </c>
      <c r="Z995" s="1305">
        <f t="shared" si="175"/>
        <v>0</v>
      </c>
      <c r="AA995" s="1310">
        <f t="shared" si="174"/>
        <v>0.9849</v>
      </c>
      <c r="AB995" s="1311">
        <f t="shared" si="174"/>
        <v>57940000</v>
      </c>
      <c r="AC995" s="1312">
        <f t="shared" si="176"/>
        <v>0</v>
      </c>
      <c r="AD995" s="1313">
        <f t="shared" si="178"/>
        <v>0.67372093023255819</v>
      </c>
      <c r="AE995" s="1314" t="s">
        <v>1938</v>
      </c>
    </row>
    <row r="996" spans="1:31" s="1298" customFormat="1" ht="48.75" customHeight="1">
      <c r="A996" s="1314"/>
      <c r="B996" s="1314"/>
      <c r="C996" s="1301" t="s">
        <v>146</v>
      </c>
      <c r="D996" s="1301" t="s">
        <v>65</v>
      </c>
      <c r="E996" s="1301">
        <v>12</v>
      </c>
      <c r="F996" s="1302" t="s">
        <v>1936</v>
      </c>
      <c r="G996" s="1302"/>
      <c r="H996" s="1315" t="s">
        <v>155</v>
      </c>
      <c r="I996" s="1316" t="s">
        <v>156</v>
      </c>
      <c r="J996" s="1325" t="s">
        <v>1957</v>
      </c>
      <c r="K996" s="1318">
        <v>1</v>
      </c>
      <c r="L996" s="1319">
        <v>22254320</v>
      </c>
      <c r="M996" s="1327" t="s">
        <v>1958</v>
      </c>
      <c r="N996" s="1319">
        <v>18270000</v>
      </c>
      <c r="O996" s="1310">
        <v>0.47370000000000001</v>
      </c>
      <c r="P996" s="1319">
        <v>13900000</v>
      </c>
      <c r="Q996" s="1307">
        <f t="shared" si="177"/>
        <v>51.798561151079134</v>
      </c>
      <c r="R996" s="1319">
        <v>7200000</v>
      </c>
      <c r="S996" s="1308"/>
      <c r="T996" s="1319"/>
      <c r="U996" s="1308"/>
      <c r="V996" s="1322"/>
      <c r="W996" s="1314"/>
      <c r="X996" s="1314"/>
      <c r="Y996" s="1309">
        <f t="shared" si="175"/>
        <v>51.798561151079134</v>
      </c>
      <c r="Z996" s="1305">
        <f t="shared" si="175"/>
        <v>7200000</v>
      </c>
      <c r="AA996" s="1310">
        <f t="shared" si="174"/>
        <v>52.703061151079133</v>
      </c>
      <c r="AB996" s="1311">
        <f t="shared" si="174"/>
        <v>25470000</v>
      </c>
      <c r="AC996" s="1312">
        <f t="shared" si="176"/>
        <v>51.798561151079134</v>
      </c>
      <c r="AD996" s="1313">
        <f t="shared" si="178"/>
        <v>1.1444968886939704</v>
      </c>
      <c r="AE996" s="1314" t="s">
        <v>1938</v>
      </c>
    </row>
    <row r="997" spans="1:31" s="1298" customFormat="1" ht="47.25" customHeight="1">
      <c r="A997" s="1314"/>
      <c r="B997" s="1314"/>
      <c r="C997" s="1301" t="s">
        <v>146</v>
      </c>
      <c r="D997" s="1301" t="s">
        <v>65</v>
      </c>
      <c r="E997" s="1301">
        <v>12</v>
      </c>
      <c r="F997" s="1302" t="s">
        <v>1936</v>
      </c>
      <c r="G997" s="1302"/>
      <c r="H997" s="1323" t="s">
        <v>1959</v>
      </c>
      <c r="I997" s="1326" t="s">
        <v>157</v>
      </c>
      <c r="J997" s="1325" t="s">
        <v>1960</v>
      </c>
      <c r="K997" s="1318">
        <v>1</v>
      </c>
      <c r="L997" s="1319">
        <v>57575733</v>
      </c>
      <c r="M997" s="1320" t="s">
        <v>1961</v>
      </c>
      <c r="N997" s="1319">
        <v>23225000</v>
      </c>
      <c r="O997" s="1320" t="s">
        <v>1962</v>
      </c>
      <c r="P997" s="1319">
        <v>32400000</v>
      </c>
      <c r="Q997" s="1307">
        <f t="shared" si="177"/>
        <v>1.8518518518518516</v>
      </c>
      <c r="R997" s="1319">
        <v>600000</v>
      </c>
      <c r="S997" s="1308"/>
      <c r="T997" s="1319"/>
      <c r="U997" s="1308"/>
      <c r="V997" s="1322"/>
      <c r="W997" s="1314"/>
      <c r="X997" s="1314"/>
      <c r="Y997" s="1309">
        <f t="shared" si="175"/>
        <v>1.8518518518518516</v>
      </c>
      <c r="Z997" s="1305">
        <f t="shared" si="175"/>
        <v>600000</v>
      </c>
      <c r="AA997" s="1310">
        <f t="shared" si="174"/>
        <v>2.8454518518518519</v>
      </c>
      <c r="AB997" s="1311">
        <f t="shared" si="174"/>
        <v>23825000</v>
      </c>
      <c r="AC997" s="1312">
        <f t="shared" si="176"/>
        <v>1.8518518518518516</v>
      </c>
      <c r="AD997" s="1313">
        <f t="shared" si="178"/>
        <v>0.41380280820740917</v>
      </c>
      <c r="AE997" s="1314" t="s">
        <v>1938</v>
      </c>
    </row>
    <row r="998" spans="1:31" s="1298" customFormat="1" ht="52.5" customHeight="1">
      <c r="A998" s="1314"/>
      <c r="B998" s="1314"/>
      <c r="C998" s="1301" t="s">
        <v>146</v>
      </c>
      <c r="D998" s="1301" t="s">
        <v>65</v>
      </c>
      <c r="E998" s="1301">
        <v>12</v>
      </c>
      <c r="F998" s="1302" t="s">
        <v>1936</v>
      </c>
      <c r="G998" s="1302"/>
      <c r="H998" s="1323" t="s">
        <v>1963</v>
      </c>
      <c r="I998" s="1329" t="s">
        <v>158</v>
      </c>
      <c r="J998" s="1325" t="s">
        <v>1964</v>
      </c>
      <c r="K998" s="1318">
        <v>1</v>
      </c>
      <c r="L998" s="1319">
        <v>291902400</v>
      </c>
      <c r="M998" s="1327" t="s">
        <v>1965</v>
      </c>
      <c r="N998" s="1319">
        <v>264598823</v>
      </c>
      <c r="O998" s="1310">
        <v>0.55689999999999995</v>
      </c>
      <c r="P998" s="1319">
        <v>98500000</v>
      </c>
      <c r="Q998" s="1307">
        <f t="shared" si="177"/>
        <v>76.402639593908631</v>
      </c>
      <c r="R998" s="1319">
        <v>75256600</v>
      </c>
      <c r="S998" s="1308"/>
      <c r="T998" s="1319"/>
      <c r="U998" s="1308"/>
      <c r="V998" s="1322"/>
      <c r="W998" s="1314"/>
      <c r="X998" s="1314"/>
      <c r="Y998" s="1309">
        <f t="shared" si="175"/>
        <v>76.402639593908631</v>
      </c>
      <c r="Z998" s="1305">
        <f t="shared" si="175"/>
        <v>75256600</v>
      </c>
      <c r="AA998" s="1310">
        <f t="shared" si="174"/>
        <v>77.394939593908632</v>
      </c>
      <c r="AB998" s="1311">
        <f t="shared" si="174"/>
        <v>339855423</v>
      </c>
      <c r="AC998" s="1312">
        <f t="shared" si="176"/>
        <v>76.402639593908631</v>
      </c>
      <c r="AD998" s="1313">
        <f t="shared" si="178"/>
        <v>1.164277590728956</v>
      </c>
      <c r="AE998" s="1314" t="s">
        <v>1938</v>
      </c>
    </row>
    <row r="999" spans="1:31" s="1298" customFormat="1" ht="42" customHeight="1">
      <c r="A999" s="1314"/>
      <c r="B999" s="1314"/>
      <c r="C999" s="1301" t="s">
        <v>146</v>
      </c>
      <c r="D999" s="1301" t="s">
        <v>65</v>
      </c>
      <c r="E999" s="1301">
        <v>12</v>
      </c>
      <c r="F999" s="1302" t="s">
        <v>1936</v>
      </c>
      <c r="G999" s="1302"/>
      <c r="H999" s="1323" t="s">
        <v>1966</v>
      </c>
      <c r="I999" s="1329" t="s">
        <v>159</v>
      </c>
      <c r="J999" s="1325" t="s">
        <v>1967</v>
      </c>
      <c r="K999" s="1318">
        <v>1</v>
      </c>
      <c r="L999" s="1319">
        <v>137271320</v>
      </c>
      <c r="M999" s="1327" t="s">
        <v>1968</v>
      </c>
      <c r="N999" s="1319">
        <v>69274250</v>
      </c>
      <c r="O999" s="1310">
        <v>0.23619999999999999</v>
      </c>
      <c r="P999" s="1319">
        <v>54474000</v>
      </c>
      <c r="Q999" s="1307">
        <f t="shared" si="177"/>
        <v>28.703601718250908</v>
      </c>
      <c r="R999" s="1319">
        <v>15636000</v>
      </c>
      <c r="S999" s="1308"/>
      <c r="T999" s="1319"/>
      <c r="U999" s="1308"/>
      <c r="V999" s="1322"/>
      <c r="W999" s="1314"/>
      <c r="X999" s="1314"/>
      <c r="Y999" s="1309">
        <f t="shared" si="175"/>
        <v>28.703601718250908</v>
      </c>
      <c r="Z999" s="1305">
        <f t="shared" si="175"/>
        <v>15636000</v>
      </c>
      <c r="AA999" s="1310">
        <f t="shared" si="174"/>
        <v>29.652201718250907</v>
      </c>
      <c r="AB999" s="1311">
        <f t="shared" si="174"/>
        <v>84910250</v>
      </c>
      <c r="AC999" s="1312">
        <f t="shared" si="176"/>
        <v>28.703601718250908</v>
      </c>
      <c r="AD999" s="1313">
        <f t="shared" si="178"/>
        <v>0.61855783130809849</v>
      </c>
      <c r="AE999" s="1314" t="s">
        <v>1938</v>
      </c>
    </row>
    <row r="1000" spans="1:31" s="1298" customFormat="1" ht="36" customHeight="1">
      <c r="A1000" s="1314"/>
      <c r="B1000" s="1314"/>
      <c r="C1000" s="1301" t="s">
        <v>146</v>
      </c>
      <c r="D1000" s="1301" t="s">
        <v>65</v>
      </c>
      <c r="E1000" s="1301">
        <v>12</v>
      </c>
      <c r="F1000" s="1302" t="s">
        <v>1936</v>
      </c>
      <c r="G1000" s="1302"/>
      <c r="H1000" s="1323" t="s">
        <v>1969</v>
      </c>
      <c r="I1000" s="1330" t="s">
        <v>1970</v>
      </c>
      <c r="J1000" s="1325" t="s">
        <v>1971</v>
      </c>
      <c r="K1000" s="1318">
        <v>1</v>
      </c>
      <c r="L1000" s="1319">
        <v>50000000</v>
      </c>
      <c r="M1000" s="1310">
        <v>1</v>
      </c>
      <c r="N1000" s="1319">
        <v>39000000</v>
      </c>
      <c r="O1000" s="1310">
        <v>0.2051</v>
      </c>
      <c r="P1000" s="1319">
        <v>0</v>
      </c>
      <c r="Q1000" s="1307" t="e">
        <f t="shared" si="177"/>
        <v>#VALUE!</v>
      </c>
      <c r="R1000" s="1319" t="s">
        <v>154</v>
      </c>
      <c r="S1000" s="1308"/>
      <c r="T1000" s="1319"/>
      <c r="U1000" s="1308"/>
      <c r="V1000" s="1322"/>
      <c r="W1000" s="1314"/>
      <c r="X1000" s="1314"/>
      <c r="Y1000" s="1309" t="e">
        <f t="shared" si="175"/>
        <v>#VALUE!</v>
      </c>
      <c r="Z1000" s="1305" t="str">
        <f t="shared" si="175"/>
        <v>-</v>
      </c>
      <c r="AA1000" s="1310" t="e">
        <f t="shared" si="174"/>
        <v>#VALUE!</v>
      </c>
      <c r="AB1000" s="1311" t="e">
        <f t="shared" si="174"/>
        <v>#VALUE!</v>
      </c>
      <c r="AC1000" s="1312" t="e">
        <f t="shared" si="176"/>
        <v>#VALUE!</v>
      </c>
      <c r="AD1000" s="1313" t="e">
        <f t="shared" si="178"/>
        <v>#VALUE!</v>
      </c>
      <c r="AE1000" s="1314" t="s">
        <v>1938</v>
      </c>
    </row>
    <row r="1001" spans="1:31" s="1298" customFormat="1" ht="39.75" customHeight="1">
      <c r="A1001" s="1314"/>
      <c r="B1001" s="1314"/>
      <c r="C1001" s="1301" t="s">
        <v>146</v>
      </c>
      <c r="D1001" s="1301" t="s">
        <v>65</v>
      </c>
      <c r="E1001" s="1301">
        <v>12</v>
      </c>
      <c r="F1001" s="1302" t="s">
        <v>1936</v>
      </c>
      <c r="G1001" s="1302"/>
      <c r="H1001" s="1323" t="s">
        <v>1972</v>
      </c>
      <c r="I1001" s="1330" t="s">
        <v>168</v>
      </c>
      <c r="J1001" s="1325" t="s">
        <v>1973</v>
      </c>
      <c r="K1001" s="1318">
        <v>0</v>
      </c>
      <c r="L1001" s="1319">
        <v>0</v>
      </c>
      <c r="M1001" s="1310">
        <v>0</v>
      </c>
      <c r="N1001" s="1314"/>
      <c r="O1001" s="1310">
        <v>0</v>
      </c>
      <c r="P1001" s="1319">
        <v>34162734</v>
      </c>
      <c r="Q1001" s="1307" t="e">
        <f t="shared" si="177"/>
        <v>#VALUE!</v>
      </c>
      <c r="R1001" s="1319" t="s">
        <v>154</v>
      </c>
      <c r="S1001" s="1308"/>
      <c r="T1001" s="1319"/>
      <c r="U1001" s="1308"/>
      <c r="V1001" s="1322"/>
      <c r="W1001" s="1314"/>
      <c r="X1001" s="1314"/>
      <c r="Y1001" s="1309" t="e">
        <f t="shared" si="175"/>
        <v>#VALUE!</v>
      </c>
      <c r="Z1001" s="1305" t="str">
        <f t="shared" si="175"/>
        <v>-</v>
      </c>
      <c r="AA1001" s="1310" t="e">
        <f t="shared" si="174"/>
        <v>#VALUE!</v>
      </c>
      <c r="AB1001" s="1311" t="e">
        <f t="shared" si="174"/>
        <v>#VALUE!</v>
      </c>
      <c r="AC1001" s="1312" t="e">
        <f t="shared" si="176"/>
        <v>#VALUE!</v>
      </c>
      <c r="AD1001" s="1313" t="e">
        <f t="shared" si="178"/>
        <v>#VALUE!</v>
      </c>
      <c r="AE1001" s="1314" t="s">
        <v>1938</v>
      </c>
    </row>
    <row r="1002" spans="1:31" s="1298" customFormat="1" ht="22.5" customHeight="1">
      <c r="A1002" s="1314"/>
      <c r="B1002" s="1314"/>
      <c r="C1002" s="1315"/>
      <c r="D1002" s="1315"/>
      <c r="E1002" s="1315"/>
      <c r="F1002" s="1315"/>
      <c r="G1002" s="1315"/>
      <c r="H1002" s="1323"/>
      <c r="I1002" s="1331"/>
      <c r="J1002" s="1332"/>
      <c r="K1002" s="1314"/>
      <c r="L1002" s="1319"/>
      <c r="M1002" s="1314"/>
      <c r="N1002" s="1322"/>
      <c r="O1002" s="1314"/>
      <c r="P1002" s="1319"/>
      <c r="Q1002" s="1307"/>
      <c r="R1002" s="1319"/>
      <c r="S1002" s="1314"/>
      <c r="T1002" s="1314"/>
      <c r="U1002" s="1314"/>
      <c r="V1002" s="1314"/>
      <c r="W1002" s="1314"/>
      <c r="X1002" s="1314"/>
      <c r="Y1002" s="1309"/>
      <c r="Z1002" s="1305"/>
      <c r="AA1002" s="1310"/>
      <c r="AB1002" s="1311"/>
      <c r="AC1002" s="1312"/>
      <c r="AD1002" s="1313"/>
      <c r="AE1002" s="1314"/>
    </row>
    <row r="1003" spans="1:31" s="1297" customFormat="1" ht="53.25" customHeight="1">
      <c r="A1003" s="1300"/>
      <c r="B1003" s="1300" t="s">
        <v>1974</v>
      </c>
      <c r="C1003" s="1301" t="s">
        <v>146</v>
      </c>
      <c r="D1003" s="1301" t="s">
        <v>65</v>
      </c>
      <c r="E1003" s="1301" t="s">
        <v>160</v>
      </c>
      <c r="F1003" s="1301" t="s">
        <v>161</v>
      </c>
      <c r="G1003" s="1301"/>
      <c r="H1003" s="1302"/>
      <c r="I1003" s="1333" t="s">
        <v>1222</v>
      </c>
      <c r="J1003" s="1300"/>
      <c r="K1003" s="1304">
        <v>1</v>
      </c>
      <c r="L1003" s="1322">
        <f>+L1004</f>
        <v>75000000</v>
      </c>
      <c r="M1003" s="1334">
        <v>0.98740000000000006</v>
      </c>
      <c r="N1003" s="1322">
        <f>+N1004</f>
        <v>44431364</v>
      </c>
      <c r="O1003" s="1334">
        <v>0.16220000000000001</v>
      </c>
      <c r="P1003" s="1322">
        <f>+P1004</f>
        <v>0</v>
      </c>
      <c r="Q1003" s="1307" t="e">
        <f t="shared" si="177"/>
        <v>#DIV/0!</v>
      </c>
      <c r="R1003" s="1322">
        <v>0</v>
      </c>
      <c r="S1003" s="1308"/>
      <c r="T1003" s="1322"/>
      <c r="U1003" s="1308"/>
      <c r="V1003" s="1322"/>
      <c r="W1003" s="1300"/>
      <c r="X1003" s="1300"/>
      <c r="Y1003" s="1309" t="e">
        <f t="shared" si="175"/>
        <v>#DIV/0!</v>
      </c>
      <c r="Z1003" s="1305">
        <f t="shared" si="175"/>
        <v>0</v>
      </c>
      <c r="AA1003" s="1310" t="e">
        <f t="shared" si="174"/>
        <v>#DIV/0!</v>
      </c>
      <c r="AB1003" s="1311">
        <f t="shared" si="174"/>
        <v>44431364</v>
      </c>
      <c r="AC1003" s="1312" t="e">
        <f t="shared" si="176"/>
        <v>#DIV/0!</v>
      </c>
      <c r="AD1003" s="1313">
        <f t="shared" si="178"/>
        <v>0.59241818666666668</v>
      </c>
      <c r="AE1003" s="1314" t="s">
        <v>1938</v>
      </c>
    </row>
    <row r="1004" spans="1:31" s="1298" customFormat="1" ht="44.25" customHeight="1">
      <c r="A1004" s="1314"/>
      <c r="B1004" s="1314"/>
      <c r="C1004" s="1301" t="s">
        <v>146</v>
      </c>
      <c r="D1004" s="1301" t="s">
        <v>65</v>
      </c>
      <c r="E1004" s="1301">
        <v>12</v>
      </c>
      <c r="F1004" s="1301" t="s">
        <v>161</v>
      </c>
      <c r="G1004" s="1301"/>
      <c r="H1004" s="1315" t="s">
        <v>66</v>
      </c>
      <c r="I1004" s="1333" t="s">
        <v>1224</v>
      </c>
      <c r="J1004" s="1314" t="s">
        <v>1975</v>
      </c>
      <c r="K1004" s="1318">
        <v>1</v>
      </c>
      <c r="L1004" s="1319">
        <v>75000000</v>
      </c>
      <c r="M1004" s="1310">
        <v>0.98740000000000006</v>
      </c>
      <c r="N1004" s="1319">
        <v>44431364</v>
      </c>
      <c r="O1004" s="1310">
        <v>0.16220000000000001</v>
      </c>
      <c r="P1004" s="1319">
        <v>0</v>
      </c>
      <c r="Q1004" s="1307" t="e">
        <f t="shared" si="177"/>
        <v>#DIV/0!</v>
      </c>
      <c r="R1004" s="1319">
        <v>0</v>
      </c>
      <c r="S1004" s="1308"/>
      <c r="T1004" s="1314"/>
      <c r="U1004" s="1308"/>
      <c r="V1004" s="1319"/>
      <c r="W1004" s="1314"/>
      <c r="X1004" s="1314"/>
      <c r="Y1004" s="1309" t="e">
        <f t="shared" si="175"/>
        <v>#DIV/0!</v>
      </c>
      <c r="Z1004" s="1305">
        <f t="shared" si="175"/>
        <v>0</v>
      </c>
      <c r="AA1004" s="1310" t="e">
        <f t="shared" si="174"/>
        <v>#DIV/0!</v>
      </c>
      <c r="AB1004" s="1311">
        <f t="shared" si="174"/>
        <v>44431364</v>
      </c>
      <c r="AC1004" s="1312" t="e">
        <f t="shared" si="176"/>
        <v>#DIV/0!</v>
      </c>
      <c r="AD1004" s="1313">
        <f t="shared" si="178"/>
        <v>0.59241818666666668</v>
      </c>
      <c r="AE1004" s="1314" t="s">
        <v>1938</v>
      </c>
    </row>
    <row r="1005" spans="1:31" s="1298" customFormat="1" ht="14.25">
      <c r="A1005" s="1314"/>
      <c r="B1005" s="1314"/>
      <c r="C1005" s="1323"/>
      <c r="D1005" s="1323"/>
      <c r="E1005" s="1323"/>
      <c r="F1005" s="1323"/>
      <c r="G1005" s="1323"/>
      <c r="H1005" s="1323"/>
      <c r="I1005" s="1335"/>
      <c r="J1005" s="1314"/>
      <c r="K1005" s="1314"/>
      <c r="L1005" s="1319"/>
      <c r="M1005" s="1314"/>
      <c r="N1005" s="1322"/>
      <c r="O1005" s="1314"/>
      <c r="P1005" s="1319"/>
      <c r="Q1005" s="1307"/>
      <c r="R1005" s="1319"/>
      <c r="S1005" s="1314"/>
      <c r="T1005" s="1314"/>
      <c r="U1005" s="1314"/>
      <c r="V1005" s="1314"/>
      <c r="W1005" s="1314"/>
      <c r="X1005" s="1314"/>
      <c r="Y1005" s="1309"/>
      <c r="Z1005" s="1305"/>
      <c r="AA1005" s="1310"/>
      <c r="AB1005" s="1311"/>
      <c r="AC1005" s="1312"/>
      <c r="AD1005" s="1313"/>
      <c r="AE1005" s="1314"/>
    </row>
    <row r="1006" spans="1:31" s="1297" customFormat="1" ht="51.75" customHeight="1">
      <c r="A1006" s="1300"/>
      <c r="B1006" s="1300" t="s">
        <v>1976</v>
      </c>
      <c r="C1006" s="1301" t="s">
        <v>146</v>
      </c>
      <c r="D1006" s="1301" t="s">
        <v>65</v>
      </c>
      <c r="E1006" s="1301" t="s">
        <v>65</v>
      </c>
      <c r="F1006" s="1302"/>
      <c r="G1006" s="1302"/>
      <c r="H1006" s="1302"/>
      <c r="I1006" s="1336" t="s">
        <v>162</v>
      </c>
      <c r="J1006" s="1300"/>
      <c r="K1006" s="1304">
        <v>1</v>
      </c>
      <c r="L1006" s="1322">
        <f>SUM(L1007:L1010)</f>
        <v>1123008791</v>
      </c>
      <c r="M1006" s="1337" t="s">
        <v>1977</v>
      </c>
      <c r="N1006" s="1322">
        <f>SUM(N1007:N1010)</f>
        <v>353540486</v>
      </c>
      <c r="O1006" s="1337" t="s">
        <v>1978</v>
      </c>
      <c r="P1006" s="1322">
        <f>SUM(P1007:P1010)</f>
        <v>345633600</v>
      </c>
      <c r="Q1006" s="1307">
        <f t="shared" si="177"/>
        <v>1.3797848357335629</v>
      </c>
      <c r="R1006" s="1322">
        <f>SUM(R1007:R1010)</f>
        <v>4769000</v>
      </c>
      <c r="S1006" s="1308"/>
      <c r="T1006" s="1322"/>
      <c r="U1006" s="1308"/>
      <c r="V1006" s="1322"/>
      <c r="W1006" s="1300"/>
      <c r="X1006" s="1300"/>
      <c r="Y1006" s="1309">
        <f t="shared" si="175"/>
        <v>1.3797848357335629</v>
      </c>
      <c r="Z1006" s="1305">
        <f t="shared" si="175"/>
        <v>4769000</v>
      </c>
      <c r="AA1006" s="1310">
        <f t="shared" si="174"/>
        <v>2.346884835733563</v>
      </c>
      <c r="AB1006" s="1311">
        <f t="shared" si="174"/>
        <v>358309486</v>
      </c>
      <c r="AC1006" s="1312">
        <f t="shared" si="176"/>
        <v>1.3797848357335629</v>
      </c>
      <c r="AD1006" s="1313">
        <f t="shared" si="178"/>
        <v>0.31906204908773506</v>
      </c>
      <c r="AE1006" s="1314" t="s">
        <v>1938</v>
      </c>
    </row>
    <row r="1007" spans="1:31" s="1298" customFormat="1" ht="30.75" customHeight="1">
      <c r="A1007" s="1314"/>
      <c r="B1007" s="1314"/>
      <c r="C1007" s="1315" t="s">
        <v>146</v>
      </c>
      <c r="D1007" s="1315" t="s">
        <v>65</v>
      </c>
      <c r="E1007" s="1315">
        <v>12</v>
      </c>
      <c r="F1007" s="1315" t="s">
        <v>65</v>
      </c>
      <c r="G1007" s="1315"/>
      <c r="H1007" s="1315" t="s">
        <v>163</v>
      </c>
      <c r="I1007" s="1333" t="s">
        <v>1979</v>
      </c>
      <c r="J1007" s="1314" t="s">
        <v>1980</v>
      </c>
      <c r="K1007" s="1318">
        <v>1</v>
      </c>
      <c r="L1007" s="1319">
        <v>43234500</v>
      </c>
      <c r="M1007" s="1320" t="s">
        <v>1981</v>
      </c>
      <c r="N1007" s="1319">
        <v>20799000</v>
      </c>
      <c r="O1007" s="1314"/>
      <c r="P1007" s="1319">
        <v>97250000</v>
      </c>
      <c r="Q1007" s="1307">
        <f t="shared" si="177"/>
        <v>0</v>
      </c>
      <c r="R1007" s="1319"/>
      <c r="S1007" s="1308"/>
      <c r="T1007" s="1319"/>
      <c r="U1007" s="1308"/>
      <c r="V1007" s="1319"/>
      <c r="W1007" s="1314"/>
      <c r="X1007" s="1314"/>
      <c r="Y1007" s="1309">
        <f t="shared" si="175"/>
        <v>0</v>
      </c>
      <c r="Z1007" s="1305">
        <f t="shared" si="175"/>
        <v>0</v>
      </c>
      <c r="AA1007" s="1310">
        <f t="shared" si="174"/>
        <v>0.99760000000000004</v>
      </c>
      <c r="AB1007" s="1311">
        <f t="shared" si="174"/>
        <v>20799000</v>
      </c>
      <c r="AC1007" s="1312">
        <f t="shared" si="176"/>
        <v>0</v>
      </c>
      <c r="AD1007" s="1313">
        <f t="shared" si="178"/>
        <v>0.48107414217812167</v>
      </c>
      <c r="AE1007" s="1314" t="s">
        <v>1938</v>
      </c>
    </row>
    <row r="1008" spans="1:31" s="1298" customFormat="1" ht="36" customHeight="1">
      <c r="A1008" s="1314"/>
      <c r="B1008" s="1314"/>
      <c r="C1008" s="1315" t="s">
        <v>146</v>
      </c>
      <c r="D1008" s="1315" t="s">
        <v>65</v>
      </c>
      <c r="E1008" s="1315">
        <v>12</v>
      </c>
      <c r="F1008" s="1315" t="s">
        <v>65</v>
      </c>
      <c r="G1008" s="1315"/>
      <c r="H1008" s="1315"/>
      <c r="I1008" s="1333" t="s">
        <v>1982</v>
      </c>
      <c r="J1008" s="1314" t="s">
        <v>1983</v>
      </c>
      <c r="K1008" s="1318">
        <v>1</v>
      </c>
      <c r="L1008" s="1319">
        <v>500000000</v>
      </c>
      <c r="M1008" s="1310">
        <v>0.83760000000000001</v>
      </c>
      <c r="N1008" s="1319">
        <v>185210000</v>
      </c>
      <c r="O1008" s="1314"/>
      <c r="P1008" s="1319">
        <v>27750000</v>
      </c>
      <c r="Q1008" s="1307">
        <f t="shared" si="177"/>
        <v>0</v>
      </c>
      <c r="R1008" s="1319">
        <v>0</v>
      </c>
      <c r="S1008" s="1308"/>
      <c r="T1008" s="1319"/>
      <c r="U1008" s="1308"/>
      <c r="V1008" s="1319"/>
      <c r="W1008" s="1314"/>
      <c r="X1008" s="1314"/>
      <c r="Y1008" s="1309">
        <f t="shared" si="175"/>
        <v>0</v>
      </c>
      <c r="Z1008" s="1305">
        <f t="shared" si="175"/>
        <v>0</v>
      </c>
      <c r="AA1008" s="1310">
        <f t="shared" si="174"/>
        <v>0.83760000000000001</v>
      </c>
      <c r="AB1008" s="1311">
        <f t="shared" si="174"/>
        <v>185210000</v>
      </c>
      <c r="AC1008" s="1312">
        <f t="shared" si="176"/>
        <v>0</v>
      </c>
      <c r="AD1008" s="1313">
        <f t="shared" si="178"/>
        <v>0.37042000000000003</v>
      </c>
      <c r="AE1008" s="1314" t="s">
        <v>1938</v>
      </c>
    </row>
    <row r="1009" spans="1:31" s="1298" customFormat="1" ht="36" customHeight="1">
      <c r="A1009" s="1314"/>
      <c r="B1009" s="1314"/>
      <c r="C1009" s="1315" t="s">
        <v>146</v>
      </c>
      <c r="D1009" s="1315" t="s">
        <v>65</v>
      </c>
      <c r="E1009" s="1315">
        <v>12</v>
      </c>
      <c r="F1009" s="1315" t="s">
        <v>65</v>
      </c>
      <c r="G1009" s="1315"/>
      <c r="H1009" s="1315" t="s">
        <v>164</v>
      </c>
      <c r="I1009" s="1333" t="s">
        <v>1465</v>
      </c>
      <c r="J1009" s="1314" t="s">
        <v>1984</v>
      </c>
      <c r="K1009" s="1318">
        <v>1</v>
      </c>
      <c r="L1009" s="1319">
        <v>458900000</v>
      </c>
      <c r="M1009" s="1318">
        <v>1</v>
      </c>
      <c r="N1009" s="1319">
        <v>101294000</v>
      </c>
      <c r="O1009" s="1314"/>
      <c r="P1009" s="1319">
        <v>165458600</v>
      </c>
      <c r="Q1009" s="1307">
        <f t="shared" si="177"/>
        <v>0</v>
      </c>
      <c r="R1009" s="1319"/>
      <c r="S1009" s="1308"/>
      <c r="T1009" s="1319"/>
      <c r="U1009" s="1308"/>
      <c r="V1009" s="1319"/>
      <c r="W1009" s="1314"/>
      <c r="X1009" s="1314"/>
      <c r="Y1009" s="1309">
        <f t="shared" si="175"/>
        <v>0</v>
      </c>
      <c r="Z1009" s="1305">
        <f t="shared" si="175"/>
        <v>0</v>
      </c>
      <c r="AA1009" s="1310">
        <f t="shared" si="174"/>
        <v>1</v>
      </c>
      <c r="AB1009" s="1311">
        <f t="shared" si="174"/>
        <v>101294000</v>
      </c>
      <c r="AC1009" s="1312">
        <f t="shared" si="176"/>
        <v>0</v>
      </c>
      <c r="AD1009" s="1313">
        <f t="shared" si="178"/>
        <v>0.22073218566136413</v>
      </c>
      <c r="AE1009" s="1314" t="s">
        <v>1938</v>
      </c>
    </row>
    <row r="1010" spans="1:31" s="1298" customFormat="1" ht="42.75" customHeight="1">
      <c r="A1010" s="1314"/>
      <c r="B1010" s="1314"/>
      <c r="C1010" s="1315" t="s">
        <v>146</v>
      </c>
      <c r="D1010" s="1315" t="s">
        <v>65</v>
      </c>
      <c r="E1010" s="1315">
        <v>12</v>
      </c>
      <c r="F1010" s="1315" t="s">
        <v>65</v>
      </c>
      <c r="G1010" s="1315"/>
      <c r="H1010" s="1315" t="s">
        <v>165</v>
      </c>
      <c r="I1010" s="1333" t="s">
        <v>1216</v>
      </c>
      <c r="J1010" s="1314" t="s">
        <v>1985</v>
      </c>
      <c r="K1010" s="1318">
        <v>1</v>
      </c>
      <c r="L1010" s="1319">
        <v>120874291</v>
      </c>
      <c r="M1010" s="1327">
        <v>0.83760000000000001</v>
      </c>
      <c r="N1010" s="1319">
        <v>46237486</v>
      </c>
      <c r="O1010" s="1320" t="s">
        <v>1978</v>
      </c>
      <c r="P1010" s="1319">
        <v>55175000</v>
      </c>
      <c r="Q1010" s="1307">
        <f t="shared" si="177"/>
        <v>8.6434073402809251</v>
      </c>
      <c r="R1010" s="1319">
        <v>4769000</v>
      </c>
      <c r="S1010" s="1308"/>
      <c r="T1010" s="1319"/>
      <c r="U1010" s="1308"/>
      <c r="V1010" s="1319"/>
      <c r="W1010" s="1314"/>
      <c r="X1010" s="1314"/>
      <c r="Y1010" s="1309">
        <f t="shared" si="175"/>
        <v>8.6434073402809251</v>
      </c>
      <c r="Z1010" s="1305">
        <f t="shared" si="175"/>
        <v>4769000</v>
      </c>
      <c r="AA1010" s="1310">
        <f t="shared" si="174"/>
        <v>9.4810073402809252</v>
      </c>
      <c r="AB1010" s="1311">
        <f t="shared" si="174"/>
        <v>51006486</v>
      </c>
      <c r="AC1010" s="1312">
        <f t="shared" si="176"/>
        <v>8.6434073402809251</v>
      </c>
      <c r="AD1010" s="1313">
        <f t="shared" si="178"/>
        <v>0.42197960855050642</v>
      </c>
      <c r="AE1010" s="1314" t="s">
        <v>1938</v>
      </c>
    </row>
    <row r="1011" spans="1:31" s="1297" customFormat="1" ht="62.25" customHeight="1">
      <c r="A1011" s="1300"/>
      <c r="B1011" s="1300" t="s">
        <v>1986</v>
      </c>
      <c r="C1011" s="1301" t="s">
        <v>146</v>
      </c>
      <c r="D1011" s="1301" t="s">
        <v>65</v>
      </c>
      <c r="E1011" s="1301" t="s">
        <v>160</v>
      </c>
      <c r="F1011" s="1301" t="s">
        <v>155</v>
      </c>
      <c r="G1011" s="1301"/>
      <c r="H1011" s="1302"/>
      <c r="I1011" s="1338" t="s">
        <v>1987</v>
      </c>
      <c r="J1011" s="1339"/>
      <c r="K1011" s="1304">
        <v>0.9</v>
      </c>
      <c r="L1011" s="1322"/>
      <c r="M1011" s="1310">
        <v>0.99619999999999997</v>
      </c>
      <c r="N1011" s="1322">
        <f>SUM(N1012:N1013)</f>
        <v>305204727</v>
      </c>
      <c r="O1011" s="1314"/>
      <c r="P1011" s="1322">
        <f>SUM(P1012:P1013)</f>
        <v>270185500</v>
      </c>
      <c r="Q1011" s="1307">
        <f t="shared" si="177"/>
        <v>10.366286125643308</v>
      </c>
      <c r="R1011" s="1322">
        <f>SUM(R1012:R1013)</f>
        <v>28008202</v>
      </c>
      <c r="S1011" s="1308"/>
      <c r="T1011" s="1322"/>
      <c r="U1011" s="1308"/>
      <c r="V1011" s="1322"/>
      <c r="W1011" s="1300"/>
      <c r="X1011" s="1300"/>
      <c r="Y1011" s="1309">
        <f t="shared" si="175"/>
        <v>10.366286125643308</v>
      </c>
      <c r="Z1011" s="1305">
        <f t="shared" si="175"/>
        <v>28008202</v>
      </c>
      <c r="AA1011" s="1310">
        <f t="shared" si="174"/>
        <v>11.362486125643308</v>
      </c>
      <c r="AB1011" s="1311">
        <f t="shared" si="174"/>
        <v>333212929</v>
      </c>
      <c r="AC1011" s="1312">
        <f t="shared" si="176"/>
        <v>10.366286125643308</v>
      </c>
      <c r="AD1011" s="1313" t="e">
        <f t="shared" si="178"/>
        <v>#DIV/0!</v>
      </c>
      <c r="AE1011" s="1314" t="s">
        <v>1938</v>
      </c>
    </row>
    <row r="1012" spans="1:31" s="1298" customFormat="1" ht="49.5" customHeight="1">
      <c r="A1012" s="1314"/>
      <c r="B1012" s="1314"/>
      <c r="C1012" s="1315" t="s">
        <v>146</v>
      </c>
      <c r="D1012" s="1315" t="s">
        <v>65</v>
      </c>
      <c r="E1012" s="1315">
        <v>12</v>
      </c>
      <c r="F1012" s="1315" t="s">
        <v>155</v>
      </c>
      <c r="G1012" s="1315"/>
      <c r="H1012" s="1315" t="s">
        <v>146</v>
      </c>
      <c r="I1012" s="1340" t="s">
        <v>1988</v>
      </c>
      <c r="J1012" s="1314" t="s">
        <v>1989</v>
      </c>
      <c r="K1012" s="1318">
        <v>0.9</v>
      </c>
      <c r="L1012" s="1319">
        <v>806063750</v>
      </c>
      <c r="M1012" s="1320" t="s">
        <v>1990</v>
      </c>
      <c r="N1012" s="1319">
        <v>229847323</v>
      </c>
      <c r="O1012" s="1314" t="s">
        <v>1991</v>
      </c>
      <c r="P1012" s="1319">
        <v>213038100</v>
      </c>
      <c r="Q1012" s="1307">
        <f t="shared" si="177"/>
        <v>10.865287476747117</v>
      </c>
      <c r="R1012" s="1319">
        <v>23147202</v>
      </c>
      <c r="S1012" s="1308"/>
      <c r="T1012" s="1319"/>
      <c r="U1012" s="1308"/>
      <c r="V1012" s="1319"/>
      <c r="W1012" s="1314"/>
      <c r="X1012" s="1314"/>
      <c r="Y1012" s="1309">
        <f t="shared" si="175"/>
        <v>10.865287476747117</v>
      </c>
      <c r="Z1012" s="1305">
        <f t="shared" si="175"/>
        <v>23147202</v>
      </c>
      <c r="AA1012" s="1310">
        <f t="shared" si="174"/>
        <v>11.860587476747117</v>
      </c>
      <c r="AB1012" s="1311">
        <f t="shared" si="174"/>
        <v>252994525</v>
      </c>
      <c r="AC1012" s="1312">
        <f t="shared" si="176"/>
        <v>10.865287476747117</v>
      </c>
      <c r="AD1012" s="1313">
        <f t="shared" si="178"/>
        <v>0.31386416396966121</v>
      </c>
      <c r="AE1012" s="1314" t="s">
        <v>1938</v>
      </c>
    </row>
    <row r="1013" spans="1:31" s="1298" customFormat="1" ht="54" customHeight="1">
      <c r="A1013" s="1314"/>
      <c r="B1013" s="1314"/>
      <c r="C1013" s="1315" t="s">
        <v>146</v>
      </c>
      <c r="D1013" s="1315" t="s">
        <v>65</v>
      </c>
      <c r="E1013" s="1315">
        <v>12</v>
      </c>
      <c r="F1013" s="1315" t="s">
        <v>155</v>
      </c>
      <c r="G1013" s="1315"/>
      <c r="H1013" s="1315" t="s">
        <v>146</v>
      </c>
      <c r="I1013" s="1341" t="s">
        <v>1992</v>
      </c>
      <c r="J1013" s="1323" t="s">
        <v>1993</v>
      </c>
      <c r="K1013" s="1318">
        <v>0.9</v>
      </c>
      <c r="L1013" s="1319">
        <v>0</v>
      </c>
      <c r="M1013" s="1320" t="s">
        <v>1994</v>
      </c>
      <c r="N1013" s="1319">
        <v>75357404</v>
      </c>
      <c r="O1013" s="1314" t="s">
        <v>1995</v>
      </c>
      <c r="P1013" s="1319">
        <v>57147400</v>
      </c>
      <c r="Q1013" s="1307">
        <f t="shared" si="177"/>
        <v>8.5060737671355113</v>
      </c>
      <c r="R1013" s="1319">
        <v>4861000</v>
      </c>
      <c r="S1013" s="1308"/>
      <c r="T1013" s="1319"/>
      <c r="U1013" s="1308"/>
      <c r="V1013" s="1319"/>
      <c r="W1013" s="1314"/>
      <c r="X1013" s="1314"/>
      <c r="Y1013" s="1309">
        <f t="shared" si="175"/>
        <v>8.5060737671355113</v>
      </c>
      <c r="Z1013" s="1305">
        <f t="shared" si="175"/>
        <v>4861000</v>
      </c>
      <c r="AA1013" s="1310">
        <f t="shared" si="174"/>
        <v>9.5051737671355117</v>
      </c>
      <c r="AB1013" s="1311">
        <f t="shared" si="174"/>
        <v>80218404</v>
      </c>
      <c r="AC1013" s="1312">
        <f t="shared" si="176"/>
        <v>8.5060737671355113</v>
      </c>
      <c r="AD1013" s="1313" t="e">
        <f t="shared" si="178"/>
        <v>#DIV/0!</v>
      </c>
      <c r="AE1013" s="1314" t="s">
        <v>1938</v>
      </c>
    </row>
    <row r="1014" spans="1:31" s="1298" customFormat="1" ht="22.5" customHeight="1">
      <c r="A1014" s="1314"/>
      <c r="B1014" s="1314"/>
      <c r="C1014" s="1323"/>
      <c r="D1014" s="1323"/>
      <c r="E1014" s="1323"/>
      <c r="F1014" s="1323"/>
      <c r="G1014" s="1323"/>
      <c r="H1014" s="1323"/>
      <c r="I1014" s="1342"/>
      <c r="J1014" s="1343"/>
      <c r="K1014" s="1314"/>
      <c r="L1014" s="1319"/>
      <c r="M1014" s="1314"/>
      <c r="N1014" s="1322"/>
      <c r="O1014" s="1314"/>
      <c r="P1014" s="1319"/>
      <c r="Q1014" s="1307"/>
      <c r="R1014" s="1319"/>
      <c r="S1014" s="1308"/>
      <c r="T1014" s="1314"/>
      <c r="U1014" s="1308"/>
      <c r="V1014" s="1314"/>
      <c r="W1014" s="1314"/>
      <c r="X1014" s="1314"/>
      <c r="Y1014" s="1309"/>
      <c r="Z1014" s="1305"/>
      <c r="AA1014" s="1310"/>
      <c r="AB1014" s="1311"/>
      <c r="AC1014" s="1312"/>
      <c r="AD1014" s="1313"/>
      <c r="AE1014" s="1314"/>
    </row>
    <row r="1015" spans="1:31" s="1297" customFormat="1" ht="63.75" customHeight="1">
      <c r="A1015" s="1300"/>
      <c r="B1015" s="1300" t="s">
        <v>1996</v>
      </c>
      <c r="C1015" s="1301" t="s">
        <v>146</v>
      </c>
      <c r="D1015" s="1301" t="s">
        <v>65</v>
      </c>
      <c r="E1015" s="1301" t="s">
        <v>160</v>
      </c>
      <c r="F1015" s="1301" t="s">
        <v>166</v>
      </c>
      <c r="G1015" s="1301"/>
      <c r="H1015" s="1302"/>
      <c r="I1015" s="1344" t="s">
        <v>1997</v>
      </c>
      <c r="J1015" s="1345"/>
      <c r="K1015" s="1318">
        <v>0.9</v>
      </c>
      <c r="L1015" s="1322"/>
      <c r="M1015" s="1346">
        <v>0.94420000000000004</v>
      </c>
      <c r="N1015" s="1322">
        <f>SUM(N1016:N1027)</f>
        <v>305240441</v>
      </c>
      <c r="O1015" s="1346" t="s">
        <v>1998</v>
      </c>
      <c r="P1015" s="1322">
        <f>SUM(P1016:P1027)</f>
        <v>253817571</v>
      </c>
      <c r="Q1015" s="1307">
        <f t="shared" si="177"/>
        <v>14.463675566416953</v>
      </c>
      <c r="R1015" s="1322">
        <f>SUM(R1016:R1027)</f>
        <v>36711350</v>
      </c>
      <c r="S1015" s="1308"/>
      <c r="T1015" s="1322"/>
      <c r="U1015" s="1308"/>
      <c r="V1015" s="1322"/>
      <c r="W1015" s="1300"/>
      <c r="X1015" s="1300"/>
      <c r="Y1015" s="1309">
        <f t="shared" si="175"/>
        <v>14.463675566416953</v>
      </c>
      <c r="Z1015" s="1305">
        <f t="shared" si="175"/>
        <v>36711350</v>
      </c>
      <c r="AA1015" s="1310">
        <f t="shared" si="174"/>
        <v>15.407875566416953</v>
      </c>
      <c r="AB1015" s="1311">
        <f t="shared" si="174"/>
        <v>341951791</v>
      </c>
      <c r="AC1015" s="1312">
        <f t="shared" si="176"/>
        <v>14.463675566416953</v>
      </c>
      <c r="AD1015" s="1313" t="e">
        <f t="shared" si="178"/>
        <v>#DIV/0!</v>
      </c>
      <c r="AE1015" s="1314" t="s">
        <v>1938</v>
      </c>
    </row>
    <row r="1016" spans="1:31" s="1298" customFormat="1" ht="54" customHeight="1">
      <c r="A1016" s="1314"/>
      <c r="B1016" s="1314"/>
      <c r="C1016" s="1315" t="s">
        <v>146</v>
      </c>
      <c r="D1016" s="1315" t="s">
        <v>65</v>
      </c>
      <c r="E1016" s="1315">
        <v>12</v>
      </c>
      <c r="F1016" s="1315" t="s">
        <v>166</v>
      </c>
      <c r="G1016" s="1315"/>
      <c r="H1016" s="1315" t="s">
        <v>146</v>
      </c>
      <c r="I1016" s="1347" t="s">
        <v>1999</v>
      </c>
      <c r="J1016" s="1348" t="s">
        <v>2000</v>
      </c>
      <c r="K1016" s="1318">
        <v>0.9</v>
      </c>
      <c r="L1016" s="1319">
        <v>59895000</v>
      </c>
      <c r="M1016" s="1327" t="s">
        <v>2001</v>
      </c>
      <c r="N1016" s="1319">
        <v>27085500</v>
      </c>
      <c r="O1016" s="1310">
        <v>0.32819999999999999</v>
      </c>
      <c r="P1016" s="1319">
        <v>27962500</v>
      </c>
      <c r="Q1016" s="1307">
        <f t="shared" si="177"/>
        <v>16.512293249888245</v>
      </c>
      <c r="R1016" s="1319">
        <v>4617250</v>
      </c>
      <c r="S1016" s="1308"/>
      <c r="T1016" s="1319"/>
      <c r="U1016" s="1308"/>
      <c r="V1016" s="1319"/>
      <c r="W1016" s="1314"/>
      <c r="X1016" s="1314"/>
      <c r="Y1016" s="1309">
        <f t="shared" si="175"/>
        <v>16.512293249888245</v>
      </c>
      <c r="Z1016" s="1305">
        <f t="shared" si="175"/>
        <v>4617250</v>
      </c>
      <c r="AA1016" s="1310">
        <f t="shared" si="174"/>
        <v>17.501293249888246</v>
      </c>
      <c r="AB1016" s="1311">
        <f t="shared" si="174"/>
        <v>31702750</v>
      </c>
      <c r="AC1016" s="1312">
        <f t="shared" si="176"/>
        <v>16.512293249888245</v>
      </c>
      <c r="AD1016" s="1313">
        <f t="shared" si="178"/>
        <v>0.5293054512062777</v>
      </c>
      <c r="AE1016" s="1314" t="s">
        <v>1938</v>
      </c>
    </row>
    <row r="1017" spans="1:31" s="1298" customFormat="1" ht="54.75" customHeight="1">
      <c r="A1017" s="1314"/>
      <c r="B1017" s="1314"/>
      <c r="C1017" s="1315" t="s">
        <v>146</v>
      </c>
      <c r="D1017" s="1315" t="s">
        <v>65</v>
      </c>
      <c r="E1017" s="1315">
        <v>12</v>
      </c>
      <c r="F1017" s="1315" t="s">
        <v>166</v>
      </c>
      <c r="G1017" s="1315"/>
      <c r="H1017" s="1315" t="s">
        <v>146</v>
      </c>
      <c r="I1017" s="1347" t="s">
        <v>2002</v>
      </c>
      <c r="J1017" s="1348" t="s">
        <v>2003</v>
      </c>
      <c r="K1017" s="1318">
        <v>0.9</v>
      </c>
      <c r="L1017" s="1319">
        <v>122515607</v>
      </c>
      <c r="M1017" s="1320" t="s">
        <v>2004</v>
      </c>
      <c r="N1017" s="1319">
        <v>55636500</v>
      </c>
      <c r="O1017" s="1314" t="s">
        <v>2005</v>
      </c>
      <c r="P1017" s="1349">
        <v>53198000</v>
      </c>
      <c r="Q1017" s="1307">
        <f t="shared" si="177"/>
        <v>21.323545997969848</v>
      </c>
      <c r="R1017" s="1319">
        <v>11343700</v>
      </c>
      <c r="S1017" s="1308"/>
      <c r="T1017" s="1319"/>
      <c r="U1017" s="1308"/>
      <c r="V1017" s="1319"/>
      <c r="W1017" s="1314"/>
      <c r="X1017" s="1314"/>
      <c r="Y1017" s="1309">
        <f t="shared" si="175"/>
        <v>21.323545997969848</v>
      </c>
      <c r="Z1017" s="1305">
        <f t="shared" si="175"/>
        <v>11343700</v>
      </c>
      <c r="AA1017" s="1310">
        <f t="shared" si="174"/>
        <v>22.23444599796985</v>
      </c>
      <c r="AB1017" s="1311">
        <f t="shared" si="174"/>
        <v>66980200</v>
      </c>
      <c r="AC1017" s="1312">
        <f t="shared" si="176"/>
        <v>21.323545997969848</v>
      </c>
      <c r="AD1017" s="1313">
        <f t="shared" si="178"/>
        <v>0.54670749009144604</v>
      </c>
      <c r="AE1017" s="1314" t="s">
        <v>1938</v>
      </c>
    </row>
    <row r="1018" spans="1:31" s="1298" customFormat="1" ht="45.75" customHeight="1">
      <c r="A1018" s="1314"/>
      <c r="B1018" s="1314"/>
      <c r="C1018" s="1315" t="s">
        <v>146</v>
      </c>
      <c r="D1018" s="1315" t="s">
        <v>65</v>
      </c>
      <c r="E1018" s="1315">
        <v>12</v>
      </c>
      <c r="F1018" s="1315" t="s">
        <v>166</v>
      </c>
      <c r="G1018" s="1315"/>
      <c r="H1018" s="1315" t="s">
        <v>2006</v>
      </c>
      <c r="I1018" s="1350" t="s">
        <v>2007</v>
      </c>
      <c r="J1018" s="1348" t="s">
        <v>2008</v>
      </c>
      <c r="K1018" s="1318">
        <v>0.9</v>
      </c>
      <c r="L1018" s="1319">
        <v>151854637</v>
      </c>
      <c r="M1018" s="1320" t="s">
        <v>2009</v>
      </c>
      <c r="N1018" s="1319">
        <v>81332700</v>
      </c>
      <c r="O1018" s="1314"/>
      <c r="P1018" s="1319">
        <v>82796200</v>
      </c>
      <c r="Q1018" s="1307">
        <f t="shared" si="177"/>
        <v>0</v>
      </c>
      <c r="R1018" s="1319">
        <v>0</v>
      </c>
      <c r="S1018" s="1308"/>
      <c r="T1018" s="1319"/>
      <c r="U1018" s="1308"/>
      <c r="V1018" s="1319"/>
      <c r="W1018" s="1314"/>
      <c r="X1018" s="1314"/>
      <c r="Y1018" s="1309">
        <f t="shared" si="175"/>
        <v>0</v>
      </c>
      <c r="Z1018" s="1305">
        <f t="shared" si="175"/>
        <v>0</v>
      </c>
      <c r="AA1018" s="1310">
        <f t="shared" si="174"/>
        <v>0.9909</v>
      </c>
      <c r="AB1018" s="1311">
        <f t="shared" si="174"/>
        <v>81332700</v>
      </c>
      <c r="AC1018" s="1312">
        <f t="shared" si="176"/>
        <v>0</v>
      </c>
      <c r="AD1018" s="1313">
        <f t="shared" si="178"/>
        <v>0.53559576188641511</v>
      </c>
      <c r="AE1018" s="1314" t="s">
        <v>1938</v>
      </c>
    </row>
    <row r="1019" spans="1:31" s="1298" customFormat="1" ht="38.25" customHeight="1">
      <c r="A1019" s="1314"/>
      <c r="B1019" s="1314"/>
      <c r="C1019" s="1315" t="s">
        <v>146</v>
      </c>
      <c r="D1019" s="1315" t="s">
        <v>65</v>
      </c>
      <c r="E1019" s="1315">
        <v>12</v>
      </c>
      <c r="F1019" s="1315" t="s">
        <v>166</v>
      </c>
      <c r="G1019" s="1315"/>
      <c r="H1019" s="1315" t="s">
        <v>146</v>
      </c>
      <c r="I1019" s="1350" t="s">
        <v>2010</v>
      </c>
      <c r="J1019" s="1348" t="s">
        <v>2011</v>
      </c>
      <c r="K1019" s="1318">
        <v>0.85</v>
      </c>
      <c r="L1019" s="1319">
        <v>162500000</v>
      </c>
      <c r="M1019" s="1314">
        <v>0</v>
      </c>
      <c r="N1019" s="1319">
        <v>0</v>
      </c>
      <c r="O1019" s="1314"/>
      <c r="P1019" s="1319">
        <v>0</v>
      </c>
      <c r="Q1019" s="1307" t="e">
        <f t="shared" si="177"/>
        <v>#DIV/0!</v>
      </c>
      <c r="R1019" s="1319">
        <v>0</v>
      </c>
      <c r="S1019" s="1308"/>
      <c r="T1019" s="1319"/>
      <c r="U1019" s="1308"/>
      <c r="V1019" s="1319"/>
      <c r="W1019" s="1314"/>
      <c r="X1019" s="1314"/>
      <c r="Y1019" s="1309" t="e">
        <f t="shared" si="175"/>
        <v>#DIV/0!</v>
      </c>
      <c r="Z1019" s="1305">
        <f t="shared" si="175"/>
        <v>0</v>
      </c>
      <c r="AA1019" s="1310" t="e">
        <f t="shared" si="174"/>
        <v>#DIV/0!</v>
      </c>
      <c r="AB1019" s="1311">
        <f t="shared" si="174"/>
        <v>0</v>
      </c>
      <c r="AC1019" s="1312" t="e">
        <f t="shared" si="176"/>
        <v>#DIV/0!</v>
      </c>
      <c r="AD1019" s="1313">
        <f t="shared" si="178"/>
        <v>0</v>
      </c>
      <c r="AE1019" s="1314" t="s">
        <v>1938</v>
      </c>
    </row>
    <row r="1020" spans="1:31" s="1298" customFormat="1" ht="38.25" customHeight="1">
      <c r="A1020" s="1314"/>
      <c r="B1020" s="1314"/>
      <c r="C1020" s="1315" t="s">
        <v>146</v>
      </c>
      <c r="D1020" s="1315" t="s">
        <v>65</v>
      </c>
      <c r="E1020" s="1315">
        <v>12</v>
      </c>
      <c r="F1020" s="1315" t="s">
        <v>166</v>
      </c>
      <c r="G1020" s="1315"/>
      <c r="H1020" s="1315" t="s">
        <v>146</v>
      </c>
      <c r="I1020" s="1350" t="s">
        <v>2012</v>
      </c>
      <c r="J1020" s="1351" t="s">
        <v>2013</v>
      </c>
      <c r="K1020" s="1318">
        <v>0.9</v>
      </c>
      <c r="L1020" s="1319">
        <v>0</v>
      </c>
      <c r="M1020" s="1314">
        <v>0</v>
      </c>
      <c r="N1020" s="1319">
        <v>0</v>
      </c>
      <c r="O1020" s="1314"/>
      <c r="P1020" s="1319">
        <v>0</v>
      </c>
      <c r="Q1020" s="1307" t="e">
        <f t="shared" si="177"/>
        <v>#DIV/0!</v>
      </c>
      <c r="R1020" s="1319">
        <v>0</v>
      </c>
      <c r="S1020" s="1308"/>
      <c r="T1020" s="1319"/>
      <c r="U1020" s="1308"/>
      <c r="V1020" s="1319"/>
      <c r="W1020" s="1314"/>
      <c r="X1020" s="1314"/>
      <c r="Y1020" s="1309" t="e">
        <f t="shared" si="175"/>
        <v>#DIV/0!</v>
      </c>
      <c r="Z1020" s="1305">
        <f t="shared" si="175"/>
        <v>0</v>
      </c>
      <c r="AA1020" s="1310" t="e">
        <f t="shared" si="174"/>
        <v>#DIV/0!</v>
      </c>
      <c r="AB1020" s="1311">
        <f t="shared" si="174"/>
        <v>0</v>
      </c>
      <c r="AC1020" s="1312" t="e">
        <f t="shared" si="176"/>
        <v>#DIV/0!</v>
      </c>
      <c r="AD1020" s="1313" t="e">
        <f t="shared" si="178"/>
        <v>#DIV/0!</v>
      </c>
      <c r="AE1020" s="1314" t="s">
        <v>1938</v>
      </c>
    </row>
    <row r="1021" spans="1:31" s="1298" customFormat="1" ht="38.25" customHeight="1">
      <c r="A1021" s="1314"/>
      <c r="B1021" s="1314"/>
      <c r="C1021" s="1315" t="s">
        <v>146</v>
      </c>
      <c r="D1021" s="1315" t="s">
        <v>65</v>
      </c>
      <c r="E1021" s="1315">
        <v>12</v>
      </c>
      <c r="F1021" s="1315" t="s">
        <v>166</v>
      </c>
      <c r="G1021" s="1315"/>
      <c r="H1021" s="1315" t="s">
        <v>146</v>
      </c>
      <c r="I1021" s="1350" t="s">
        <v>2014</v>
      </c>
      <c r="J1021" s="1351" t="s">
        <v>2015</v>
      </c>
      <c r="K1021" s="1318">
        <v>0.85</v>
      </c>
      <c r="L1021" s="1319">
        <v>94500000</v>
      </c>
      <c r="M1021" s="1314">
        <v>0</v>
      </c>
      <c r="N1021" s="1319">
        <v>0</v>
      </c>
      <c r="O1021" s="1314"/>
      <c r="P1021" s="1319">
        <v>0</v>
      </c>
      <c r="Q1021" s="1307" t="e">
        <f t="shared" si="177"/>
        <v>#DIV/0!</v>
      </c>
      <c r="R1021" s="1319">
        <v>0</v>
      </c>
      <c r="S1021" s="1308"/>
      <c r="T1021" s="1319"/>
      <c r="U1021" s="1308"/>
      <c r="V1021" s="1319"/>
      <c r="W1021" s="1314"/>
      <c r="X1021" s="1314"/>
      <c r="Y1021" s="1309" t="e">
        <f t="shared" si="175"/>
        <v>#DIV/0!</v>
      </c>
      <c r="Z1021" s="1305">
        <f t="shared" si="175"/>
        <v>0</v>
      </c>
      <c r="AA1021" s="1310" t="e">
        <f t="shared" si="174"/>
        <v>#DIV/0!</v>
      </c>
      <c r="AB1021" s="1311">
        <f t="shared" si="174"/>
        <v>0</v>
      </c>
      <c r="AC1021" s="1312" t="e">
        <f t="shared" si="176"/>
        <v>#DIV/0!</v>
      </c>
      <c r="AD1021" s="1313">
        <f t="shared" si="178"/>
        <v>0</v>
      </c>
      <c r="AE1021" s="1314" t="s">
        <v>1938</v>
      </c>
    </row>
    <row r="1022" spans="1:31" s="1298" customFormat="1" ht="26.25" customHeight="1">
      <c r="A1022" s="1314"/>
      <c r="B1022" s="1314"/>
      <c r="C1022" s="1315" t="s">
        <v>146</v>
      </c>
      <c r="D1022" s="1315" t="s">
        <v>65</v>
      </c>
      <c r="E1022" s="1315">
        <v>12</v>
      </c>
      <c r="F1022" s="1315" t="s">
        <v>166</v>
      </c>
      <c r="G1022" s="1315"/>
      <c r="H1022" s="1315" t="s">
        <v>2006</v>
      </c>
      <c r="I1022" s="1347" t="s">
        <v>2016</v>
      </c>
      <c r="J1022" s="1351" t="s">
        <v>2017</v>
      </c>
      <c r="K1022" s="1318">
        <v>0.9</v>
      </c>
      <c r="L1022" s="1319">
        <v>90000000</v>
      </c>
      <c r="M1022" s="1318">
        <v>1</v>
      </c>
      <c r="N1022" s="1319">
        <v>29925591</v>
      </c>
      <c r="O1022" s="1314"/>
      <c r="P1022" s="1319">
        <v>49913000</v>
      </c>
      <c r="Q1022" s="1307">
        <f t="shared" si="177"/>
        <v>0</v>
      </c>
      <c r="R1022" s="1319">
        <v>0</v>
      </c>
      <c r="S1022" s="1308"/>
      <c r="T1022" s="1319"/>
      <c r="U1022" s="1308"/>
      <c r="V1022" s="1319"/>
      <c r="W1022" s="1314"/>
      <c r="X1022" s="1314"/>
      <c r="Y1022" s="1309">
        <f t="shared" si="175"/>
        <v>0</v>
      </c>
      <c r="Z1022" s="1305">
        <f t="shared" si="175"/>
        <v>0</v>
      </c>
      <c r="AA1022" s="1310">
        <f t="shared" si="174"/>
        <v>1</v>
      </c>
      <c r="AB1022" s="1311">
        <f t="shared" si="174"/>
        <v>29925591</v>
      </c>
      <c r="AC1022" s="1312">
        <f t="shared" si="176"/>
        <v>0</v>
      </c>
      <c r="AD1022" s="1313">
        <f t="shared" si="178"/>
        <v>0.33250656666666667</v>
      </c>
      <c r="AE1022" s="1314" t="s">
        <v>1938</v>
      </c>
    </row>
    <row r="1023" spans="1:31" s="1298" customFormat="1" ht="38.25" customHeight="1">
      <c r="A1023" s="1314"/>
      <c r="B1023" s="1314"/>
      <c r="C1023" s="1315" t="s">
        <v>146</v>
      </c>
      <c r="D1023" s="1315" t="s">
        <v>65</v>
      </c>
      <c r="E1023" s="1315">
        <v>12</v>
      </c>
      <c r="F1023" s="1315" t="s">
        <v>166</v>
      </c>
      <c r="G1023" s="1315"/>
      <c r="H1023" s="1315" t="s">
        <v>2006</v>
      </c>
      <c r="I1023" s="1347" t="s">
        <v>2018</v>
      </c>
      <c r="J1023" s="1348" t="s">
        <v>2019</v>
      </c>
      <c r="K1023" s="1318">
        <v>0.9</v>
      </c>
      <c r="L1023" s="1319">
        <v>105749014</v>
      </c>
      <c r="M1023" s="1320" t="s">
        <v>2020</v>
      </c>
      <c r="N1023" s="1319">
        <v>68292150</v>
      </c>
      <c r="O1023" s="1314" t="s">
        <v>2021</v>
      </c>
      <c r="P1023" s="1319">
        <v>28772621</v>
      </c>
      <c r="Q1023" s="1307">
        <f t="shared" si="177"/>
        <v>15.799742400944286</v>
      </c>
      <c r="R1023" s="1319">
        <v>4546000</v>
      </c>
      <c r="S1023" s="1308"/>
      <c r="T1023" s="1319"/>
      <c r="U1023" s="1308"/>
      <c r="V1023" s="1319"/>
      <c r="W1023" s="1314"/>
      <c r="X1023" s="1314"/>
      <c r="Y1023" s="1309">
        <f t="shared" si="175"/>
        <v>15.799742400944286</v>
      </c>
      <c r="Z1023" s="1305">
        <f t="shared" si="175"/>
        <v>4546000</v>
      </c>
      <c r="AA1023" s="1310">
        <f t="shared" si="174"/>
        <v>16.748142400944285</v>
      </c>
      <c r="AB1023" s="1311">
        <f t="shared" si="174"/>
        <v>72838150</v>
      </c>
      <c r="AC1023" s="1312">
        <f t="shared" si="176"/>
        <v>15.799742400944286</v>
      </c>
      <c r="AD1023" s="1313">
        <f t="shared" si="178"/>
        <v>0.68878325428169007</v>
      </c>
      <c r="AE1023" s="1314" t="s">
        <v>1938</v>
      </c>
    </row>
    <row r="1024" spans="1:31" s="1298" customFormat="1" ht="38.25" customHeight="1">
      <c r="A1024" s="1314"/>
      <c r="B1024" s="1314"/>
      <c r="C1024" s="1315" t="s">
        <v>146</v>
      </c>
      <c r="D1024" s="1315" t="s">
        <v>65</v>
      </c>
      <c r="E1024" s="1315">
        <v>12</v>
      </c>
      <c r="F1024" s="1315" t="s">
        <v>166</v>
      </c>
      <c r="G1024" s="1315"/>
      <c r="H1024" s="1315" t="s">
        <v>146</v>
      </c>
      <c r="I1024" s="1347" t="s">
        <v>2022</v>
      </c>
      <c r="J1024" s="1348" t="s">
        <v>2023</v>
      </c>
      <c r="K1024" s="1318">
        <v>0.9</v>
      </c>
      <c r="L1024" s="1319">
        <v>51243500</v>
      </c>
      <c r="M1024" s="1314">
        <v>0</v>
      </c>
      <c r="N1024" s="1319">
        <v>0</v>
      </c>
      <c r="O1024" s="1314"/>
      <c r="P1024" s="1319">
        <v>0</v>
      </c>
      <c r="Q1024" s="1307" t="e">
        <f t="shared" si="177"/>
        <v>#DIV/0!</v>
      </c>
      <c r="R1024" s="1319">
        <v>0</v>
      </c>
      <c r="S1024" s="1308"/>
      <c r="T1024" s="1319"/>
      <c r="U1024" s="1308"/>
      <c r="V1024" s="1319"/>
      <c r="W1024" s="1314"/>
      <c r="X1024" s="1314"/>
      <c r="Y1024" s="1309" t="e">
        <f t="shared" si="175"/>
        <v>#DIV/0!</v>
      </c>
      <c r="Z1024" s="1305">
        <f t="shared" si="175"/>
        <v>0</v>
      </c>
      <c r="AA1024" s="1310" t="e">
        <f t="shared" si="174"/>
        <v>#DIV/0!</v>
      </c>
      <c r="AB1024" s="1311">
        <f t="shared" si="174"/>
        <v>0</v>
      </c>
      <c r="AC1024" s="1312" t="e">
        <f t="shared" si="176"/>
        <v>#DIV/0!</v>
      </c>
      <c r="AD1024" s="1313">
        <f t="shared" si="178"/>
        <v>0</v>
      </c>
      <c r="AE1024" s="1314" t="s">
        <v>1938</v>
      </c>
    </row>
    <row r="1025" spans="1:31" s="1298" customFormat="1" ht="41.25" customHeight="1">
      <c r="A1025" s="1314"/>
      <c r="B1025" s="1314"/>
      <c r="C1025" s="1315" t="s">
        <v>146</v>
      </c>
      <c r="D1025" s="1315" t="s">
        <v>65</v>
      </c>
      <c r="E1025" s="1315">
        <v>12</v>
      </c>
      <c r="F1025" s="1315" t="s">
        <v>166</v>
      </c>
      <c r="G1025" s="1315"/>
      <c r="H1025" s="1315" t="s">
        <v>2006</v>
      </c>
      <c r="I1025" s="1352" t="s">
        <v>2024</v>
      </c>
      <c r="J1025" s="1353" t="s">
        <v>2025</v>
      </c>
      <c r="K1025" s="1318">
        <v>0.9</v>
      </c>
      <c r="L1025" s="1319">
        <v>127243600</v>
      </c>
      <c r="M1025" s="1327" t="s">
        <v>2026</v>
      </c>
      <c r="N1025" s="1319">
        <v>42968000</v>
      </c>
      <c r="O1025" s="1310">
        <v>0.27210000000000001</v>
      </c>
      <c r="P1025" s="1319">
        <v>11175250</v>
      </c>
      <c r="Q1025" s="1307">
        <f t="shared" si="177"/>
        <v>145.00257264938145</v>
      </c>
      <c r="R1025" s="1319">
        <v>16204400</v>
      </c>
      <c r="S1025" s="1308"/>
      <c r="T1025" s="1319"/>
      <c r="U1025" s="1308"/>
      <c r="V1025" s="1319"/>
      <c r="W1025" s="1314"/>
      <c r="X1025" s="1314"/>
      <c r="Y1025" s="1309">
        <f t="shared" si="175"/>
        <v>145.00257264938145</v>
      </c>
      <c r="Z1025" s="1305">
        <f t="shared" si="175"/>
        <v>16204400</v>
      </c>
      <c r="AA1025" s="1310">
        <f t="shared" si="174"/>
        <v>145.84847264938145</v>
      </c>
      <c r="AB1025" s="1311">
        <f t="shared" si="174"/>
        <v>59172400</v>
      </c>
      <c r="AC1025" s="1312">
        <f t="shared" si="176"/>
        <v>145.00257264938145</v>
      </c>
      <c r="AD1025" s="1313">
        <f t="shared" si="178"/>
        <v>0.46503242599234851</v>
      </c>
      <c r="AE1025" s="1314" t="s">
        <v>1938</v>
      </c>
    </row>
    <row r="1026" spans="1:31" s="1298" customFormat="1" ht="41.25" customHeight="1">
      <c r="A1026" s="1314"/>
      <c r="B1026" s="1314"/>
      <c r="C1026" s="1315" t="s">
        <v>146</v>
      </c>
      <c r="D1026" s="1315" t="s">
        <v>65</v>
      </c>
      <c r="E1026" s="1315">
        <v>12</v>
      </c>
      <c r="F1026" s="1315" t="s">
        <v>166</v>
      </c>
      <c r="G1026" s="1315"/>
      <c r="H1026" s="1315" t="s">
        <v>146</v>
      </c>
      <c r="I1026" s="1352" t="s">
        <v>2027</v>
      </c>
      <c r="J1026" s="1354" t="s">
        <v>2028</v>
      </c>
      <c r="K1026" s="1318">
        <v>0.9</v>
      </c>
      <c r="L1026" s="1319">
        <v>0</v>
      </c>
      <c r="M1026" s="1314">
        <v>0</v>
      </c>
      <c r="N1026" s="1319">
        <v>0</v>
      </c>
      <c r="O1026" s="1314"/>
      <c r="P1026" s="1319">
        <v>0</v>
      </c>
      <c r="Q1026" s="1307" t="e">
        <f t="shared" si="177"/>
        <v>#DIV/0!</v>
      </c>
      <c r="R1026" s="1319">
        <v>0</v>
      </c>
      <c r="S1026" s="1308"/>
      <c r="T1026" s="1319"/>
      <c r="U1026" s="1308"/>
      <c r="V1026" s="1319"/>
      <c r="W1026" s="1314"/>
      <c r="X1026" s="1314"/>
      <c r="Y1026" s="1309" t="e">
        <f t="shared" si="175"/>
        <v>#DIV/0!</v>
      </c>
      <c r="Z1026" s="1305">
        <f t="shared" si="175"/>
        <v>0</v>
      </c>
      <c r="AA1026" s="1310" t="e">
        <f t="shared" si="174"/>
        <v>#DIV/0!</v>
      </c>
      <c r="AB1026" s="1311">
        <f t="shared" si="174"/>
        <v>0</v>
      </c>
      <c r="AC1026" s="1312" t="e">
        <f t="shared" si="176"/>
        <v>#DIV/0!</v>
      </c>
      <c r="AD1026" s="1313" t="e">
        <f t="shared" si="178"/>
        <v>#DIV/0!</v>
      </c>
      <c r="AE1026" s="1314" t="s">
        <v>1938</v>
      </c>
    </row>
    <row r="1027" spans="1:31" s="1298" customFormat="1" ht="41.25" customHeight="1">
      <c r="A1027" s="1314"/>
      <c r="B1027" s="1314"/>
      <c r="C1027" s="1315" t="s">
        <v>146</v>
      </c>
      <c r="D1027" s="1315" t="s">
        <v>65</v>
      </c>
      <c r="E1027" s="1315">
        <v>12</v>
      </c>
      <c r="F1027" s="1315" t="s">
        <v>166</v>
      </c>
      <c r="G1027" s="1315"/>
      <c r="H1027" s="1315" t="s">
        <v>146</v>
      </c>
      <c r="I1027" s="1352" t="s">
        <v>2029</v>
      </c>
      <c r="J1027" s="1353" t="s">
        <v>2030</v>
      </c>
      <c r="K1027" s="1318">
        <v>0.9</v>
      </c>
      <c r="L1027" s="1319">
        <v>128441500</v>
      </c>
      <c r="M1027" s="1314">
        <v>0</v>
      </c>
      <c r="N1027" s="1319">
        <v>0</v>
      </c>
      <c r="O1027" s="1314"/>
      <c r="P1027" s="1319">
        <v>0</v>
      </c>
      <c r="Q1027" s="1307" t="e">
        <f t="shared" si="177"/>
        <v>#DIV/0!</v>
      </c>
      <c r="R1027" s="1319">
        <v>0</v>
      </c>
      <c r="S1027" s="1308"/>
      <c r="T1027" s="1319"/>
      <c r="U1027" s="1308"/>
      <c r="V1027" s="1319"/>
      <c r="W1027" s="1314"/>
      <c r="X1027" s="1314"/>
      <c r="Y1027" s="1309" t="e">
        <f t="shared" si="175"/>
        <v>#DIV/0!</v>
      </c>
      <c r="Z1027" s="1305">
        <f t="shared" si="175"/>
        <v>0</v>
      </c>
      <c r="AA1027" s="1310" t="e">
        <f t="shared" si="174"/>
        <v>#DIV/0!</v>
      </c>
      <c r="AB1027" s="1311">
        <f t="shared" si="174"/>
        <v>0</v>
      </c>
      <c r="AC1027" s="1312" t="e">
        <f t="shared" si="176"/>
        <v>#DIV/0!</v>
      </c>
      <c r="AD1027" s="1313">
        <f t="shared" si="178"/>
        <v>0</v>
      </c>
      <c r="AE1027" s="1314" t="s">
        <v>1938</v>
      </c>
    </row>
    <row r="1028" spans="1:31" s="1298" customFormat="1" ht="28.5" customHeight="1">
      <c r="A1028" s="1314"/>
      <c r="B1028" s="1314"/>
      <c r="C1028" s="1315"/>
      <c r="D1028" s="1315"/>
      <c r="E1028" s="1315"/>
      <c r="F1028" s="1315"/>
      <c r="G1028" s="1315"/>
      <c r="H1028" s="1315"/>
      <c r="I1028" s="1355"/>
      <c r="J1028" s="1356"/>
      <c r="K1028" s="1314"/>
      <c r="L1028" s="1319"/>
      <c r="M1028" s="1314"/>
      <c r="N1028" s="1322"/>
      <c r="O1028" s="1314"/>
      <c r="P1028" s="1319"/>
      <c r="Q1028" s="1307" t="e">
        <f t="shared" si="177"/>
        <v>#DIV/0!</v>
      </c>
      <c r="R1028" s="1319"/>
      <c r="S1028" s="1308"/>
      <c r="T1028" s="1314"/>
      <c r="U1028" s="1314"/>
      <c r="V1028" s="1314"/>
      <c r="W1028" s="1314"/>
      <c r="X1028" s="1314"/>
      <c r="Y1028" s="1309" t="e">
        <f t="shared" si="175"/>
        <v>#DIV/0!</v>
      </c>
      <c r="Z1028" s="1305">
        <f t="shared" si="175"/>
        <v>0</v>
      </c>
      <c r="AA1028" s="1310" t="e">
        <f t="shared" si="174"/>
        <v>#DIV/0!</v>
      </c>
      <c r="AB1028" s="1311">
        <f t="shared" si="174"/>
        <v>0</v>
      </c>
      <c r="AC1028" s="1312" t="e">
        <f t="shared" si="176"/>
        <v>#DIV/0!</v>
      </c>
      <c r="AD1028" s="1313" t="e">
        <f t="shared" si="178"/>
        <v>#DIV/0!</v>
      </c>
      <c r="AE1028" s="1314" t="s">
        <v>1938</v>
      </c>
    </row>
    <row r="1029" spans="1:31" s="1298" customFormat="1" ht="77.25" customHeight="1">
      <c r="A1029" s="1314"/>
      <c r="B1029" s="1300" t="s">
        <v>2031</v>
      </c>
      <c r="C1029" s="1301" t="s">
        <v>146</v>
      </c>
      <c r="D1029" s="1301" t="s">
        <v>65</v>
      </c>
      <c r="E1029" s="1301" t="s">
        <v>160</v>
      </c>
      <c r="F1029" s="1301" t="s">
        <v>167</v>
      </c>
      <c r="G1029" s="1301"/>
      <c r="H1029" s="1302"/>
      <c r="I1029" s="1344" t="s">
        <v>2032</v>
      </c>
      <c r="J1029" s="1343"/>
      <c r="K1029" s="1304">
        <v>0.9</v>
      </c>
      <c r="L1029" s="1322">
        <f>SUM(L1030:L1034)</f>
        <v>496787602</v>
      </c>
      <c r="M1029" s="1327" t="s">
        <v>2033</v>
      </c>
      <c r="N1029" s="1319">
        <v>177687114</v>
      </c>
      <c r="O1029" s="1310">
        <v>0.1343</v>
      </c>
      <c r="P1029" s="1322">
        <f>SUM(P1030:P1034)</f>
        <v>313542064</v>
      </c>
      <c r="Q1029" s="1307">
        <f t="shared" si="177"/>
        <v>13.039398758311421</v>
      </c>
      <c r="R1029" s="1322">
        <f>SUM(R1030:R1034)</f>
        <v>40884000</v>
      </c>
      <c r="S1029" s="1308"/>
      <c r="T1029" s="1322"/>
      <c r="U1029" s="1308"/>
      <c r="V1029" s="1322"/>
      <c r="W1029" s="1314"/>
      <c r="X1029" s="1314"/>
      <c r="Y1029" s="1309">
        <f t="shared" si="175"/>
        <v>13.039398758311421</v>
      </c>
      <c r="Z1029" s="1305">
        <f t="shared" si="175"/>
        <v>40884000</v>
      </c>
      <c r="AA1029" s="1310">
        <f t="shared" si="174"/>
        <v>13.965298758311421</v>
      </c>
      <c r="AB1029" s="1311">
        <f t="shared" si="174"/>
        <v>218571114</v>
      </c>
      <c r="AC1029" s="1312">
        <f t="shared" si="176"/>
        <v>13.039398758311421</v>
      </c>
      <c r="AD1029" s="1313">
        <f t="shared" si="178"/>
        <v>0.43996893867733838</v>
      </c>
      <c r="AE1029" s="1314" t="s">
        <v>1938</v>
      </c>
    </row>
    <row r="1030" spans="1:31" s="1298" customFormat="1" ht="37.5" customHeight="1">
      <c r="A1030" s="1314"/>
      <c r="B1030" s="1314"/>
      <c r="C1030" s="1315" t="s">
        <v>146</v>
      </c>
      <c r="D1030" s="1315" t="s">
        <v>65</v>
      </c>
      <c r="E1030" s="1315">
        <v>12</v>
      </c>
      <c r="F1030" s="1315" t="s">
        <v>167</v>
      </c>
      <c r="G1030" s="1315"/>
      <c r="H1030" s="1315" t="s">
        <v>2034</v>
      </c>
      <c r="I1030" s="1357" t="s">
        <v>2035</v>
      </c>
      <c r="J1030" s="1358" t="s">
        <v>2036</v>
      </c>
      <c r="K1030" s="1318">
        <v>0.9</v>
      </c>
      <c r="L1030" s="1319">
        <v>303600000</v>
      </c>
      <c r="M1030" s="1310">
        <v>0.93689999999999996</v>
      </c>
      <c r="N1030" s="1319">
        <v>62163800</v>
      </c>
      <c r="O1030" s="1310">
        <v>0.20580000000000001</v>
      </c>
      <c r="P1030" s="1319">
        <v>177687114</v>
      </c>
      <c r="Q1030" s="1307">
        <f t="shared" si="177"/>
        <v>14.377379104710991</v>
      </c>
      <c r="R1030" s="1319">
        <v>25546750</v>
      </c>
      <c r="S1030" s="1308"/>
      <c r="T1030" s="1319"/>
      <c r="U1030" s="1308"/>
      <c r="V1030" s="1319"/>
      <c r="W1030" s="1314"/>
      <c r="X1030" s="1314"/>
      <c r="Y1030" s="1309">
        <f t="shared" si="175"/>
        <v>14.377379104710991</v>
      </c>
      <c r="Z1030" s="1305">
        <f t="shared" si="175"/>
        <v>25546750</v>
      </c>
      <c r="AA1030" s="1310">
        <f t="shared" si="174"/>
        <v>15.314279104710991</v>
      </c>
      <c r="AB1030" s="1311">
        <f t="shared" si="174"/>
        <v>87710550</v>
      </c>
      <c r="AC1030" s="1312">
        <f t="shared" si="176"/>
        <v>14.377379104710991</v>
      </c>
      <c r="AD1030" s="1313">
        <f t="shared" si="178"/>
        <v>0.28890167984189724</v>
      </c>
      <c r="AE1030" s="1314" t="s">
        <v>1938</v>
      </c>
    </row>
    <row r="1031" spans="1:31" s="1298" customFormat="1" ht="39.75" customHeight="1">
      <c r="A1031" s="1314"/>
      <c r="B1031" s="1314"/>
      <c r="C1031" s="1315" t="s">
        <v>146</v>
      </c>
      <c r="D1031" s="1315" t="s">
        <v>65</v>
      </c>
      <c r="E1031" s="1315">
        <v>12</v>
      </c>
      <c r="F1031" s="1315" t="s">
        <v>167</v>
      </c>
      <c r="G1031" s="1315"/>
      <c r="H1031" s="1315" t="s">
        <v>2034</v>
      </c>
      <c r="I1031" s="1347" t="s">
        <v>2037</v>
      </c>
      <c r="J1031" s="1358" t="s">
        <v>2038</v>
      </c>
      <c r="K1031" s="1318">
        <v>0.9</v>
      </c>
      <c r="L1031" s="1319">
        <v>141093801</v>
      </c>
      <c r="M1031" s="1310">
        <v>0.88570000000000004</v>
      </c>
      <c r="N1031" s="1319">
        <v>0</v>
      </c>
      <c r="O1031" s="1310">
        <v>0.223</v>
      </c>
      <c r="P1031" s="1319">
        <v>62163800</v>
      </c>
      <c r="Q1031" s="1307">
        <f t="shared" si="177"/>
        <v>18.186629517500538</v>
      </c>
      <c r="R1031" s="1319">
        <v>11305500</v>
      </c>
      <c r="S1031" s="1308"/>
      <c r="T1031" s="1319"/>
      <c r="U1031" s="1308"/>
      <c r="V1031" s="1319"/>
      <c r="W1031" s="1314"/>
      <c r="X1031" s="1314"/>
      <c r="Y1031" s="1309">
        <f t="shared" si="175"/>
        <v>18.186629517500538</v>
      </c>
      <c r="Z1031" s="1305">
        <f t="shared" si="175"/>
        <v>11305500</v>
      </c>
      <c r="AA1031" s="1310">
        <f t="shared" si="174"/>
        <v>19.072329517500538</v>
      </c>
      <c r="AB1031" s="1311">
        <f t="shared" si="174"/>
        <v>11305500</v>
      </c>
      <c r="AC1031" s="1312">
        <f t="shared" si="176"/>
        <v>18.186629517500538</v>
      </c>
      <c r="AD1031" s="1313">
        <f t="shared" si="178"/>
        <v>8.012754578778411E-2</v>
      </c>
      <c r="AE1031" s="1314" t="s">
        <v>1938</v>
      </c>
    </row>
    <row r="1032" spans="1:31" s="1298" customFormat="1" ht="41.25" customHeight="1">
      <c r="A1032" s="1314"/>
      <c r="B1032" s="1314"/>
      <c r="C1032" s="1315" t="s">
        <v>146</v>
      </c>
      <c r="D1032" s="1315" t="s">
        <v>65</v>
      </c>
      <c r="E1032" s="1315">
        <v>12</v>
      </c>
      <c r="F1032" s="1315" t="s">
        <v>167</v>
      </c>
      <c r="G1032" s="1315"/>
      <c r="H1032" s="1315" t="s">
        <v>2034</v>
      </c>
      <c r="I1032" s="1350" t="s">
        <v>2039</v>
      </c>
      <c r="J1032" s="1358" t="s">
        <v>2040</v>
      </c>
      <c r="K1032" s="1318">
        <v>0.9</v>
      </c>
      <c r="L1032" s="1319">
        <v>0</v>
      </c>
      <c r="M1032" s="1314">
        <v>0</v>
      </c>
      <c r="N1032" s="1319">
        <v>29438550</v>
      </c>
      <c r="O1032" s="1314"/>
      <c r="P1032" s="1319">
        <v>0</v>
      </c>
      <c r="Q1032" s="1307" t="e">
        <f t="shared" si="177"/>
        <v>#DIV/0!</v>
      </c>
      <c r="R1032" s="1319">
        <v>0</v>
      </c>
      <c r="S1032" s="1308"/>
      <c r="T1032" s="1319"/>
      <c r="U1032" s="1308"/>
      <c r="V1032" s="1319"/>
      <c r="W1032" s="1314"/>
      <c r="X1032" s="1314"/>
      <c r="Y1032" s="1309" t="e">
        <f t="shared" si="175"/>
        <v>#DIV/0!</v>
      </c>
      <c r="Z1032" s="1305">
        <f t="shared" si="175"/>
        <v>0</v>
      </c>
      <c r="AA1032" s="1310" t="e">
        <f t="shared" si="174"/>
        <v>#DIV/0!</v>
      </c>
      <c r="AB1032" s="1311">
        <f t="shared" si="174"/>
        <v>29438550</v>
      </c>
      <c r="AC1032" s="1312" t="e">
        <f t="shared" si="176"/>
        <v>#DIV/0!</v>
      </c>
      <c r="AD1032" s="1313" t="e">
        <f t="shared" si="178"/>
        <v>#DIV/0!</v>
      </c>
      <c r="AE1032" s="1314" t="s">
        <v>1938</v>
      </c>
    </row>
    <row r="1033" spans="1:31" s="1298" customFormat="1" ht="63" customHeight="1">
      <c r="A1033" s="1314"/>
      <c r="B1033" s="1314"/>
      <c r="C1033" s="1315" t="s">
        <v>146</v>
      </c>
      <c r="D1033" s="1315" t="s">
        <v>65</v>
      </c>
      <c r="E1033" s="1315">
        <v>12</v>
      </c>
      <c r="F1033" s="1315" t="s">
        <v>167</v>
      </c>
      <c r="G1033" s="1315"/>
      <c r="H1033" s="1315" t="s">
        <v>2034</v>
      </c>
      <c r="I1033" s="1347" t="s">
        <v>2041</v>
      </c>
      <c r="J1033" s="1358" t="s">
        <v>2042</v>
      </c>
      <c r="K1033" s="1318">
        <v>0.9</v>
      </c>
      <c r="L1033" s="1359">
        <v>52093801</v>
      </c>
      <c r="M1033" s="1310">
        <v>0.98839999999999995</v>
      </c>
      <c r="N1033" s="1319">
        <v>44252600</v>
      </c>
      <c r="O1033" s="1314" t="s">
        <v>2043</v>
      </c>
      <c r="P1033" s="1319">
        <v>29438550</v>
      </c>
      <c r="Q1033" s="1307">
        <f t="shared" si="177"/>
        <v>13.695477528614692</v>
      </c>
      <c r="R1033" s="1319">
        <v>4031750</v>
      </c>
      <c r="S1033" s="1308"/>
      <c r="T1033" s="1319"/>
      <c r="U1033" s="1308"/>
      <c r="V1033" s="1319"/>
      <c r="W1033" s="1314"/>
      <c r="X1033" s="1314"/>
      <c r="Y1033" s="1309">
        <f t="shared" si="175"/>
        <v>13.695477528614692</v>
      </c>
      <c r="Z1033" s="1305">
        <f t="shared" si="175"/>
        <v>4031750</v>
      </c>
      <c r="AA1033" s="1310">
        <f t="shared" si="174"/>
        <v>14.683877528614692</v>
      </c>
      <c r="AB1033" s="1311">
        <f t="shared" si="174"/>
        <v>48284350</v>
      </c>
      <c r="AC1033" s="1312">
        <f t="shared" si="176"/>
        <v>13.695477528614692</v>
      </c>
      <c r="AD1033" s="1313">
        <f t="shared" si="178"/>
        <v>0.92687323775817398</v>
      </c>
      <c r="AE1033" s="1314" t="s">
        <v>1938</v>
      </c>
    </row>
    <row r="1034" spans="1:31" s="1298" customFormat="1" ht="42" customHeight="1">
      <c r="A1034" s="1314"/>
      <c r="B1034" s="1314"/>
      <c r="C1034" s="1315" t="s">
        <v>146</v>
      </c>
      <c r="D1034" s="1315" t="s">
        <v>65</v>
      </c>
      <c r="E1034" s="1315">
        <v>12</v>
      </c>
      <c r="F1034" s="1315" t="s">
        <v>167</v>
      </c>
      <c r="G1034" s="1315"/>
      <c r="H1034" s="1315" t="s">
        <v>2034</v>
      </c>
      <c r="I1034" s="1360" t="s">
        <v>2044</v>
      </c>
      <c r="J1034" s="1361" t="s">
        <v>2045</v>
      </c>
      <c r="K1034" s="1318">
        <v>0.9</v>
      </c>
      <c r="L1034" s="1362">
        <v>0</v>
      </c>
      <c r="M1034" s="1314">
        <v>0</v>
      </c>
      <c r="N1034" s="1314"/>
      <c r="O1034" s="1314"/>
      <c r="P1034" s="1319">
        <v>44252600</v>
      </c>
      <c r="Q1034" s="1307">
        <f t="shared" si="177"/>
        <v>0</v>
      </c>
      <c r="R1034" s="1319">
        <v>0</v>
      </c>
      <c r="S1034" s="1314"/>
      <c r="T1034" s="1319"/>
      <c r="U1034" s="1308"/>
      <c r="V1034" s="1319"/>
      <c r="W1034" s="1314"/>
      <c r="X1034" s="1314"/>
      <c r="Y1034" s="1309">
        <f t="shared" si="175"/>
        <v>0</v>
      </c>
      <c r="Z1034" s="1305">
        <f t="shared" si="175"/>
        <v>0</v>
      </c>
      <c r="AA1034" s="1310">
        <f t="shared" si="174"/>
        <v>0</v>
      </c>
      <c r="AB1034" s="1311">
        <f t="shared" si="174"/>
        <v>0</v>
      </c>
      <c r="AC1034" s="1312">
        <f t="shared" si="176"/>
        <v>0</v>
      </c>
      <c r="AD1034" s="1313" t="e">
        <f t="shared" si="178"/>
        <v>#DIV/0!</v>
      </c>
      <c r="AE1034" s="1314" t="s">
        <v>1938</v>
      </c>
    </row>
    <row r="1035" spans="1:31" s="1298" customFormat="1" ht="28.5" customHeight="1">
      <c r="A1035" s="1314"/>
      <c r="B1035" s="1314"/>
      <c r="C1035" s="1315">
        <v>1</v>
      </c>
      <c r="D1035" s="1315">
        <v>2</v>
      </c>
      <c r="E1035" s="1315">
        <v>12</v>
      </c>
      <c r="F1035" s="1315">
        <v>1</v>
      </c>
      <c r="G1035" s="1315"/>
      <c r="H1035" s="1315">
        <v>2</v>
      </c>
      <c r="I1035" s="1363" t="s">
        <v>2046</v>
      </c>
      <c r="J1035" s="1364"/>
      <c r="K1035" s="1318"/>
      <c r="L1035" s="1362"/>
      <c r="M1035" s="1320" t="s">
        <v>2047</v>
      </c>
      <c r="N1035" s="1314"/>
      <c r="O1035" s="1314"/>
      <c r="P1035" s="1314"/>
      <c r="Q1035" s="1307" t="e">
        <f t="shared" si="177"/>
        <v>#DIV/0!</v>
      </c>
      <c r="R1035" s="1319">
        <v>0</v>
      </c>
      <c r="S1035" s="1314"/>
      <c r="T1035" s="1319"/>
      <c r="U1035" s="1308"/>
      <c r="V1035" s="1314"/>
      <c r="W1035" s="1314"/>
      <c r="X1035" s="1314"/>
      <c r="Y1035" s="1309" t="e">
        <f t="shared" si="175"/>
        <v>#DIV/0!</v>
      </c>
      <c r="Z1035" s="1305">
        <f t="shared" si="175"/>
        <v>0</v>
      </c>
      <c r="AA1035" s="1310" t="e">
        <f t="shared" si="174"/>
        <v>#DIV/0!</v>
      </c>
      <c r="AB1035" s="1311">
        <f t="shared" si="174"/>
        <v>0</v>
      </c>
      <c r="AC1035" s="1312" t="e">
        <f t="shared" si="176"/>
        <v>#DIV/0!</v>
      </c>
      <c r="AD1035" s="1313" t="e">
        <f t="shared" si="178"/>
        <v>#DIV/0!</v>
      </c>
      <c r="AE1035" s="1314" t="s">
        <v>1938</v>
      </c>
    </row>
    <row r="1036" spans="1:31" s="1298" customFormat="1" ht="43.5" customHeight="1">
      <c r="A1036" s="1314"/>
      <c r="B1036" s="1300" t="s">
        <v>2048</v>
      </c>
      <c r="C1036" s="1301" t="s">
        <v>146</v>
      </c>
      <c r="D1036" s="1301" t="s">
        <v>65</v>
      </c>
      <c r="E1036" s="1301" t="s">
        <v>160</v>
      </c>
      <c r="F1036" s="1301" t="s">
        <v>357</v>
      </c>
      <c r="G1036" s="1301"/>
      <c r="H1036" s="1302"/>
      <c r="I1036" s="1365" t="s">
        <v>2049</v>
      </c>
      <c r="J1036" s="1366"/>
      <c r="K1036" s="1304">
        <v>0.9</v>
      </c>
      <c r="L1036" s="1322">
        <f>SUM(L1037:L1038)</f>
        <v>225000000</v>
      </c>
      <c r="M1036" s="1322">
        <v>0</v>
      </c>
      <c r="N1036" s="1314">
        <v>0</v>
      </c>
      <c r="O1036" s="1322">
        <f>SUM(O1037:O1038)</f>
        <v>0</v>
      </c>
      <c r="P1036" s="1314"/>
      <c r="Q1036" s="1307" t="e">
        <f t="shared" si="177"/>
        <v>#DIV/0!</v>
      </c>
      <c r="R1036" s="1319">
        <v>0</v>
      </c>
      <c r="S1036" s="1314"/>
      <c r="T1036" s="1319"/>
      <c r="U1036" s="1308"/>
      <c r="V1036" s="1314"/>
      <c r="W1036" s="1314"/>
      <c r="X1036" s="1314"/>
      <c r="Y1036" s="1309" t="e">
        <f t="shared" si="175"/>
        <v>#DIV/0!</v>
      </c>
      <c r="Z1036" s="1305">
        <f t="shared" si="175"/>
        <v>0</v>
      </c>
      <c r="AA1036" s="1310" t="e">
        <f t="shared" si="174"/>
        <v>#DIV/0!</v>
      </c>
      <c r="AB1036" s="1311">
        <f t="shared" si="174"/>
        <v>0</v>
      </c>
      <c r="AC1036" s="1312" t="e">
        <f t="shared" si="176"/>
        <v>#DIV/0!</v>
      </c>
      <c r="AD1036" s="1313">
        <f t="shared" si="178"/>
        <v>0</v>
      </c>
      <c r="AE1036" s="1314" t="s">
        <v>1938</v>
      </c>
    </row>
    <row r="1037" spans="1:31" s="1298" customFormat="1" ht="47.25" customHeight="1">
      <c r="A1037" s="1314"/>
      <c r="B1037" s="1314"/>
      <c r="C1037" s="1315" t="s">
        <v>146</v>
      </c>
      <c r="D1037" s="1315" t="s">
        <v>65</v>
      </c>
      <c r="E1037" s="1315">
        <v>12</v>
      </c>
      <c r="F1037" s="1315" t="s">
        <v>357</v>
      </c>
      <c r="G1037" s="1315"/>
      <c r="H1037" s="1315" t="s">
        <v>146</v>
      </c>
      <c r="I1037" s="1367" t="s">
        <v>2050</v>
      </c>
      <c r="J1037" s="1368" t="s">
        <v>2051</v>
      </c>
      <c r="K1037" s="1318">
        <v>0.9</v>
      </c>
      <c r="L1037" s="1369">
        <v>100000000</v>
      </c>
      <c r="M1037" s="1314">
        <v>0</v>
      </c>
      <c r="N1037" s="1314">
        <v>0</v>
      </c>
      <c r="O1037" s="1314"/>
      <c r="P1037" s="1319">
        <v>0</v>
      </c>
      <c r="Q1037" s="1307" t="e">
        <f t="shared" si="177"/>
        <v>#DIV/0!</v>
      </c>
      <c r="R1037" s="1319">
        <v>0</v>
      </c>
      <c r="S1037" s="1314"/>
      <c r="T1037" s="1319"/>
      <c r="U1037" s="1308"/>
      <c r="V1037" s="1314"/>
      <c r="W1037" s="1314"/>
      <c r="X1037" s="1314"/>
      <c r="Y1037" s="1309" t="e">
        <f t="shared" si="175"/>
        <v>#DIV/0!</v>
      </c>
      <c r="Z1037" s="1305">
        <f t="shared" si="175"/>
        <v>0</v>
      </c>
      <c r="AA1037" s="1310" t="e">
        <f t="shared" si="174"/>
        <v>#DIV/0!</v>
      </c>
      <c r="AB1037" s="1311">
        <f t="shared" si="174"/>
        <v>0</v>
      </c>
      <c r="AC1037" s="1312" t="e">
        <f t="shared" si="176"/>
        <v>#DIV/0!</v>
      </c>
      <c r="AD1037" s="1313">
        <f t="shared" si="178"/>
        <v>0</v>
      </c>
      <c r="AE1037" s="1314" t="s">
        <v>1938</v>
      </c>
    </row>
    <row r="1038" spans="1:31" s="1298" customFormat="1" ht="45.75" customHeight="1">
      <c r="A1038" s="1314"/>
      <c r="B1038" s="1314"/>
      <c r="C1038" s="1315" t="s">
        <v>146</v>
      </c>
      <c r="D1038" s="1315" t="s">
        <v>65</v>
      </c>
      <c r="E1038" s="1315">
        <v>12</v>
      </c>
      <c r="F1038" s="1315" t="s">
        <v>357</v>
      </c>
      <c r="G1038" s="1315"/>
      <c r="H1038" s="1315" t="s">
        <v>146</v>
      </c>
      <c r="I1038" s="1367" t="s">
        <v>2052</v>
      </c>
      <c r="J1038" s="1368" t="s">
        <v>2053</v>
      </c>
      <c r="K1038" s="1318">
        <v>0.9</v>
      </c>
      <c r="L1038" s="1369">
        <v>125000000</v>
      </c>
      <c r="M1038" s="1314">
        <v>0</v>
      </c>
      <c r="N1038" s="1314"/>
      <c r="O1038" s="1314"/>
      <c r="P1038" s="1319"/>
      <c r="Q1038" s="1307" t="e">
        <f t="shared" si="177"/>
        <v>#DIV/0!</v>
      </c>
      <c r="R1038" s="1319"/>
      <c r="S1038" s="1314"/>
      <c r="T1038" s="1319"/>
      <c r="U1038" s="1308"/>
      <c r="V1038" s="1314"/>
      <c r="W1038" s="1314"/>
      <c r="X1038" s="1314"/>
      <c r="Y1038" s="1309" t="e">
        <f t="shared" si="175"/>
        <v>#DIV/0!</v>
      </c>
      <c r="Z1038" s="1305">
        <f t="shared" si="175"/>
        <v>0</v>
      </c>
      <c r="AA1038" s="1310" t="e">
        <f t="shared" si="174"/>
        <v>#DIV/0!</v>
      </c>
      <c r="AB1038" s="1311">
        <f t="shared" si="174"/>
        <v>0</v>
      </c>
      <c r="AC1038" s="1312" t="e">
        <f t="shared" si="176"/>
        <v>#DIV/0!</v>
      </c>
      <c r="AD1038" s="1313">
        <f t="shared" si="178"/>
        <v>0</v>
      </c>
      <c r="AE1038" s="1314" t="s">
        <v>1938</v>
      </c>
    </row>
    <row r="1039" spans="1:31" s="1298" customFormat="1" ht="28.5" customHeight="1">
      <c r="A1039" s="1314"/>
      <c r="B1039" s="1314"/>
      <c r="C1039" s="1315"/>
      <c r="D1039" s="1315"/>
      <c r="E1039" s="1315"/>
      <c r="F1039" s="1315"/>
      <c r="G1039" s="1315"/>
      <c r="H1039" s="1315"/>
      <c r="I1039" s="1365"/>
      <c r="J1039" s="1366"/>
      <c r="K1039" s="1314"/>
      <c r="L1039" s="1314"/>
      <c r="M1039" s="1314"/>
      <c r="N1039" s="1314"/>
      <c r="O1039" s="1314"/>
      <c r="P1039" s="1319"/>
      <c r="Q1039" s="1307"/>
      <c r="R1039" s="1319"/>
      <c r="S1039" s="1314"/>
      <c r="T1039" s="1314"/>
      <c r="U1039" s="1314"/>
      <c r="V1039" s="1314"/>
      <c r="W1039" s="1314"/>
      <c r="X1039" s="1314"/>
      <c r="Y1039" s="1309"/>
      <c r="Z1039" s="1314"/>
      <c r="AA1039" s="1314"/>
      <c r="AB1039" s="1311"/>
      <c r="AC1039" s="1312"/>
      <c r="AD1039" s="1313"/>
      <c r="AE1039" s="1314"/>
    </row>
    <row r="1040" spans="1:31" s="1298" customFormat="1" ht="28.5" customHeight="1">
      <c r="A1040" s="1314"/>
      <c r="B1040" s="1314"/>
      <c r="C1040" s="1315"/>
      <c r="D1040" s="1315"/>
      <c r="E1040" s="1315"/>
      <c r="F1040" s="1315"/>
      <c r="G1040" s="1315"/>
      <c r="H1040" s="1315"/>
      <c r="I1040" s="1365"/>
      <c r="J1040" s="1366"/>
      <c r="K1040" s="1314"/>
      <c r="L1040" s="1314"/>
      <c r="M1040" s="1314"/>
      <c r="N1040" s="1314"/>
      <c r="O1040" s="1314"/>
      <c r="P1040" s="1314"/>
      <c r="Q1040" s="1314"/>
      <c r="R1040" s="1314"/>
      <c r="S1040" s="1314"/>
      <c r="T1040" s="1314"/>
      <c r="U1040" s="1314"/>
      <c r="V1040" s="1314"/>
      <c r="W1040" s="1314"/>
      <c r="X1040" s="1314"/>
      <c r="Y1040" s="1314"/>
      <c r="Z1040" s="1314"/>
      <c r="AA1040" s="1314"/>
      <c r="AB1040" s="1314"/>
      <c r="AC1040" s="1312"/>
      <c r="AD1040" s="1313"/>
      <c r="AE1040" s="1314"/>
    </row>
    <row r="1041" spans="1:62" s="1298" customFormat="1" ht="28.5" customHeight="1">
      <c r="A1041" s="1314"/>
      <c r="B1041" s="1314"/>
      <c r="C1041" s="1315"/>
      <c r="D1041" s="1315"/>
      <c r="E1041" s="1315"/>
      <c r="F1041" s="1315"/>
      <c r="G1041" s="1315"/>
      <c r="H1041" s="1315"/>
      <c r="I1041" s="1370"/>
      <c r="J1041" s="1366"/>
      <c r="K1041" s="1314"/>
      <c r="L1041" s="1314"/>
      <c r="M1041" s="1314"/>
      <c r="N1041" s="1319"/>
      <c r="O1041" s="1314"/>
      <c r="P1041" s="1314"/>
      <c r="Q1041" s="1314"/>
      <c r="R1041" s="1314"/>
      <c r="S1041" s="1314"/>
      <c r="T1041" s="1314"/>
      <c r="U1041" s="1314"/>
      <c r="V1041" s="1314"/>
      <c r="W1041" s="1314"/>
      <c r="X1041" s="1314"/>
      <c r="Y1041" s="1314"/>
      <c r="Z1041" s="1314"/>
      <c r="AA1041" s="1314"/>
      <c r="AB1041" s="1314"/>
      <c r="AC1041" s="1312">
        <f t="shared" si="176"/>
        <v>0</v>
      </c>
      <c r="AD1041" s="1314"/>
      <c r="AE1041" s="1314"/>
    </row>
    <row r="1042" spans="1:62" s="1298" customFormat="1" ht="15" thickBot="1">
      <c r="A1042" s="1314"/>
      <c r="B1042" s="1314"/>
      <c r="C1042" s="1323"/>
      <c r="D1042" s="1323"/>
      <c r="E1042" s="1323"/>
      <c r="F1042" s="1323"/>
      <c r="G1042" s="1323"/>
      <c r="H1042" s="1323"/>
      <c r="I1042" s="1371"/>
      <c r="J1042" s="1372"/>
      <c r="K1042" s="1314"/>
      <c r="L1042" s="1314"/>
      <c r="M1042" s="1314"/>
      <c r="N1042" s="1319"/>
      <c r="O1042" s="1314"/>
      <c r="P1042" s="1314"/>
      <c r="Q1042" s="1314"/>
      <c r="R1042" s="1314"/>
      <c r="S1042" s="1314"/>
      <c r="T1042" s="1314"/>
      <c r="U1042" s="1314"/>
      <c r="V1042" s="1314"/>
      <c r="W1042" s="1314"/>
      <c r="X1042" s="1314"/>
      <c r="Y1042" s="1314"/>
      <c r="Z1042" s="1314"/>
      <c r="AA1042" s="1314"/>
      <c r="AB1042" s="1314"/>
      <c r="AC1042" s="1312">
        <f t="shared" si="176"/>
        <v>0</v>
      </c>
      <c r="AD1042" s="1314"/>
      <c r="AE1042" s="1314"/>
    </row>
    <row r="1043" spans="1:62" s="1298" customFormat="1" ht="24" customHeight="1" thickBot="1">
      <c r="A1043" s="4490" t="s">
        <v>2054</v>
      </c>
      <c r="B1043" s="4490"/>
      <c r="C1043" s="4490"/>
      <c r="D1043" s="4490"/>
      <c r="E1043" s="4490"/>
      <c r="F1043" s="4490"/>
      <c r="G1043" s="4490"/>
      <c r="H1043" s="4490"/>
      <c r="I1043" s="4490"/>
      <c r="J1043" s="4490"/>
      <c r="K1043" s="4490"/>
      <c r="L1043" s="4490"/>
      <c r="M1043" s="4490"/>
      <c r="N1043" s="4490"/>
      <c r="O1043" s="4490"/>
      <c r="P1043" s="4490"/>
      <c r="Q1043" s="4490"/>
      <c r="R1043" s="4490"/>
      <c r="S1043" s="4490"/>
      <c r="T1043" s="4490"/>
      <c r="U1043" s="4490"/>
      <c r="V1043" s="4490"/>
      <c r="W1043" s="4490"/>
      <c r="X1043" s="4490"/>
      <c r="Y1043" s="4490"/>
      <c r="Z1043" s="4490"/>
      <c r="AA1043" s="4490"/>
      <c r="AB1043" s="4490"/>
      <c r="AC1043" s="4490"/>
      <c r="AD1043" s="4490"/>
      <c r="AE1043" s="4490"/>
    </row>
    <row r="1044" spans="1:62" s="1298" customFormat="1" ht="20.25" customHeight="1" thickBot="1">
      <c r="A1044" s="4490" t="s">
        <v>2055</v>
      </c>
      <c r="B1044" s="4490"/>
      <c r="C1044" s="4490"/>
      <c r="D1044" s="4490"/>
      <c r="E1044" s="4490"/>
      <c r="F1044" s="4490"/>
      <c r="G1044" s="4490"/>
      <c r="H1044" s="4490"/>
      <c r="I1044" s="4490"/>
      <c r="J1044" s="4490"/>
      <c r="K1044" s="4490"/>
      <c r="L1044" s="4490"/>
      <c r="M1044" s="4490"/>
      <c r="N1044" s="4490"/>
      <c r="O1044" s="4490"/>
      <c r="P1044" s="4490"/>
      <c r="Q1044" s="4490"/>
      <c r="R1044" s="4490"/>
      <c r="S1044" s="4490"/>
      <c r="T1044" s="4490"/>
      <c r="U1044" s="4490"/>
      <c r="V1044" s="4490"/>
      <c r="W1044" s="4490"/>
      <c r="X1044" s="4490"/>
      <c r="Y1044" s="4490"/>
      <c r="Z1044" s="4490"/>
      <c r="AA1044" s="4490"/>
      <c r="AB1044" s="4490"/>
      <c r="AC1044" s="4490"/>
      <c r="AD1044" s="4490"/>
      <c r="AE1044" s="4490"/>
    </row>
    <row r="1045" spans="1:62" s="1298" customFormat="1" ht="18.75" customHeight="1" thickBot="1">
      <c r="A1045" s="4490" t="s">
        <v>2056</v>
      </c>
      <c r="B1045" s="4490"/>
      <c r="C1045" s="4490"/>
      <c r="D1045" s="4490"/>
      <c r="E1045" s="4490"/>
      <c r="F1045" s="4490"/>
      <c r="G1045" s="4490"/>
      <c r="H1045" s="4490"/>
      <c r="I1045" s="4490"/>
      <c r="J1045" s="4490"/>
      <c r="K1045" s="4490"/>
      <c r="L1045" s="4490"/>
      <c r="M1045" s="4490"/>
      <c r="N1045" s="4490"/>
      <c r="O1045" s="4490"/>
      <c r="P1045" s="4490"/>
      <c r="Q1045" s="4490"/>
      <c r="R1045" s="4490"/>
      <c r="S1045" s="4490"/>
      <c r="T1045" s="4490"/>
      <c r="U1045" s="4490"/>
      <c r="V1045" s="4490"/>
      <c r="W1045" s="4490"/>
      <c r="X1045" s="4490"/>
      <c r="Y1045" s="4490"/>
      <c r="Z1045" s="4490"/>
      <c r="AA1045" s="4490"/>
      <c r="AB1045" s="4490"/>
      <c r="AC1045" s="4490"/>
      <c r="AD1045" s="4490"/>
      <c r="AE1045" s="4490"/>
    </row>
    <row r="1046" spans="1:62" s="1298" customFormat="1" ht="24" customHeight="1" thickBot="1">
      <c r="A1046" s="4490" t="s">
        <v>2057</v>
      </c>
      <c r="B1046" s="4490"/>
      <c r="C1046" s="4490"/>
      <c r="D1046" s="4490"/>
      <c r="E1046" s="4490"/>
      <c r="F1046" s="4490"/>
      <c r="G1046" s="4490"/>
      <c r="H1046" s="4490"/>
      <c r="I1046" s="4490"/>
      <c r="J1046" s="4490"/>
      <c r="K1046" s="4490"/>
      <c r="L1046" s="4490"/>
      <c r="M1046" s="4490"/>
      <c r="N1046" s="4490"/>
      <c r="O1046" s="4490"/>
      <c r="P1046" s="4490"/>
      <c r="Q1046" s="4490"/>
      <c r="R1046" s="4490"/>
      <c r="S1046" s="4490"/>
      <c r="T1046" s="4490"/>
      <c r="U1046" s="4490"/>
      <c r="V1046" s="4490"/>
      <c r="W1046" s="4490"/>
      <c r="X1046" s="4490"/>
      <c r="Y1046" s="4490"/>
      <c r="Z1046" s="4490"/>
      <c r="AA1046" s="4490"/>
      <c r="AB1046" s="4490"/>
      <c r="AC1046" s="4490"/>
      <c r="AD1046" s="4490"/>
      <c r="AE1046" s="4490"/>
    </row>
    <row r="1047" spans="1:62" s="75" customFormat="1">
      <c r="A1047" s="77"/>
      <c r="B1047" s="77"/>
      <c r="C1047" s="81"/>
      <c r="D1047" s="81"/>
      <c r="E1047" s="81"/>
      <c r="F1047" s="81"/>
      <c r="G1047" s="81"/>
      <c r="H1047" s="82"/>
      <c r="I1047" s="83"/>
      <c r="J1047" s="84"/>
      <c r="K1047" s="85"/>
      <c r="L1047" s="86"/>
      <c r="M1047" s="87"/>
      <c r="N1047" s="77"/>
      <c r="O1047" s="77"/>
      <c r="P1047" s="77"/>
      <c r="Q1047" s="88"/>
      <c r="R1047" s="78"/>
      <c r="S1047" s="77"/>
      <c r="T1047" s="78"/>
      <c r="U1047" s="89"/>
      <c r="V1047" s="77"/>
      <c r="W1047" s="77"/>
      <c r="X1047" s="77"/>
      <c r="Y1047" s="566"/>
      <c r="Z1047" s="90"/>
      <c r="AA1047" s="91"/>
      <c r="AB1047" s="92"/>
      <c r="AC1047" s="79"/>
      <c r="AD1047" s="93"/>
      <c r="AE1047" s="77"/>
    </row>
    <row r="1048" spans="1:62" s="69" customFormat="1" ht="33.75" customHeight="1">
      <c r="A1048" s="74">
        <v>19</v>
      </c>
      <c r="B1048" s="74"/>
      <c r="C1048" s="74"/>
      <c r="D1048" s="74"/>
      <c r="E1048" s="74"/>
      <c r="F1048" s="74"/>
      <c r="G1048" s="74"/>
      <c r="H1048" s="74"/>
      <c r="I1048" s="76" t="s">
        <v>169</v>
      </c>
      <c r="J1048" s="74"/>
      <c r="K1048" s="74"/>
      <c r="L1048" s="74"/>
      <c r="M1048" s="74"/>
      <c r="N1048" s="74"/>
      <c r="O1048" s="74"/>
      <c r="P1048" s="74"/>
      <c r="Q1048" s="74"/>
      <c r="R1048" s="74"/>
      <c r="S1048" s="74"/>
      <c r="T1048" s="74"/>
      <c r="U1048" s="74"/>
      <c r="V1048" s="74"/>
      <c r="W1048" s="74"/>
      <c r="X1048" s="74"/>
      <c r="Y1048" s="564"/>
      <c r="Z1048" s="74"/>
      <c r="AA1048" s="74"/>
      <c r="AB1048" s="74"/>
      <c r="AC1048" s="74"/>
      <c r="AD1048" s="74"/>
      <c r="AE1048" s="74"/>
    </row>
    <row r="1049" spans="1:62" s="75" customFormat="1" ht="18.75" customHeight="1">
      <c r="A1049" s="1678">
        <v>1</v>
      </c>
      <c r="B1049" s="1679"/>
      <c r="C1049" s="1680">
        <v>3</v>
      </c>
      <c r="D1049" s="1681" t="s">
        <v>107</v>
      </c>
      <c r="E1049" s="1682" t="s">
        <v>95</v>
      </c>
      <c r="F1049" s="1681" t="s">
        <v>66</v>
      </c>
      <c r="G1049" s="1681" t="s">
        <v>66</v>
      </c>
      <c r="H1049" s="1683"/>
      <c r="I1049" s="4484" t="s">
        <v>221</v>
      </c>
      <c r="J1049" s="4485"/>
      <c r="K1049" s="1679">
        <f t="shared" ref="K1049:R1049" si="179">SUM(K1050:K1061)</f>
        <v>7200</v>
      </c>
      <c r="L1049" s="1684">
        <f t="shared" si="179"/>
        <v>3254776316</v>
      </c>
      <c r="M1049" s="1679">
        <f t="shared" si="179"/>
        <v>1569.6919803555852</v>
      </c>
      <c r="N1049" s="1684">
        <f t="shared" si="179"/>
        <v>1254804777</v>
      </c>
      <c r="O1049" s="1679">
        <f t="shared" si="179"/>
        <v>1200</v>
      </c>
      <c r="P1049" s="1684">
        <f t="shared" si="179"/>
        <v>475364398</v>
      </c>
      <c r="Q1049" s="1685">
        <f t="shared" si="179"/>
        <v>356.19560993271921</v>
      </c>
      <c r="R1049" s="1684">
        <f t="shared" si="179"/>
        <v>159618971</v>
      </c>
      <c r="S1049" s="1679"/>
      <c r="T1049" s="1679"/>
      <c r="U1049" s="1679"/>
      <c r="V1049" s="1679"/>
      <c r="W1049" s="1679"/>
      <c r="X1049" s="1679"/>
      <c r="Y1049" s="1685">
        <f>SUM(Y1050:Y1061)</f>
        <v>356.19560993271921</v>
      </c>
      <c r="Z1049" s="1684">
        <f>SUM(Z1050:Z1061)</f>
        <v>159618971</v>
      </c>
      <c r="AA1049" s="1685">
        <f>Y1049+M1049</f>
        <v>1925.8875902883044</v>
      </c>
      <c r="AB1049" s="1684">
        <f>Z1049+N1049</f>
        <v>1414423748</v>
      </c>
      <c r="AC1049" s="1660">
        <f>AA1049/K1049*100</f>
        <v>26.748438754004226</v>
      </c>
      <c r="AD1049" s="1659">
        <f>AB1049/L1049*100</f>
        <v>43.456864947889095</v>
      </c>
      <c r="AE1049" s="1661" t="s">
        <v>2418</v>
      </c>
      <c r="AF1049" s="77"/>
      <c r="AG1049" s="77"/>
      <c r="AH1049" s="81"/>
      <c r="AI1049" s="81"/>
      <c r="AJ1049" s="81"/>
      <c r="AK1049" s="81"/>
      <c r="AL1049" s="81"/>
      <c r="AM1049" s="82"/>
      <c r="AN1049" s="83"/>
      <c r="AO1049" s="84"/>
      <c r="AP1049" s="85"/>
      <c r="AQ1049" s="86"/>
      <c r="AR1049" s="87"/>
      <c r="AS1049" s="77"/>
      <c r="AT1049" s="77"/>
      <c r="AU1049" s="77"/>
      <c r="AV1049" s="88"/>
      <c r="AW1049" s="78"/>
      <c r="AX1049" s="77"/>
      <c r="AY1049" s="78"/>
      <c r="AZ1049" s="89"/>
      <c r="BA1049" s="77"/>
      <c r="BB1049" s="77"/>
      <c r="BC1049" s="77"/>
      <c r="BD1049" s="566"/>
      <c r="BE1049" s="90"/>
      <c r="BF1049" s="91"/>
      <c r="BG1049" s="92"/>
      <c r="BH1049" s="79"/>
      <c r="BI1049" s="93"/>
      <c r="BJ1049" s="77"/>
    </row>
    <row r="1050" spans="1:62" s="69" customFormat="1" ht="31.5" customHeight="1">
      <c r="A1050" s="1686"/>
      <c r="B1050" s="1687" t="s">
        <v>2419</v>
      </c>
      <c r="C1050" s="248"/>
      <c r="D1050" s="247"/>
      <c r="E1050" s="238"/>
      <c r="F1050" s="247"/>
      <c r="G1050" s="247"/>
      <c r="H1050" s="1688"/>
      <c r="I1050" s="1414" t="s">
        <v>2420</v>
      </c>
      <c r="J1050" s="1414" t="s">
        <v>2421</v>
      </c>
      <c r="K1050" s="729">
        <v>600</v>
      </c>
      <c r="L1050" s="1689">
        <v>56355000</v>
      </c>
      <c r="M1050" s="64">
        <v>200</v>
      </c>
      <c r="N1050" s="1689">
        <v>9999000</v>
      </c>
      <c r="O1050" s="64">
        <v>100</v>
      </c>
      <c r="P1050" s="1690">
        <f>'[4]April 2018'!$E$16</f>
        <v>11589000</v>
      </c>
      <c r="Q1050" s="1691">
        <f>'[4]April 2018'!$I$15</f>
        <v>32.228837690913799</v>
      </c>
      <c r="R1050" s="1690">
        <f>'[4]April 2018'!$H$16</f>
        <v>3735000</v>
      </c>
      <c r="S1050" s="1692"/>
      <c r="T1050" s="1692"/>
      <c r="U1050" s="1692"/>
      <c r="V1050" s="1692"/>
      <c r="W1050" s="1692"/>
      <c r="X1050" s="1692"/>
      <c r="Y1050" s="1691">
        <f>'[4]April 2018'!$I$15</f>
        <v>32.228837690913799</v>
      </c>
      <c r="Z1050" s="1690">
        <f>'[4]April 2018'!$H$16</f>
        <v>3735000</v>
      </c>
      <c r="AA1050" s="1691">
        <f>Y1050+M1050</f>
        <v>232.22883769091379</v>
      </c>
      <c r="AB1050" s="1690">
        <f>N1050+Z1050</f>
        <v>13734000</v>
      </c>
      <c r="AC1050" s="1663">
        <f>AA1050/K1050*100</f>
        <v>38.704806281818968</v>
      </c>
      <c r="AD1050" s="18">
        <f>AB1050/L1050*100</f>
        <v>24.370508384349215</v>
      </c>
      <c r="AE1050" s="18" t="s">
        <v>2418</v>
      </c>
      <c r="AF1050" s="109">
        <v>20</v>
      </c>
      <c r="AG1050" s="109"/>
      <c r="AH1050" s="109"/>
      <c r="AI1050" s="109"/>
      <c r="AJ1050" s="109"/>
      <c r="AK1050" s="109"/>
      <c r="AL1050" s="109"/>
      <c r="AM1050" s="109"/>
      <c r="AN1050" s="110" t="s">
        <v>170</v>
      </c>
      <c r="AO1050" s="109"/>
      <c r="AP1050" s="109"/>
      <c r="AQ1050" s="109"/>
      <c r="AR1050" s="109"/>
      <c r="AS1050" s="109"/>
      <c r="AT1050" s="109"/>
      <c r="AU1050" s="109"/>
      <c r="AV1050" s="109"/>
      <c r="AW1050" s="109"/>
      <c r="AX1050" s="109"/>
      <c r="AY1050" s="109"/>
      <c r="AZ1050" s="109"/>
      <c r="BA1050" s="109"/>
      <c r="BB1050" s="109"/>
      <c r="BC1050" s="109"/>
      <c r="BD1050" s="567"/>
      <c r="BE1050" s="109"/>
      <c r="BF1050" s="109"/>
      <c r="BG1050" s="109"/>
      <c r="BH1050" s="109"/>
      <c r="BI1050" s="109"/>
      <c r="BJ1050" s="109"/>
    </row>
    <row r="1051" spans="1:62" s="145" customFormat="1" ht="89.25">
      <c r="A1051" s="1692"/>
      <c r="B1051" s="1693"/>
      <c r="C1051" s="1692"/>
      <c r="D1051" s="1692"/>
      <c r="E1051" s="1692"/>
      <c r="F1051" s="1692"/>
      <c r="G1051" s="1692"/>
      <c r="H1051" s="1692"/>
      <c r="I1051" s="1414" t="s">
        <v>1283</v>
      </c>
      <c r="J1051" s="1414" t="s">
        <v>1284</v>
      </c>
      <c r="K1051" s="729">
        <v>600</v>
      </c>
      <c r="L1051" s="1694">
        <v>309900000</v>
      </c>
      <c r="M1051" s="1695" t="s">
        <v>2422</v>
      </c>
      <c r="N1051" s="1689">
        <v>75563339</v>
      </c>
      <c r="O1051" s="64">
        <v>100</v>
      </c>
      <c r="P1051" s="1690">
        <f>'[4]April 2018'!$E$19</f>
        <v>52800000</v>
      </c>
      <c r="Q1051" s="1691">
        <f>'[4]April 2018'!$I$19</f>
        <v>24.733240530303028</v>
      </c>
      <c r="R1051" s="1690">
        <f>'[4]April 2018'!$H$19</f>
        <v>13059151</v>
      </c>
      <c r="S1051" s="1692"/>
      <c r="T1051" s="1692"/>
      <c r="U1051" s="1692"/>
      <c r="V1051" s="1692"/>
      <c r="W1051" s="1692"/>
      <c r="X1051" s="1692"/>
      <c r="Y1051" s="1691">
        <f>'[4]April 2018'!$I$19</f>
        <v>24.733240530303028</v>
      </c>
      <c r="Z1051" s="1690">
        <f>'[4]April 2018'!$H$19</f>
        <v>13059151</v>
      </c>
      <c r="AA1051" s="1691">
        <f t="shared" ref="AA1051:AA1061" si="180">Y1051+M1051</f>
        <v>181.11324053030302</v>
      </c>
      <c r="AB1051" s="1690">
        <f t="shared" ref="AB1051:AB1061" si="181">N1051+Z1051</f>
        <v>88622490</v>
      </c>
      <c r="AC1051" s="1663">
        <f t="shared" ref="AC1051:AD1064" si="182">AA1051/K1051*100</f>
        <v>30.185540088383839</v>
      </c>
      <c r="AD1051" s="18">
        <f t="shared" si="182"/>
        <v>28.597124878993224</v>
      </c>
      <c r="AE1051" s="18" t="s">
        <v>2418</v>
      </c>
      <c r="AF1051" s="4238"/>
      <c r="AG1051" s="4248" t="s">
        <v>685</v>
      </c>
      <c r="AH1051" s="627">
        <v>1</v>
      </c>
      <c r="AI1051" s="627" t="s">
        <v>65</v>
      </c>
      <c r="AJ1051" s="623">
        <v>10</v>
      </c>
      <c r="AK1051" s="627" t="s">
        <v>66</v>
      </c>
      <c r="AL1051" s="627">
        <v>19</v>
      </c>
      <c r="AM1051" s="627"/>
      <c r="AN1051" s="383" t="s">
        <v>651</v>
      </c>
      <c r="AO1051" s="383" t="s">
        <v>686</v>
      </c>
      <c r="AP1051" s="383">
        <v>24</v>
      </c>
      <c r="AQ1051" s="628">
        <f>SUM(AQ1052:AQ1054)</f>
        <v>212642</v>
      </c>
      <c r="AR1051" s="383">
        <v>8</v>
      </c>
      <c r="AS1051" s="628">
        <f>SUM(AS1052:AS1054)</f>
        <v>114778</v>
      </c>
      <c r="AT1051" s="383">
        <v>4</v>
      </c>
      <c r="AU1051" s="628">
        <f>AU1052+AU1054</f>
        <v>159184</v>
      </c>
      <c r="AV1051" s="383">
        <v>1</v>
      </c>
      <c r="AW1051" s="628">
        <v>15954</v>
      </c>
      <c r="AX1051" s="383"/>
      <c r="AY1051" s="383"/>
      <c r="AZ1051" s="383"/>
      <c r="BA1051" s="383"/>
      <c r="BB1051" s="383"/>
      <c r="BC1051" s="383"/>
      <c r="BD1051" s="383"/>
      <c r="BE1051" s="628"/>
      <c r="BF1051" s="630">
        <f>AR1051+BD1051</f>
        <v>8</v>
      </c>
      <c r="BG1051" s="632">
        <f>AS1051+BE1051</f>
        <v>114778</v>
      </c>
      <c r="BH1051" s="626">
        <f>(BF1051/AP1051)*100</f>
        <v>33.333333333333329</v>
      </c>
      <c r="BI1051" s="622">
        <f>BG1051/AQ1051*100%</f>
        <v>0.53977107062574659</v>
      </c>
      <c r="BJ1051" s="616" t="s">
        <v>612</v>
      </c>
    </row>
    <row r="1052" spans="1:62" s="63" customFormat="1" ht="63.75">
      <c r="A1052" s="1692"/>
      <c r="B1052" s="1687"/>
      <c r="C1052" s="1692"/>
      <c r="D1052" s="1692"/>
      <c r="E1052" s="1692"/>
      <c r="F1052" s="1692"/>
      <c r="G1052" s="1692"/>
      <c r="H1052" s="1692"/>
      <c r="I1052" s="1414" t="s">
        <v>1287</v>
      </c>
      <c r="J1052" s="1414" t="s">
        <v>2423</v>
      </c>
      <c r="K1052" s="729">
        <v>600</v>
      </c>
      <c r="L1052" s="1689">
        <v>451800000</v>
      </c>
      <c r="M1052" s="1695" t="s">
        <v>2424</v>
      </c>
      <c r="N1052" s="1689">
        <v>127200000</v>
      </c>
      <c r="O1052" s="64">
        <v>100</v>
      </c>
      <c r="P1052" s="1690">
        <f>'[4]April 2018'!$E$22</f>
        <v>79800000</v>
      </c>
      <c r="Q1052" s="1691">
        <f>'[4]April 2018'!$I$22</f>
        <v>27.443609022556391</v>
      </c>
      <c r="R1052" s="1690">
        <f>'[4]April 2018'!$H$22</f>
        <v>21900000</v>
      </c>
      <c r="S1052" s="1692"/>
      <c r="T1052" s="1692"/>
      <c r="U1052" s="1692"/>
      <c r="V1052" s="1692"/>
      <c r="W1052" s="1692"/>
      <c r="X1052" s="1692"/>
      <c r="Y1052" s="1691">
        <f>'[4]April 2018'!$I$22</f>
        <v>27.443609022556391</v>
      </c>
      <c r="Z1052" s="1690">
        <f>'[4]April 2018'!$H$22</f>
        <v>21900000</v>
      </c>
      <c r="AA1052" s="1691">
        <f t="shared" si="180"/>
        <v>219.33360902255637</v>
      </c>
      <c r="AB1052" s="1690">
        <f t="shared" si="181"/>
        <v>149100000</v>
      </c>
      <c r="AC1052" s="1663">
        <f t="shared" si="182"/>
        <v>36.555601503759391</v>
      </c>
      <c r="AD1052" s="18">
        <f t="shared" si="182"/>
        <v>33.001328021248341</v>
      </c>
      <c r="AE1052" s="18" t="s">
        <v>2418</v>
      </c>
      <c r="AF1052" s="4239"/>
      <c r="AG1052" s="4249"/>
      <c r="AH1052" s="1900">
        <v>1</v>
      </c>
      <c r="AI1052" s="1900" t="s">
        <v>65</v>
      </c>
      <c r="AJ1052" s="1905">
        <v>10</v>
      </c>
      <c r="AK1052" s="1900" t="s">
        <v>66</v>
      </c>
      <c r="AL1052" s="1900">
        <v>19</v>
      </c>
      <c r="AM1052" s="1900">
        <v>21</v>
      </c>
      <c r="AN1052" s="384" t="s">
        <v>687</v>
      </c>
      <c r="AO1052" s="384" t="s">
        <v>688</v>
      </c>
      <c r="AP1052" s="384">
        <f>45*5</f>
        <v>225</v>
      </c>
      <c r="AQ1052" s="590">
        <v>86215</v>
      </c>
      <c r="AR1052" s="384">
        <v>0</v>
      </c>
      <c r="AS1052" s="590">
        <v>0</v>
      </c>
      <c r="AT1052" s="384">
        <v>45</v>
      </c>
      <c r="AU1052" s="590">
        <v>86215</v>
      </c>
      <c r="AV1052" s="384">
        <v>0</v>
      </c>
      <c r="AW1052" s="590">
        <v>0</v>
      </c>
      <c r="AX1052" s="384"/>
      <c r="AY1052" s="384"/>
      <c r="AZ1052" s="384"/>
      <c r="BA1052" s="384"/>
      <c r="BB1052" s="384"/>
      <c r="BC1052" s="384"/>
      <c r="BD1052" s="384"/>
      <c r="BE1052" s="590"/>
      <c r="BF1052" s="59"/>
      <c r="BG1052" s="60">
        <f>AS1052+BE1052</f>
        <v>0</v>
      </c>
      <c r="BH1052" s="1909">
        <f>(BF1052/AP1052)*100</f>
        <v>0</v>
      </c>
      <c r="BI1052" s="598">
        <f>BG1052/AQ1052*100%</f>
        <v>0</v>
      </c>
      <c r="BJ1052" s="385" t="s">
        <v>612</v>
      </c>
    </row>
    <row r="1053" spans="1:62" s="63" customFormat="1" ht="63.75">
      <c r="A1053" s="1692"/>
      <c r="B1053" s="1696"/>
      <c r="C1053" s="1692"/>
      <c r="D1053" s="1692"/>
      <c r="E1053" s="1692"/>
      <c r="F1053" s="1692"/>
      <c r="G1053" s="1692"/>
      <c r="H1053" s="1692"/>
      <c r="I1053" s="1414" t="s">
        <v>149</v>
      </c>
      <c r="J1053" s="1697" t="s">
        <v>1289</v>
      </c>
      <c r="K1053" s="729">
        <v>600</v>
      </c>
      <c r="L1053" s="1689">
        <v>259514000</v>
      </c>
      <c r="M1053" s="1695" t="s">
        <v>2425</v>
      </c>
      <c r="N1053" s="1689">
        <v>97814000</v>
      </c>
      <c r="O1053" s="64">
        <v>100</v>
      </c>
      <c r="P1053" s="1690">
        <f>'[4]April 2018'!$E$24</f>
        <v>40229350</v>
      </c>
      <c r="Q1053" s="1691">
        <f>'[4]April 2018'!$I$24</f>
        <v>32.50238942463649</v>
      </c>
      <c r="R1053" s="1690">
        <f>'[4]April 2018'!$H$24</f>
        <v>13075500</v>
      </c>
      <c r="S1053" s="1692"/>
      <c r="T1053" s="1692"/>
      <c r="U1053" s="1692"/>
      <c r="V1053" s="1692"/>
      <c r="W1053" s="1692"/>
      <c r="X1053" s="1692"/>
      <c r="Y1053" s="1691">
        <f>'[4]April 2018'!$I$24</f>
        <v>32.50238942463649</v>
      </c>
      <c r="Z1053" s="1690">
        <f>'[4]April 2018'!$H$24</f>
        <v>13075500</v>
      </c>
      <c r="AA1053" s="1691">
        <f t="shared" si="180"/>
        <v>231.11238942463649</v>
      </c>
      <c r="AB1053" s="1690">
        <f t="shared" si="181"/>
        <v>110889500</v>
      </c>
      <c r="AC1053" s="1663">
        <f t="shared" si="182"/>
        <v>38.518731570772744</v>
      </c>
      <c r="AD1053" s="18">
        <f t="shared" si="182"/>
        <v>42.729679323658836</v>
      </c>
      <c r="AE1053" s="18" t="s">
        <v>2418</v>
      </c>
      <c r="AF1053" s="4238"/>
      <c r="AG1053" s="4238"/>
      <c r="AH1053" s="1905">
        <v>1</v>
      </c>
      <c r="AI1053" s="1905" t="s">
        <v>65</v>
      </c>
      <c r="AJ1053" s="1905">
        <v>10</v>
      </c>
      <c r="AK1053" s="1905" t="s">
        <v>66</v>
      </c>
      <c r="AL1053" s="1905">
        <v>19</v>
      </c>
      <c r="AM1053" s="1905">
        <v>21</v>
      </c>
      <c r="AN1053" s="384" t="s">
        <v>689</v>
      </c>
      <c r="AO1053" s="384" t="s">
        <v>690</v>
      </c>
      <c r="AP1053" s="597">
        <f>250*5</f>
        <v>1250</v>
      </c>
      <c r="AQ1053" s="386">
        <v>72969</v>
      </c>
      <c r="AR1053" s="385">
        <v>250</v>
      </c>
      <c r="AS1053" s="386">
        <v>57389</v>
      </c>
      <c r="AT1053" s="385">
        <v>0</v>
      </c>
      <c r="AU1053" s="386">
        <v>72969</v>
      </c>
      <c r="AV1053" s="385">
        <v>0</v>
      </c>
      <c r="AW1053" s="387">
        <v>1000</v>
      </c>
      <c r="AX1053" s="385"/>
      <c r="AY1053" s="385"/>
      <c r="AZ1053" s="385"/>
      <c r="BA1053" s="385"/>
      <c r="BB1053" s="385"/>
      <c r="BC1053" s="385"/>
      <c r="BD1053" s="385">
        <f>AV1053+AX1053+AZ1053+BB1053</f>
        <v>0</v>
      </c>
      <c r="BE1053" s="387">
        <f>SUM(BE1054:BE1054)</f>
        <v>0</v>
      </c>
      <c r="BF1053" s="385">
        <f>AR1053+BD1053</f>
        <v>250</v>
      </c>
      <c r="BG1053" s="386">
        <v>0</v>
      </c>
      <c r="BH1053" s="389">
        <f>(BF1053/AP1053)*100</f>
        <v>20</v>
      </c>
      <c r="BI1053" s="389">
        <f>(BG1053/AQ1053)*100</f>
        <v>0</v>
      </c>
      <c r="BJ1053" s="385" t="s">
        <v>612</v>
      </c>
    </row>
    <row r="1054" spans="1:62" s="63" customFormat="1" ht="89.25">
      <c r="A1054" s="1692"/>
      <c r="B1054" s="1696"/>
      <c r="C1054" s="1692"/>
      <c r="D1054" s="1692"/>
      <c r="E1054" s="1692"/>
      <c r="F1054" s="1692"/>
      <c r="G1054" s="1692"/>
      <c r="H1054" s="1692"/>
      <c r="I1054" s="1414" t="str">
        <f>'[4]April 2018'!$C$28</f>
        <v>Penyediaan Jasa Perbaikan Peralatan Kerja</v>
      </c>
      <c r="J1054" s="1697" t="s">
        <v>2426</v>
      </c>
      <c r="K1054" s="729">
        <v>600</v>
      </c>
      <c r="L1054" s="1689">
        <v>128883000</v>
      </c>
      <c r="M1054" s="1695" t="s">
        <v>2427</v>
      </c>
      <c r="N1054" s="1689">
        <v>52947500</v>
      </c>
      <c r="O1054" s="64">
        <v>100</v>
      </c>
      <c r="P1054" s="1690">
        <f>'[4]April 2018'!$E$29</f>
        <v>18968000</v>
      </c>
      <c r="Q1054" s="1691">
        <f>'[4]April 2018'!$I$28</f>
        <v>13.190215099114297</v>
      </c>
      <c r="R1054" s="1690">
        <f>'[4]April 2018'!$H$28</f>
        <v>2501920</v>
      </c>
      <c r="S1054" s="1692"/>
      <c r="T1054" s="1692"/>
      <c r="U1054" s="1692"/>
      <c r="V1054" s="1692"/>
      <c r="W1054" s="1692"/>
      <c r="X1054" s="1692"/>
      <c r="Y1054" s="1691">
        <f>'[4]April 2018'!$I$28</f>
        <v>13.190215099114297</v>
      </c>
      <c r="Z1054" s="1690">
        <f>'[4]April 2018'!$H$28</f>
        <v>2501920</v>
      </c>
      <c r="AA1054" s="1691">
        <f t="shared" si="180"/>
        <v>212.96021509911429</v>
      </c>
      <c r="AB1054" s="1690">
        <f t="shared" si="181"/>
        <v>55449420</v>
      </c>
      <c r="AC1054" s="1663">
        <f t="shared" si="182"/>
        <v>35.493369183185713</v>
      </c>
      <c r="AD1054" s="18">
        <f t="shared" si="182"/>
        <v>43.023067433253416</v>
      </c>
      <c r="AE1054" s="18" t="s">
        <v>2418</v>
      </c>
      <c r="AF1054" s="4239"/>
      <c r="AG1054" s="4239"/>
      <c r="AH1054" s="1905">
        <v>1</v>
      </c>
      <c r="AI1054" s="1905" t="s">
        <v>65</v>
      </c>
      <c r="AJ1054" s="1905">
        <v>10</v>
      </c>
      <c r="AK1054" s="1905" t="s">
        <v>66</v>
      </c>
      <c r="AL1054" s="1905">
        <v>19</v>
      </c>
      <c r="AM1054" s="1905">
        <v>21</v>
      </c>
      <c r="AN1054" s="384" t="s">
        <v>691</v>
      </c>
      <c r="AO1054" s="384" t="s">
        <v>692</v>
      </c>
      <c r="AP1054" s="597">
        <f>8*5</f>
        <v>40</v>
      </c>
      <c r="AQ1054" s="386">
        <v>53458</v>
      </c>
      <c r="AR1054" s="385">
        <v>7</v>
      </c>
      <c r="AS1054" s="386">
        <v>57389</v>
      </c>
      <c r="AT1054" s="385">
        <v>5</v>
      </c>
      <c r="AU1054" s="386">
        <v>72969</v>
      </c>
      <c r="AV1054" s="385">
        <v>0</v>
      </c>
      <c r="AW1054" s="387">
        <v>49700</v>
      </c>
      <c r="AX1054" s="385"/>
      <c r="AY1054" s="385"/>
      <c r="AZ1054" s="385"/>
      <c r="BA1054" s="385"/>
      <c r="BB1054" s="385"/>
      <c r="BC1054" s="385"/>
      <c r="BD1054" s="385">
        <f>AV1054+AX1054+AZ1054+BB1054</f>
        <v>0</v>
      </c>
      <c r="BE1054" s="387">
        <f>SUM(Z960:Z960)</f>
        <v>0</v>
      </c>
      <c r="BF1054" s="385">
        <f>AR1054+BD1054</f>
        <v>7</v>
      </c>
      <c r="BG1054" s="386">
        <v>0</v>
      </c>
      <c r="BH1054" s="389">
        <f>(BF1054/AP1054)*100</f>
        <v>17.5</v>
      </c>
      <c r="BI1054" s="389">
        <f>(BG1054/AQ1054)*100</f>
        <v>0</v>
      </c>
      <c r="BJ1054" s="385" t="s">
        <v>612</v>
      </c>
    </row>
    <row r="1055" spans="1:62" s="75" customFormat="1" ht="38.25">
      <c r="A1055" s="1692"/>
      <c r="B1055" s="1696"/>
      <c r="C1055" s="1692"/>
      <c r="D1055" s="1692"/>
      <c r="E1055" s="1692"/>
      <c r="F1055" s="1692"/>
      <c r="G1055" s="1692"/>
      <c r="H1055" s="1692"/>
      <c r="I1055" s="1414" t="s">
        <v>150</v>
      </c>
      <c r="J1055" s="1697" t="s">
        <v>2428</v>
      </c>
      <c r="K1055" s="729">
        <v>600</v>
      </c>
      <c r="L1055" s="1689">
        <v>189374496</v>
      </c>
      <c r="M1055" s="1691">
        <f>'[5]Desember 2017'!$J$31+[6]Sheet1!$E$15</f>
        <v>199.91677932714737</v>
      </c>
      <c r="N1055" s="1690">
        <f>'[5]Desember 2017'!$I$31+[6]Sheet1!$D$15</f>
        <v>65841000</v>
      </c>
      <c r="O1055" s="64">
        <v>100</v>
      </c>
      <c r="P1055" s="1690">
        <f>'[4]April 2018'!$E$32</f>
        <v>30877724</v>
      </c>
      <c r="Q1055" s="1691">
        <f>'[4]April 2018'!$I$31</f>
        <v>28.386483407909207</v>
      </c>
      <c r="R1055" s="1690">
        <f>'[4]April 2018'!$H$31</f>
        <v>8765100</v>
      </c>
      <c r="S1055" s="1692"/>
      <c r="T1055" s="1692"/>
      <c r="U1055" s="1692"/>
      <c r="V1055" s="1692"/>
      <c r="W1055" s="1692"/>
      <c r="X1055" s="1692"/>
      <c r="Y1055" s="1691">
        <f>'[4]April 2018'!$I$31</f>
        <v>28.386483407909207</v>
      </c>
      <c r="Z1055" s="1690">
        <f>'[4]April 2018'!$H$31</f>
        <v>8765100</v>
      </c>
      <c r="AA1055" s="1691">
        <f t="shared" si="180"/>
        <v>228.30326273505656</v>
      </c>
      <c r="AB1055" s="1690">
        <f t="shared" si="181"/>
        <v>74606100</v>
      </c>
      <c r="AC1055" s="1663">
        <f t="shared" si="182"/>
        <v>38.050543789176096</v>
      </c>
      <c r="AD1055" s="18">
        <f t="shared" si="182"/>
        <v>39.396065244181564</v>
      </c>
      <c r="AE1055" s="18" t="s">
        <v>2418</v>
      </c>
      <c r="AF1055" s="94"/>
      <c r="AG1055" s="94"/>
      <c r="AH1055" s="95"/>
      <c r="AI1055" s="95"/>
      <c r="AJ1055" s="95"/>
      <c r="AK1055" s="95"/>
      <c r="AL1055" s="95"/>
      <c r="AM1055" s="80"/>
      <c r="AN1055" s="96"/>
      <c r="AO1055" s="97"/>
      <c r="AP1055" s="98"/>
      <c r="AQ1055" s="99"/>
      <c r="AR1055" s="100"/>
      <c r="AS1055" s="94"/>
      <c r="AT1055" s="94"/>
      <c r="AU1055" s="94"/>
      <c r="AV1055" s="101"/>
      <c r="AW1055" s="102"/>
      <c r="AX1055" s="94"/>
      <c r="AY1055" s="102"/>
      <c r="AZ1055" s="103"/>
      <c r="BA1055" s="94"/>
      <c r="BB1055" s="94"/>
      <c r="BC1055" s="94"/>
      <c r="BD1055" s="568"/>
      <c r="BE1055" s="104"/>
      <c r="BF1055" s="105"/>
      <c r="BG1055" s="106"/>
      <c r="BH1055" s="107"/>
      <c r="BI1055" s="108"/>
      <c r="BJ1055" s="94"/>
    </row>
    <row r="1056" spans="1:62" s="69" customFormat="1" ht="24" customHeight="1">
      <c r="A1056" s="1692"/>
      <c r="B1056" s="1696"/>
      <c r="C1056" s="1692"/>
      <c r="D1056" s="1692"/>
      <c r="E1056" s="1692"/>
      <c r="F1056" s="1692"/>
      <c r="G1056" s="1692"/>
      <c r="H1056" s="1692"/>
      <c r="I1056" s="1414" t="s">
        <v>151</v>
      </c>
      <c r="J1056" s="1697" t="s">
        <v>2429</v>
      </c>
      <c r="K1056" s="729">
        <v>600</v>
      </c>
      <c r="L1056" s="1689">
        <v>175469200</v>
      </c>
      <c r="M1056" s="1691">
        <f>'[5]Desember 2017'!$J$34+[6]Sheet1!$E$16</f>
        <v>199.95428571428573</v>
      </c>
      <c r="N1056" s="1690">
        <f>'[5]Desember 2017'!$I$34+[6]Sheet1!$D$16</f>
        <v>69983800</v>
      </c>
      <c r="O1056" s="64">
        <v>100</v>
      </c>
      <c r="P1056" s="1690">
        <f>'[4]April 2018'!$E$35</f>
        <v>26367300</v>
      </c>
      <c r="Q1056" s="1691">
        <f>'[4]April 2018'!$I$34</f>
        <v>25.038589464981246</v>
      </c>
      <c r="R1056" s="1690">
        <f>'[4]April 2018'!$H$34</f>
        <v>6602000</v>
      </c>
      <c r="S1056" s="1692"/>
      <c r="T1056" s="1692"/>
      <c r="U1056" s="1692"/>
      <c r="V1056" s="1692"/>
      <c r="W1056" s="1692"/>
      <c r="X1056" s="1692"/>
      <c r="Y1056" s="1691">
        <f>'[4]April 2018'!$I$34</f>
        <v>25.038589464981246</v>
      </c>
      <c r="Z1056" s="1690">
        <f>'[4]April 2018'!$H$34</f>
        <v>6602000</v>
      </c>
      <c r="AA1056" s="1691">
        <f t="shared" si="180"/>
        <v>224.99287517926697</v>
      </c>
      <c r="AB1056" s="1690">
        <f t="shared" si="181"/>
        <v>76585800</v>
      </c>
      <c r="AC1056" s="1663">
        <f t="shared" si="182"/>
        <v>37.498812529877831</v>
      </c>
      <c r="AD1056" s="18">
        <f t="shared" si="182"/>
        <v>43.646292340764077</v>
      </c>
      <c r="AE1056" s="18" t="s">
        <v>2418</v>
      </c>
      <c r="AF1056" s="109">
        <v>21</v>
      </c>
      <c r="AG1056" s="109"/>
      <c r="AH1056" s="109"/>
      <c r="AI1056" s="109"/>
      <c r="AJ1056" s="109"/>
      <c r="AK1056" s="109"/>
      <c r="AL1056" s="109"/>
      <c r="AM1056" s="109"/>
      <c r="AN1056" s="110" t="s">
        <v>171</v>
      </c>
      <c r="AO1056" s="109"/>
      <c r="AP1056" s="109"/>
      <c r="AQ1056" s="109"/>
      <c r="AR1056" s="109"/>
      <c r="AS1056" s="109"/>
      <c r="AT1056" s="109"/>
      <c r="AU1056" s="109"/>
      <c r="AV1056" s="109"/>
      <c r="AW1056" s="109"/>
      <c r="AX1056" s="109"/>
      <c r="AY1056" s="109"/>
      <c r="AZ1056" s="109"/>
      <c r="BA1056" s="109"/>
      <c r="BB1056" s="109"/>
      <c r="BC1056" s="109"/>
      <c r="BD1056" s="567"/>
      <c r="BE1056" s="109"/>
      <c r="BF1056" s="109"/>
      <c r="BG1056" s="109"/>
      <c r="BH1056" s="109"/>
      <c r="BI1056" s="109"/>
      <c r="BJ1056" s="109"/>
    </row>
    <row r="1057" spans="1:62" s="75" customFormat="1" ht="51">
      <c r="A1057" s="1692"/>
      <c r="B1057" s="1696"/>
      <c r="C1057" s="1692"/>
      <c r="D1057" s="1692"/>
      <c r="E1057" s="1692"/>
      <c r="F1057" s="1692"/>
      <c r="G1057" s="1692"/>
      <c r="H1057" s="1692"/>
      <c r="I1057" s="1414" t="s">
        <v>152</v>
      </c>
      <c r="J1057" s="1697" t="s">
        <v>2430</v>
      </c>
      <c r="K1057" s="729">
        <v>600</v>
      </c>
      <c r="L1057" s="1689">
        <v>60452620</v>
      </c>
      <c r="M1057" s="1691">
        <f>'[5]Desember 2017'!$J$44+[6]Sheet1!$E$17</f>
        <v>199.23581982964387</v>
      </c>
      <c r="N1057" s="1690">
        <f>'[5]Desember 2017'!$I$45+[6]Sheet1!$D$17</f>
        <v>17174000</v>
      </c>
      <c r="O1057" s="64">
        <v>100</v>
      </c>
      <c r="P1057" s="1690">
        <f>'[4]April 2018'!$E$38</f>
        <v>10799024</v>
      </c>
      <c r="Q1057" s="1691">
        <f>'[4]April 2018'!$I$37</f>
        <v>22.798356592225371</v>
      </c>
      <c r="R1057" s="1690">
        <f>'[4]April 2018'!$H$37</f>
        <v>2462000</v>
      </c>
      <c r="S1057" s="1692"/>
      <c r="T1057" s="1692"/>
      <c r="U1057" s="1692"/>
      <c r="V1057" s="1692"/>
      <c r="W1057" s="1692"/>
      <c r="X1057" s="1692"/>
      <c r="Y1057" s="1691">
        <f>'[4]April 2018'!$I$37</f>
        <v>22.798356592225371</v>
      </c>
      <c r="Z1057" s="1690">
        <f>'[4]April 2018'!$H$37</f>
        <v>2462000</v>
      </c>
      <c r="AA1057" s="1691">
        <f t="shared" si="180"/>
        <v>222.03417642186923</v>
      </c>
      <c r="AB1057" s="1690">
        <f t="shared" si="181"/>
        <v>19636000</v>
      </c>
      <c r="AC1057" s="1663">
        <f t="shared" si="182"/>
        <v>37.005696070311537</v>
      </c>
      <c r="AD1057" s="18">
        <f t="shared" si="182"/>
        <v>32.481636031655867</v>
      </c>
      <c r="AE1057" s="18" t="s">
        <v>2418</v>
      </c>
      <c r="AF1057" s="94"/>
      <c r="AG1057" s="94"/>
      <c r="AH1057" s="95"/>
      <c r="AI1057" s="95"/>
      <c r="AJ1057" s="95"/>
      <c r="AK1057" s="95"/>
      <c r="AL1057" s="95"/>
      <c r="AM1057" s="80"/>
      <c r="AN1057" s="96"/>
      <c r="AO1057" s="97"/>
      <c r="AP1057" s="98"/>
      <c r="AQ1057" s="99"/>
      <c r="AR1057" s="100"/>
      <c r="AS1057" s="94"/>
      <c r="AT1057" s="94"/>
      <c r="AU1057" s="94"/>
      <c r="AV1057" s="101"/>
      <c r="AW1057" s="102"/>
      <c r="AX1057" s="94"/>
      <c r="AY1057" s="102"/>
      <c r="AZ1057" s="103"/>
      <c r="BA1057" s="94"/>
      <c r="BB1057" s="94"/>
      <c r="BC1057" s="94"/>
      <c r="BD1057" s="568"/>
      <c r="BE1057" s="104"/>
      <c r="BF1057" s="105"/>
      <c r="BG1057" s="106"/>
      <c r="BH1057" s="107"/>
      <c r="BI1057" s="108"/>
      <c r="BJ1057" s="94"/>
    </row>
    <row r="1058" spans="1:62" s="69" customFormat="1" ht="34.5" customHeight="1">
      <c r="A1058" s="1692"/>
      <c r="B1058" s="1696"/>
      <c r="C1058" s="1692"/>
      <c r="D1058" s="1692"/>
      <c r="E1058" s="1692"/>
      <c r="F1058" s="1692"/>
      <c r="G1058" s="1692"/>
      <c r="H1058" s="1692"/>
      <c r="I1058" s="1414" t="s">
        <v>1293</v>
      </c>
      <c r="J1058" s="1697" t="s">
        <v>1294</v>
      </c>
      <c r="K1058" s="729">
        <v>600</v>
      </c>
      <c r="L1058" s="1689">
        <v>79065000</v>
      </c>
      <c r="M1058" s="1691">
        <f>'[5]Desember 2017'!$J$48+[6]Sheet1!$E$23</f>
        <v>198.89043165467626</v>
      </c>
      <c r="N1058" s="1690">
        <f>'[5]Desember 2017'!$I$48+[6]Sheet1!$D$23</f>
        <v>36990000</v>
      </c>
      <c r="O1058" s="64">
        <v>100</v>
      </c>
      <c r="P1058" s="1690">
        <f>'[4]April 2018'!$E$41</f>
        <v>10500000</v>
      </c>
      <c r="Q1058" s="1691">
        <f>'[4]April 2018'!$I$40</f>
        <v>14.857142857142858</v>
      </c>
      <c r="R1058" s="1690">
        <f>'[4]April 2018'!$H$41</f>
        <v>1560000</v>
      </c>
      <c r="S1058" s="1692"/>
      <c r="T1058" s="1692"/>
      <c r="U1058" s="1692"/>
      <c r="V1058" s="1692"/>
      <c r="W1058" s="1692"/>
      <c r="X1058" s="1692"/>
      <c r="Y1058" s="1691">
        <f>'[4]April 2018'!$I$40</f>
        <v>14.857142857142858</v>
      </c>
      <c r="Z1058" s="1690">
        <f>'[4]April 2018'!$H$41</f>
        <v>1560000</v>
      </c>
      <c r="AA1058" s="1691">
        <f t="shared" si="180"/>
        <v>213.74757451181912</v>
      </c>
      <c r="AB1058" s="1690">
        <f t="shared" si="181"/>
        <v>38550000</v>
      </c>
      <c r="AC1058" s="1663">
        <f t="shared" si="182"/>
        <v>35.624595751969856</v>
      </c>
      <c r="AD1058" s="18">
        <f t="shared" si="182"/>
        <v>48.757351546196169</v>
      </c>
      <c r="AE1058" s="18" t="s">
        <v>2418</v>
      </c>
      <c r="AF1058" s="109">
        <v>22</v>
      </c>
      <c r="AG1058" s="109"/>
      <c r="AH1058" s="109"/>
      <c r="AI1058" s="109"/>
      <c r="AJ1058" s="109"/>
      <c r="AK1058" s="109"/>
      <c r="AL1058" s="109"/>
      <c r="AM1058" s="109"/>
      <c r="AN1058" s="110" t="s">
        <v>172</v>
      </c>
      <c r="AO1058" s="109"/>
      <c r="AP1058" s="109"/>
      <c r="AQ1058" s="109"/>
      <c r="AR1058" s="109"/>
      <c r="AS1058" s="109"/>
      <c r="AT1058" s="109"/>
      <c r="AU1058" s="109"/>
      <c r="AV1058" s="109"/>
      <c r="AW1058" s="109"/>
      <c r="AX1058" s="109"/>
      <c r="AY1058" s="109"/>
      <c r="AZ1058" s="109"/>
      <c r="BA1058" s="109"/>
      <c r="BB1058" s="109"/>
      <c r="BC1058" s="109"/>
      <c r="BD1058" s="567"/>
      <c r="BE1058" s="109"/>
      <c r="BF1058" s="109"/>
      <c r="BG1058" s="109"/>
      <c r="BH1058" s="109"/>
      <c r="BI1058" s="109"/>
      <c r="BJ1058" s="109"/>
    </row>
    <row r="1059" spans="1:62" s="335" customFormat="1" ht="45.75" customHeight="1">
      <c r="A1059" s="1692"/>
      <c r="B1059" s="1696"/>
      <c r="C1059" s="1692"/>
      <c r="D1059" s="1692"/>
      <c r="E1059" s="1692"/>
      <c r="F1059" s="1692"/>
      <c r="G1059" s="1692"/>
      <c r="H1059" s="1692"/>
      <c r="I1059" s="1414" t="s">
        <v>157</v>
      </c>
      <c r="J1059" s="1697" t="s">
        <v>2431</v>
      </c>
      <c r="K1059" s="729">
        <v>600</v>
      </c>
      <c r="L1059" s="1689">
        <v>316641000</v>
      </c>
      <c r="M1059" s="1691">
        <f>'[5]Desember 2017'!$J$51+[6]Sheet1!$E$24</f>
        <v>199.87139999999999</v>
      </c>
      <c r="N1059" s="1690">
        <f>'[5]Desember 2017'!$I$51+[6]Sheet1!$D$24</f>
        <v>187096400</v>
      </c>
      <c r="O1059" s="64">
        <v>100</v>
      </c>
      <c r="P1059" s="1690">
        <f>'[4]April 2018'!$E$46</f>
        <v>32384000</v>
      </c>
      <c r="Q1059" s="1691">
        <f>'[4]April 2018'!$I$43</f>
        <v>33.867033102766797</v>
      </c>
      <c r="R1059" s="1690">
        <f>'[4]April 2018'!$H$43</f>
        <v>10967500</v>
      </c>
      <c r="S1059" s="1692"/>
      <c r="T1059" s="1692"/>
      <c r="U1059" s="1692"/>
      <c r="V1059" s="1692"/>
      <c r="W1059" s="1692"/>
      <c r="X1059" s="1692"/>
      <c r="Y1059" s="1691">
        <f>'[4]April 2018'!$I$43</f>
        <v>33.867033102766797</v>
      </c>
      <c r="Z1059" s="1690">
        <f>'[4]April 2018'!$H$43</f>
        <v>10967500</v>
      </c>
      <c r="AA1059" s="1691">
        <f t="shared" si="180"/>
        <v>233.73843310276681</v>
      </c>
      <c r="AB1059" s="1690">
        <f t="shared" si="181"/>
        <v>198063900</v>
      </c>
      <c r="AC1059" s="1663">
        <f t="shared" si="182"/>
        <v>38.956405517127799</v>
      </c>
      <c r="AD1059" s="18">
        <f t="shared" si="182"/>
        <v>62.551564705770893</v>
      </c>
      <c r="AE1059" s="18" t="s">
        <v>2418</v>
      </c>
      <c r="AF1059" s="329" t="s">
        <v>428</v>
      </c>
      <c r="AG1059" s="330"/>
      <c r="AH1059" s="330"/>
      <c r="AI1059" s="208"/>
      <c r="AJ1059" s="330"/>
      <c r="AK1059" s="330"/>
      <c r="AL1059" s="330"/>
      <c r="AM1059" s="330"/>
      <c r="AN1059" s="330" t="s">
        <v>429</v>
      </c>
      <c r="AO1059" s="331"/>
      <c r="AP1059" s="331"/>
      <c r="AQ1059" s="331"/>
      <c r="AR1059" s="331"/>
      <c r="AS1059" s="331"/>
      <c r="AT1059" s="331"/>
      <c r="AU1059" s="332"/>
      <c r="AV1059" s="331"/>
      <c r="AW1059" s="331"/>
      <c r="AX1059" s="331"/>
      <c r="AY1059" s="331"/>
      <c r="AZ1059" s="331"/>
      <c r="BA1059" s="331"/>
      <c r="BB1059" s="331"/>
      <c r="BC1059" s="331"/>
      <c r="BD1059" s="333"/>
      <c r="BE1059" s="331"/>
      <c r="BF1059" s="331"/>
      <c r="BG1059" s="331"/>
      <c r="BH1059" s="332"/>
      <c r="BI1059" s="332"/>
      <c r="BJ1059" s="334"/>
    </row>
    <row r="1060" spans="1:62" s="244" customFormat="1" ht="76.5">
      <c r="A1060" s="1692"/>
      <c r="B1060" s="1696"/>
      <c r="C1060" s="1692"/>
      <c r="D1060" s="1692"/>
      <c r="E1060" s="1692"/>
      <c r="F1060" s="1692"/>
      <c r="G1060" s="1692"/>
      <c r="H1060" s="1692"/>
      <c r="I1060" s="1414" t="s">
        <v>244</v>
      </c>
      <c r="J1060" s="1697" t="s">
        <v>1296</v>
      </c>
      <c r="K1060" s="729">
        <v>600</v>
      </c>
      <c r="L1060" s="1689">
        <v>798022000</v>
      </c>
      <c r="M1060" s="1691">
        <f>'[5]Desember 2017'!$J$54+[6]Sheet1!$E$25</f>
        <v>172.14490125673251</v>
      </c>
      <c r="N1060" s="1698">
        <f>'[5]Desember 2017'!$I$54+[6]Sheet1!$D$25</f>
        <v>317970738</v>
      </c>
      <c r="O1060" s="64">
        <v>100</v>
      </c>
      <c r="P1060" s="1690">
        <f>'[4]April 2018'!$E$49</f>
        <v>102850000</v>
      </c>
      <c r="Q1060" s="1691">
        <f>'[4]April 2018'!$I$48</f>
        <v>36.106757413709282</v>
      </c>
      <c r="R1060" s="1690">
        <f>'[4]April 2018'!$H$48</f>
        <v>37135800</v>
      </c>
      <c r="S1060" s="1692"/>
      <c r="T1060" s="1692"/>
      <c r="U1060" s="1692"/>
      <c r="V1060" s="1692"/>
      <c r="W1060" s="1692"/>
      <c r="X1060" s="1692"/>
      <c r="Y1060" s="1691">
        <f>'[4]April 2018'!$I$48</f>
        <v>36.106757413709282</v>
      </c>
      <c r="Z1060" s="1690">
        <f>'[4]April 2018'!$H$48</f>
        <v>37135800</v>
      </c>
      <c r="AA1060" s="1691">
        <f t="shared" si="180"/>
        <v>208.2516586704418</v>
      </c>
      <c r="AB1060" s="1690">
        <f t="shared" si="181"/>
        <v>355106538</v>
      </c>
      <c r="AC1060" s="1663">
        <f t="shared" si="182"/>
        <v>34.708609778406966</v>
      </c>
      <c r="AD1060" s="18">
        <f t="shared" si="182"/>
        <v>44.49833939415204</v>
      </c>
      <c r="AE1060" s="18" t="s">
        <v>2418</v>
      </c>
      <c r="AF1060" s="220"/>
      <c r="AG1060" s="233"/>
      <c r="AH1060" s="288" t="s">
        <v>66</v>
      </c>
      <c r="AI1060" s="288" t="s">
        <v>66</v>
      </c>
      <c r="AJ1060" s="289" t="s">
        <v>66</v>
      </c>
      <c r="AK1060" s="288" t="s">
        <v>66</v>
      </c>
      <c r="AL1060" s="288" t="s">
        <v>155</v>
      </c>
      <c r="AM1060" s="247"/>
      <c r="AN1060" s="320" t="s">
        <v>173</v>
      </c>
      <c r="AO1060" s="286" t="s">
        <v>174</v>
      </c>
      <c r="AP1060" s="291">
        <v>100</v>
      </c>
      <c r="AQ1060" s="291">
        <f>SUM(AQ1061:AQ1065)</f>
        <v>7560866</v>
      </c>
      <c r="AR1060" s="291">
        <f>AR1067</f>
        <v>33.333333333333336</v>
      </c>
      <c r="AS1060" s="291">
        <f>SUM(AS1061:AS1065)</f>
        <v>4227558</v>
      </c>
      <c r="AT1060" s="290">
        <f>AT1067</f>
        <v>16.666666666666668</v>
      </c>
      <c r="AU1060" s="291">
        <f>SUM(AU1061:AU1065)</f>
        <v>1457027</v>
      </c>
      <c r="AV1060" s="291">
        <f>SUM(AV1061:AV1065)</f>
        <v>0.32962364304933611</v>
      </c>
      <c r="AW1060" s="291">
        <f>SUM(AW1061:AW1065)</f>
        <v>135000</v>
      </c>
      <c r="AX1060" s="245"/>
      <c r="AY1060" s="252"/>
      <c r="AZ1060" s="245"/>
      <c r="BA1060" s="252"/>
      <c r="BB1060" s="245"/>
      <c r="BC1060" s="252"/>
      <c r="BD1060" s="218">
        <f>AV1060+AX1060+AZ1060+BB1060</f>
        <v>0.32962364304933611</v>
      </c>
      <c r="BE1060" s="219">
        <f>SUM(BE1061:BE1064)</f>
        <v>135000</v>
      </c>
      <c r="BF1060" s="220">
        <f>AR1060+BD1060</f>
        <v>33.662956976382674</v>
      </c>
      <c r="BG1060" s="221">
        <f>SUM(BG1061:BG1064)</f>
        <v>1674558</v>
      </c>
      <c r="BH1060" s="222">
        <f t="shared" ref="BH1060:BH1065" si="183">(BF1060/AP1060)*100</f>
        <v>33.662956976382674</v>
      </c>
      <c r="BI1060" s="222">
        <f t="shared" ref="BI1060:BI1065" si="184">(BG1060/AQ1060)*100</f>
        <v>22.14770107022132</v>
      </c>
      <c r="BJ1060" s="161" t="s">
        <v>175</v>
      </c>
    </row>
    <row r="1061" spans="1:62" s="244" customFormat="1" ht="51" customHeight="1">
      <c r="A1061" s="1692"/>
      <c r="B1061" s="1699"/>
      <c r="C1061" s="1692"/>
      <c r="D1061" s="1692"/>
      <c r="E1061" s="1692"/>
      <c r="F1061" s="1692"/>
      <c r="G1061" s="1692"/>
      <c r="H1061" s="1692"/>
      <c r="I1061" s="1414" t="s">
        <v>246</v>
      </c>
      <c r="J1061" s="1697" t="s">
        <v>1297</v>
      </c>
      <c r="K1061" s="729">
        <v>600</v>
      </c>
      <c r="L1061" s="1689">
        <v>429300000</v>
      </c>
      <c r="M1061" s="1691">
        <f>'[5]Desember 2017'!$J$56+[6]Sheet1!$E$26</f>
        <v>199.67836257309941</v>
      </c>
      <c r="N1061" s="1690">
        <f>'[5]Desember 2017'!$I$56+[6]Sheet1!$D$26</f>
        <v>196225000</v>
      </c>
      <c r="O1061" s="64">
        <v>100</v>
      </c>
      <c r="P1061" s="1690">
        <f>'[4]April 2018'!$E$52</f>
        <v>58200000</v>
      </c>
      <c r="Q1061" s="1691">
        <f>'[4]April 2018'!$I$51</f>
        <v>65.042955326460486</v>
      </c>
      <c r="R1061" s="1690">
        <f>'[4]April 2018'!$H$51</f>
        <v>37855000</v>
      </c>
      <c r="S1061" s="1692"/>
      <c r="T1061" s="1692"/>
      <c r="U1061" s="1692"/>
      <c r="V1061" s="1692"/>
      <c r="W1061" s="1692"/>
      <c r="X1061" s="1692"/>
      <c r="Y1061" s="1691">
        <f>'[4]April 2018'!$I$51</f>
        <v>65.042955326460486</v>
      </c>
      <c r="Z1061" s="1690">
        <f>'[4]April 2018'!$H$51</f>
        <v>37855000</v>
      </c>
      <c r="AA1061" s="1691">
        <f t="shared" si="180"/>
        <v>264.72131789955989</v>
      </c>
      <c r="AB1061" s="1690">
        <f t="shared" si="181"/>
        <v>234080000</v>
      </c>
      <c r="AC1061" s="1663">
        <f t="shared" si="182"/>
        <v>44.120219649926653</v>
      </c>
      <c r="AD1061" s="18">
        <f t="shared" si="182"/>
        <v>54.525972513393896</v>
      </c>
      <c r="AE1061" s="18" t="s">
        <v>2418</v>
      </c>
      <c r="AF1061" s="220">
        <v>9</v>
      </c>
      <c r="AG1061" s="233"/>
      <c r="AH1061" s="247" t="s">
        <v>66</v>
      </c>
      <c r="AI1061" s="247" t="s">
        <v>66</v>
      </c>
      <c r="AJ1061" s="238" t="s">
        <v>66</v>
      </c>
      <c r="AK1061" s="247" t="s">
        <v>66</v>
      </c>
      <c r="AL1061" s="247" t="s">
        <v>155</v>
      </c>
      <c r="AM1061" s="247" t="s">
        <v>165</v>
      </c>
      <c r="AN1061" s="246" t="s">
        <v>176</v>
      </c>
      <c r="AO1061" s="246" t="s">
        <v>177</v>
      </c>
      <c r="AP1061" s="248">
        <v>4</v>
      </c>
      <c r="AQ1061" s="224">
        <f>4*313536</f>
        <v>1254144</v>
      </c>
      <c r="AR1061" s="247">
        <v>0</v>
      </c>
      <c r="AS1061" s="336">
        <v>0</v>
      </c>
      <c r="AT1061" s="248">
        <v>1</v>
      </c>
      <c r="AU1061" s="224">
        <f>1*313536</f>
        <v>313536</v>
      </c>
      <c r="AV1061" s="247">
        <v>0</v>
      </c>
      <c r="AW1061" s="336">
        <v>0</v>
      </c>
      <c r="AX1061" s="245"/>
      <c r="AY1061" s="252"/>
      <c r="AZ1061" s="245"/>
      <c r="BA1061" s="252"/>
      <c r="BB1061" s="245"/>
      <c r="BC1061" s="252"/>
      <c r="BD1061" s="223">
        <f t="shared" ref="BD1061:BE1065" si="185">AV1061+AX1061+AZ1061+BB1061</f>
        <v>0</v>
      </c>
      <c r="BE1061" s="224">
        <f t="shared" si="185"/>
        <v>0</v>
      </c>
      <c r="BF1061" s="225">
        <f>AR1061+BD1061</f>
        <v>0</v>
      </c>
      <c r="BG1061" s="226">
        <f>AS1061+BE1061</f>
        <v>0</v>
      </c>
      <c r="BH1061" s="227">
        <f t="shared" si="183"/>
        <v>0</v>
      </c>
      <c r="BI1061" s="227">
        <f t="shared" si="184"/>
        <v>0</v>
      </c>
      <c r="BJ1061" s="161" t="s">
        <v>175</v>
      </c>
    </row>
    <row r="1062" spans="1:62" s="244" customFormat="1" ht="27" customHeight="1">
      <c r="A1062" s="1700"/>
      <c r="B1062" s="1700"/>
      <c r="C1062" s="1680">
        <v>3</v>
      </c>
      <c r="D1062" s="1681" t="s">
        <v>107</v>
      </c>
      <c r="E1062" s="1682" t="s">
        <v>95</v>
      </c>
      <c r="F1062" s="1681" t="s">
        <v>66</v>
      </c>
      <c r="G1062" s="1681" t="s">
        <v>65</v>
      </c>
      <c r="H1062" s="1683"/>
      <c r="I1062" s="4484" t="s">
        <v>257</v>
      </c>
      <c r="J1062" s="4485"/>
      <c r="K1062" s="1700">
        <f t="shared" ref="K1062:R1062" si="186">SUM(K1063:K1065)</f>
        <v>1400</v>
      </c>
      <c r="L1062" s="1701">
        <f t="shared" si="186"/>
        <v>1919225150</v>
      </c>
      <c r="M1062" s="1702">
        <f t="shared" si="186"/>
        <v>399.82036531611391</v>
      </c>
      <c r="N1062" s="1701">
        <f t="shared" si="186"/>
        <v>524624622</v>
      </c>
      <c r="O1062" s="1700">
        <f t="shared" si="186"/>
        <v>300</v>
      </c>
      <c r="P1062" s="1701">
        <f t="shared" si="186"/>
        <v>360285500</v>
      </c>
      <c r="Q1062" s="1702">
        <f t="shared" si="186"/>
        <v>54.9392443567681</v>
      </c>
      <c r="R1062" s="1701">
        <f t="shared" si="186"/>
        <v>78062886</v>
      </c>
      <c r="S1062" s="1700"/>
      <c r="T1062" s="1700"/>
      <c r="U1062" s="1700"/>
      <c r="V1062" s="1700"/>
      <c r="W1062" s="1700"/>
      <c r="X1062" s="1700"/>
      <c r="Y1062" s="1702">
        <f>SUM(Y1063:Y1065)</f>
        <v>54.9392443567681</v>
      </c>
      <c r="Z1062" s="1701">
        <f>SUM(Z1063:Z1065)</f>
        <v>78062886</v>
      </c>
      <c r="AA1062" s="1702">
        <f>Y1062+M1062</f>
        <v>454.75960967288199</v>
      </c>
      <c r="AB1062" s="1701">
        <f>Z1062+N1062</f>
        <v>602687508</v>
      </c>
      <c r="AC1062" s="1665">
        <f t="shared" si="182"/>
        <v>32.482829262348709</v>
      </c>
      <c r="AD1062" s="1664">
        <f t="shared" si="182"/>
        <v>31.402647469474854</v>
      </c>
      <c r="AE1062" s="1664"/>
      <c r="AF1062" s="236">
        <v>1</v>
      </c>
      <c r="AG1062" s="233"/>
      <c r="AH1062" s="247" t="s">
        <v>66</v>
      </c>
      <c r="AI1062" s="247" t="s">
        <v>66</v>
      </c>
      <c r="AJ1062" s="238" t="s">
        <v>66</v>
      </c>
      <c r="AK1062" s="247" t="s">
        <v>66</v>
      </c>
      <c r="AL1062" s="247" t="s">
        <v>155</v>
      </c>
      <c r="AM1062" s="247" t="s">
        <v>178</v>
      </c>
      <c r="AN1062" s="246" t="s">
        <v>179</v>
      </c>
      <c r="AO1062" s="246" t="s">
        <v>180</v>
      </c>
      <c r="AP1062" s="248">
        <v>4</v>
      </c>
      <c r="AQ1062" s="224">
        <f>306512*4</f>
        <v>1226048</v>
      </c>
      <c r="AR1062" s="247">
        <v>0</v>
      </c>
      <c r="AS1062" s="336">
        <v>0</v>
      </c>
      <c r="AT1062" s="248">
        <v>1</v>
      </c>
      <c r="AU1062" s="224">
        <f>306512*1</f>
        <v>306512</v>
      </c>
      <c r="AV1062" s="247">
        <v>0</v>
      </c>
      <c r="AW1062" s="336">
        <v>0</v>
      </c>
      <c r="AX1062" s="245"/>
      <c r="AY1062" s="252"/>
      <c r="AZ1062" s="245"/>
      <c r="BA1062" s="252"/>
      <c r="BB1062" s="245"/>
      <c r="BC1062" s="252"/>
      <c r="BD1062" s="223">
        <f t="shared" si="185"/>
        <v>0</v>
      </c>
      <c r="BE1062" s="224">
        <f t="shared" si="185"/>
        <v>0</v>
      </c>
      <c r="BF1062" s="225">
        <f t="shared" ref="BF1062:BG1065" si="187">AR1062+BD1062</f>
        <v>0</v>
      </c>
      <c r="BG1062" s="226">
        <f t="shared" si="187"/>
        <v>0</v>
      </c>
      <c r="BH1062" s="227">
        <f t="shared" si="183"/>
        <v>0</v>
      </c>
      <c r="BI1062" s="227">
        <f t="shared" si="184"/>
        <v>0</v>
      </c>
      <c r="BJ1062" s="161" t="s">
        <v>175</v>
      </c>
    </row>
    <row r="1063" spans="1:62" s="244" customFormat="1" ht="54">
      <c r="A1063" s="1692"/>
      <c r="B1063" s="4469" t="s">
        <v>2419</v>
      </c>
      <c r="C1063" s="1692"/>
      <c r="D1063" s="1692"/>
      <c r="E1063" s="1692"/>
      <c r="F1063" s="1692"/>
      <c r="G1063" s="1692"/>
      <c r="H1063" s="1692"/>
      <c r="I1063" s="1414" t="s">
        <v>1301</v>
      </c>
      <c r="J1063" s="1703" t="s">
        <v>2432</v>
      </c>
      <c r="K1063" s="64">
        <v>600</v>
      </c>
      <c r="L1063" s="1689">
        <v>404720000</v>
      </c>
      <c r="M1063" s="1691">
        <f>'[5]Desember 2017'!$J$61+[6]Sheet1!$E$29</f>
        <v>199.87571428571431</v>
      </c>
      <c r="N1063" s="1690">
        <f>'[5]Desember 2017'!$I$61+[6]Sheet1!$D$29</f>
        <v>168686000</v>
      </c>
      <c r="O1063" s="64">
        <v>100</v>
      </c>
      <c r="P1063" s="1690">
        <f>'[4]Maret 2018'!$E$56</f>
        <v>59000000</v>
      </c>
      <c r="Q1063" s="1691">
        <f>'[4]Maret 2018'!$I$56</f>
        <v>29.111864406779659</v>
      </c>
      <c r="R1063" s="1690">
        <f>'[4]Maret 2018'!$H$56</f>
        <v>17176000</v>
      </c>
      <c r="S1063" s="1692"/>
      <c r="T1063" s="1692"/>
      <c r="U1063" s="1692"/>
      <c r="V1063" s="1692"/>
      <c r="W1063" s="1692"/>
      <c r="X1063" s="1692"/>
      <c r="Y1063" s="1691">
        <f>'[4]Maret 2018'!$I$56</f>
        <v>29.111864406779659</v>
      </c>
      <c r="Z1063" s="1690">
        <f>'[4]Maret 2018'!$H$56</f>
        <v>17176000</v>
      </c>
      <c r="AA1063" s="1691">
        <f>M1063+Y1063</f>
        <v>228.98757869249397</v>
      </c>
      <c r="AB1063" s="1690">
        <f>N1063+Z1063</f>
        <v>185862000</v>
      </c>
      <c r="AC1063" s="1663">
        <f t="shared" si="182"/>
        <v>38.164596448748995</v>
      </c>
      <c r="AD1063" s="18">
        <f t="shared" si="182"/>
        <v>45.923601502273179</v>
      </c>
      <c r="AE1063" s="18" t="s">
        <v>2418</v>
      </c>
      <c r="AF1063" s="236">
        <v>2</v>
      </c>
      <c r="AG1063" s="233"/>
      <c r="AH1063" s="247" t="s">
        <v>66</v>
      </c>
      <c r="AI1063" s="247" t="s">
        <v>66</v>
      </c>
      <c r="AJ1063" s="238" t="s">
        <v>66</v>
      </c>
      <c r="AK1063" s="247" t="s">
        <v>66</v>
      </c>
      <c r="AL1063" s="247" t="s">
        <v>155</v>
      </c>
      <c r="AM1063" s="247" t="s">
        <v>181</v>
      </c>
      <c r="AN1063" s="246" t="s">
        <v>182</v>
      </c>
      <c r="AO1063" s="246" t="s">
        <v>435</v>
      </c>
      <c r="AP1063" s="248">
        <v>6</v>
      </c>
      <c r="AQ1063" s="224">
        <f>6*409558</f>
        <v>2457348</v>
      </c>
      <c r="AR1063" s="247">
        <v>2</v>
      </c>
      <c r="AS1063" s="224">
        <f>2*409558</f>
        <v>819116</v>
      </c>
      <c r="AT1063" s="248">
        <v>1</v>
      </c>
      <c r="AU1063" s="224">
        <f>1*409558</f>
        <v>409558</v>
      </c>
      <c r="AV1063" s="337">
        <f>AW1063/AU1063</f>
        <v>0.32962364304933611</v>
      </c>
      <c r="AW1063" s="224">
        <v>135000</v>
      </c>
      <c r="AX1063" s="248"/>
      <c r="AY1063" s="240"/>
      <c r="AZ1063" s="248"/>
      <c r="BA1063" s="338"/>
      <c r="BB1063" s="248"/>
      <c r="BC1063" s="338"/>
      <c r="BD1063" s="223">
        <f t="shared" si="185"/>
        <v>0.32962364304933611</v>
      </c>
      <c r="BE1063" s="224">
        <f t="shared" si="185"/>
        <v>135000</v>
      </c>
      <c r="BF1063" s="225">
        <f t="shared" si="187"/>
        <v>2.3296236430493362</v>
      </c>
      <c r="BG1063" s="226">
        <f t="shared" si="187"/>
        <v>954116</v>
      </c>
      <c r="BH1063" s="227">
        <f t="shared" si="183"/>
        <v>38.827060717488934</v>
      </c>
      <c r="BI1063" s="227">
        <f t="shared" si="184"/>
        <v>38.827060717488934</v>
      </c>
      <c r="BJ1063" s="161" t="s">
        <v>175</v>
      </c>
    </row>
    <row r="1064" spans="1:62" s="244" customFormat="1" ht="63.75">
      <c r="A1064" s="1692"/>
      <c r="B1064" s="4470"/>
      <c r="C1064" s="1692"/>
      <c r="D1064" s="1692"/>
      <c r="E1064" s="1692"/>
      <c r="F1064" s="1692"/>
      <c r="G1064" s="1692"/>
      <c r="H1064" s="1692"/>
      <c r="I1064" s="1414" t="s">
        <v>1303</v>
      </c>
      <c r="J1064" s="1703" t="s">
        <v>1304</v>
      </c>
      <c r="K1064" s="64">
        <v>600</v>
      </c>
      <c r="L1064" s="1689">
        <v>1298965150</v>
      </c>
      <c r="M1064" s="1691">
        <f>'[5]Desember 2017'!$J$64+[6]Sheet1!$E$30</f>
        <v>199.94465103039963</v>
      </c>
      <c r="N1064" s="1690">
        <f>'[5]Desember 2017'!$I$64+[6]Sheet1!$D$30</f>
        <v>355938622</v>
      </c>
      <c r="O1064" s="64">
        <v>100</v>
      </c>
      <c r="P1064" s="1690">
        <f>'[4]Maret 2018'!$E$60</f>
        <v>235745500</v>
      </c>
      <c r="Q1064" s="1691">
        <f>'[4]Maret 2018'!$I$60</f>
        <v>25.827379949988437</v>
      </c>
      <c r="R1064" s="1690">
        <f>'[4]Maret 2018'!$H$60</f>
        <v>60886886</v>
      </c>
      <c r="S1064" s="1692"/>
      <c r="T1064" s="1692"/>
      <c r="U1064" s="1692"/>
      <c r="V1064" s="1692"/>
      <c r="W1064" s="1692"/>
      <c r="X1064" s="1692"/>
      <c r="Y1064" s="1691">
        <f>'[4]Maret 2018'!$I$60</f>
        <v>25.827379949988437</v>
      </c>
      <c r="Z1064" s="1690">
        <f>'[4]Maret 2018'!$H$60</f>
        <v>60886886</v>
      </c>
      <c r="AA1064" s="1691">
        <f>M1064+Y1064</f>
        <v>225.77203098038805</v>
      </c>
      <c r="AB1064" s="1690">
        <f>N1064+Z1064</f>
        <v>416825508</v>
      </c>
      <c r="AC1064" s="1663">
        <f t="shared" si="182"/>
        <v>37.628671830064675</v>
      </c>
      <c r="AD1064" s="18">
        <f t="shared" si="182"/>
        <v>32.089044729183072</v>
      </c>
      <c r="AE1064" s="18" t="s">
        <v>2418</v>
      </c>
      <c r="AF1064" s="236">
        <v>3</v>
      </c>
      <c r="AG1064" s="233"/>
      <c r="AH1064" s="247" t="s">
        <v>66</v>
      </c>
      <c r="AI1064" s="247" t="s">
        <v>66</v>
      </c>
      <c r="AJ1064" s="238" t="s">
        <v>66</v>
      </c>
      <c r="AK1064" s="247" t="s">
        <v>66</v>
      </c>
      <c r="AL1064" s="247" t="s">
        <v>155</v>
      </c>
      <c r="AM1064" s="247" t="s">
        <v>183</v>
      </c>
      <c r="AN1064" s="233" t="s">
        <v>184</v>
      </c>
      <c r="AO1064" s="246" t="s">
        <v>436</v>
      </c>
      <c r="AP1064" s="248">
        <v>6</v>
      </c>
      <c r="AQ1064" s="224">
        <f>6*360221</f>
        <v>2161326</v>
      </c>
      <c r="AR1064" s="247">
        <v>2</v>
      </c>
      <c r="AS1064" s="224">
        <f>2*360221</f>
        <v>720442</v>
      </c>
      <c r="AT1064" s="236">
        <v>1</v>
      </c>
      <c r="AU1064" s="237">
        <f>1*360221</f>
        <v>360221</v>
      </c>
      <c r="AV1064" s="238">
        <v>0</v>
      </c>
      <c r="AW1064" s="268">
        <v>0</v>
      </c>
      <c r="AX1064" s="245"/>
      <c r="AY1064" s="252"/>
      <c r="AZ1064" s="245"/>
      <c r="BA1064" s="252"/>
      <c r="BB1064" s="245"/>
      <c r="BC1064" s="252"/>
      <c r="BD1064" s="285">
        <f t="shared" si="185"/>
        <v>0</v>
      </c>
      <c r="BE1064" s="237">
        <f t="shared" si="185"/>
        <v>0</v>
      </c>
      <c r="BF1064" s="236">
        <f t="shared" si="187"/>
        <v>2</v>
      </c>
      <c r="BG1064" s="237">
        <f t="shared" si="187"/>
        <v>720442</v>
      </c>
      <c r="BH1064" s="298">
        <f t="shared" si="183"/>
        <v>33.333333333333329</v>
      </c>
      <c r="BI1064" s="298">
        <f t="shared" si="184"/>
        <v>33.333333333333329</v>
      </c>
      <c r="BJ1064" s="161" t="s">
        <v>175</v>
      </c>
    </row>
    <row r="1065" spans="1:62" s="244" customFormat="1" ht="65.25" customHeight="1">
      <c r="A1065" s="1692"/>
      <c r="B1065" s="4471"/>
      <c r="C1065" s="1692"/>
      <c r="D1065" s="1692"/>
      <c r="E1065" s="1692"/>
      <c r="F1065" s="1692"/>
      <c r="G1065" s="1692"/>
      <c r="H1065" s="1692"/>
      <c r="I1065" s="1414" t="s">
        <v>2433</v>
      </c>
      <c r="J1065" s="754" t="s">
        <v>2434</v>
      </c>
      <c r="K1065" s="64">
        <v>200</v>
      </c>
      <c r="L1065" s="1689">
        <v>215540000</v>
      </c>
      <c r="M1065" s="64">
        <v>0</v>
      </c>
      <c r="N1065" s="64">
        <v>0</v>
      </c>
      <c r="O1065" s="64">
        <v>100</v>
      </c>
      <c r="P1065" s="1690">
        <f>'[4]Maret 2018'!$E$63</f>
        <v>65540000</v>
      </c>
      <c r="Q1065" s="1692"/>
      <c r="R1065" s="1692"/>
      <c r="S1065" s="1692"/>
      <c r="T1065" s="1692"/>
      <c r="U1065" s="1692"/>
      <c r="V1065" s="1692"/>
      <c r="W1065" s="1692"/>
      <c r="X1065" s="1692"/>
      <c r="Y1065" s="1692"/>
      <c r="Z1065" s="1692"/>
      <c r="AA1065" s="1692"/>
      <c r="AB1065" s="1692"/>
      <c r="AC1065" s="1662"/>
      <c r="AD1065" s="1662"/>
      <c r="AE1065" s="18" t="s">
        <v>2418</v>
      </c>
      <c r="AF1065" s="236">
        <v>4</v>
      </c>
      <c r="AG1065" s="233"/>
      <c r="AH1065" s="247" t="s">
        <v>66</v>
      </c>
      <c r="AI1065" s="247" t="s">
        <v>66</v>
      </c>
      <c r="AJ1065" s="238" t="s">
        <v>66</v>
      </c>
      <c r="AK1065" s="247" t="s">
        <v>66</v>
      </c>
      <c r="AL1065" s="247" t="s">
        <v>155</v>
      </c>
      <c r="AM1065" s="247">
        <v>54</v>
      </c>
      <c r="AN1065" s="235" t="s">
        <v>185</v>
      </c>
      <c r="AO1065" s="233" t="s">
        <v>437</v>
      </c>
      <c r="AP1065" s="245">
        <f>20+20+18+25+25+25</f>
        <v>133</v>
      </c>
      <c r="AQ1065" s="256">
        <v>462000</v>
      </c>
      <c r="AR1065" s="245">
        <v>40</v>
      </c>
      <c r="AS1065" s="256">
        <f>AR1065*AU1065</f>
        <v>2688000</v>
      </c>
      <c r="AT1065" s="245">
        <v>18</v>
      </c>
      <c r="AU1065" s="256">
        <v>67200</v>
      </c>
      <c r="AV1065" s="247">
        <v>0</v>
      </c>
      <c r="AW1065" s="336">
        <v>0</v>
      </c>
      <c r="AX1065" s="245"/>
      <c r="AY1065" s="252"/>
      <c r="AZ1065" s="245"/>
      <c r="BA1065" s="252"/>
      <c r="BB1065" s="245"/>
      <c r="BC1065" s="252"/>
      <c r="BD1065" s="223">
        <f t="shared" si="185"/>
        <v>0</v>
      </c>
      <c r="BE1065" s="224">
        <f t="shared" si="185"/>
        <v>0</v>
      </c>
      <c r="BF1065" s="225">
        <f t="shared" si="187"/>
        <v>40</v>
      </c>
      <c r="BG1065" s="226">
        <f t="shared" si="187"/>
        <v>2688000</v>
      </c>
      <c r="BH1065" s="227">
        <f t="shared" si="183"/>
        <v>30.075187969924812</v>
      </c>
      <c r="BI1065" s="227">
        <f t="shared" si="184"/>
        <v>581.81818181818187</v>
      </c>
      <c r="BJ1065" s="161" t="s">
        <v>175</v>
      </c>
    </row>
    <row r="1066" spans="1:62" s="244" customFormat="1" ht="44.25" customHeight="1">
      <c r="A1066" s="1704">
        <v>2</v>
      </c>
      <c r="B1066" s="1705" t="s">
        <v>2435</v>
      </c>
      <c r="C1066" s="1706" t="s">
        <v>2006</v>
      </c>
      <c r="D1066" s="1706" t="s">
        <v>66</v>
      </c>
      <c r="E1066" s="1706" t="s">
        <v>65</v>
      </c>
      <c r="F1066" s="1706">
        <v>13</v>
      </c>
      <c r="G1066" s="1707">
        <v>16</v>
      </c>
      <c r="H1066" s="1708"/>
      <c r="I1066" s="1921" t="s">
        <v>2436</v>
      </c>
      <c r="J1066" s="1709" t="s">
        <v>2437</v>
      </c>
      <c r="K1066" s="1710"/>
      <c r="L1066" s="1711"/>
      <c r="M1066" s="1710"/>
      <c r="N1066" s="1711"/>
      <c r="O1066" s="1710"/>
      <c r="P1066" s="1711">
        <f>P1067+P1068+P1069+P1071+P1072+P1070</f>
        <v>2710629400</v>
      </c>
      <c r="Q1066" s="1710"/>
      <c r="R1066" s="1712"/>
      <c r="S1066" s="1710"/>
      <c r="T1066" s="1710"/>
      <c r="U1066" s="1710"/>
      <c r="V1066" s="1710"/>
      <c r="W1066" s="1710"/>
      <c r="X1066" s="1710"/>
      <c r="Y1066" s="1710"/>
      <c r="Z1066" s="1712"/>
      <c r="AA1066" s="1710"/>
      <c r="AB1066" s="1711">
        <f>SUM(AB1067:AB1072)</f>
        <v>1085700950</v>
      </c>
      <c r="AC1066" s="1667"/>
      <c r="AD1066" s="1667"/>
      <c r="AE1066" s="1666" t="s">
        <v>2418</v>
      </c>
      <c r="AF1066" s="4336"/>
      <c r="AG1066" s="4337"/>
      <c r="AH1066" s="4337"/>
      <c r="AI1066" s="4337"/>
      <c r="AJ1066" s="4337"/>
      <c r="AK1066" s="4337"/>
      <c r="AL1066" s="4337"/>
      <c r="AM1066" s="4337"/>
      <c r="AN1066" s="4337"/>
      <c r="AO1066" s="4337"/>
      <c r="AP1066" s="4337"/>
      <c r="AQ1066" s="4337"/>
      <c r="AR1066" s="4337"/>
      <c r="AS1066" s="4337"/>
      <c r="AT1066" s="4337"/>
      <c r="AU1066" s="4337"/>
      <c r="AV1066" s="4337"/>
      <c r="AW1066" s="4337"/>
      <c r="AX1066" s="4337"/>
      <c r="AY1066" s="4337"/>
      <c r="AZ1066" s="4337"/>
      <c r="BA1066" s="4337"/>
      <c r="BB1066" s="4337"/>
      <c r="BC1066" s="4337"/>
      <c r="BD1066" s="4337"/>
      <c r="BE1066" s="4337"/>
      <c r="BF1066" s="4337"/>
      <c r="BG1066" s="4337"/>
      <c r="BH1066" s="4337"/>
      <c r="BI1066" s="4337"/>
      <c r="BJ1066" s="4338"/>
    </row>
    <row r="1067" spans="1:62" s="244" customFormat="1" ht="76.5">
      <c r="A1067" s="1713"/>
      <c r="B1067" s="1714"/>
      <c r="C1067" s="1715">
        <v>2</v>
      </c>
      <c r="D1067" s="1715">
        <v>1</v>
      </c>
      <c r="E1067" s="1905" t="s">
        <v>65</v>
      </c>
      <c r="F1067" s="1715">
        <v>13</v>
      </c>
      <c r="G1067" s="1715">
        <v>16</v>
      </c>
      <c r="H1067" s="1715">
        <v>8</v>
      </c>
      <c r="I1067" s="1716" t="s">
        <v>2438</v>
      </c>
      <c r="J1067" s="1717" t="s">
        <v>2439</v>
      </c>
      <c r="K1067" s="1718">
        <v>500</v>
      </c>
      <c r="L1067" s="1719">
        <v>1229153425</v>
      </c>
      <c r="M1067" s="1720">
        <f>'[8]triwulan II (2)'!$AG$90</f>
        <v>98.64</v>
      </c>
      <c r="N1067" s="1721">
        <f>'[8]triwulan II (2)'!$AH$90</f>
        <v>495895500</v>
      </c>
      <c r="O1067" s="1722">
        <v>100</v>
      </c>
      <c r="P1067" s="1723">
        <v>188189000</v>
      </c>
      <c r="Q1067" s="1724" t="str">
        <f>'[4]Maret 2018'!$I$80</f>
        <v>-</v>
      </c>
      <c r="R1067" s="1725">
        <v>13421700</v>
      </c>
      <c r="S1067" s="1713"/>
      <c r="T1067" s="1713"/>
      <c r="U1067" s="1713"/>
      <c r="V1067" s="1713"/>
      <c r="W1067" s="1713"/>
      <c r="X1067" s="1713"/>
      <c r="Y1067" s="1724">
        <v>0</v>
      </c>
      <c r="Z1067" s="1725">
        <v>13421700</v>
      </c>
      <c r="AA1067" s="1724">
        <f t="shared" ref="AA1067:AB1069" si="188">M1067+Y1067</f>
        <v>98.64</v>
      </c>
      <c r="AB1067" s="1725">
        <f t="shared" si="188"/>
        <v>509317200</v>
      </c>
      <c r="AC1067" s="13">
        <f t="shared" ref="AC1067:AD1072" si="189">AA1067/K1067*100</f>
        <v>19.728000000000002</v>
      </c>
      <c r="AD1067" s="1668">
        <f t="shared" si="189"/>
        <v>41.436421982878173</v>
      </c>
      <c r="AE1067" s="24" t="s">
        <v>2418</v>
      </c>
      <c r="AF1067" s="220">
        <v>10</v>
      </c>
      <c r="AG1067" s="286"/>
      <c r="AH1067" s="288" t="s">
        <v>66</v>
      </c>
      <c r="AI1067" s="288" t="s">
        <v>66</v>
      </c>
      <c r="AJ1067" s="289" t="s">
        <v>66</v>
      </c>
      <c r="AK1067" s="288" t="s">
        <v>66</v>
      </c>
      <c r="AL1067" s="288">
        <v>16</v>
      </c>
      <c r="AM1067" s="247"/>
      <c r="AN1067" s="286" t="s">
        <v>186</v>
      </c>
      <c r="AO1067" s="286" t="s">
        <v>187</v>
      </c>
      <c r="AP1067" s="291">
        <v>100</v>
      </c>
      <c r="AQ1067" s="291">
        <f t="shared" ref="AQ1067:AW1067" si="190">SUM(AQ1068:AQ1070)</f>
        <v>2080903</v>
      </c>
      <c r="AR1067" s="290">
        <f>AY1067*2</f>
        <v>33.333333333333336</v>
      </c>
      <c r="AS1067" s="291">
        <f t="shared" si="190"/>
        <v>620000</v>
      </c>
      <c r="AT1067" s="290">
        <f>AY1067</f>
        <v>16.666666666666668</v>
      </c>
      <c r="AU1067" s="292">
        <f t="shared" si="190"/>
        <v>480903</v>
      </c>
      <c r="AV1067" s="290">
        <f>AT1067/4</f>
        <v>4.166666666666667</v>
      </c>
      <c r="AW1067" s="291">
        <f t="shared" si="190"/>
        <v>324402</v>
      </c>
      <c r="AX1067" s="245"/>
      <c r="AY1067" s="339">
        <f>AP1067/6</f>
        <v>16.666666666666668</v>
      </c>
      <c r="AZ1067" s="245"/>
      <c r="BA1067" s="252"/>
      <c r="BB1067" s="245"/>
      <c r="BC1067" s="252"/>
      <c r="BD1067" s="218">
        <f>AV1067+AX1067+AZ1067+BB1067</f>
        <v>4.166666666666667</v>
      </c>
      <c r="BE1067" s="219">
        <f>SUM(BE1068:BE1070)</f>
        <v>324402</v>
      </c>
      <c r="BF1067" s="220">
        <f>AR1067+BD1067</f>
        <v>37.5</v>
      </c>
      <c r="BG1067" s="221">
        <f>SUM(BG1068:BG1070)</f>
        <v>944402</v>
      </c>
      <c r="BH1067" s="222">
        <f t="shared" ref="BH1067:BI1070" si="191">(BF1067/AP1067)*100</f>
        <v>37.5</v>
      </c>
      <c r="BI1067" s="222">
        <f t="shared" si="191"/>
        <v>45.384239438359216</v>
      </c>
      <c r="BJ1067" s="161" t="s">
        <v>175</v>
      </c>
    </row>
    <row r="1068" spans="1:62" s="244" customFormat="1" ht="51" customHeight="1">
      <c r="A1068" s="754"/>
      <c r="B1068" s="1726"/>
      <c r="C1068" s="1727">
        <v>2</v>
      </c>
      <c r="D1068" s="1727">
        <v>1</v>
      </c>
      <c r="E1068" s="1905" t="s">
        <v>65</v>
      </c>
      <c r="F1068" s="1727">
        <v>13</v>
      </c>
      <c r="G1068" s="1727">
        <v>16</v>
      </c>
      <c r="H1068" s="1727">
        <v>16</v>
      </c>
      <c r="I1068" s="1728" t="s">
        <v>2440</v>
      </c>
      <c r="J1068" s="728" t="s">
        <v>2441</v>
      </c>
      <c r="K1068" s="1729">
        <v>500</v>
      </c>
      <c r="L1068" s="1719">
        <v>318716500</v>
      </c>
      <c r="M1068" s="1720">
        <f>'[8]triwulan II (2)'!$AG$92</f>
        <v>97.22</v>
      </c>
      <c r="N1068" s="1721">
        <f>'[8]triwulan II (2)'!$AH$92</f>
        <v>80069050</v>
      </c>
      <c r="O1068" s="1730">
        <v>100</v>
      </c>
      <c r="P1068" s="1731">
        <v>33438000</v>
      </c>
      <c r="Q1068" s="1732">
        <f>'[4]Maret 2018'!$I$93</f>
        <v>6.8371799902495867E-2</v>
      </c>
      <c r="R1068" s="1731">
        <v>11227000</v>
      </c>
      <c r="S1068" s="754"/>
      <c r="T1068" s="754"/>
      <c r="U1068" s="754"/>
      <c r="V1068" s="754"/>
      <c r="W1068" s="754"/>
      <c r="X1068" s="754"/>
      <c r="Y1068" s="1733">
        <f>Q1068</f>
        <v>6.8371799902495867E-2</v>
      </c>
      <c r="Z1068" s="1731">
        <v>11227000</v>
      </c>
      <c r="AA1068" s="1733">
        <f t="shared" si="188"/>
        <v>97.288371799902492</v>
      </c>
      <c r="AB1068" s="1731">
        <f t="shared" si="188"/>
        <v>91296050</v>
      </c>
      <c r="AC1068" s="13">
        <f t="shared" si="189"/>
        <v>19.457674359980498</v>
      </c>
      <c r="AD1068" s="17">
        <f t="shared" si="189"/>
        <v>28.644908562939165</v>
      </c>
      <c r="AE1068" s="24" t="s">
        <v>2418</v>
      </c>
      <c r="AF1068" s="236">
        <v>1</v>
      </c>
      <c r="AG1068" s="233"/>
      <c r="AH1068" s="247" t="s">
        <v>66</v>
      </c>
      <c r="AI1068" s="247" t="s">
        <v>66</v>
      </c>
      <c r="AJ1068" s="238" t="s">
        <v>66</v>
      </c>
      <c r="AK1068" s="247" t="s">
        <v>66</v>
      </c>
      <c r="AL1068" s="247">
        <v>16</v>
      </c>
      <c r="AM1068" s="247">
        <v>15</v>
      </c>
      <c r="AN1068" s="233" t="s">
        <v>188</v>
      </c>
      <c r="AO1068" s="233" t="s">
        <v>189</v>
      </c>
      <c r="AP1068" s="245">
        <v>1</v>
      </c>
      <c r="AQ1068" s="256">
        <v>128722</v>
      </c>
      <c r="AR1068" s="245">
        <v>0</v>
      </c>
      <c r="AS1068" s="336">
        <v>0</v>
      </c>
      <c r="AT1068" s="245">
        <v>1</v>
      </c>
      <c r="AU1068" s="256">
        <v>128722</v>
      </c>
      <c r="AV1068" s="245">
        <v>1</v>
      </c>
      <c r="AW1068" s="256">
        <v>2396</v>
      </c>
      <c r="AX1068" s="245"/>
      <c r="AY1068" s="252"/>
      <c r="AZ1068" s="245"/>
      <c r="BA1068" s="252"/>
      <c r="BB1068" s="245"/>
      <c r="BC1068" s="252"/>
      <c r="BD1068" s="223">
        <f t="shared" ref="BD1068:BE1070" si="192">AV1068+AX1068+AZ1068+BB1068</f>
        <v>1</v>
      </c>
      <c r="BE1068" s="224">
        <f t="shared" si="192"/>
        <v>2396</v>
      </c>
      <c r="BF1068" s="225">
        <f>AR1068+BD1068</f>
        <v>1</v>
      </c>
      <c r="BG1068" s="226">
        <f>AS1068+BE1068</f>
        <v>2396</v>
      </c>
      <c r="BH1068" s="227">
        <f t="shared" si="191"/>
        <v>100</v>
      </c>
      <c r="BI1068" s="227">
        <f t="shared" si="191"/>
        <v>1.8613756778173118</v>
      </c>
      <c r="BJ1068" s="233" t="s">
        <v>175</v>
      </c>
    </row>
    <row r="1069" spans="1:62" s="244" customFormat="1" ht="30.75" customHeight="1">
      <c r="A1069" s="64"/>
      <c r="B1069" s="754"/>
      <c r="C1069" s="1727">
        <v>2</v>
      </c>
      <c r="D1069" s="1727">
        <v>1</v>
      </c>
      <c r="E1069" s="1905" t="s">
        <v>65</v>
      </c>
      <c r="F1069" s="1727">
        <v>13</v>
      </c>
      <c r="G1069" s="1727">
        <v>16</v>
      </c>
      <c r="H1069" s="1727">
        <v>18</v>
      </c>
      <c r="I1069" s="1200" t="s">
        <v>2442</v>
      </c>
      <c r="J1069" s="1734" t="s">
        <v>2443</v>
      </c>
      <c r="K1069" s="1729">
        <v>500</v>
      </c>
      <c r="L1069" s="1719">
        <v>1847355680</v>
      </c>
      <c r="M1069" s="1735">
        <f>'[8]triwulan II (2)'!$AG$93</f>
        <v>99.990000000000009</v>
      </c>
      <c r="N1069" s="1736">
        <f>'[8]triwulan II (2)'!$AH$93</f>
        <v>263614800</v>
      </c>
      <c r="O1069" s="1730">
        <v>100</v>
      </c>
      <c r="P1069" s="1731">
        <v>473350000</v>
      </c>
      <c r="Q1069" s="1733" t="e">
        <f>'[4]Maret 2018'!$I$84</f>
        <v>#REF!</v>
      </c>
      <c r="R1069" s="1731">
        <v>66395000</v>
      </c>
      <c r="S1069" s="754"/>
      <c r="T1069" s="754"/>
      <c r="U1069" s="754"/>
      <c r="V1069" s="754"/>
      <c r="W1069" s="754"/>
      <c r="X1069" s="754"/>
      <c r="Y1069" s="1733" t="e">
        <f>Q1069</f>
        <v>#REF!</v>
      </c>
      <c r="Z1069" s="1731">
        <v>66395000</v>
      </c>
      <c r="AA1069" s="1733" t="e">
        <f t="shared" si="188"/>
        <v>#REF!</v>
      </c>
      <c r="AB1069" s="1731">
        <f t="shared" si="188"/>
        <v>330009800</v>
      </c>
      <c r="AC1069" s="13" t="e">
        <f t="shared" si="189"/>
        <v>#REF!</v>
      </c>
      <c r="AD1069" s="19">
        <f t="shared" si="189"/>
        <v>17.863901552515323</v>
      </c>
      <c r="AE1069" s="24" t="s">
        <v>2418</v>
      </c>
      <c r="AF1069" s="236">
        <v>2</v>
      </c>
      <c r="AG1069" s="233"/>
      <c r="AH1069" s="247" t="s">
        <v>66</v>
      </c>
      <c r="AI1069" s="247" t="s">
        <v>66</v>
      </c>
      <c r="AJ1069" s="238" t="s">
        <v>66</v>
      </c>
      <c r="AK1069" s="247" t="s">
        <v>66</v>
      </c>
      <c r="AL1069" s="247" t="s">
        <v>166</v>
      </c>
      <c r="AM1069" s="247" t="s">
        <v>164</v>
      </c>
      <c r="AN1069" s="246" t="s">
        <v>190</v>
      </c>
      <c r="AO1069" s="246" t="s">
        <v>191</v>
      </c>
      <c r="AP1069" s="248">
        <f>6*6</f>
        <v>36</v>
      </c>
      <c r="AQ1069" s="224">
        <f>310000*6</f>
        <v>1860000</v>
      </c>
      <c r="AR1069" s="247">
        <f>6*2</f>
        <v>12</v>
      </c>
      <c r="AS1069" s="224">
        <f>310000*2</f>
        <v>620000</v>
      </c>
      <c r="AT1069" s="248">
        <v>6</v>
      </c>
      <c r="AU1069" s="224">
        <f>310000*1</f>
        <v>310000</v>
      </c>
      <c r="AV1069" s="247">
        <v>6</v>
      </c>
      <c r="AW1069" s="224">
        <v>310000</v>
      </c>
      <c r="AX1069" s="248"/>
      <c r="AY1069" s="240"/>
      <c r="AZ1069" s="248"/>
      <c r="BA1069" s="338"/>
      <c r="BB1069" s="248"/>
      <c r="BC1069" s="338"/>
      <c r="BD1069" s="223">
        <f t="shared" si="192"/>
        <v>6</v>
      </c>
      <c r="BE1069" s="224">
        <f t="shared" si="192"/>
        <v>310000</v>
      </c>
      <c r="BF1069" s="225">
        <f>AR1069+BD1069</f>
        <v>18</v>
      </c>
      <c r="BG1069" s="226">
        <f>AS1069+BE1069</f>
        <v>930000</v>
      </c>
      <c r="BH1069" s="227">
        <f t="shared" si="191"/>
        <v>50</v>
      </c>
      <c r="BI1069" s="227">
        <f t="shared" si="191"/>
        <v>50</v>
      </c>
      <c r="BJ1069" s="233" t="s">
        <v>175</v>
      </c>
    </row>
    <row r="1070" spans="1:62" s="244" customFormat="1" ht="43.5" customHeight="1">
      <c r="A1070" s="64"/>
      <c r="B1070" s="754"/>
      <c r="C1070" s="1727">
        <v>2</v>
      </c>
      <c r="D1070" s="1727">
        <v>1</v>
      </c>
      <c r="E1070" s="1905" t="s">
        <v>65</v>
      </c>
      <c r="F1070" s="1727">
        <v>13</v>
      </c>
      <c r="G1070" s="1727">
        <v>16</v>
      </c>
      <c r="H1070" s="1415">
        <v>94</v>
      </c>
      <c r="I1070" s="1200" t="s">
        <v>2444</v>
      </c>
      <c r="J1070" s="728" t="s">
        <v>2445</v>
      </c>
      <c r="K1070" s="1737">
        <v>500</v>
      </c>
      <c r="L1070" s="1731">
        <v>4000000000</v>
      </c>
      <c r="M1070" s="754">
        <v>79.64</v>
      </c>
      <c r="N1070" s="1731">
        <v>1991088284</v>
      </c>
      <c r="O1070" s="754">
        <v>100</v>
      </c>
      <c r="P1070" s="1731">
        <v>1681980000</v>
      </c>
      <c r="Q1070" s="1733" t="e">
        <f>'[4]Maret 2018'!$I$90</f>
        <v>#REF!</v>
      </c>
      <c r="R1070" s="1731">
        <v>1150000</v>
      </c>
      <c r="S1070" s="754"/>
      <c r="T1070" s="754"/>
      <c r="U1070" s="754"/>
      <c r="V1070" s="754"/>
      <c r="W1070" s="754"/>
      <c r="X1070" s="754"/>
      <c r="Y1070" s="1733" t="e">
        <f>Q1070</f>
        <v>#REF!</v>
      </c>
      <c r="Z1070" s="1731">
        <v>1150000</v>
      </c>
      <c r="AA1070" s="1733">
        <f>M1071+Y1071</f>
        <v>133.57557270171662</v>
      </c>
      <c r="AB1070" s="1731">
        <v>1150000</v>
      </c>
      <c r="AC1070" s="13">
        <f t="shared" si="189"/>
        <v>26.715114540343325</v>
      </c>
      <c r="AD1070" s="19">
        <f t="shared" si="189"/>
        <v>2.8749999999999998E-2</v>
      </c>
      <c r="AE1070" s="24" t="s">
        <v>2418</v>
      </c>
      <c r="AF1070" s="236">
        <v>3</v>
      </c>
      <c r="AG1070" s="233"/>
      <c r="AH1070" s="247" t="s">
        <v>66</v>
      </c>
      <c r="AI1070" s="247" t="s">
        <v>66</v>
      </c>
      <c r="AJ1070" s="238" t="s">
        <v>66</v>
      </c>
      <c r="AK1070" s="247" t="s">
        <v>66</v>
      </c>
      <c r="AL1070" s="247">
        <v>16</v>
      </c>
      <c r="AM1070" s="247">
        <v>47</v>
      </c>
      <c r="AN1070" s="246" t="s">
        <v>192</v>
      </c>
      <c r="AO1070" s="246" t="s">
        <v>193</v>
      </c>
      <c r="AP1070" s="248">
        <v>60</v>
      </c>
      <c r="AQ1070" s="224">
        <v>92181</v>
      </c>
      <c r="AR1070" s="247">
        <v>0</v>
      </c>
      <c r="AS1070" s="336">
        <v>0</v>
      </c>
      <c r="AT1070" s="248">
        <v>30</v>
      </c>
      <c r="AU1070" s="250">
        <v>42181</v>
      </c>
      <c r="AV1070" s="340">
        <v>20</v>
      </c>
      <c r="AW1070" s="224">
        <v>12006</v>
      </c>
      <c r="AX1070" s="245"/>
      <c r="AY1070" s="252"/>
      <c r="AZ1070" s="245"/>
      <c r="BA1070" s="252"/>
      <c r="BB1070" s="245"/>
      <c r="BC1070" s="252"/>
      <c r="BD1070" s="223">
        <f t="shared" si="192"/>
        <v>20</v>
      </c>
      <c r="BE1070" s="224">
        <f t="shared" si="192"/>
        <v>12006</v>
      </c>
      <c r="BF1070" s="225">
        <f>AR1070+BD1070</f>
        <v>20</v>
      </c>
      <c r="BG1070" s="226">
        <f>AS1070+BE1070</f>
        <v>12006</v>
      </c>
      <c r="BH1070" s="227">
        <f t="shared" si="191"/>
        <v>33.333333333333329</v>
      </c>
      <c r="BI1070" s="227">
        <f t="shared" si="191"/>
        <v>13.024375955999609</v>
      </c>
      <c r="BJ1070" s="233" t="s">
        <v>175</v>
      </c>
    </row>
    <row r="1071" spans="1:62" ht="22.5" customHeight="1">
      <c r="A1071" s="64"/>
      <c r="B1071" s="754"/>
      <c r="C1071" s="1727">
        <v>2</v>
      </c>
      <c r="D1071" s="1727">
        <v>1</v>
      </c>
      <c r="E1071" s="1905" t="s">
        <v>65</v>
      </c>
      <c r="F1071" s="1727">
        <v>13</v>
      </c>
      <c r="G1071" s="1727">
        <v>16</v>
      </c>
      <c r="H1071" s="1727">
        <v>93</v>
      </c>
      <c r="I1071" s="1728" t="s">
        <v>2446</v>
      </c>
      <c r="J1071" s="1734" t="s">
        <v>2447</v>
      </c>
      <c r="K1071" s="1738">
        <v>500</v>
      </c>
      <c r="L1071" s="1739">
        <v>425912000</v>
      </c>
      <c r="M1071" s="1721">
        <f>'[8]triwulan II (2)'!$AG$120</f>
        <v>100</v>
      </c>
      <c r="N1071" s="1740">
        <f>'[8]triwulan II (2)'!$AH$120</f>
        <v>80022400</v>
      </c>
      <c r="O1071" s="1730">
        <v>100</v>
      </c>
      <c r="P1071" s="1731">
        <v>263672500</v>
      </c>
      <c r="Q1071" s="1733">
        <f>'[4]Maret 2018'!$I$97</f>
        <v>33.575572701716609</v>
      </c>
      <c r="R1071" s="1731">
        <v>73580500</v>
      </c>
      <c r="S1071" s="754"/>
      <c r="T1071" s="754"/>
      <c r="U1071" s="754"/>
      <c r="V1071" s="754"/>
      <c r="W1071" s="754"/>
      <c r="X1071" s="754"/>
      <c r="Y1071" s="1733">
        <f>Q1071</f>
        <v>33.575572701716609</v>
      </c>
      <c r="Z1071" s="1731">
        <v>73580500</v>
      </c>
      <c r="AA1071" s="1733">
        <f>M1071+Y1071</f>
        <v>133.57557270171662</v>
      </c>
      <c r="AB1071" s="1731">
        <f>N1071+Z1071</f>
        <v>153602900</v>
      </c>
      <c r="AC1071" s="13">
        <f t="shared" si="189"/>
        <v>26.715114540343325</v>
      </c>
      <c r="AD1071" s="19">
        <f t="shared" si="189"/>
        <v>36.064468716542386</v>
      </c>
      <c r="AE1071" s="24" t="s">
        <v>2418</v>
      </c>
      <c r="AF1071" s="4472"/>
      <c r="AG1071" s="4473"/>
      <c r="AH1071" s="4473"/>
      <c r="AI1071" s="4473"/>
      <c r="AJ1071" s="4473"/>
      <c r="AK1071" s="4473"/>
      <c r="AL1071" s="4473"/>
      <c r="AM1071" s="4473"/>
      <c r="AN1071" s="4473"/>
      <c r="AO1071" s="4473"/>
      <c r="AP1071" s="4473"/>
      <c r="AQ1071" s="4473"/>
      <c r="AR1071" s="4473"/>
      <c r="AS1071" s="4473"/>
      <c r="AT1071" s="4473"/>
      <c r="AU1071" s="4473"/>
      <c r="AV1071" s="4473"/>
      <c r="AW1071" s="4473"/>
      <c r="AX1071" s="4473"/>
      <c r="AY1071" s="4473"/>
      <c r="AZ1071" s="4473"/>
      <c r="BA1071" s="4473"/>
      <c r="BB1071" s="4473"/>
      <c r="BC1071" s="4473"/>
      <c r="BD1071" s="4473"/>
      <c r="BE1071" s="4473"/>
      <c r="BF1071" s="4473"/>
      <c r="BG1071" s="4473"/>
      <c r="BH1071" s="4473"/>
      <c r="BI1071" s="4473"/>
      <c r="BJ1071" s="4474"/>
    </row>
    <row r="1072" spans="1:62" s="69" customFormat="1" ht="27" customHeight="1">
      <c r="A1072" s="64"/>
      <c r="B1072" s="754"/>
      <c r="C1072" s="1727">
        <v>2</v>
      </c>
      <c r="D1072" s="1727">
        <v>1</v>
      </c>
      <c r="E1072" s="1905" t="s">
        <v>65</v>
      </c>
      <c r="F1072" s="1727">
        <v>13</v>
      </c>
      <c r="G1072" s="1727">
        <v>16</v>
      </c>
      <c r="H1072" s="1415">
        <v>98</v>
      </c>
      <c r="I1072" s="1200" t="s">
        <v>2448</v>
      </c>
      <c r="J1072" s="728" t="s">
        <v>2449</v>
      </c>
      <c r="K1072" s="1729">
        <v>500</v>
      </c>
      <c r="L1072" s="1741">
        <v>457365200</v>
      </c>
      <c r="M1072" s="754"/>
      <c r="N1072" s="1731"/>
      <c r="O1072" s="754">
        <v>100</v>
      </c>
      <c r="P1072" s="1731">
        <v>69999900</v>
      </c>
      <c r="Q1072" s="1733" t="e">
        <f>'[4]Maret 2018'!$I$101</f>
        <v>#REF!</v>
      </c>
      <c r="R1072" s="1731">
        <v>325000</v>
      </c>
      <c r="S1072" s="754"/>
      <c r="T1072" s="754"/>
      <c r="U1072" s="754"/>
      <c r="V1072" s="754"/>
      <c r="W1072" s="754"/>
      <c r="X1072" s="754"/>
      <c r="Y1072" s="1733" t="e">
        <f>Q1072</f>
        <v>#REF!</v>
      </c>
      <c r="Z1072" s="1731">
        <v>325000</v>
      </c>
      <c r="AA1072" s="1733" t="e">
        <f>M1072+Y1072</f>
        <v>#REF!</v>
      </c>
      <c r="AB1072" s="1731">
        <v>325000</v>
      </c>
      <c r="AC1072" s="13" t="e">
        <f t="shared" si="189"/>
        <v>#REF!</v>
      </c>
      <c r="AD1072" s="19">
        <f t="shared" si="189"/>
        <v>7.1059188587150934E-2</v>
      </c>
      <c r="AE1072" s="24" t="s">
        <v>2418</v>
      </c>
      <c r="AF1072" s="109">
        <v>23</v>
      </c>
      <c r="AG1072" s="109"/>
      <c r="AH1072" s="109"/>
      <c r="AI1072" s="109"/>
      <c r="AJ1072" s="109"/>
      <c r="AK1072" s="109"/>
      <c r="AL1072" s="109"/>
      <c r="AM1072" s="109"/>
      <c r="AN1072" s="110" t="s">
        <v>194</v>
      </c>
      <c r="AO1072" s="109"/>
      <c r="AP1072" s="109"/>
      <c r="AQ1072" s="109"/>
      <c r="AR1072" s="109"/>
      <c r="AS1072" s="109"/>
      <c r="AT1072" s="109"/>
      <c r="AU1072" s="109"/>
      <c r="AV1072" s="109"/>
      <c r="AW1072" s="109"/>
      <c r="AX1072" s="109"/>
      <c r="AY1072" s="109"/>
      <c r="AZ1072" s="109"/>
      <c r="BA1072" s="109"/>
      <c r="BB1072" s="109"/>
      <c r="BC1072" s="109"/>
      <c r="BD1072" s="567"/>
      <c r="BE1072" s="109"/>
      <c r="BF1072" s="109"/>
      <c r="BG1072" s="109"/>
      <c r="BH1072" s="109"/>
      <c r="BI1072" s="109"/>
      <c r="BJ1072" s="109"/>
    </row>
    <row r="1073" spans="1:66" s="65" customFormat="1" ht="38.25">
      <c r="A1073" s="1742"/>
      <c r="B1073" s="1743"/>
      <c r="C1073" s="1744" t="s">
        <v>2006</v>
      </c>
      <c r="D1073" s="1744" t="s">
        <v>66</v>
      </c>
      <c r="E1073" s="1744" t="s">
        <v>65</v>
      </c>
      <c r="F1073" s="1744" t="s">
        <v>155</v>
      </c>
      <c r="G1073" s="1745"/>
      <c r="H1073" s="1745"/>
      <c r="I1073" s="1745" t="s">
        <v>2450</v>
      </c>
      <c r="J1073" s="1746" t="s">
        <v>2451</v>
      </c>
      <c r="K1073" s="1747"/>
      <c r="L1073" s="1748"/>
      <c r="M1073" s="1749"/>
      <c r="N1073" s="1748"/>
      <c r="O1073" s="1749"/>
      <c r="P1073" s="1748">
        <f>SUM(P1074:P1077)</f>
        <v>1465480600</v>
      </c>
      <c r="Q1073" s="1749"/>
      <c r="R1073" s="1748"/>
      <c r="S1073" s="1749"/>
      <c r="T1073" s="1749"/>
      <c r="U1073" s="1749"/>
      <c r="V1073" s="1749"/>
      <c r="W1073" s="1749"/>
      <c r="X1073" s="1749"/>
      <c r="Y1073" s="1749"/>
      <c r="Z1073" s="1748"/>
      <c r="AA1073" s="1749"/>
      <c r="AB1073" s="1748">
        <f>SUM(AB1074:AB1077)</f>
        <v>1168963150</v>
      </c>
      <c r="AC1073" s="1671"/>
      <c r="AD1073" s="1671"/>
      <c r="AE1073" s="1670" t="s">
        <v>2418</v>
      </c>
      <c r="AF1073" s="123"/>
      <c r="AG1073" s="130"/>
      <c r="AH1073" s="117"/>
      <c r="AI1073" s="117"/>
      <c r="AJ1073" s="118"/>
      <c r="AK1073" s="117"/>
      <c r="AL1073" s="117"/>
      <c r="AM1073" s="127"/>
      <c r="AN1073" s="131"/>
      <c r="AO1073" s="132"/>
      <c r="AP1073" s="123"/>
      <c r="AQ1073" s="128"/>
      <c r="AR1073" s="123"/>
      <c r="AS1073" s="129"/>
      <c r="AT1073" s="123"/>
      <c r="AU1073" s="129"/>
      <c r="AV1073" s="119"/>
      <c r="AW1073" s="129"/>
      <c r="AX1073" s="120"/>
      <c r="AY1073" s="120"/>
      <c r="AZ1073" s="120"/>
      <c r="BA1073" s="120"/>
      <c r="BB1073" s="120"/>
      <c r="BC1073" s="121"/>
      <c r="BD1073" s="122"/>
      <c r="BE1073" s="129"/>
      <c r="BF1073" s="123"/>
      <c r="BG1073" s="124"/>
      <c r="BH1073" s="125"/>
      <c r="BI1073" s="126"/>
      <c r="BJ1073" s="130"/>
    </row>
    <row r="1074" spans="1:66" s="69" customFormat="1" ht="27.75" customHeight="1">
      <c r="A1074" s="64"/>
      <c r="B1074" s="1750"/>
      <c r="C1074" s="1751" t="s">
        <v>2006</v>
      </c>
      <c r="D1074" s="1751" t="s">
        <v>66</v>
      </c>
      <c r="E1074" s="1751" t="s">
        <v>65</v>
      </c>
      <c r="F1074" s="1751">
        <v>13</v>
      </c>
      <c r="G1074" s="1752">
        <v>15</v>
      </c>
      <c r="H1074" s="1753">
        <v>11</v>
      </c>
      <c r="I1074" s="1754" t="s">
        <v>2452</v>
      </c>
      <c r="J1074" s="1755" t="s">
        <v>2453</v>
      </c>
      <c r="K1074" s="1756">
        <v>5</v>
      </c>
      <c r="L1074" s="1757">
        <v>3369697000</v>
      </c>
      <c r="M1074" s="1758">
        <v>1</v>
      </c>
      <c r="N1074" s="1759">
        <f>'[8]triwulan II (2)'!$AH$74</f>
        <v>585839100</v>
      </c>
      <c r="O1074" s="1760">
        <v>1</v>
      </c>
      <c r="P1074" s="1387">
        <v>525007000</v>
      </c>
      <c r="Q1074" s="1732">
        <f>'[4]Maret 2018'!$I$66</f>
        <v>3.9562857399818192</v>
      </c>
      <c r="R1074" s="1387">
        <v>1250000</v>
      </c>
      <c r="S1074" s="1385"/>
      <c r="T1074" s="1385"/>
      <c r="U1074" s="1385"/>
      <c r="V1074" s="1385"/>
      <c r="W1074" s="1385"/>
      <c r="X1074" s="1385"/>
      <c r="Y1074" s="1732">
        <v>0</v>
      </c>
      <c r="Z1074" s="1387">
        <v>1250000</v>
      </c>
      <c r="AA1074" s="1732">
        <f t="shared" ref="AA1074:AB1076" si="193">M1074+Y1074</f>
        <v>1</v>
      </c>
      <c r="AB1074" s="1387">
        <f t="shared" si="193"/>
        <v>587089100</v>
      </c>
      <c r="AC1074" s="1672">
        <f t="shared" ref="AC1074:AD1077" si="194">AA1074/K1074*100</f>
        <v>20</v>
      </c>
      <c r="AD1074" s="1672">
        <f t="shared" si="194"/>
        <v>17.422608026775109</v>
      </c>
      <c r="AE1074" s="1402" t="s">
        <v>2418</v>
      </c>
      <c r="AF1074" s="134">
        <v>24</v>
      </c>
      <c r="AG1074" s="134"/>
      <c r="AH1074" s="134"/>
      <c r="AI1074" s="134"/>
      <c r="AJ1074" s="134"/>
      <c r="AK1074" s="134"/>
      <c r="AL1074" s="134"/>
      <c r="AM1074" s="134"/>
      <c r="AN1074" s="135" t="s">
        <v>210</v>
      </c>
      <c r="AO1074" s="134"/>
      <c r="AP1074" s="134"/>
      <c r="AQ1074" s="134"/>
      <c r="AR1074" s="134"/>
      <c r="AS1074" s="134"/>
      <c r="AT1074" s="134"/>
      <c r="AU1074" s="134"/>
      <c r="AV1074" s="134"/>
      <c r="AW1074" s="134"/>
      <c r="AX1074" s="134"/>
      <c r="AY1074" s="134"/>
      <c r="AZ1074" s="134"/>
      <c r="BA1074" s="134"/>
      <c r="BB1074" s="134"/>
      <c r="BC1074" s="134"/>
      <c r="BD1074" s="569"/>
      <c r="BE1074" s="134"/>
      <c r="BF1074" s="134"/>
      <c r="BG1074" s="134"/>
      <c r="BH1074" s="134"/>
      <c r="BI1074" s="134"/>
      <c r="BJ1074" s="134"/>
    </row>
    <row r="1075" spans="1:66" ht="38.25">
      <c r="A1075" s="64"/>
      <c r="B1075" s="1750"/>
      <c r="C1075" s="1751" t="s">
        <v>2006</v>
      </c>
      <c r="D1075" s="1751" t="s">
        <v>66</v>
      </c>
      <c r="E1075" s="1751" t="s">
        <v>65</v>
      </c>
      <c r="F1075" s="1751">
        <v>13</v>
      </c>
      <c r="G1075" s="1761">
        <v>15</v>
      </c>
      <c r="H1075" s="1753">
        <v>14</v>
      </c>
      <c r="I1075" s="1762" t="s">
        <v>2454</v>
      </c>
      <c r="J1075" s="1762" t="s">
        <v>2455</v>
      </c>
      <c r="K1075" s="1763">
        <v>500</v>
      </c>
      <c r="L1075" s="1764">
        <v>3080681500</v>
      </c>
      <c r="M1075" s="1758">
        <f>'[8]triwulan II (2)'!$AG$76</f>
        <v>82.62</v>
      </c>
      <c r="N1075" s="1759">
        <f>'[8]triwulan II (2)'!$AH$76</f>
        <v>447533050</v>
      </c>
      <c r="O1075" s="1765">
        <v>100</v>
      </c>
      <c r="P1075" s="1387">
        <v>539075000</v>
      </c>
      <c r="Q1075" s="1732" t="e">
        <f>'[4]Maret 2018'!$I$70</f>
        <v>#REF!</v>
      </c>
      <c r="R1075" s="1387">
        <v>44583800</v>
      </c>
      <c r="S1075" s="1385"/>
      <c r="T1075" s="1385"/>
      <c r="U1075" s="1385"/>
      <c r="V1075" s="1385"/>
      <c r="W1075" s="1385"/>
      <c r="X1075" s="1385"/>
      <c r="Y1075" s="1732" t="e">
        <f>Q1075</f>
        <v>#REF!</v>
      </c>
      <c r="Z1075" s="1387">
        <v>44583800</v>
      </c>
      <c r="AA1075" s="1732" t="e">
        <f t="shared" si="193"/>
        <v>#REF!</v>
      </c>
      <c r="AB1075" s="1387">
        <f t="shared" si="193"/>
        <v>492116850</v>
      </c>
      <c r="AC1075" s="1672" t="e">
        <f t="shared" si="194"/>
        <v>#REF!</v>
      </c>
      <c r="AD1075" s="1672">
        <f t="shared" si="194"/>
        <v>15.974285235263691</v>
      </c>
      <c r="AE1075" s="1402" t="s">
        <v>2418</v>
      </c>
      <c r="AF1075" s="146"/>
      <c r="AG1075" s="116"/>
      <c r="AH1075" s="133"/>
      <c r="AI1075" s="133"/>
      <c r="AJ1075" s="133"/>
      <c r="AK1075" s="133"/>
      <c r="AL1075" s="147"/>
      <c r="AM1075" s="147"/>
      <c r="AN1075" s="113"/>
      <c r="AO1075" s="147"/>
      <c r="AP1075" s="148"/>
      <c r="AQ1075" s="137"/>
      <c r="AR1075" s="136"/>
      <c r="AS1075" s="138"/>
      <c r="AT1075" s="136"/>
      <c r="AU1075" s="138"/>
      <c r="AV1075" s="139"/>
      <c r="AW1075" s="138"/>
      <c r="AX1075" s="140"/>
      <c r="AY1075" s="140"/>
      <c r="AZ1075" s="140"/>
      <c r="BA1075" s="140"/>
      <c r="BB1075" s="140"/>
      <c r="BC1075" s="141"/>
      <c r="BD1075" s="142"/>
      <c r="BE1075" s="138"/>
      <c r="BF1075" s="136"/>
      <c r="BG1075" s="143"/>
      <c r="BH1075" s="115"/>
      <c r="BI1075" s="144"/>
      <c r="BJ1075" s="116"/>
    </row>
    <row r="1076" spans="1:66" s="69" customFormat="1" ht="45.75" customHeight="1">
      <c r="A1076" s="64"/>
      <c r="B1076" s="1750"/>
      <c r="C1076" s="1766" t="s">
        <v>2006</v>
      </c>
      <c r="D1076" s="1766" t="s">
        <v>66</v>
      </c>
      <c r="E1076" s="1766" t="s">
        <v>65</v>
      </c>
      <c r="F1076" s="1766">
        <v>13</v>
      </c>
      <c r="G1076" s="1761">
        <v>15</v>
      </c>
      <c r="H1076" s="1753">
        <v>28</v>
      </c>
      <c r="I1076" s="1767" t="s">
        <v>2456</v>
      </c>
      <c r="J1076" s="1699" t="s">
        <v>2457</v>
      </c>
      <c r="K1076" s="1768">
        <v>500</v>
      </c>
      <c r="L1076" s="1769">
        <v>423782925</v>
      </c>
      <c r="M1076" s="1770">
        <v>99.27</v>
      </c>
      <c r="N1076" s="1771">
        <v>77612400</v>
      </c>
      <c r="O1076" s="1760">
        <v>100</v>
      </c>
      <c r="P1076" s="1387">
        <v>58436000</v>
      </c>
      <c r="Q1076" s="1732" t="e">
        <f>'[4]Maret 2018'!$I$77</f>
        <v>#REF!</v>
      </c>
      <c r="R1076" s="1387">
        <v>12144800</v>
      </c>
      <c r="S1076" s="1385"/>
      <c r="T1076" s="1385"/>
      <c r="U1076" s="1385"/>
      <c r="V1076" s="1385"/>
      <c r="W1076" s="1385"/>
      <c r="X1076" s="1385"/>
      <c r="Y1076" s="1732" t="e">
        <f>Q1076</f>
        <v>#REF!</v>
      </c>
      <c r="Z1076" s="1387">
        <v>12144800</v>
      </c>
      <c r="AA1076" s="1732" t="e">
        <f t="shared" si="193"/>
        <v>#REF!</v>
      </c>
      <c r="AB1076" s="1387">
        <f t="shared" si="193"/>
        <v>89757200</v>
      </c>
      <c r="AC1076" s="1672" t="e">
        <f t="shared" si="194"/>
        <v>#REF!</v>
      </c>
      <c r="AD1076" s="1672">
        <f t="shared" si="194"/>
        <v>21.1799944511686</v>
      </c>
      <c r="AE1076" s="1402" t="s">
        <v>2418</v>
      </c>
      <c r="AF1076" s="72"/>
      <c r="AG1076" s="72"/>
      <c r="AH1076" s="72"/>
      <c r="AI1076" s="72"/>
      <c r="AJ1076" s="72"/>
      <c r="AK1076" s="72"/>
      <c r="AL1076" s="72"/>
      <c r="AM1076" s="72"/>
      <c r="AN1076" s="73" t="s">
        <v>211</v>
      </c>
      <c r="AO1076" s="72"/>
      <c r="AP1076" s="72"/>
      <c r="AQ1076" s="72"/>
      <c r="AR1076" s="72"/>
      <c r="AS1076" s="72"/>
      <c r="AT1076" s="72"/>
      <c r="AU1076" s="72"/>
      <c r="AV1076" s="72"/>
      <c r="AW1076" s="72"/>
      <c r="AX1076" s="72"/>
      <c r="AY1076" s="72"/>
      <c r="AZ1076" s="72"/>
      <c r="BA1076" s="72"/>
      <c r="BB1076" s="72"/>
      <c r="BC1076" s="72"/>
      <c r="BD1076" s="561"/>
      <c r="BE1076" s="72"/>
      <c r="BF1076" s="72"/>
      <c r="BG1076" s="72"/>
      <c r="BH1076" s="72"/>
      <c r="BI1076" s="72"/>
      <c r="BJ1076" s="72"/>
    </row>
    <row r="1077" spans="1:66" s="69" customFormat="1" ht="24.75" customHeight="1">
      <c r="A1077" s="64"/>
      <c r="B1077" s="1750"/>
      <c r="C1077" s="1766" t="s">
        <v>2006</v>
      </c>
      <c r="D1077" s="1766" t="s">
        <v>66</v>
      </c>
      <c r="E1077" s="1766" t="s">
        <v>65</v>
      </c>
      <c r="F1077" s="1766">
        <v>13</v>
      </c>
      <c r="G1077" s="1772">
        <v>15</v>
      </c>
      <c r="H1077" s="1773">
        <v>30</v>
      </c>
      <c r="I1077" s="1774" t="s">
        <v>2458</v>
      </c>
      <c r="J1077" s="1755" t="s">
        <v>2459</v>
      </c>
      <c r="K1077" s="1756">
        <v>5</v>
      </c>
      <c r="L1077" s="1757">
        <v>1888500000</v>
      </c>
      <c r="M1077" s="1775">
        <v>1</v>
      </c>
      <c r="N1077" s="1776">
        <v>377121000</v>
      </c>
      <c r="O1077" s="1777">
        <v>1</v>
      </c>
      <c r="P1077" s="1387">
        <v>342962600</v>
      </c>
      <c r="Q1077" s="1385"/>
      <c r="R1077" s="1387"/>
      <c r="S1077" s="1385"/>
      <c r="T1077" s="1385"/>
      <c r="U1077" s="1385"/>
      <c r="V1077" s="1385"/>
      <c r="W1077" s="1385"/>
      <c r="X1077" s="1385"/>
      <c r="Y1077" s="1385"/>
      <c r="Z1077" s="1387"/>
      <c r="AA1077" s="1385"/>
      <c r="AB1077" s="1387"/>
      <c r="AC1077" s="1672">
        <f t="shared" si="194"/>
        <v>0</v>
      </c>
      <c r="AD1077" s="1672">
        <f t="shared" si="194"/>
        <v>0</v>
      </c>
      <c r="AE1077" s="1402" t="s">
        <v>2418</v>
      </c>
      <c r="AF1077" s="67">
        <v>25</v>
      </c>
      <c r="AG1077" s="67"/>
      <c r="AH1077" s="67"/>
      <c r="AI1077" s="67"/>
      <c r="AJ1077" s="67"/>
      <c r="AK1077" s="67"/>
      <c r="AL1077" s="67"/>
      <c r="AM1077" s="67"/>
      <c r="AN1077" s="68" t="s">
        <v>212</v>
      </c>
      <c r="AO1077" s="67"/>
      <c r="AP1077" s="67"/>
      <c r="AQ1077" s="67"/>
      <c r="AR1077" s="67"/>
      <c r="AS1077" s="67"/>
      <c r="AT1077" s="67"/>
      <c r="AU1077" s="67"/>
      <c r="AV1077" s="67"/>
      <c r="AW1077" s="67"/>
      <c r="AX1077" s="67"/>
      <c r="AY1077" s="67"/>
      <c r="AZ1077" s="67"/>
      <c r="BA1077" s="67"/>
      <c r="BB1077" s="67"/>
      <c r="BC1077" s="67"/>
      <c r="BD1077" s="366"/>
      <c r="BE1077" s="67"/>
      <c r="BF1077" s="67"/>
      <c r="BG1077" s="67"/>
      <c r="BH1077" s="67"/>
      <c r="BI1077" s="67"/>
      <c r="BJ1077" s="67"/>
    </row>
    <row r="1078" spans="1:66" ht="22.5" customHeight="1">
      <c r="A1078" s="64"/>
      <c r="B1078" s="1778"/>
      <c r="C1078" s="1779"/>
      <c r="D1078" s="1779"/>
      <c r="E1078" s="1779"/>
      <c r="F1078" s="1780"/>
      <c r="G1078" s="1781"/>
      <c r="H1078" s="1385"/>
      <c r="I1078" s="1762"/>
      <c r="J1078" s="1762"/>
      <c r="K1078" s="1760"/>
      <c r="L1078" s="1387"/>
      <c r="M1078" s="1385"/>
      <c r="N1078" s="1387"/>
      <c r="O1078" s="1385"/>
      <c r="P1078" s="1387"/>
      <c r="Q1078" s="1385"/>
      <c r="R1078" s="1387"/>
      <c r="S1078" s="1385"/>
      <c r="T1078" s="1385"/>
      <c r="U1078" s="1385"/>
      <c r="V1078" s="1385"/>
      <c r="W1078" s="1385"/>
      <c r="X1078" s="1385"/>
      <c r="Y1078" s="1385"/>
      <c r="Z1078" s="1387"/>
      <c r="AA1078" s="1385"/>
      <c r="AB1078" s="1387"/>
      <c r="AC1078" s="1672"/>
      <c r="AD1078" s="1672"/>
      <c r="AE1078" s="1402"/>
      <c r="AF1078" s="56"/>
      <c r="AG1078" s="56"/>
      <c r="AH1078" s="56"/>
      <c r="AI1078" s="56"/>
      <c r="AJ1078" s="56"/>
      <c r="AK1078" s="56"/>
      <c r="AL1078" s="56"/>
      <c r="AM1078" s="56"/>
      <c r="AN1078" s="56"/>
      <c r="AO1078" s="56"/>
      <c r="AP1078" s="56"/>
      <c r="AQ1078" s="56"/>
      <c r="AR1078" s="56"/>
      <c r="AS1078" s="56"/>
      <c r="AT1078" s="56"/>
      <c r="AU1078" s="56"/>
      <c r="AV1078" s="56"/>
      <c r="AW1078" s="56"/>
      <c r="AX1078" s="56"/>
      <c r="AY1078" s="56"/>
      <c r="AZ1078" s="56"/>
      <c r="BA1078" s="56"/>
      <c r="BB1078" s="56"/>
      <c r="BC1078" s="56"/>
      <c r="BD1078" s="382"/>
      <c r="BE1078" s="56"/>
      <c r="BF1078" s="56"/>
      <c r="BG1078" s="56"/>
      <c r="BH1078" s="56"/>
      <c r="BI1078" s="56"/>
      <c r="BJ1078" s="56"/>
    </row>
    <row r="1079" spans="1:66" s="69" customFormat="1" ht="27.75" customHeight="1">
      <c r="A1079" s="1742"/>
      <c r="B1079" s="1749"/>
      <c r="C1079" s="1782" t="s">
        <v>2006</v>
      </c>
      <c r="D1079" s="1782" t="s">
        <v>66</v>
      </c>
      <c r="E1079" s="1782" t="s">
        <v>65</v>
      </c>
      <c r="F1079" s="1782">
        <v>13</v>
      </c>
      <c r="G1079" s="1783">
        <v>17</v>
      </c>
      <c r="H1079" s="1749"/>
      <c r="I1079" s="1784" t="s">
        <v>2460</v>
      </c>
      <c r="J1079" s="1784" t="s">
        <v>2461</v>
      </c>
      <c r="K1079" s="1747"/>
      <c r="L1079" s="1748"/>
      <c r="M1079" s="1749"/>
      <c r="N1079" s="1748"/>
      <c r="O1079" s="1749"/>
      <c r="P1079" s="1748">
        <f>SUM(P1080:P1081)</f>
        <v>161521000</v>
      </c>
      <c r="Q1079" s="1749"/>
      <c r="R1079" s="1748"/>
      <c r="S1079" s="1749"/>
      <c r="T1079" s="1749"/>
      <c r="U1079" s="1749"/>
      <c r="V1079" s="1749"/>
      <c r="W1079" s="1749"/>
      <c r="X1079" s="1749"/>
      <c r="Y1079" s="1749"/>
      <c r="Z1079" s="1748"/>
      <c r="AA1079" s="1749"/>
      <c r="AB1079" s="1748">
        <f>SUM(AB1080:AB1081)</f>
        <v>169561000</v>
      </c>
      <c r="AC1079" s="1671"/>
      <c r="AD1079" s="1671"/>
      <c r="AE1079" s="24" t="s">
        <v>2418</v>
      </c>
      <c r="AF1079" s="67">
        <v>26</v>
      </c>
      <c r="AG1079" s="67"/>
      <c r="AH1079" s="67"/>
      <c r="AI1079" s="67"/>
      <c r="AJ1079" s="67"/>
      <c r="AK1079" s="67"/>
      <c r="AL1079" s="67"/>
      <c r="AM1079" s="67"/>
      <c r="AN1079" s="68" t="s">
        <v>213</v>
      </c>
      <c r="AO1079" s="67"/>
      <c r="AP1079" s="67"/>
      <c r="AQ1079" s="67"/>
      <c r="AR1079" s="67"/>
      <c r="AS1079" s="67"/>
      <c r="AT1079" s="67"/>
      <c r="AU1079" s="67"/>
      <c r="AV1079" s="67"/>
      <c r="AW1079" s="67"/>
      <c r="AX1079" s="67"/>
      <c r="AY1079" s="67"/>
      <c r="AZ1079" s="67"/>
      <c r="BA1079" s="67"/>
      <c r="BB1079" s="67"/>
      <c r="BC1079" s="67"/>
      <c r="BD1079" s="366"/>
      <c r="BE1079" s="67"/>
      <c r="BF1079" s="67"/>
      <c r="BG1079" s="67"/>
      <c r="BH1079" s="67"/>
      <c r="BI1079" s="67"/>
      <c r="BJ1079" s="67"/>
    </row>
    <row r="1080" spans="1:66" ht="38.25">
      <c r="A1080" s="64"/>
      <c r="B1080" s="754"/>
      <c r="C1080" s="1781">
        <v>2</v>
      </c>
      <c r="D1080" s="1781">
        <v>1</v>
      </c>
      <c r="E1080" s="1781">
        <v>2</v>
      </c>
      <c r="F1080" s="1781">
        <v>13</v>
      </c>
      <c r="G1080" s="1785">
        <v>17</v>
      </c>
      <c r="H1080" s="754">
        <v>1</v>
      </c>
      <c r="I1080" s="1786" t="s">
        <v>2462</v>
      </c>
      <c r="J1080" s="1734" t="s">
        <v>2463</v>
      </c>
      <c r="K1080" s="1787">
        <v>500</v>
      </c>
      <c r="L1080" s="1739">
        <v>594592000</v>
      </c>
      <c r="M1080" s="1735">
        <v>98.11</v>
      </c>
      <c r="N1080" s="1736">
        <v>90550000</v>
      </c>
      <c r="O1080" s="1730">
        <v>100</v>
      </c>
      <c r="P1080" s="1731">
        <v>78591000</v>
      </c>
      <c r="Q1080" s="1733">
        <f>'[4]Maret 2018'!$I$123</f>
        <v>12.372075457680426</v>
      </c>
      <c r="R1080" s="1731">
        <v>17121000</v>
      </c>
      <c r="S1080" s="754"/>
      <c r="T1080" s="754"/>
      <c r="U1080" s="754"/>
      <c r="V1080" s="754"/>
      <c r="W1080" s="754"/>
      <c r="X1080" s="754"/>
      <c r="Y1080" s="1733">
        <f>Q1080</f>
        <v>12.372075457680426</v>
      </c>
      <c r="Z1080" s="1731">
        <v>17121000</v>
      </c>
      <c r="AA1080" s="1733">
        <f>M1080+Y1080</f>
        <v>110.48207545768042</v>
      </c>
      <c r="AB1080" s="1731">
        <f>N1080+Z1080</f>
        <v>107671000</v>
      </c>
      <c r="AC1080" s="19">
        <f>AA1080/K1080*100</f>
        <v>22.096415091536084</v>
      </c>
      <c r="AD1080" s="19">
        <f>AB1080/L1080*100</f>
        <v>18.108383563855551</v>
      </c>
      <c r="AE1080" s="24" t="s">
        <v>2418</v>
      </c>
      <c r="AF1080" s="112"/>
      <c r="AG1080" s="112"/>
      <c r="AH1080" s="112"/>
      <c r="AI1080" s="112"/>
      <c r="AJ1080" s="112"/>
      <c r="AK1080" s="112"/>
      <c r="AL1080" s="112"/>
      <c r="AM1080" s="112"/>
      <c r="AN1080" s="112"/>
      <c r="AO1080" s="112"/>
      <c r="AP1080" s="112"/>
      <c r="AQ1080" s="112"/>
      <c r="AR1080" s="112"/>
      <c r="AS1080" s="112"/>
      <c r="AT1080" s="112"/>
      <c r="AU1080" s="112"/>
      <c r="AV1080" s="112"/>
      <c r="AW1080" s="112"/>
      <c r="AX1080" s="112"/>
      <c r="AY1080" s="112"/>
      <c r="AZ1080" s="112"/>
      <c r="BA1080" s="112"/>
      <c r="BB1080" s="112"/>
      <c r="BC1080" s="112"/>
      <c r="BD1080" s="570"/>
      <c r="BE1080" s="112"/>
      <c r="BF1080" s="112"/>
      <c r="BG1080" s="112"/>
      <c r="BH1080" s="112"/>
      <c r="BI1080" s="112"/>
      <c r="BJ1080" s="112"/>
    </row>
    <row r="1081" spans="1:66" s="69" customFormat="1" ht="27.75" customHeight="1">
      <c r="A1081" s="64"/>
      <c r="B1081" s="754"/>
      <c r="C1081" s="1785">
        <v>2</v>
      </c>
      <c r="D1081" s="1785">
        <v>1</v>
      </c>
      <c r="E1081" s="1785">
        <v>2</v>
      </c>
      <c r="F1081" s="1785">
        <v>13</v>
      </c>
      <c r="G1081" s="1785"/>
      <c r="H1081" s="754"/>
      <c r="I1081" s="1788" t="s">
        <v>2464</v>
      </c>
      <c r="J1081" s="1789" t="s">
        <v>2465</v>
      </c>
      <c r="K1081" s="1730">
        <v>40</v>
      </c>
      <c r="L1081" s="1790">
        <v>200000000</v>
      </c>
      <c r="M1081" s="1791">
        <v>1</v>
      </c>
      <c r="N1081" s="1721">
        <v>59027500</v>
      </c>
      <c r="O1081" s="1730">
        <v>3</v>
      </c>
      <c r="P1081" s="1731">
        <v>82930000</v>
      </c>
      <c r="Q1081" s="1733">
        <f>'[4]Maret 2018'!$I$126</f>
        <v>21.784937206550367</v>
      </c>
      <c r="R1081" s="1731">
        <v>2862500</v>
      </c>
      <c r="S1081" s="754"/>
      <c r="T1081" s="754"/>
      <c r="U1081" s="754"/>
      <c r="V1081" s="754"/>
      <c r="W1081" s="754"/>
      <c r="X1081" s="754"/>
      <c r="Y1081" s="1733">
        <f>Q1081</f>
        <v>21.784937206550367</v>
      </c>
      <c r="Z1081" s="1731">
        <v>2862500</v>
      </c>
      <c r="AA1081" s="1733">
        <f>M1081+Y1081</f>
        <v>22.784937206550367</v>
      </c>
      <c r="AB1081" s="1731">
        <f>N1081+Z1081</f>
        <v>61890000</v>
      </c>
      <c r="AC1081" s="19">
        <f>AA1081/K1081*100</f>
        <v>56.962343016375918</v>
      </c>
      <c r="AD1081" s="19">
        <f>AB1081/L1081*100</f>
        <v>30.945</v>
      </c>
      <c r="AE1081" s="24" t="s">
        <v>2418</v>
      </c>
      <c r="AF1081" s="67">
        <v>27</v>
      </c>
      <c r="AG1081" s="67"/>
      <c r="AH1081" s="67"/>
      <c r="AI1081" s="67"/>
      <c r="AJ1081" s="67"/>
      <c r="AK1081" s="67"/>
      <c r="AL1081" s="67"/>
      <c r="AM1081" s="67"/>
      <c r="AN1081" s="68" t="s">
        <v>214</v>
      </c>
      <c r="AO1081" s="67"/>
      <c r="AP1081" s="67"/>
      <c r="AQ1081" s="67"/>
      <c r="AR1081" s="67"/>
      <c r="AS1081" s="67"/>
      <c r="AT1081" s="67"/>
      <c r="AU1081" s="67"/>
      <c r="AV1081" s="67"/>
      <c r="AW1081" s="67"/>
      <c r="AX1081" s="67"/>
      <c r="AY1081" s="67"/>
      <c r="AZ1081" s="67"/>
      <c r="BA1081" s="67"/>
      <c r="BB1081" s="67"/>
      <c r="BC1081" s="67"/>
      <c r="BD1081" s="366"/>
      <c r="BE1081" s="67"/>
      <c r="BF1081" s="67"/>
      <c r="BG1081" s="67"/>
      <c r="BH1081" s="67"/>
      <c r="BI1081" s="67"/>
      <c r="BJ1081" s="67"/>
    </row>
    <row r="1082" spans="1:66" s="656" customFormat="1" ht="27.75" customHeight="1">
      <c r="A1082" s="64"/>
      <c r="B1082" s="754"/>
      <c r="C1082" s="1785"/>
      <c r="D1082" s="1785"/>
      <c r="E1082" s="1785"/>
      <c r="F1082" s="1785"/>
      <c r="G1082" s="1785"/>
      <c r="H1082" s="754"/>
      <c r="I1082" s="1788"/>
      <c r="J1082" s="754"/>
      <c r="K1082" s="1730"/>
      <c r="L1082" s="1731"/>
      <c r="M1082" s="754"/>
      <c r="N1082" s="1731"/>
      <c r="O1082" s="754"/>
      <c r="P1082" s="1731"/>
      <c r="Q1082" s="754"/>
      <c r="R1082" s="1731"/>
      <c r="S1082" s="754"/>
      <c r="T1082" s="754"/>
      <c r="U1082" s="754"/>
      <c r="V1082" s="754"/>
      <c r="W1082" s="754"/>
      <c r="X1082" s="754"/>
      <c r="Y1082" s="754"/>
      <c r="Z1082" s="1731"/>
      <c r="AA1082" s="754"/>
      <c r="AB1082" s="1731"/>
      <c r="AC1082" s="19"/>
      <c r="AD1082" s="19"/>
      <c r="AE1082" s="24"/>
      <c r="AF1082" s="4475" t="s">
        <v>910</v>
      </c>
      <c r="AG1082" s="4476"/>
      <c r="AH1082" s="4476"/>
      <c r="AI1082" s="4476"/>
      <c r="AJ1082" s="4476"/>
      <c r="AK1082" s="4476"/>
      <c r="AL1082" s="4476"/>
      <c r="AM1082" s="4476"/>
      <c r="AN1082" s="4476"/>
      <c r="AO1082" s="4476"/>
      <c r="AP1082" s="4476"/>
      <c r="AQ1082" s="4476"/>
      <c r="AR1082" s="4476"/>
      <c r="AS1082" s="4476"/>
      <c r="AT1082" s="4476"/>
      <c r="AU1082" s="4476"/>
      <c r="AV1082" s="4476"/>
      <c r="AW1082" s="4476"/>
      <c r="AX1082" s="4476"/>
      <c r="AY1082" s="4476"/>
      <c r="AZ1082" s="4476"/>
      <c r="BA1082" s="4476"/>
      <c r="BB1082" s="4476"/>
      <c r="BC1082" s="4476"/>
      <c r="BD1082" s="4476"/>
      <c r="BE1082" s="4476"/>
      <c r="BF1082" s="4476"/>
      <c r="BG1082" s="4476"/>
      <c r="BH1082" s="4476"/>
      <c r="BI1082" s="4476"/>
      <c r="BJ1082" s="4477"/>
    </row>
    <row r="1083" spans="1:66" s="994" customFormat="1" ht="48.75" customHeight="1">
      <c r="A1083" s="1742"/>
      <c r="B1083" s="1743"/>
      <c r="C1083" s="1783">
        <v>2</v>
      </c>
      <c r="D1083" s="1783">
        <v>1</v>
      </c>
      <c r="E1083" s="1783">
        <v>2</v>
      </c>
      <c r="F1083" s="1783">
        <v>13</v>
      </c>
      <c r="G1083" s="1783">
        <v>18</v>
      </c>
      <c r="H1083" s="1749"/>
      <c r="I1083" s="1792" t="s">
        <v>2466</v>
      </c>
      <c r="J1083" s="1749"/>
      <c r="K1083" s="1747"/>
      <c r="L1083" s="1748"/>
      <c r="M1083" s="1749"/>
      <c r="N1083" s="1748"/>
      <c r="O1083" s="1749"/>
      <c r="P1083" s="1748">
        <f>SUM(P1084:P1088)</f>
        <v>1089161000</v>
      </c>
      <c r="Q1083" s="1749"/>
      <c r="R1083" s="1748"/>
      <c r="S1083" s="1749"/>
      <c r="T1083" s="1749"/>
      <c r="U1083" s="1749"/>
      <c r="V1083" s="1749"/>
      <c r="W1083" s="1749"/>
      <c r="X1083" s="1749"/>
      <c r="Y1083" s="1749"/>
      <c r="Z1083" s="1748"/>
      <c r="AA1083" s="1749"/>
      <c r="AB1083" s="1748">
        <f>SUM(AB1084:AB1088)</f>
        <v>415943164</v>
      </c>
      <c r="AC1083" s="1671"/>
      <c r="AD1083" s="1671"/>
      <c r="AE1083" s="24" t="s">
        <v>2418</v>
      </c>
      <c r="AF1083" s="1007"/>
      <c r="AG1083" s="1008" t="s">
        <v>1308</v>
      </c>
      <c r="AH1083" s="1009"/>
      <c r="AI1083" s="1009"/>
      <c r="AJ1083" s="1009"/>
      <c r="AK1083" s="1009"/>
      <c r="AL1083" s="1009"/>
      <c r="AM1083" s="1008"/>
      <c r="AN1083" s="1008" t="s">
        <v>1309</v>
      </c>
      <c r="AO1083" s="1010" t="s">
        <v>1310</v>
      </c>
      <c r="AP1083" s="1011">
        <v>27</v>
      </c>
      <c r="AQ1083" s="4478">
        <f>SUM(AQ1085:AQ1088)</f>
        <v>5601639</v>
      </c>
      <c r="AR1083" s="1011">
        <v>22</v>
      </c>
      <c r="AS1083" s="4478">
        <f>SUM(AS1085:AS1088)</f>
        <v>897759.2</v>
      </c>
      <c r="AT1083" s="1010">
        <v>24</v>
      </c>
      <c r="AU1083" s="4478">
        <f>SUM(AU1085:AU1088)</f>
        <v>1239232.3999999999</v>
      </c>
      <c r="AV1083" s="1010">
        <v>24</v>
      </c>
      <c r="AW1083" s="4480">
        <f>SUM(AW1085:AW1088)</f>
        <v>17168</v>
      </c>
      <c r="AX1083" s="1012">
        <v>0</v>
      </c>
      <c r="AY1083" s="4482"/>
      <c r="AZ1083" s="1012">
        <v>0</v>
      </c>
      <c r="BA1083" s="4482"/>
      <c r="BB1083" s="1012">
        <v>0</v>
      </c>
      <c r="BC1083" s="4482"/>
      <c r="BD1083" s="1013">
        <f>AV1083+AX1083+AZ1083+BB1083</f>
        <v>24</v>
      </c>
      <c r="BE1083" s="4500">
        <f>AW1083+AY1083+BA1083+BC1083</f>
        <v>17168</v>
      </c>
      <c r="BF1083" s="1013">
        <f>AR1083+BD1083</f>
        <v>46</v>
      </c>
      <c r="BG1083" s="4502">
        <f>AS1083+BE1083</f>
        <v>914927.2</v>
      </c>
      <c r="BH1083" s="1014">
        <f>BF1083/AP1083*100%</f>
        <v>1.7037037037037037</v>
      </c>
      <c r="BI1083" s="4504">
        <f>BG1083/AQ1083*100%</f>
        <v>0.16333205335081391</v>
      </c>
      <c r="BJ1083" s="4506" t="s">
        <v>1311</v>
      </c>
      <c r="BL1083" s="995">
        <f>(SUM(BL1084:BL1085)/2)*100%</f>
        <v>63.008130081300813</v>
      </c>
    </row>
    <row r="1084" spans="1:66" s="994" customFormat="1" ht="69.75" customHeight="1">
      <c r="A1084" s="64">
        <v>2</v>
      </c>
      <c r="B1084" s="65" t="s">
        <v>2467</v>
      </c>
      <c r="C1084" s="1785">
        <v>2</v>
      </c>
      <c r="D1084" s="1781">
        <v>1</v>
      </c>
      <c r="E1084" s="1781">
        <v>2</v>
      </c>
      <c r="F1084" s="1781">
        <v>13</v>
      </c>
      <c r="G1084" s="1781">
        <v>18</v>
      </c>
      <c r="H1084" s="754">
        <v>5</v>
      </c>
      <c r="I1084" s="1793" t="s">
        <v>2468</v>
      </c>
      <c r="J1084" s="1064" t="s">
        <v>2469</v>
      </c>
      <c r="K1084" s="1794">
        <v>500</v>
      </c>
      <c r="L1084" s="1795">
        <v>939685480</v>
      </c>
      <c r="M1084" s="1733">
        <f>'[7]November 2017'!$J$150</f>
        <v>99.990361445783137</v>
      </c>
      <c r="N1084" s="1400">
        <f>'[7]November 2017'!$I$150</f>
        <v>165984000</v>
      </c>
      <c r="O1084" s="1796">
        <v>100</v>
      </c>
      <c r="P1084" s="1731">
        <v>224800000</v>
      </c>
      <c r="Q1084" s="1733" t="str">
        <f>'[4]Maret 2018'!$I$105</f>
        <v>-</v>
      </c>
      <c r="R1084" s="1731">
        <v>9646000</v>
      </c>
      <c r="S1084" s="754"/>
      <c r="T1084" s="754"/>
      <c r="U1084" s="754"/>
      <c r="V1084" s="754"/>
      <c r="W1084" s="754"/>
      <c r="X1084" s="754"/>
      <c r="Y1084" s="1733">
        <v>0</v>
      </c>
      <c r="Z1084" s="1731">
        <v>9646000</v>
      </c>
      <c r="AA1084" s="1733">
        <f t="shared" ref="AA1084:AB1088" si="195">M1084+Y1084</f>
        <v>99.990361445783137</v>
      </c>
      <c r="AB1084" s="1731">
        <f t="shared" si="195"/>
        <v>175630000</v>
      </c>
      <c r="AC1084" s="19">
        <f>AA1084/K1084*100</f>
        <v>19.998072289156628</v>
      </c>
      <c r="AD1084" s="19">
        <f>AB1084/L1084*100</f>
        <v>18.690296246782488</v>
      </c>
      <c r="AE1084" s="24" t="s">
        <v>2418</v>
      </c>
      <c r="AF1084" s="512"/>
      <c r="AG1084" s="1015"/>
      <c r="AH1084" s="1015"/>
      <c r="AI1084" s="1015"/>
      <c r="AJ1084" s="1015"/>
      <c r="AK1084" s="1015"/>
      <c r="AL1084" s="1015"/>
      <c r="AM1084" s="1016"/>
      <c r="AN1084" s="1016"/>
      <c r="AO1084" s="1017" t="s">
        <v>1312</v>
      </c>
      <c r="AP1084" s="1018">
        <v>123</v>
      </c>
      <c r="AQ1084" s="4479"/>
      <c r="AR1084" s="1018">
        <v>120</v>
      </c>
      <c r="AS1084" s="4479"/>
      <c r="AT1084" s="1017">
        <v>123</v>
      </c>
      <c r="AU1084" s="4479"/>
      <c r="AV1084" s="1017">
        <v>32</v>
      </c>
      <c r="AW1084" s="4481"/>
      <c r="AX1084" s="1019">
        <v>0</v>
      </c>
      <c r="AY1084" s="4483"/>
      <c r="AZ1084" s="1019">
        <v>0</v>
      </c>
      <c r="BA1084" s="4483"/>
      <c r="BB1084" s="1019">
        <v>0</v>
      </c>
      <c r="BC1084" s="4483"/>
      <c r="BD1084" s="1020">
        <f>AV1084+AX1084+AZ1084+BB1084</f>
        <v>32</v>
      </c>
      <c r="BE1084" s="4501"/>
      <c r="BF1084" s="1020">
        <f>AR1084+BD1084</f>
        <v>152</v>
      </c>
      <c r="BG1084" s="4503"/>
      <c r="BH1084" s="1021">
        <f>BF1084/AP1084*100%</f>
        <v>1.2357723577235773</v>
      </c>
      <c r="BI1084" s="4505"/>
      <c r="BJ1084" s="4507"/>
      <c r="BL1084" s="994">
        <f>AV1083/AT1083*100</f>
        <v>100</v>
      </c>
    </row>
    <row r="1085" spans="1:66" s="996" customFormat="1" ht="57" customHeight="1">
      <c r="A1085" s="64"/>
      <c r="B1085" s="1750"/>
      <c r="C1085" s="1785">
        <v>2</v>
      </c>
      <c r="D1085" s="1785">
        <v>1</v>
      </c>
      <c r="E1085" s="1785">
        <v>2</v>
      </c>
      <c r="F1085" s="1785">
        <v>13</v>
      </c>
      <c r="G1085" s="1785">
        <v>18</v>
      </c>
      <c r="H1085" s="754">
        <v>14</v>
      </c>
      <c r="I1085" s="1788" t="s">
        <v>2470</v>
      </c>
      <c r="J1085" s="754" t="s">
        <v>2471</v>
      </c>
      <c r="K1085" s="1730">
        <v>100</v>
      </c>
      <c r="L1085" s="1790">
        <v>100000000</v>
      </c>
      <c r="M1085" s="754">
        <v>0</v>
      </c>
      <c r="N1085" s="1731">
        <v>0</v>
      </c>
      <c r="O1085" s="1730">
        <v>100</v>
      </c>
      <c r="P1085" s="1731">
        <v>99820000</v>
      </c>
      <c r="Q1085" s="1733" t="e">
        <f>'[4]Maret 2018'!$I$113</f>
        <v>#REF!</v>
      </c>
      <c r="R1085" s="1731">
        <v>5452000</v>
      </c>
      <c r="S1085" s="754"/>
      <c r="T1085" s="754"/>
      <c r="U1085" s="754"/>
      <c r="V1085" s="754"/>
      <c r="W1085" s="754"/>
      <c r="X1085" s="754"/>
      <c r="Y1085" s="1733" t="e">
        <f>Q1085</f>
        <v>#REF!</v>
      </c>
      <c r="Z1085" s="1731">
        <v>5452000</v>
      </c>
      <c r="AA1085" s="1733" t="e">
        <f t="shared" si="195"/>
        <v>#REF!</v>
      </c>
      <c r="AB1085" s="1731">
        <f t="shared" si="195"/>
        <v>5452000</v>
      </c>
      <c r="AC1085" s="1669" t="e">
        <f>AA1085/K1085*100</f>
        <v>#REF!</v>
      </c>
      <c r="AD1085" s="19">
        <f>AB1085/L1085*100</f>
        <v>5.452</v>
      </c>
      <c r="AE1085" s="24" t="s">
        <v>2418</v>
      </c>
      <c r="AF1085" s="499"/>
      <c r="AG1085" s="1015"/>
      <c r="AH1085" s="1015"/>
      <c r="AI1085" s="1015"/>
      <c r="AJ1085" s="1015"/>
      <c r="AK1085" s="1015"/>
      <c r="AL1085" s="1015"/>
      <c r="AM1085" s="1016"/>
      <c r="AN1085" s="1022" t="s">
        <v>1313</v>
      </c>
      <c r="AO1085" s="1023" t="s">
        <v>1314</v>
      </c>
      <c r="AP1085" s="1024">
        <v>148</v>
      </c>
      <c r="AQ1085" s="1024">
        <v>1137662</v>
      </c>
      <c r="AR1085" s="1025">
        <v>33</v>
      </c>
      <c r="AS1085" s="1026">
        <v>778195</v>
      </c>
      <c r="AT1085" s="1025">
        <v>31</v>
      </c>
      <c r="AU1085" s="1026">
        <v>752283.7</v>
      </c>
      <c r="AV1085" s="1027">
        <v>0</v>
      </c>
      <c r="AW1085" s="1026">
        <v>10843</v>
      </c>
      <c r="AX1085" s="1027">
        <f>AV1085</f>
        <v>0</v>
      </c>
      <c r="AY1085" s="1027">
        <v>0</v>
      </c>
      <c r="AZ1085" s="1027">
        <f>AV1085+AX1085</f>
        <v>0</v>
      </c>
      <c r="BA1085" s="1027">
        <v>0</v>
      </c>
      <c r="BB1085" s="1027">
        <f>AV1085+AX1085+AZ1085</f>
        <v>0</v>
      </c>
      <c r="BC1085" s="1027">
        <v>0</v>
      </c>
      <c r="BD1085" s="1027">
        <f>AV1085+AX1085+AZ1085+BB1085</f>
        <v>0</v>
      </c>
      <c r="BE1085" s="1027">
        <f>AW1085+AY1085+BA1085+BC1085</f>
        <v>10843</v>
      </c>
      <c r="BF1085" s="1027">
        <f>AR1085+BD1085</f>
        <v>33</v>
      </c>
      <c r="BG1085" s="1027">
        <f>AS1085+BE1085</f>
        <v>789038</v>
      </c>
      <c r="BH1085" s="1027">
        <f>BF1085/AP1085*100</f>
        <v>22.297297297297298</v>
      </c>
      <c r="BI1085" s="1027">
        <f>BG1085/AQ1085*100</f>
        <v>69.356100493819781</v>
      </c>
      <c r="BJ1085" s="4507"/>
      <c r="BL1085" s="997">
        <f>AV1084/AT1084*100</f>
        <v>26.016260162601629</v>
      </c>
    </row>
    <row r="1086" spans="1:66" s="994" customFormat="1" ht="57" customHeight="1">
      <c r="A1086" s="64"/>
      <c r="B1086" s="1750"/>
      <c r="C1086" s="1785">
        <v>2</v>
      </c>
      <c r="D1086" s="1785">
        <v>1</v>
      </c>
      <c r="E1086" s="1785">
        <v>2</v>
      </c>
      <c r="F1086" s="1785">
        <v>13</v>
      </c>
      <c r="G1086" s="1785">
        <v>18</v>
      </c>
      <c r="H1086" s="754">
        <v>23</v>
      </c>
      <c r="I1086" s="1797" t="s">
        <v>2472</v>
      </c>
      <c r="J1086" s="1798" t="s">
        <v>2473</v>
      </c>
      <c r="K1086" s="1799">
        <v>500</v>
      </c>
      <c r="L1086" s="1800">
        <v>823777000</v>
      </c>
      <c r="M1086" s="754">
        <v>99.99</v>
      </c>
      <c r="N1086" s="1801">
        <v>109989000</v>
      </c>
      <c r="O1086" s="1730">
        <v>1</v>
      </c>
      <c r="P1086" s="1731">
        <v>298038000</v>
      </c>
      <c r="Q1086" s="1733" t="e">
        <f>'[4]Maret 2018'!$I$109</f>
        <v>#REF!</v>
      </c>
      <c r="R1086" s="1731">
        <v>37816000</v>
      </c>
      <c r="S1086" s="754"/>
      <c r="T1086" s="754"/>
      <c r="U1086" s="754"/>
      <c r="V1086" s="754"/>
      <c r="W1086" s="754"/>
      <c r="X1086" s="754"/>
      <c r="Y1086" s="1733" t="e">
        <f>Q1086</f>
        <v>#REF!</v>
      </c>
      <c r="Z1086" s="1731">
        <v>37816000</v>
      </c>
      <c r="AA1086" s="1733" t="e">
        <f t="shared" si="195"/>
        <v>#REF!</v>
      </c>
      <c r="AB1086" s="1731">
        <f t="shared" si="195"/>
        <v>147805000</v>
      </c>
      <c r="AC1086" s="1669" t="e">
        <f t="shared" ref="AC1086:AD1088" si="196">AA1086/K1086*100</f>
        <v>#REF!</v>
      </c>
      <c r="AD1086" s="19">
        <f>AB1086/L1086*100</f>
        <v>17.942355758900771</v>
      </c>
      <c r="AE1086" s="24" t="s">
        <v>2418</v>
      </c>
      <c r="AF1086" s="512"/>
      <c r="AG1086" s="1028"/>
      <c r="AH1086" s="1028"/>
      <c r="AI1086" s="1028"/>
      <c r="AJ1086" s="1028"/>
      <c r="AK1086" s="1028"/>
      <c r="AL1086" s="1028"/>
      <c r="AM1086" s="1028"/>
      <c r="AN1086" s="1028" t="s">
        <v>1315</v>
      </c>
      <c r="AO1086" s="1028" t="s">
        <v>1316</v>
      </c>
      <c r="AP1086" s="1028">
        <v>50</v>
      </c>
      <c r="AQ1086" s="1029">
        <v>332806</v>
      </c>
      <c r="AR1086" s="1028">
        <v>50</v>
      </c>
      <c r="AS1086" s="1026">
        <v>49756.2</v>
      </c>
      <c r="AT1086" s="1028">
        <v>50</v>
      </c>
      <c r="AU1086" s="1026">
        <v>51725</v>
      </c>
      <c r="AV1086" s="1027">
        <v>0</v>
      </c>
      <c r="AW1086" s="1020">
        <v>6190</v>
      </c>
      <c r="AX1086" s="1027">
        <f>AV1086</f>
        <v>0</v>
      </c>
      <c r="AY1086" s="1027">
        <v>0</v>
      </c>
      <c r="AZ1086" s="1027">
        <f>AV1086+AX1086</f>
        <v>0</v>
      </c>
      <c r="BA1086" s="1027">
        <v>0</v>
      </c>
      <c r="BB1086" s="1027">
        <f>AV1086+AX1086+AZ1086</f>
        <v>0</v>
      </c>
      <c r="BC1086" s="1027">
        <v>0</v>
      </c>
      <c r="BD1086" s="1027">
        <f t="shared" ref="BD1086:BE1106" si="197">AV1086</f>
        <v>0</v>
      </c>
      <c r="BE1086" s="1027">
        <f t="shared" si="197"/>
        <v>6190</v>
      </c>
      <c r="BF1086" s="1027">
        <f t="shared" ref="BF1086:BG1106" si="198">AR1086+BD1086</f>
        <v>50</v>
      </c>
      <c r="BG1086" s="1027">
        <f t="shared" si="198"/>
        <v>55946.2</v>
      </c>
      <c r="BH1086" s="1027">
        <f t="shared" ref="BH1086:BI1106" si="199">BF1086/AP1086*100</f>
        <v>100</v>
      </c>
      <c r="BI1086" s="1027">
        <f t="shared" si="199"/>
        <v>16.810454138447025</v>
      </c>
      <c r="BJ1086" s="4508"/>
    </row>
    <row r="1087" spans="1:66" s="994" customFormat="1" ht="65.25" customHeight="1">
      <c r="A1087" s="1802"/>
      <c r="B1087" s="1803"/>
      <c r="C1087" s="1804">
        <v>2</v>
      </c>
      <c r="D1087" s="1804">
        <v>1</v>
      </c>
      <c r="E1087" s="1804">
        <v>2</v>
      </c>
      <c r="F1087" s="1804">
        <v>13</v>
      </c>
      <c r="G1087" s="1781">
        <v>18</v>
      </c>
      <c r="H1087" s="754">
        <v>25</v>
      </c>
      <c r="I1087" s="1797" t="s">
        <v>2474</v>
      </c>
      <c r="J1087" s="1798" t="s">
        <v>2475</v>
      </c>
      <c r="K1087" s="1805">
        <v>500</v>
      </c>
      <c r="L1087" s="1806">
        <v>802185000</v>
      </c>
      <c r="M1087" s="754">
        <v>99.61</v>
      </c>
      <c r="N1087" s="1731">
        <v>74705800</v>
      </c>
      <c r="O1087" s="1730">
        <v>2</v>
      </c>
      <c r="P1087" s="1731">
        <v>167515000</v>
      </c>
      <c r="Q1087" s="1733" t="e">
        <f>'[4]Maret 2018'!$I$116</f>
        <v>#REF!</v>
      </c>
      <c r="R1087" s="1731">
        <v>11669000</v>
      </c>
      <c r="S1087" s="754"/>
      <c r="T1087" s="754"/>
      <c r="U1087" s="754"/>
      <c r="V1087" s="754"/>
      <c r="W1087" s="754"/>
      <c r="X1087" s="754"/>
      <c r="Y1087" s="1733" t="e">
        <f>Q1087</f>
        <v>#REF!</v>
      </c>
      <c r="Z1087" s="1731">
        <v>11669000</v>
      </c>
      <c r="AA1087" s="1733" t="e">
        <f t="shared" si="195"/>
        <v>#REF!</v>
      </c>
      <c r="AB1087" s="1731">
        <v>11669000</v>
      </c>
      <c r="AC1087" s="1669" t="e">
        <f t="shared" si="196"/>
        <v>#REF!</v>
      </c>
      <c r="AD1087" s="19">
        <f t="shared" si="196"/>
        <v>1.4546519817747776</v>
      </c>
      <c r="AE1087" s="24" t="s">
        <v>2418</v>
      </c>
      <c r="AF1087" s="512"/>
      <c r="AG1087" s="1028"/>
      <c r="AH1087" s="1028"/>
      <c r="AI1087" s="1028"/>
      <c r="AJ1087" s="1028"/>
      <c r="AK1087" s="1028"/>
      <c r="AL1087" s="1028"/>
      <c r="AM1087" s="1028"/>
      <c r="AN1087" s="1022" t="s">
        <v>1317</v>
      </c>
      <c r="AO1087" s="1028" t="s">
        <v>1318</v>
      </c>
      <c r="AP1087" s="1020">
        <v>125</v>
      </c>
      <c r="AQ1087" s="1026">
        <v>408538</v>
      </c>
      <c r="AR1087" s="1020">
        <v>25</v>
      </c>
      <c r="AS1087" s="1026">
        <v>9686</v>
      </c>
      <c r="AT1087" s="1028">
        <v>50</v>
      </c>
      <c r="AU1087" s="1026">
        <v>22590</v>
      </c>
      <c r="AV1087" s="1027">
        <v>0</v>
      </c>
      <c r="AW1087" s="1020">
        <v>0</v>
      </c>
      <c r="AX1087" s="1027">
        <f>AV1087</f>
        <v>0</v>
      </c>
      <c r="AY1087" s="1027">
        <v>0</v>
      </c>
      <c r="AZ1087" s="1027">
        <f>AV1087+AX1087</f>
        <v>0</v>
      </c>
      <c r="BA1087" s="1027">
        <v>0</v>
      </c>
      <c r="BB1087" s="1027">
        <f>AV1087+AX1087+AZ1087</f>
        <v>0</v>
      </c>
      <c r="BC1087" s="1027">
        <v>0</v>
      </c>
      <c r="BD1087" s="1027">
        <f t="shared" si="197"/>
        <v>0</v>
      </c>
      <c r="BE1087" s="1027">
        <f t="shared" si="197"/>
        <v>0</v>
      </c>
      <c r="BF1087" s="1027">
        <f t="shared" si="198"/>
        <v>25</v>
      </c>
      <c r="BG1087" s="1027">
        <f t="shared" si="198"/>
        <v>9686</v>
      </c>
      <c r="BH1087" s="1027">
        <f t="shared" si="199"/>
        <v>20</v>
      </c>
      <c r="BI1087" s="1027">
        <f t="shared" si="199"/>
        <v>2.3708932828769904</v>
      </c>
      <c r="BJ1087" s="1030"/>
      <c r="BK1087" s="998"/>
      <c r="BL1087" s="998"/>
      <c r="BM1087" s="998"/>
      <c r="BN1087" s="998"/>
    </row>
    <row r="1088" spans="1:66" s="996" customFormat="1" ht="69" customHeight="1">
      <c r="A1088" s="64"/>
      <c r="B1088" s="1807"/>
      <c r="C1088" s="1804">
        <v>2</v>
      </c>
      <c r="D1088" s="1804">
        <v>1</v>
      </c>
      <c r="E1088" s="1804">
        <v>2</v>
      </c>
      <c r="F1088" s="1804">
        <v>13</v>
      </c>
      <c r="G1088" s="1781">
        <v>18</v>
      </c>
      <c r="H1088" s="1808">
        <v>26</v>
      </c>
      <c r="I1088" s="1809" t="s">
        <v>2476</v>
      </c>
      <c r="J1088" s="1810" t="s">
        <v>2477</v>
      </c>
      <c r="K1088" s="1810">
        <v>500</v>
      </c>
      <c r="L1088" s="1811">
        <v>1166664500</v>
      </c>
      <c r="M1088" s="1808">
        <v>95.98</v>
      </c>
      <c r="N1088" s="1812">
        <v>174657100</v>
      </c>
      <c r="O1088" s="1813">
        <v>100</v>
      </c>
      <c r="P1088" s="1814">
        <v>298988000</v>
      </c>
      <c r="Q1088" s="1815" t="e">
        <f>'[4]Maret 2018'!$I$119</f>
        <v>#REF!</v>
      </c>
      <c r="R1088" s="1814">
        <v>75387164</v>
      </c>
      <c r="S1088" s="1808"/>
      <c r="T1088" s="1808"/>
      <c r="U1088" s="1808"/>
      <c r="V1088" s="1808"/>
      <c r="W1088" s="1808"/>
      <c r="X1088" s="1808"/>
      <c r="Y1088" s="1815" t="e">
        <f>Q1088</f>
        <v>#REF!</v>
      </c>
      <c r="Z1088" s="1814">
        <v>75387164</v>
      </c>
      <c r="AA1088" s="1815" t="e">
        <f t="shared" si="195"/>
        <v>#REF!</v>
      </c>
      <c r="AB1088" s="1814">
        <v>75387164</v>
      </c>
      <c r="AC1088" s="1673" t="e">
        <f t="shared" si="196"/>
        <v>#REF!</v>
      </c>
      <c r="AD1088" s="1674">
        <f t="shared" si="196"/>
        <v>6.4617689147136987</v>
      </c>
      <c r="AE1088" s="1675" t="s">
        <v>2418</v>
      </c>
      <c r="AF1088" s="499"/>
      <c r="AG1088" s="1017"/>
      <c r="AH1088" s="1017"/>
      <c r="AI1088" s="1017"/>
      <c r="AJ1088" s="1017"/>
      <c r="AK1088" s="1017"/>
      <c r="AL1088" s="1017"/>
      <c r="AM1088" s="1017"/>
      <c r="AN1088" s="1022" t="s">
        <v>1319</v>
      </c>
      <c r="AO1088" s="1028" t="s">
        <v>1320</v>
      </c>
      <c r="AP1088" s="1028">
        <v>240</v>
      </c>
      <c r="AQ1088" s="1026">
        <v>3722633</v>
      </c>
      <c r="AR1088" s="1028">
        <v>60</v>
      </c>
      <c r="AS1088" s="1026">
        <v>60122</v>
      </c>
      <c r="AT1088" s="1028">
        <v>60</v>
      </c>
      <c r="AU1088" s="1026">
        <v>412633.7</v>
      </c>
      <c r="AV1088" s="1027">
        <v>0</v>
      </c>
      <c r="AW1088" s="1020">
        <v>135</v>
      </c>
      <c r="AX1088" s="1027">
        <f>AV1088</f>
        <v>0</v>
      </c>
      <c r="AY1088" s="1027">
        <v>0</v>
      </c>
      <c r="AZ1088" s="1027">
        <f>AV1088+AX1088</f>
        <v>0</v>
      </c>
      <c r="BA1088" s="1027">
        <v>0</v>
      </c>
      <c r="BB1088" s="1027">
        <f>AV1088+AX1088+AZ1088</f>
        <v>0</v>
      </c>
      <c r="BC1088" s="1027">
        <v>0</v>
      </c>
      <c r="BD1088" s="1027">
        <f t="shared" si="197"/>
        <v>0</v>
      </c>
      <c r="BE1088" s="1027">
        <f t="shared" si="197"/>
        <v>135</v>
      </c>
      <c r="BF1088" s="1027">
        <f t="shared" si="198"/>
        <v>60</v>
      </c>
      <c r="BG1088" s="1027">
        <f t="shared" si="198"/>
        <v>60257</v>
      </c>
      <c r="BH1088" s="1027">
        <f t="shared" si="199"/>
        <v>25</v>
      </c>
      <c r="BI1088" s="1027">
        <f t="shared" si="199"/>
        <v>1.6186661430229625</v>
      </c>
      <c r="BJ1088" s="1031"/>
    </row>
    <row r="1089" spans="1:64" s="996" customFormat="1" ht="57" customHeight="1">
      <c r="A1089" s="64">
        <v>3</v>
      </c>
      <c r="B1089" s="1807" t="s">
        <v>2478</v>
      </c>
      <c r="C1089" s="1785">
        <v>13</v>
      </c>
      <c r="D1089" s="1785">
        <v>1</v>
      </c>
      <c r="E1089" s="1785">
        <v>2</v>
      </c>
      <c r="F1089" s="1785">
        <v>13</v>
      </c>
      <c r="G1089" s="1816">
        <v>16</v>
      </c>
      <c r="H1089" s="1817"/>
      <c r="I1089" s="1818" t="s">
        <v>2479</v>
      </c>
      <c r="J1089" s="1819" t="s">
        <v>2480</v>
      </c>
      <c r="K1089" s="1747"/>
      <c r="L1089" s="1748"/>
      <c r="M1089" s="1749"/>
      <c r="N1089" s="1748"/>
      <c r="O1089" s="1749"/>
      <c r="P1089" s="1748">
        <f>SUM(P1090:P1094)</f>
        <v>925875640</v>
      </c>
      <c r="Q1089" s="1749"/>
      <c r="R1089" s="1748"/>
      <c r="S1089" s="1749"/>
      <c r="T1089" s="1749"/>
      <c r="U1089" s="1749"/>
      <c r="V1089" s="1749"/>
      <c r="W1089" s="1749"/>
      <c r="X1089" s="1749"/>
      <c r="Y1089" s="1749"/>
      <c r="Z1089" s="1748"/>
      <c r="AA1089" s="1749"/>
      <c r="AB1089" s="1748">
        <f>SUM(AB1090:AB1094)</f>
        <v>989541538</v>
      </c>
      <c r="AC1089" s="1671"/>
      <c r="AD1089" s="1671"/>
      <c r="AE1089" s="24" t="s">
        <v>2418</v>
      </c>
      <c r="AF1089" s="499"/>
      <c r="AG1089" s="1017"/>
      <c r="AH1089" s="1017"/>
      <c r="AI1089" s="1017"/>
      <c r="AJ1089" s="1017"/>
      <c r="AK1089" s="1017"/>
      <c r="AL1089" s="1017"/>
      <c r="AM1089" s="1017"/>
      <c r="AN1089" s="1016" t="s">
        <v>1321</v>
      </c>
      <c r="AO1089" s="1017" t="s">
        <v>1322</v>
      </c>
      <c r="AP1089" s="1018">
        <v>1796305</v>
      </c>
      <c r="AQ1089" s="4491">
        <f>SUM(L1101:L1113)</f>
        <v>262059511</v>
      </c>
      <c r="AR1089" s="1018">
        <v>647192.19999999995</v>
      </c>
      <c r="AS1089" s="4491">
        <f>SUM(N1101:N1113)</f>
        <v>51378077.899999999</v>
      </c>
      <c r="AT1089" s="1018">
        <v>296078</v>
      </c>
      <c r="AU1089" s="4491">
        <f>SUM(P1101:P1113)</f>
        <v>8031454615.8000002</v>
      </c>
      <c r="AV1089" s="1018">
        <v>109610</v>
      </c>
      <c r="AW1089" s="4509">
        <f>SUM(R1101:R1113)</f>
        <v>12567438.099999998</v>
      </c>
      <c r="AX1089" s="1027">
        <v>0</v>
      </c>
      <c r="AY1089" s="4491">
        <v>0</v>
      </c>
      <c r="AZ1089" s="1027">
        <v>0</v>
      </c>
      <c r="BA1089" s="4491">
        <v>0</v>
      </c>
      <c r="BB1089" s="1027">
        <v>0</v>
      </c>
      <c r="BC1089" s="4491">
        <v>0</v>
      </c>
      <c r="BD1089" s="1027">
        <f t="shared" si="197"/>
        <v>109610</v>
      </c>
      <c r="BE1089" s="4491">
        <f t="shared" si="197"/>
        <v>12567438.099999998</v>
      </c>
      <c r="BF1089" s="1027">
        <f t="shared" si="198"/>
        <v>756802.2</v>
      </c>
      <c r="BG1089" s="4491">
        <f>AS1089+BE1089</f>
        <v>63945516</v>
      </c>
      <c r="BH1089" s="1027">
        <f t="shared" si="199"/>
        <v>42.131052354694773</v>
      </c>
      <c r="BI1089" s="4494">
        <f>BG1089/AQ1089*100%</f>
        <v>0.24401142990761363</v>
      </c>
      <c r="BJ1089" s="1031"/>
      <c r="BL1089" s="999">
        <f>(SUM(BL1090:BL1100)/12)*100%</f>
        <v>29.179279825066931</v>
      </c>
    </row>
    <row r="1090" spans="1:64" s="996" customFormat="1" ht="57" customHeight="1">
      <c r="A1090" s="64"/>
      <c r="B1090" s="1750"/>
      <c r="C1090" s="1785">
        <v>13</v>
      </c>
      <c r="D1090" s="1785">
        <v>1</v>
      </c>
      <c r="E1090" s="1785">
        <v>2</v>
      </c>
      <c r="F1090" s="1785">
        <v>13</v>
      </c>
      <c r="G1090" s="1785">
        <v>16</v>
      </c>
      <c r="H1090" s="754">
        <v>2</v>
      </c>
      <c r="I1090" s="1793" t="s">
        <v>2481</v>
      </c>
      <c r="J1090" s="1064" t="s">
        <v>2482</v>
      </c>
      <c r="K1090" s="1730">
        <v>5</v>
      </c>
      <c r="L1090" s="1820">
        <v>4116009675</v>
      </c>
      <c r="M1090" s="1733">
        <v>1</v>
      </c>
      <c r="N1090" s="1400">
        <v>831775050</v>
      </c>
      <c r="O1090" s="1730">
        <v>1</v>
      </c>
      <c r="P1090" s="1731">
        <v>767792780</v>
      </c>
      <c r="Q1090" s="1733" t="e">
        <f>'[4]Maret 2018'!$I$143</f>
        <v>#REF!</v>
      </c>
      <c r="R1090" s="1731">
        <v>1250000</v>
      </c>
      <c r="S1090" s="754"/>
      <c r="T1090" s="754"/>
      <c r="U1090" s="754"/>
      <c r="V1090" s="754"/>
      <c r="W1090" s="754"/>
      <c r="X1090" s="754"/>
      <c r="Y1090" s="1733" t="e">
        <f>Q1090</f>
        <v>#REF!</v>
      </c>
      <c r="Z1090" s="1731">
        <v>1250000</v>
      </c>
      <c r="AA1090" s="1733" t="e">
        <f t="shared" ref="AA1090:AB1094" si="200">M1090+Y1090</f>
        <v>#REF!</v>
      </c>
      <c r="AB1090" s="1731">
        <f t="shared" si="200"/>
        <v>833025050</v>
      </c>
      <c r="AC1090" s="19" t="e">
        <f t="shared" ref="AC1090:AD1094" si="201">AA1090/K1090*100</f>
        <v>#REF!</v>
      </c>
      <c r="AD1090" s="19">
        <f t="shared" si="201"/>
        <v>20.238656266035136</v>
      </c>
      <c r="AE1090" s="24" t="s">
        <v>2418</v>
      </c>
      <c r="AF1090" s="499"/>
      <c r="AG1090" s="1017"/>
      <c r="AH1090" s="1017"/>
      <c r="AI1090" s="1017"/>
      <c r="AJ1090" s="1017"/>
      <c r="AK1090" s="1017"/>
      <c r="AL1090" s="1017"/>
      <c r="AM1090" s="1017"/>
      <c r="AN1090" s="1016"/>
      <c r="AO1090" s="1017" t="s">
        <v>1323</v>
      </c>
      <c r="AP1090" s="1018">
        <v>775968</v>
      </c>
      <c r="AQ1090" s="4492"/>
      <c r="AR1090" s="1018">
        <v>327261.09999999998</v>
      </c>
      <c r="AS1090" s="4492"/>
      <c r="AT1090" s="1018">
        <v>117398</v>
      </c>
      <c r="AU1090" s="4492"/>
      <c r="AV1090" s="1018">
        <v>34684</v>
      </c>
      <c r="AW1090" s="4510"/>
      <c r="AX1090" s="1027">
        <v>0</v>
      </c>
      <c r="AY1090" s="4492"/>
      <c r="AZ1090" s="1027">
        <v>0</v>
      </c>
      <c r="BA1090" s="4492"/>
      <c r="BB1090" s="1027">
        <v>0</v>
      </c>
      <c r="BC1090" s="4492"/>
      <c r="BD1090" s="1027">
        <f t="shared" si="197"/>
        <v>34684</v>
      </c>
      <c r="BE1090" s="4492"/>
      <c r="BF1090" s="1027">
        <f t="shared" si="198"/>
        <v>361945.1</v>
      </c>
      <c r="BG1090" s="4492"/>
      <c r="BH1090" s="1027">
        <f t="shared" si="199"/>
        <v>46.644333271475105</v>
      </c>
      <c r="BI1090" s="4495"/>
      <c r="BJ1090" s="1031"/>
      <c r="BL1090" s="1000">
        <f>AV1090/AT1090*100</f>
        <v>29.54394453057122</v>
      </c>
    </row>
    <row r="1091" spans="1:64" s="996" customFormat="1" ht="57" customHeight="1">
      <c r="A1091" s="64"/>
      <c r="B1091" s="1750"/>
      <c r="C1091" s="1785">
        <v>13</v>
      </c>
      <c r="D1091" s="1785">
        <v>1</v>
      </c>
      <c r="E1091" s="1785">
        <v>2</v>
      </c>
      <c r="F1091" s="1785">
        <v>13</v>
      </c>
      <c r="G1091" s="1785">
        <v>16</v>
      </c>
      <c r="H1091" s="754">
        <v>3</v>
      </c>
      <c r="I1091" s="1821" t="s">
        <v>2483</v>
      </c>
      <c r="J1091" s="1798" t="s">
        <v>2484</v>
      </c>
      <c r="K1091" s="1730">
        <v>200</v>
      </c>
      <c r="L1091" s="1822">
        <v>80000000</v>
      </c>
      <c r="M1091" s="754"/>
      <c r="N1091" s="1731"/>
      <c r="O1091" s="1730">
        <v>100</v>
      </c>
      <c r="P1091" s="1731">
        <v>26285320</v>
      </c>
      <c r="Q1091" s="1733" t="e">
        <f>'[4]Maret 2018'!$I$147</f>
        <v>#REF!</v>
      </c>
      <c r="R1091" s="1731">
        <v>3154000</v>
      </c>
      <c r="S1091" s="754"/>
      <c r="T1091" s="754"/>
      <c r="U1091" s="754"/>
      <c r="V1091" s="754"/>
      <c r="W1091" s="754"/>
      <c r="X1091" s="754"/>
      <c r="Y1091" s="1733" t="e">
        <f>Q1091</f>
        <v>#REF!</v>
      </c>
      <c r="Z1091" s="1731">
        <v>3154000</v>
      </c>
      <c r="AA1091" s="1733" t="e">
        <f>Y1091+M1091</f>
        <v>#REF!</v>
      </c>
      <c r="AB1091" s="1731">
        <f t="shared" si="200"/>
        <v>3154000</v>
      </c>
      <c r="AC1091" s="19" t="e">
        <f t="shared" si="201"/>
        <v>#REF!</v>
      </c>
      <c r="AD1091" s="19">
        <f t="shared" si="201"/>
        <v>3.9425000000000003</v>
      </c>
      <c r="AE1091" s="24" t="s">
        <v>2418</v>
      </c>
      <c r="AF1091" s="499"/>
      <c r="AG1091" s="1017"/>
      <c r="AH1091" s="1017"/>
      <c r="AI1091" s="1017"/>
      <c r="AJ1091" s="1017"/>
      <c r="AK1091" s="1017"/>
      <c r="AL1091" s="1017"/>
      <c r="AM1091" s="1017"/>
      <c r="AN1091" s="1016"/>
      <c r="AO1091" s="1017" t="s">
        <v>1324</v>
      </c>
      <c r="AP1091" s="1018">
        <v>18455</v>
      </c>
      <c r="AQ1091" s="4492"/>
      <c r="AR1091" s="1018">
        <v>8241</v>
      </c>
      <c r="AS1091" s="4492"/>
      <c r="AT1091" s="1018">
        <v>2991</v>
      </c>
      <c r="AU1091" s="4492"/>
      <c r="AV1091" s="1018">
        <v>750</v>
      </c>
      <c r="AW1091" s="4510"/>
      <c r="AX1091" s="1027">
        <v>0</v>
      </c>
      <c r="AY1091" s="4492"/>
      <c r="AZ1091" s="1027">
        <v>0</v>
      </c>
      <c r="BA1091" s="4492"/>
      <c r="BB1091" s="1027">
        <v>0</v>
      </c>
      <c r="BC1091" s="4492"/>
      <c r="BD1091" s="1027">
        <f t="shared" si="197"/>
        <v>750</v>
      </c>
      <c r="BE1091" s="4492"/>
      <c r="BF1091" s="1027">
        <f t="shared" si="198"/>
        <v>8991</v>
      </c>
      <c r="BG1091" s="4492"/>
      <c r="BH1091" s="1027">
        <f t="shared" si="199"/>
        <v>48.718504470333244</v>
      </c>
      <c r="BI1091" s="4495"/>
      <c r="BJ1091" s="1031"/>
      <c r="BL1091" s="1000">
        <f t="shared" ref="BL1091:BL1100" si="202">AV1091/AT1091*100</f>
        <v>25.075225677031092</v>
      </c>
    </row>
    <row r="1092" spans="1:64" s="996" customFormat="1" ht="57" customHeight="1">
      <c r="A1092" s="64"/>
      <c r="B1092" s="1750"/>
      <c r="C1092" s="1785">
        <v>13</v>
      </c>
      <c r="D1092" s="1785">
        <v>1</v>
      </c>
      <c r="E1092" s="1785">
        <v>2</v>
      </c>
      <c r="F1092" s="1785">
        <v>13</v>
      </c>
      <c r="G1092" s="1785">
        <v>16</v>
      </c>
      <c r="H1092" s="754">
        <v>14</v>
      </c>
      <c r="I1092" s="1793" t="s">
        <v>2485</v>
      </c>
      <c r="J1092" s="1798" t="s">
        <v>2486</v>
      </c>
      <c r="K1092" s="1730">
        <v>500</v>
      </c>
      <c r="L1092" s="1820">
        <v>303750000</v>
      </c>
      <c r="M1092" s="1400">
        <v>96.8</v>
      </c>
      <c r="N1092" s="1400">
        <v>59901900</v>
      </c>
      <c r="O1092" s="1796">
        <v>100</v>
      </c>
      <c r="P1092" s="1731">
        <v>70571200</v>
      </c>
      <c r="Q1092" s="1733">
        <f>'[4]Maret 2018'!$I$134</f>
        <v>2.7142306066071682</v>
      </c>
      <c r="R1092" s="1731">
        <v>20726400</v>
      </c>
      <c r="S1092" s="754"/>
      <c r="T1092" s="754"/>
      <c r="U1092" s="754"/>
      <c r="V1092" s="754"/>
      <c r="W1092" s="754"/>
      <c r="X1092" s="754"/>
      <c r="Y1092" s="1733">
        <f>Q1092</f>
        <v>2.7142306066071682</v>
      </c>
      <c r="Z1092" s="1731">
        <v>20726400</v>
      </c>
      <c r="AA1092" s="1733">
        <f t="shared" si="200"/>
        <v>99.514230606607171</v>
      </c>
      <c r="AB1092" s="1731">
        <f t="shared" si="200"/>
        <v>80628300</v>
      </c>
      <c r="AC1092" s="19">
        <f t="shared" si="201"/>
        <v>19.902846121321435</v>
      </c>
      <c r="AD1092" s="19">
        <f t="shared" si="201"/>
        <v>26.544296296296295</v>
      </c>
      <c r="AE1092" s="24" t="s">
        <v>2418</v>
      </c>
      <c r="AF1092" s="499"/>
      <c r="AG1092" s="1017"/>
      <c r="AH1092" s="1017"/>
      <c r="AI1092" s="1017"/>
      <c r="AJ1092" s="1017"/>
      <c r="AK1092" s="1017"/>
      <c r="AL1092" s="1017"/>
      <c r="AM1092" s="1017"/>
      <c r="AN1092" s="1016"/>
      <c r="AO1092" s="1017" t="s">
        <v>1325</v>
      </c>
      <c r="AP1092" s="1018">
        <v>1509</v>
      </c>
      <c r="AQ1092" s="4492"/>
      <c r="AR1092" s="1018">
        <v>1552</v>
      </c>
      <c r="AS1092" s="4492"/>
      <c r="AT1092" s="1018">
        <v>250</v>
      </c>
      <c r="AU1092" s="4492"/>
      <c r="AV1092" s="1018">
        <v>15</v>
      </c>
      <c r="AW1092" s="4510"/>
      <c r="AX1092" s="1027">
        <v>0</v>
      </c>
      <c r="AY1092" s="4492"/>
      <c r="AZ1092" s="1027">
        <v>0</v>
      </c>
      <c r="BA1092" s="4492"/>
      <c r="BB1092" s="1027">
        <v>0</v>
      </c>
      <c r="BC1092" s="4492"/>
      <c r="BD1092" s="1027">
        <f t="shared" si="197"/>
        <v>15</v>
      </c>
      <c r="BE1092" s="4492"/>
      <c r="BF1092" s="1027">
        <f t="shared" si="198"/>
        <v>1567</v>
      </c>
      <c r="BG1092" s="4492"/>
      <c r="BH1092" s="1027">
        <f t="shared" si="199"/>
        <v>103.84360503644798</v>
      </c>
      <c r="BI1092" s="4495"/>
      <c r="BJ1092" s="1031"/>
      <c r="BL1092" s="1000">
        <f t="shared" si="202"/>
        <v>6</v>
      </c>
    </row>
    <row r="1093" spans="1:64" s="996" customFormat="1" ht="57" customHeight="1">
      <c r="A1093" s="1823"/>
      <c r="B1093" s="1824"/>
      <c r="C1093" s="1825">
        <v>13</v>
      </c>
      <c r="D1093" s="1826">
        <v>1</v>
      </c>
      <c r="E1093" s="1826">
        <v>2</v>
      </c>
      <c r="F1093" s="1826">
        <v>13</v>
      </c>
      <c r="G1093" s="1785">
        <v>16</v>
      </c>
      <c r="H1093" s="754">
        <v>15</v>
      </c>
      <c r="I1093" s="1797" t="s">
        <v>2487</v>
      </c>
      <c r="J1093" s="1805" t="s">
        <v>2488</v>
      </c>
      <c r="K1093" s="1730">
        <v>500</v>
      </c>
      <c r="L1093" s="1790">
        <v>250000000</v>
      </c>
      <c r="M1093" s="1400">
        <v>95.47</v>
      </c>
      <c r="N1093" s="1400">
        <v>47734188</v>
      </c>
      <c r="O1093" s="1730">
        <v>100</v>
      </c>
      <c r="P1093" s="1731">
        <v>30000100</v>
      </c>
      <c r="Q1093" s="754"/>
      <c r="R1093" s="1731"/>
      <c r="S1093" s="754"/>
      <c r="T1093" s="754"/>
      <c r="U1093" s="754"/>
      <c r="V1093" s="754"/>
      <c r="W1093" s="754"/>
      <c r="X1093" s="754"/>
      <c r="Y1093" s="754"/>
      <c r="Z1093" s="1731"/>
      <c r="AA1093" s="1733">
        <f t="shared" si="200"/>
        <v>95.47</v>
      </c>
      <c r="AB1093" s="1731">
        <f t="shared" si="200"/>
        <v>47734188</v>
      </c>
      <c r="AC1093" s="19">
        <f t="shared" si="201"/>
        <v>19.094000000000001</v>
      </c>
      <c r="AD1093" s="19">
        <f t="shared" si="201"/>
        <v>19.0936752</v>
      </c>
      <c r="AE1093" s="24" t="s">
        <v>2418</v>
      </c>
      <c r="AF1093" s="499"/>
      <c r="AG1093" s="1017"/>
      <c r="AH1093" s="1017"/>
      <c r="AI1093" s="1017"/>
      <c r="AJ1093" s="1017"/>
      <c r="AK1093" s="1017"/>
      <c r="AL1093" s="1017"/>
      <c r="AM1093" s="1017"/>
      <c r="AN1093" s="1016"/>
      <c r="AO1093" s="1017" t="s">
        <v>1326</v>
      </c>
      <c r="AP1093" s="1018">
        <v>179202</v>
      </c>
      <c r="AQ1093" s="4492"/>
      <c r="AR1093" s="1018">
        <v>64362</v>
      </c>
      <c r="AS1093" s="4492"/>
      <c r="AT1093" s="1018">
        <v>29713</v>
      </c>
      <c r="AU1093" s="4492"/>
      <c r="AV1093" s="1018">
        <v>12547</v>
      </c>
      <c r="AW1093" s="4510"/>
      <c r="AX1093" s="1027">
        <v>0</v>
      </c>
      <c r="AY1093" s="4492"/>
      <c r="AZ1093" s="1027">
        <v>0</v>
      </c>
      <c r="BA1093" s="4492"/>
      <c r="BB1093" s="1027">
        <v>0</v>
      </c>
      <c r="BC1093" s="4492"/>
      <c r="BD1093" s="1027">
        <f t="shared" si="197"/>
        <v>12547</v>
      </c>
      <c r="BE1093" s="4492"/>
      <c r="BF1093" s="1027">
        <f t="shared" si="198"/>
        <v>76909</v>
      </c>
      <c r="BG1093" s="4492"/>
      <c r="BH1093" s="1027">
        <f t="shared" si="199"/>
        <v>42.917489760158929</v>
      </c>
      <c r="BI1093" s="4495"/>
      <c r="BJ1093" s="1031"/>
      <c r="BL1093" s="1000">
        <f t="shared" si="202"/>
        <v>42.227307912361596</v>
      </c>
    </row>
    <row r="1094" spans="1:64" s="996" customFormat="1" ht="57" customHeight="1">
      <c r="A1094" s="1389"/>
      <c r="B1094" s="1385"/>
      <c r="C1094" s="1804">
        <v>13</v>
      </c>
      <c r="D1094" s="1804">
        <v>1</v>
      </c>
      <c r="E1094" s="1804">
        <v>2</v>
      </c>
      <c r="F1094" s="1804">
        <v>13</v>
      </c>
      <c r="G1094" s="1781">
        <v>16</v>
      </c>
      <c r="H1094" s="754">
        <v>20</v>
      </c>
      <c r="I1094" s="1797" t="s">
        <v>2489</v>
      </c>
      <c r="J1094" s="1064" t="s">
        <v>2490</v>
      </c>
      <c r="K1094" s="1730">
        <v>5</v>
      </c>
      <c r="L1094" s="1790">
        <v>125000000</v>
      </c>
      <c r="M1094" s="1733">
        <v>1</v>
      </c>
      <c r="N1094" s="1400">
        <f>'[7]November 2017'!$I$197</f>
        <v>25000000</v>
      </c>
      <c r="O1094" s="1730">
        <v>5</v>
      </c>
      <c r="P1094" s="1731">
        <v>31226240</v>
      </c>
      <c r="Q1094" s="754"/>
      <c r="R1094" s="1731"/>
      <c r="S1094" s="754"/>
      <c r="T1094" s="754"/>
      <c r="U1094" s="754"/>
      <c r="V1094" s="754"/>
      <c r="W1094" s="754"/>
      <c r="X1094" s="754"/>
      <c r="Y1094" s="754"/>
      <c r="Z1094" s="1731"/>
      <c r="AA1094" s="1733">
        <f t="shared" si="200"/>
        <v>1</v>
      </c>
      <c r="AB1094" s="1731">
        <f t="shared" si="200"/>
        <v>25000000</v>
      </c>
      <c r="AC1094" s="19">
        <f t="shared" si="201"/>
        <v>20</v>
      </c>
      <c r="AD1094" s="19">
        <f t="shared" si="201"/>
        <v>20</v>
      </c>
      <c r="AE1094" s="24" t="s">
        <v>2418</v>
      </c>
      <c r="AF1094" s="499"/>
      <c r="AG1094" s="1017"/>
      <c r="AH1094" s="1017"/>
      <c r="AI1094" s="1017"/>
      <c r="AJ1094" s="1017"/>
      <c r="AK1094" s="1017"/>
      <c r="AL1094" s="1017"/>
      <c r="AM1094" s="1017"/>
      <c r="AN1094" s="1016"/>
      <c r="AO1094" s="1017" t="s">
        <v>1327</v>
      </c>
      <c r="AP1094" s="1018">
        <v>1063225</v>
      </c>
      <c r="AQ1094" s="4492"/>
      <c r="AR1094" s="1018">
        <v>333218.40000000002</v>
      </c>
      <c r="AS1094" s="4492"/>
      <c r="AT1094" s="1018">
        <v>166740</v>
      </c>
      <c r="AU1094" s="4492"/>
      <c r="AV1094" s="1018">
        <v>83800</v>
      </c>
      <c r="AW1094" s="4510"/>
      <c r="AX1094" s="1027">
        <v>0</v>
      </c>
      <c r="AY1094" s="4492"/>
      <c r="AZ1094" s="1027">
        <v>0</v>
      </c>
      <c r="BA1094" s="4492"/>
      <c r="BB1094" s="1027">
        <v>0</v>
      </c>
      <c r="BC1094" s="4492"/>
      <c r="BD1094" s="1027">
        <f t="shared" si="197"/>
        <v>83800</v>
      </c>
      <c r="BE1094" s="4492"/>
      <c r="BF1094" s="1027">
        <f t="shared" si="198"/>
        <v>417018.4</v>
      </c>
      <c r="BG1094" s="4492"/>
      <c r="BH1094" s="1027">
        <f t="shared" si="199"/>
        <v>39.22202732253286</v>
      </c>
      <c r="BI1094" s="4495"/>
      <c r="BJ1094" s="1031"/>
      <c r="BL1094" s="1000">
        <f t="shared" si="202"/>
        <v>50.257886529926829</v>
      </c>
    </row>
    <row r="1095" spans="1:64" s="996" customFormat="1" ht="57" customHeight="1">
      <c r="A1095" s="1802">
        <v>4</v>
      </c>
      <c r="B1095" s="65" t="s">
        <v>2491</v>
      </c>
      <c r="C1095" s="1827">
        <v>13</v>
      </c>
      <c r="D1095" s="1827">
        <v>1</v>
      </c>
      <c r="E1095" s="1827">
        <v>2</v>
      </c>
      <c r="F1095" s="1827">
        <v>13</v>
      </c>
      <c r="G1095" s="1828">
        <v>20</v>
      </c>
      <c r="H1095" s="1828"/>
      <c r="I1095" s="1828" t="s">
        <v>2492</v>
      </c>
      <c r="J1095" s="1829" t="s">
        <v>2493</v>
      </c>
      <c r="K1095" s="1830"/>
      <c r="L1095" s="1831"/>
      <c r="M1095" s="1832"/>
      <c r="N1095" s="1831"/>
      <c r="O1095" s="1832"/>
      <c r="P1095" s="1831">
        <f>P1096+P1097+P1098+P1099</f>
        <v>782157459</v>
      </c>
      <c r="Q1095" s="1832"/>
      <c r="R1095" s="1831"/>
      <c r="S1095" s="1832"/>
      <c r="T1095" s="1832"/>
      <c r="U1095" s="1832"/>
      <c r="V1095" s="1832"/>
      <c r="W1095" s="1832"/>
      <c r="X1095" s="1832"/>
      <c r="Y1095" s="1832"/>
      <c r="Z1095" s="1831"/>
      <c r="AA1095" s="1832"/>
      <c r="AB1095" s="1831">
        <f>AB1096+AB1097+AB1098+AB1099</f>
        <v>824872819</v>
      </c>
      <c r="AC1095" s="1676"/>
      <c r="AD1095" s="1676"/>
      <c r="AE1095" s="1675" t="s">
        <v>2418</v>
      </c>
      <c r="AF1095" s="499"/>
      <c r="AG1095" s="1017"/>
      <c r="AH1095" s="1017"/>
      <c r="AI1095" s="1017"/>
      <c r="AJ1095" s="1017"/>
      <c r="AK1095" s="1017"/>
      <c r="AL1095" s="1017"/>
      <c r="AM1095" s="1017"/>
      <c r="AN1095" s="1016"/>
      <c r="AO1095" s="1017" t="s">
        <v>1328</v>
      </c>
      <c r="AP1095" s="1018">
        <v>66118</v>
      </c>
      <c r="AQ1095" s="4492"/>
      <c r="AR1095" s="1018">
        <v>20938</v>
      </c>
      <c r="AS1095" s="4492"/>
      <c r="AT1095" s="1018">
        <v>10963</v>
      </c>
      <c r="AU1095" s="4492"/>
      <c r="AV1095" s="1018">
        <v>2957</v>
      </c>
      <c r="AW1095" s="4510"/>
      <c r="AX1095" s="1027">
        <v>0</v>
      </c>
      <c r="AY1095" s="4492"/>
      <c r="AZ1095" s="1027">
        <v>0</v>
      </c>
      <c r="BA1095" s="4492"/>
      <c r="BB1095" s="1027">
        <v>0</v>
      </c>
      <c r="BC1095" s="4492"/>
      <c r="BD1095" s="1027">
        <f t="shared" si="197"/>
        <v>2957</v>
      </c>
      <c r="BE1095" s="4492"/>
      <c r="BF1095" s="1027">
        <f t="shared" si="198"/>
        <v>23895</v>
      </c>
      <c r="BG1095" s="4492"/>
      <c r="BH1095" s="1027">
        <f t="shared" si="199"/>
        <v>36.139931637375597</v>
      </c>
      <c r="BI1095" s="4495"/>
      <c r="BJ1095" s="1031"/>
      <c r="BL1095" s="1000">
        <f t="shared" si="202"/>
        <v>26.972544011675637</v>
      </c>
    </row>
    <row r="1096" spans="1:64" s="996" customFormat="1" ht="57" customHeight="1">
      <c r="A1096" s="64"/>
      <c r="B1096" s="1750"/>
      <c r="C1096" s="1825">
        <v>13</v>
      </c>
      <c r="D1096" s="1826">
        <v>1</v>
      </c>
      <c r="E1096" s="1826">
        <v>2</v>
      </c>
      <c r="F1096" s="1826">
        <v>13</v>
      </c>
      <c r="G1096" s="1047">
        <v>20</v>
      </c>
      <c r="H1096" s="1716">
        <v>19</v>
      </c>
      <c r="I1096" s="1833" t="s">
        <v>2494</v>
      </c>
      <c r="J1096" s="1805" t="s">
        <v>2495</v>
      </c>
      <c r="K1096" s="1834">
        <v>6</v>
      </c>
      <c r="L1096" s="1835">
        <v>2085681345</v>
      </c>
      <c r="M1096" s="1836">
        <v>1</v>
      </c>
      <c r="N1096" s="1836">
        <f>'[8]triwulan II (2)'!$AH$53</f>
        <v>347051059</v>
      </c>
      <c r="O1096" s="1837">
        <v>1</v>
      </c>
      <c r="P1096" s="1838">
        <v>326109059</v>
      </c>
      <c r="Q1096" s="1839">
        <f>'[4]Maret 2018'!$I$152</f>
        <v>2.2447142577208359</v>
      </c>
      <c r="R1096" s="1838">
        <v>7362200</v>
      </c>
      <c r="S1096" s="1716"/>
      <c r="T1096" s="1716"/>
      <c r="U1096" s="1716"/>
      <c r="V1096" s="1716"/>
      <c r="W1096" s="1716"/>
      <c r="X1096" s="1716"/>
      <c r="Y1096" s="1839">
        <v>0</v>
      </c>
      <c r="Z1096" s="1838">
        <v>7362200</v>
      </c>
      <c r="AA1096" s="1839">
        <f t="shared" ref="AA1096:AB1099" si="203">M1096+Y1096</f>
        <v>1</v>
      </c>
      <c r="AB1096" s="1838">
        <f t="shared" si="203"/>
        <v>354413259</v>
      </c>
      <c r="AC1096" s="1677">
        <f t="shared" ref="AC1096:AD1099" si="204">AA1096/K1096*100</f>
        <v>16.666666666666664</v>
      </c>
      <c r="AD1096" s="1677">
        <f t="shared" si="204"/>
        <v>16.992684901249859</v>
      </c>
      <c r="AE1096" s="1666" t="s">
        <v>2418</v>
      </c>
      <c r="AF1096" s="499"/>
      <c r="AG1096" s="1017"/>
      <c r="AH1096" s="1017"/>
      <c r="AI1096" s="1017"/>
      <c r="AJ1096" s="1017"/>
      <c r="AK1096" s="1017"/>
      <c r="AL1096" s="1017"/>
      <c r="AM1096" s="1017"/>
      <c r="AN1096" s="1016"/>
      <c r="AO1096" s="1017" t="s">
        <v>1329</v>
      </c>
      <c r="AP1096" s="1018">
        <v>41090</v>
      </c>
      <c r="AQ1096" s="4492"/>
      <c r="AR1096" s="1018">
        <v>11177</v>
      </c>
      <c r="AS1096" s="4492"/>
      <c r="AT1096" s="1018">
        <v>6817</v>
      </c>
      <c r="AU1096" s="4492"/>
      <c r="AV1096" s="1018">
        <v>2577</v>
      </c>
      <c r="AW1096" s="4510"/>
      <c r="AX1096" s="1027">
        <v>0</v>
      </c>
      <c r="AY1096" s="4492"/>
      <c r="AZ1096" s="1027">
        <v>0</v>
      </c>
      <c r="BA1096" s="4492"/>
      <c r="BB1096" s="1027">
        <v>0</v>
      </c>
      <c r="BC1096" s="4492"/>
      <c r="BD1096" s="1027">
        <f t="shared" si="197"/>
        <v>2577</v>
      </c>
      <c r="BE1096" s="4492"/>
      <c r="BF1096" s="1027">
        <f t="shared" si="198"/>
        <v>13754</v>
      </c>
      <c r="BG1096" s="4492"/>
      <c r="BH1096" s="1027">
        <f t="shared" si="199"/>
        <v>33.472864443903624</v>
      </c>
      <c r="BI1096" s="4495"/>
      <c r="BJ1096" s="1031"/>
      <c r="BL1096" s="1000">
        <f t="shared" si="202"/>
        <v>37.802552442423355</v>
      </c>
    </row>
    <row r="1097" spans="1:64" s="996" customFormat="1" ht="57" customHeight="1">
      <c r="A1097" s="64"/>
      <c r="B1097" s="1750"/>
      <c r="C1097" s="1840">
        <v>13</v>
      </c>
      <c r="D1097" s="1840">
        <v>1</v>
      </c>
      <c r="E1097" s="1840">
        <v>2</v>
      </c>
      <c r="F1097" s="1840">
        <v>13</v>
      </c>
      <c r="G1097" s="1808">
        <v>20</v>
      </c>
      <c r="H1097" s="1808">
        <v>20</v>
      </c>
      <c r="I1097" s="1809" t="s">
        <v>2496</v>
      </c>
      <c r="J1097" s="1810" t="s">
        <v>2497</v>
      </c>
      <c r="K1097" s="1794">
        <v>6</v>
      </c>
      <c r="L1097" s="1820">
        <v>2149712100</v>
      </c>
      <c r="M1097" s="1841">
        <v>1</v>
      </c>
      <c r="N1097" s="1842">
        <v>304681560</v>
      </c>
      <c r="O1097" s="1808">
        <v>1</v>
      </c>
      <c r="P1097" s="1814">
        <v>350716040</v>
      </c>
      <c r="Q1097" s="1815" t="e">
        <f>'[4]Maret 2018'!$I$156</f>
        <v>#REF!</v>
      </c>
      <c r="R1097" s="1814">
        <v>1002000</v>
      </c>
      <c r="S1097" s="1808"/>
      <c r="T1097" s="1808"/>
      <c r="U1097" s="1808"/>
      <c r="V1097" s="1808"/>
      <c r="W1097" s="1808"/>
      <c r="X1097" s="1808"/>
      <c r="Y1097" s="1815">
        <v>0</v>
      </c>
      <c r="Z1097" s="1814">
        <v>1002000</v>
      </c>
      <c r="AA1097" s="1815">
        <f t="shared" si="203"/>
        <v>1</v>
      </c>
      <c r="AB1097" s="1814">
        <f t="shared" si="203"/>
        <v>305683560</v>
      </c>
      <c r="AC1097" s="1674">
        <f t="shared" si="204"/>
        <v>16.666666666666664</v>
      </c>
      <c r="AD1097" s="1674">
        <f t="shared" si="204"/>
        <v>14.219744122945579</v>
      </c>
      <c r="AE1097" s="1675" t="s">
        <v>2418</v>
      </c>
      <c r="AF1097" s="499"/>
      <c r="AG1097" s="1017"/>
      <c r="AH1097" s="1017"/>
      <c r="AI1097" s="1017"/>
      <c r="AJ1097" s="1017"/>
      <c r="AK1097" s="1017"/>
      <c r="AL1097" s="1017"/>
      <c r="AM1097" s="1017"/>
      <c r="AN1097" s="1016"/>
      <c r="AO1097" s="1017" t="s">
        <v>1330</v>
      </c>
      <c r="AP1097" s="1018">
        <v>1783</v>
      </c>
      <c r="AQ1097" s="4492"/>
      <c r="AR1097" s="1018">
        <v>496.9</v>
      </c>
      <c r="AS1097" s="4492"/>
      <c r="AT1097" s="1018">
        <v>288</v>
      </c>
      <c r="AU1097" s="4492"/>
      <c r="AV1097" s="1018">
        <v>134</v>
      </c>
      <c r="AW1097" s="4510"/>
      <c r="AX1097" s="1027">
        <v>0</v>
      </c>
      <c r="AY1097" s="4492"/>
      <c r="AZ1097" s="1027">
        <v>0</v>
      </c>
      <c r="BA1097" s="4492"/>
      <c r="BB1097" s="1027">
        <v>0</v>
      </c>
      <c r="BC1097" s="4492"/>
      <c r="BD1097" s="1027">
        <f t="shared" si="197"/>
        <v>134</v>
      </c>
      <c r="BE1097" s="4492"/>
      <c r="BF1097" s="1027">
        <f t="shared" si="198"/>
        <v>630.9</v>
      </c>
      <c r="BG1097" s="4492"/>
      <c r="BH1097" s="1027">
        <f t="shared" si="199"/>
        <v>35.384183959618618</v>
      </c>
      <c r="BI1097" s="4495"/>
      <c r="BJ1097" s="1031"/>
      <c r="BL1097" s="1000">
        <f t="shared" si="202"/>
        <v>46.527777777777779</v>
      </c>
    </row>
    <row r="1098" spans="1:64" s="996" customFormat="1" ht="57" customHeight="1">
      <c r="A1098" s="1883"/>
      <c r="B1098" s="1883"/>
      <c r="C1098" s="1840">
        <v>13</v>
      </c>
      <c r="D1098" s="1840">
        <v>1</v>
      </c>
      <c r="E1098" s="1840">
        <v>2</v>
      </c>
      <c r="F1098" s="1840">
        <v>13</v>
      </c>
      <c r="G1098" s="1808">
        <v>20</v>
      </c>
      <c r="H1098" s="754">
        <v>37</v>
      </c>
      <c r="I1098" s="1797" t="s">
        <v>2498</v>
      </c>
      <c r="J1098" s="1798" t="s">
        <v>2499</v>
      </c>
      <c r="K1098" s="1799">
        <v>500</v>
      </c>
      <c r="L1098" s="1843">
        <v>500000000</v>
      </c>
      <c r="M1098" s="1844">
        <v>95.78</v>
      </c>
      <c r="N1098" s="1845">
        <v>97583000</v>
      </c>
      <c r="O1098" s="1730">
        <v>100</v>
      </c>
      <c r="P1098" s="1731">
        <v>75010200</v>
      </c>
      <c r="Q1098" s="754"/>
      <c r="R1098" s="1731"/>
      <c r="S1098" s="754"/>
      <c r="T1098" s="754"/>
      <c r="U1098" s="754"/>
      <c r="V1098" s="754"/>
      <c r="W1098" s="754"/>
      <c r="X1098" s="754"/>
      <c r="Y1098" s="754"/>
      <c r="Z1098" s="1731"/>
      <c r="AA1098" s="1733">
        <f t="shared" si="203"/>
        <v>95.78</v>
      </c>
      <c r="AB1098" s="1731">
        <f t="shared" si="203"/>
        <v>97583000</v>
      </c>
      <c r="AC1098" s="19">
        <f t="shared" si="204"/>
        <v>19.156000000000002</v>
      </c>
      <c r="AD1098" s="19">
        <f t="shared" si="204"/>
        <v>19.5166</v>
      </c>
      <c r="AE1098" s="24" t="s">
        <v>2418</v>
      </c>
      <c r="AF1098" s="499"/>
      <c r="AG1098" s="1017"/>
      <c r="AH1098" s="1017"/>
      <c r="AI1098" s="1017"/>
      <c r="AJ1098" s="1017"/>
      <c r="AK1098" s="1017"/>
      <c r="AL1098" s="1017"/>
      <c r="AM1098" s="1017"/>
      <c r="AN1098" s="1016"/>
      <c r="AO1098" s="1017" t="s">
        <v>1331</v>
      </c>
      <c r="AP1098" s="1018">
        <v>8547</v>
      </c>
      <c r="AQ1098" s="4492"/>
      <c r="AR1098" s="1018">
        <v>2198.3000000000002</v>
      </c>
      <c r="AS1098" s="4492"/>
      <c r="AT1098" s="1018">
        <v>1424</v>
      </c>
      <c r="AU1098" s="4492"/>
      <c r="AV1098" s="1018">
        <v>226</v>
      </c>
      <c r="AW1098" s="4510"/>
      <c r="AX1098" s="1027">
        <v>0</v>
      </c>
      <c r="AY1098" s="4492"/>
      <c r="AZ1098" s="1027">
        <v>0</v>
      </c>
      <c r="BA1098" s="4492"/>
      <c r="BB1098" s="1027">
        <v>0</v>
      </c>
      <c r="BC1098" s="4492"/>
      <c r="BD1098" s="1027">
        <f t="shared" si="197"/>
        <v>226</v>
      </c>
      <c r="BE1098" s="4492"/>
      <c r="BF1098" s="1027">
        <f t="shared" si="198"/>
        <v>2424.3000000000002</v>
      </c>
      <c r="BG1098" s="4492"/>
      <c r="BH1098" s="1027">
        <f t="shared" si="199"/>
        <v>28.364338364338366</v>
      </c>
      <c r="BI1098" s="4495"/>
      <c r="BJ1098" s="1031"/>
      <c r="BL1098" s="1000">
        <f t="shared" si="202"/>
        <v>15.870786516853933</v>
      </c>
    </row>
    <row r="1099" spans="1:64" s="996" customFormat="1" ht="57" customHeight="1">
      <c r="A1099" s="1883"/>
      <c r="B1099" s="1883"/>
      <c r="C1099" s="1840">
        <v>13</v>
      </c>
      <c r="D1099" s="1840">
        <v>1</v>
      </c>
      <c r="E1099" s="1840">
        <v>2</v>
      </c>
      <c r="F1099" s="1840">
        <v>13</v>
      </c>
      <c r="G1099" s="1808">
        <v>20</v>
      </c>
      <c r="H1099" s="754">
        <v>38</v>
      </c>
      <c r="I1099" s="1846" t="s">
        <v>2500</v>
      </c>
      <c r="J1099" s="1805" t="s">
        <v>2501</v>
      </c>
      <c r="K1099" s="1799">
        <v>500</v>
      </c>
      <c r="L1099" s="1843">
        <f>N1099*5</f>
        <v>290000000</v>
      </c>
      <c r="M1099" s="1847">
        <v>100</v>
      </c>
      <c r="N1099" s="1848">
        <v>58000000</v>
      </c>
      <c r="O1099" s="1730" t="s">
        <v>2502</v>
      </c>
      <c r="P1099" s="1731">
        <v>30322160</v>
      </c>
      <c r="Q1099" s="1733">
        <f>'[4]Maret 2018'!$I$163</f>
        <v>7</v>
      </c>
      <c r="R1099" s="1731">
        <v>9193000</v>
      </c>
      <c r="S1099" s="754"/>
      <c r="T1099" s="754"/>
      <c r="U1099" s="754"/>
      <c r="V1099" s="754"/>
      <c r="W1099" s="754"/>
      <c r="X1099" s="754"/>
      <c r="Y1099" s="1733">
        <f>Q1099</f>
        <v>7</v>
      </c>
      <c r="Z1099" s="1731">
        <v>9193000</v>
      </c>
      <c r="AA1099" s="1733">
        <f t="shared" si="203"/>
        <v>107</v>
      </c>
      <c r="AB1099" s="1731">
        <f t="shared" si="203"/>
        <v>67193000</v>
      </c>
      <c r="AC1099" s="19">
        <f t="shared" si="204"/>
        <v>21.4</v>
      </c>
      <c r="AD1099" s="19">
        <f t="shared" si="204"/>
        <v>23.169999999999998</v>
      </c>
      <c r="AE1099" s="24" t="s">
        <v>2418</v>
      </c>
      <c r="AF1099" s="499"/>
      <c r="AG1099" s="1017"/>
      <c r="AH1099" s="1017"/>
      <c r="AI1099" s="1017"/>
      <c r="AJ1099" s="1017"/>
      <c r="AK1099" s="1017"/>
      <c r="AL1099" s="1017"/>
      <c r="AM1099" s="1017"/>
      <c r="AN1099" s="1016"/>
      <c r="AO1099" s="1017" t="s">
        <v>1332</v>
      </c>
      <c r="AP1099" s="1018">
        <v>7315</v>
      </c>
      <c r="AQ1099" s="4492"/>
      <c r="AR1099" s="1018">
        <v>1989</v>
      </c>
      <c r="AS1099" s="4492"/>
      <c r="AT1099" s="1018">
        <v>1234</v>
      </c>
      <c r="AU1099" s="4492"/>
      <c r="AV1099" s="1018">
        <v>661</v>
      </c>
      <c r="AW1099" s="4510"/>
      <c r="AX1099" s="1027">
        <v>0</v>
      </c>
      <c r="AY1099" s="4492"/>
      <c r="AZ1099" s="1027">
        <v>0</v>
      </c>
      <c r="BA1099" s="4492"/>
      <c r="BB1099" s="1027">
        <v>0</v>
      </c>
      <c r="BC1099" s="4492"/>
      <c r="BD1099" s="1027">
        <f t="shared" si="197"/>
        <v>661</v>
      </c>
      <c r="BE1099" s="4492"/>
      <c r="BF1099" s="1027">
        <f t="shared" si="198"/>
        <v>2650</v>
      </c>
      <c r="BG1099" s="4492"/>
      <c r="BH1099" s="1027">
        <f t="shared" si="199"/>
        <v>36.226930963773071</v>
      </c>
      <c r="BI1099" s="4495"/>
      <c r="BJ1099" s="1031"/>
      <c r="BL1099" s="1000">
        <f t="shared" si="202"/>
        <v>53.565640194489461</v>
      </c>
    </row>
    <row r="1100" spans="1:64" s="996" customFormat="1" ht="57" customHeight="1">
      <c r="A1100" s="1849"/>
      <c r="B1100" s="1849"/>
      <c r="C1100" s="1827">
        <v>13</v>
      </c>
      <c r="D1100" s="1827">
        <v>1</v>
      </c>
      <c r="E1100" s="1827">
        <v>2</v>
      </c>
      <c r="F1100" s="1827">
        <v>13</v>
      </c>
      <c r="G1100" s="1828">
        <v>22</v>
      </c>
      <c r="H1100" s="1817"/>
      <c r="I1100" s="1850" t="s">
        <v>2503</v>
      </c>
      <c r="J1100" s="1851" t="s">
        <v>2504</v>
      </c>
      <c r="K1100" s="1747"/>
      <c r="L1100" s="1748"/>
      <c r="M1100" s="1749"/>
      <c r="N1100" s="1748"/>
      <c r="O1100" s="1749"/>
      <c r="P1100" s="1748">
        <f>P1101</f>
        <v>30000000</v>
      </c>
      <c r="Q1100" s="1749"/>
      <c r="R1100" s="1748"/>
      <c r="S1100" s="1749"/>
      <c r="T1100" s="1749"/>
      <c r="U1100" s="1749"/>
      <c r="V1100" s="1749"/>
      <c r="W1100" s="1749"/>
      <c r="X1100" s="1749"/>
      <c r="Y1100" s="1749"/>
      <c r="Z1100" s="1748"/>
      <c r="AA1100" s="1749"/>
      <c r="AB1100" s="1748">
        <f>AB1101</f>
        <v>62499600</v>
      </c>
      <c r="AC1100" s="1671"/>
      <c r="AD1100" s="1671"/>
      <c r="AE1100" s="24" t="s">
        <v>2418</v>
      </c>
      <c r="AF1100" s="499"/>
      <c r="AG1100" s="1017"/>
      <c r="AH1100" s="1017"/>
      <c r="AI1100" s="1017"/>
      <c r="AJ1100" s="1017"/>
      <c r="AK1100" s="1017"/>
      <c r="AL1100" s="1017"/>
      <c r="AM1100" s="1017"/>
      <c r="AN1100" s="1016"/>
      <c r="AO1100" s="1017" t="s">
        <v>1333</v>
      </c>
      <c r="AP1100" s="1018">
        <v>1970</v>
      </c>
      <c r="AQ1100" s="4493"/>
      <c r="AR1100" s="1018">
        <v>722.4</v>
      </c>
      <c r="AS1100" s="4493"/>
      <c r="AT1100" s="1018">
        <v>325</v>
      </c>
      <c r="AU1100" s="4493"/>
      <c r="AV1100" s="1018">
        <v>53</v>
      </c>
      <c r="AW1100" s="4481"/>
      <c r="AX1100" s="1027">
        <v>0</v>
      </c>
      <c r="AY1100" s="4493"/>
      <c r="AZ1100" s="1027">
        <v>0</v>
      </c>
      <c r="BA1100" s="4493"/>
      <c r="BB1100" s="1027">
        <v>0</v>
      </c>
      <c r="BC1100" s="4493"/>
      <c r="BD1100" s="1027">
        <f t="shared" si="197"/>
        <v>53</v>
      </c>
      <c r="BE1100" s="4493"/>
      <c r="BF1100" s="1027">
        <f t="shared" si="198"/>
        <v>775.4</v>
      </c>
      <c r="BG1100" s="4493"/>
      <c r="BH1100" s="1027">
        <f t="shared" si="199"/>
        <v>39.360406091370557</v>
      </c>
      <c r="BI1100" s="4496"/>
      <c r="BJ1100" s="1031"/>
      <c r="BL1100" s="1000">
        <f t="shared" si="202"/>
        <v>16.307692307692307</v>
      </c>
    </row>
    <row r="1101" spans="1:64" s="994" customFormat="1" ht="57" customHeight="1">
      <c r="A1101" s="1916"/>
      <c r="B1101" s="1916"/>
      <c r="C1101" s="1840">
        <v>13</v>
      </c>
      <c r="D1101" s="1840">
        <v>1</v>
      </c>
      <c r="E1101" s="1840">
        <v>2</v>
      </c>
      <c r="F1101" s="1840">
        <v>13</v>
      </c>
      <c r="G1101" s="1808">
        <v>22</v>
      </c>
      <c r="H1101" s="754">
        <v>2</v>
      </c>
      <c r="I1101" s="1798" t="s">
        <v>2505</v>
      </c>
      <c r="J1101" s="1852" t="s">
        <v>2506</v>
      </c>
      <c r="K1101" s="1798">
        <v>500</v>
      </c>
      <c r="L1101" s="1853">
        <v>250000000</v>
      </c>
      <c r="M1101" s="1735">
        <v>100</v>
      </c>
      <c r="N1101" s="1736">
        <v>49999600</v>
      </c>
      <c r="O1101" s="1730">
        <v>100</v>
      </c>
      <c r="P1101" s="1731">
        <v>30000000</v>
      </c>
      <c r="Q1101" s="1733">
        <f>'[4]Maret 2018'!$I$174</f>
        <v>8.0157109826662971</v>
      </c>
      <c r="R1101" s="1731">
        <v>12500000</v>
      </c>
      <c r="S1101" s="754"/>
      <c r="T1101" s="754"/>
      <c r="U1101" s="754"/>
      <c r="V1101" s="754"/>
      <c r="W1101" s="754"/>
      <c r="X1101" s="754"/>
      <c r="Y1101" s="1733">
        <f>Q1101</f>
        <v>8.0157109826662971</v>
      </c>
      <c r="Z1101" s="1731">
        <v>12500000</v>
      </c>
      <c r="AA1101" s="1733">
        <f>M1101+Y1101</f>
        <v>108.01571098266629</v>
      </c>
      <c r="AB1101" s="1731">
        <f>N1101+Z1101</f>
        <v>62499600</v>
      </c>
      <c r="AC1101" s="19">
        <f>AA1101/K1101*100</f>
        <v>21.603142196533259</v>
      </c>
      <c r="AD1101" s="19">
        <f>AB1101/L1101*100</f>
        <v>24.999840000000003</v>
      </c>
      <c r="AE1101" s="24" t="s">
        <v>2418</v>
      </c>
      <c r="AF1101" s="512"/>
      <c r="AG1101" s="1028"/>
      <c r="AH1101" s="1028"/>
      <c r="AI1101" s="1028"/>
      <c r="AJ1101" s="1028"/>
      <c r="AK1101" s="1028"/>
      <c r="AL1101" s="1028"/>
      <c r="AM1101" s="1028"/>
      <c r="AN1101" s="1032" t="s">
        <v>1334</v>
      </c>
      <c r="AO1101" s="1028" t="s">
        <v>1335</v>
      </c>
      <c r="AP1101" s="1019">
        <v>23250</v>
      </c>
      <c r="AQ1101" s="1026">
        <v>4573073</v>
      </c>
      <c r="AR1101" s="1028">
        <v>7407</v>
      </c>
      <c r="AS1101" s="1026">
        <v>372540</v>
      </c>
      <c r="AT1101" s="1028">
        <v>82040</v>
      </c>
      <c r="AU1101" s="1026">
        <v>622722</v>
      </c>
      <c r="AV1101" s="1026">
        <v>0</v>
      </c>
      <c r="AW1101" s="1020">
        <v>9046.2000000000007</v>
      </c>
      <c r="AX1101" s="1027">
        <f t="shared" ref="AX1101:AX1106" si="205">AV1101</f>
        <v>0</v>
      </c>
      <c r="AY1101" s="1027">
        <v>0</v>
      </c>
      <c r="AZ1101" s="1027">
        <f t="shared" ref="AZ1101:AZ1106" si="206">AV1101+AX1101</f>
        <v>0</v>
      </c>
      <c r="BA1101" s="1027">
        <v>0</v>
      </c>
      <c r="BB1101" s="1027">
        <f t="shared" ref="BB1101:BB1106" si="207">AV1101+AX1101+AZ1101</f>
        <v>0</v>
      </c>
      <c r="BC1101" s="1027">
        <v>0</v>
      </c>
      <c r="BD1101" s="1027">
        <f t="shared" si="197"/>
        <v>0</v>
      </c>
      <c r="BE1101" s="1027">
        <f t="shared" si="197"/>
        <v>9046.2000000000007</v>
      </c>
      <c r="BF1101" s="1027">
        <f t="shared" si="198"/>
        <v>7407</v>
      </c>
      <c r="BG1101" s="1027">
        <f t="shared" si="198"/>
        <v>381586.2</v>
      </c>
      <c r="BH1101" s="1027">
        <f t="shared" si="199"/>
        <v>31.85806451612903</v>
      </c>
      <c r="BI1101" s="1027">
        <f t="shared" si="199"/>
        <v>8.344196561043308</v>
      </c>
      <c r="BJ1101" s="382"/>
    </row>
    <row r="1102" spans="1:64" s="996" customFormat="1" ht="20.25" customHeight="1">
      <c r="A1102" s="1916"/>
      <c r="B1102" s="1916"/>
      <c r="C1102" s="1916"/>
      <c r="D1102" s="1916"/>
      <c r="E1102" s="1916"/>
      <c r="F1102" s="1916"/>
      <c r="G1102" s="1884"/>
      <c r="H1102" s="1884"/>
      <c r="I1102" s="1884"/>
      <c r="J1102" s="1884"/>
      <c r="K1102" s="1884"/>
      <c r="L1102" s="1884"/>
      <c r="M1102" s="1884"/>
      <c r="N1102" s="4497" t="s">
        <v>2507</v>
      </c>
      <c r="O1102" s="4498"/>
      <c r="P1102" s="4499"/>
      <c r="Q1102" s="4461"/>
      <c r="R1102" s="4462"/>
      <c r="S1102" s="4462"/>
      <c r="T1102" s="4462"/>
      <c r="U1102" s="4462"/>
      <c r="V1102" s="4462"/>
      <c r="W1102" s="4462"/>
      <c r="X1102" s="4462"/>
      <c r="Y1102" s="4462"/>
      <c r="Z1102" s="4462"/>
      <c r="AA1102" s="4462"/>
      <c r="AB1102" s="4463"/>
      <c r="AC1102" s="20" t="e">
        <f>AVERAGE(AC1049:AC1101)</f>
        <v>#REF!</v>
      </c>
      <c r="AD1102" s="20">
        <f>AVERAGE(AD1049:AD1101)</f>
        <v>25.97464975431771</v>
      </c>
      <c r="AE1102" s="21"/>
      <c r="AF1102" s="499"/>
      <c r="AG1102" s="1017"/>
      <c r="AH1102" s="1017"/>
      <c r="AI1102" s="1017"/>
      <c r="AJ1102" s="1017"/>
      <c r="AK1102" s="1017"/>
      <c r="AL1102" s="1017"/>
      <c r="AM1102" s="1017"/>
      <c r="AN1102" s="1022" t="s">
        <v>1336</v>
      </c>
      <c r="AO1102" s="1023" t="s">
        <v>1337</v>
      </c>
      <c r="AP1102" s="1024">
        <v>6</v>
      </c>
      <c r="AQ1102" s="1024">
        <v>1016642</v>
      </c>
      <c r="AR1102" s="1033">
        <v>2</v>
      </c>
      <c r="AS1102" s="1026">
        <v>288962</v>
      </c>
      <c r="AT1102" s="1033">
        <v>1</v>
      </c>
      <c r="AU1102" s="1026">
        <v>195647</v>
      </c>
      <c r="AV1102" s="1027">
        <v>0</v>
      </c>
      <c r="AW1102" s="1020">
        <v>13039.9</v>
      </c>
      <c r="AX1102" s="1027">
        <f t="shared" si="205"/>
        <v>0</v>
      </c>
      <c r="AY1102" s="1027">
        <v>0</v>
      </c>
      <c r="AZ1102" s="1027">
        <f t="shared" si="206"/>
        <v>0</v>
      </c>
      <c r="BA1102" s="1027">
        <v>0</v>
      </c>
      <c r="BB1102" s="1027">
        <f t="shared" si="207"/>
        <v>0</v>
      </c>
      <c r="BC1102" s="1027">
        <v>0</v>
      </c>
      <c r="BD1102" s="1027">
        <f t="shared" si="197"/>
        <v>0</v>
      </c>
      <c r="BE1102" s="1027">
        <f t="shared" si="197"/>
        <v>13039.9</v>
      </c>
      <c r="BF1102" s="1027">
        <f t="shared" si="198"/>
        <v>2</v>
      </c>
      <c r="BG1102" s="1027">
        <f t="shared" si="198"/>
        <v>302001.90000000002</v>
      </c>
      <c r="BH1102" s="1027">
        <f t="shared" si="199"/>
        <v>33.333333333333329</v>
      </c>
      <c r="BI1102" s="1027">
        <f t="shared" si="199"/>
        <v>29.705825649540351</v>
      </c>
      <c r="BJ1102" s="1034"/>
    </row>
    <row r="1103" spans="1:64" s="994" customFormat="1" ht="20.25" customHeight="1">
      <c r="A1103" s="1692"/>
      <c r="B1103" s="1692"/>
      <c r="C1103" s="1692"/>
      <c r="D1103" s="1692"/>
      <c r="E1103" s="1692"/>
      <c r="F1103" s="1692"/>
      <c r="G1103" s="1884"/>
      <c r="H1103" s="1884"/>
      <c r="I1103" s="1884"/>
      <c r="J1103" s="1884"/>
      <c r="K1103" s="1884"/>
      <c r="L1103" s="1884"/>
      <c r="M1103" s="1884"/>
      <c r="N1103" s="4497" t="s">
        <v>1679</v>
      </c>
      <c r="O1103" s="4498"/>
      <c r="P1103" s="4499"/>
      <c r="Q1103" s="4461"/>
      <c r="R1103" s="4462"/>
      <c r="S1103" s="4462"/>
      <c r="T1103" s="4462"/>
      <c r="U1103" s="4462"/>
      <c r="V1103" s="4462"/>
      <c r="W1103" s="4462"/>
      <c r="X1103" s="4462"/>
      <c r="Y1103" s="4462"/>
      <c r="Z1103" s="4462"/>
      <c r="AA1103" s="4462"/>
      <c r="AB1103" s="4463"/>
      <c r="AC1103" s="22" t="e">
        <f>IF(AC1102&gt;=45,"ST",IF(AC1102&gt;=38,"T",IF(AC1102&gt;=32,"S",IF(AC1102&gt;=25,"R","SR"))))</f>
        <v>#REF!</v>
      </c>
      <c r="AD1103" s="22" t="str">
        <f>IF(AD1102&gt;=45,"ST",IF(AD1102&gt;=38,"T",IF(AD1102&gt;=32,"S",IF(AD1102&gt;=25,"R","SR"))))</f>
        <v>R</v>
      </c>
      <c r="AE1103" s="21"/>
      <c r="AF1103" s="512"/>
      <c r="AG1103" s="1028"/>
      <c r="AH1103" s="1028"/>
      <c r="AI1103" s="1028"/>
      <c r="AJ1103" s="1028"/>
      <c r="AK1103" s="1028"/>
      <c r="AL1103" s="1028"/>
      <c r="AM1103" s="1028"/>
      <c r="AN1103" s="1022" t="s">
        <v>1338</v>
      </c>
      <c r="AO1103" s="1028" t="s">
        <v>1339</v>
      </c>
      <c r="AP1103" s="1028">
        <v>15</v>
      </c>
      <c r="AQ1103" s="1026">
        <v>651000</v>
      </c>
      <c r="AR1103" s="1019">
        <v>15</v>
      </c>
      <c r="AS1103" s="1019">
        <v>249321</v>
      </c>
      <c r="AT1103" s="1028">
        <v>15</v>
      </c>
      <c r="AU1103" s="1026">
        <v>147579</v>
      </c>
      <c r="AV1103" s="1027">
        <v>0</v>
      </c>
      <c r="AW1103" s="1020">
        <v>7000</v>
      </c>
      <c r="AX1103" s="1027">
        <f t="shared" si="205"/>
        <v>0</v>
      </c>
      <c r="AY1103" s="1027">
        <v>0</v>
      </c>
      <c r="AZ1103" s="1027">
        <f t="shared" si="206"/>
        <v>0</v>
      </c>
      <c r="BA1103" s="1027">
        <v>0</v>
      </c>
      <c r="BB1103" s="1027">
        <f t="shared" si="207"/>
        <v>0</v>
      </c>
      <c r="BC1103" s="1027">
        <v>0</v>
      </c>
      <c r="BD1103" s="1027">
        <f t="shared" si="197"/>
        <v>0</v>
      </c>
      <c r="BE1103" s="1027">
        <f t="shared" si="197"/>
        <v>7000</v>
      </c>
      <c r="BF1103" s="1027">
        <f t="shared" si="198"/>
        <v>15</v>
      </c>
      <c r="BG1103" s="1027">
        <f t="shared" si="198"/>
        <v>256321</v>
      </c>
      <c r="BH1103" s="1027">
        <f t="shared" si="199"/>
        <v>100</v>
      </c>
      <c r="BI1103" s="1027">
        <f t="shared" si="199"/>
        <v>39.373425499231949</v>
      </c>
      <c r="BJ1103" s="382"/>
    </row>
    <row r="1104" spans="1:64" s="994" customFormat="1" ht="20.25" customHeight="1">
      <c r="A1104" s="1854"/>
      <c r="B1104" s="1854"/>
      <c r="C1104" s="1854"/>
      <c r="D1104" s="1854"/>
      <c r="E1104" s="1854"/>
      <c r="F1104" s="1854"/>
      <c r="G1104" s="1885"/>
      <c r="H1104" s="1885"/>
      <c r="I1104" s="1885"/>
      <c r="J1104" s="1885"/>
      <c r="K1104" s="1885"/>
      <c r="L1104" s="4516" t="s">
        <v>2508</v>
      </c>
      <c r="M1104" s="4517"/>
      <c r="N1104" s="4517"/>
      <c r="O1104" s="4518"/>
      <c r="P1104" s="1112">
        <f>P1100+P1095+P1089+P1083+P1079+P1073+P1066+P1049+P1062</f>
        <v>8000474997</v>
      </c>
      <c r="Q1104" s="4519"/>
      <c r="R1104" s="4519"/>
      <c r="S1104" s="4519"/>
      <c r="T1104" s="4519"/>
      <c r="U1104" s="4519"/>
      <c r="V1104" s="4519"/>
      <c r="W1104" s="4519"/>
      <c r="X1104" s="4519"/>
      <c r="Y1104" s="4519"/>
      <c r="Z1104" s="4519"/>
      <c r="AA1104" s="4519"/>
      <c r="AB1104" s="1112">
        <f>AB1100+AB1095+AB1089+AB1083+AB1079+AB1073+AB1066+AB1049+AB1062</f>
        <v>6734193477</v>
      </c>
      <c r="AC1104" s="31"/>
      <c r="AD1104" s="31"/>
      <c r="AE1104" s="31"/>
      <c r="AF1104" s="512"/>
      <c r="AG1104" s="1028"/>
      <c r="AH1104" s="1028"/>
      <c r="AI1104" s="1028"/>
      <c r="AJ1104" s="1028"/>
      <c r="AK1104" s="1028"/>
      <c r="AL1104" s="1028"/>
      <c r="AM1104" s="1028"/>
      <c r="AN1104" s="1022" t="s">
        <v>1340</v>
      </c>
      <c r="AO1104" s="1028" t="s">
        <v>1341</v>
      </c>
      <c r="AP1104" s="1028">
        <v>10</v>
      </c>
      <c r="AQ1104" s="1026">
        <v>1231119</v>
      </c>
      <c r="AR1104" s="1020">
        <v>2</v>
      </c>
      <c r="AS1104" s="1026">
        <v>232176</v>
      </c>
      <c r="AT1104" s="1028">
        <v>4</v>
      </c>
      <c r="AU1104" s="1026">
        <v>387027</v>
      </c>
      <c r="AV1104" s="1027">
        <v>0</v>
      </c>
      <c r="AW1104" s="1020">
        <v>6335</v>
      </c>
      <c r="AX1104" s="1027">
        <f t="shared" si="205"/>
        <v>0</v>
      </c>
      <c r="AY1104" s="1027">
        <v>0</v>
      </c>
      <c r="AZ1104" s="1027">
        <f t="shared" si="206"/>
        <v>0</v>
      </c>
      <c r="BA1104" s="1027">
        <v>0</v>
      </c>
      <c r="BB1104" s="1027">
        <f t="shared" si="207"/>
        <v>0</v>
      </c>
      <c r="BC1104" s="1027">
        <v>0</v>
      </c>
      <c r="BD1104" s="1027">
        <f t="shared" si="197"/>
        <v>0</v>
      </c>
      <c r="BE1104" s="1027">
        <f t="shared" si="197"/>
        <v>6335</v>
      </c>
      <c r="BF1104" s="1027">
        <f t="shared" si="198"/>
        <v>2</v>
      </c>
      <c r="BG1104" s="1027">
        <f t="shared" si="198"/>
        <v>238511</v>
      </c>
      <c r="BH1104" s="1027">
        <f t="shared" si="199"/>
        <v>20</v>
      </c>
      <c r="BI1104" s="1027">
        <f t="shared" si="199"/>
        <v>19.373513039763012</v>
      </c>
      <c r="BJ1104" s="1035"/>
    </row>
    <row r="1105" spans="1:62" s="996" customFormat="1" ht="20.25" customHeight="1">
      <c r="A1105" s="4520" t="s">
        <v>2509</v>
      </c>
      <c r="B1105" s="4521"/>
      <c r="C1105" s="4521"/>
      <c r="D1105" s="4521"/>
      <c r="E1105" s="4521"/>
      <c r="F1105" s="4521"/>
      <c r="G1105" s="4521"/>
      <c r="H1105" s="4521"/>
      <c r="I1105" s="4521"/>
      <c r="J1105" s="4521"/>
      <c r="K1105" s="4521"/>
      <c r="L1105" s="4521"/>
      <c r="M1105" s="4521"/>
      <c r="N1105" s="4521"/>
      <c r="O1105" s="4521"/>
      <c r="P1105" s="4521"/>
      <c r="Q1105" s="4521"/>
      <c r="R1105" s="4521"/>
      <c r="S1105" s="4521"/>
      <c r="T1105" s="4521"/>
      <c r="U1105" s="4521"/>
      <c r="V1105" s="4521"/>
      <c r="W1105" s="4521"/>
      <c r="X1105" s="4521"/>
      <c r="Y1105" s="4521"/>
      <c r="Z1105" s="4521"/>
      <c r="AA1105" s="4521"/>
      <c r="AB1105" s="4522"/>
      <c r="AC1105" s="32">
        <f>AVERAGE(AD1067:AD1101)</f>
        <v>17.276253739600879</v>
      </c>
      <c r="AD1105" s="32">
        <f>(AB1104/P1104)*100</f>
        <v>84.172420756582227</v>
      </c>
      <c r="AE1105" s="31"/>
      <c r="AF1105" s="499"/>
      <c r="AG1105" s="1017"/>
      <c r="AH1105" s="1017"/>
      <c r="AI1105" s="1017"/>
      <c r="AJ1105" s="1017"/>
      <c r="AK1105" s="1017"/>
      <c r="AL1105" s="1017"/>
      <c r="AM1105" s="1017"/>
      <c r="AN1105" s="1022" t="s">
        <v>1342</v>
      </c>
      <c r="AO1105" s="1028" t="s">
        <v>1343</v>
      </c>
      <c r="AP1105" s="1028">
        <v>145</v>
      </c>
      <c r="AQ1105" s="1026">
        <v>2341856</v>
      </c>
      <c r="AR1105" s="1020">
        <v>125</v>
      </c>
      <c r="AS1105" s="1026">
        <v>640563</v>
      </c>
      <c r="AT1105" s="1028">
        <v>25</v>
      </c>
      <c r="AU1105" s="1026">
        <v>314562</v>
      </c>
      <c r="AV1105" s="1027">
        <v>0</v>
      </c>
      <c r="AW1105" s="1020">
        <v>4481.3999999999996</v>
      </c>
      <c r="AX1105" s="1027">
        <f t="shared" si="205"/>
        <v>0</v>
      </c>
      <c r="AY1105" s="1027">
        <v>0</v>
      </c>
      <c r="AZ1105" s="1027">
        <f t="shared" si="206"/>
        <v>0</v>
      </c>
      <c r="BA1105" s="1027">
        <v>0</v>
      </c>
      <c r="BB1105" s="1027">
        <f t="shared" si="207"/>
        <v>0</v>
      </c>
      <c r="BC1105" s="1027">
        <v>0</v>
      </c>
      <c r="BD1105" s="1027">
        <f t="shared" si="197"/>
        <v>0</v>
      </c>
      <c r="BE1105" s="1027">
        <f t="shared" si="197"/>
        <v>4481.3999999999996</v>
      </c>
      <c r="BF1105" s="1027">
        <f t="shared" si="198"/>
        <v>125</v>
      </c>
      <c r="BG1105" s="1027">
        <f t="shared" si="198"/>
        <v>645044.4</v>
      </c>
      <c r="BH1105" s="1027">
        <f t="shared" si="199"/>
        <v>86.206896551724128</v>
      </c>
      <c r="BI1105" s="1027">
        <f t="shared" si="199"/>
        <v>27.544153013678041</v>
      </c>
      <c r="BJ1105" s="1034"/>
    </row>
    <row r="1106" spans="1:62" s="994" customFormat="1" ht="15.75" customHeight="1">
      <c r="A1106" s="4520" t="s">
        <v>102</v>
      </c>
      <c r="B1106" s="4521"/>
      <c r="C1106" s="4521"/>
      <c r="D1106" s="4521"/>
      <c r="E1106" s="4521"/>
      <c r="F1106" s="4521"/>
      <c r="G1106" s="4521"/>
      <c r="H1106" s="4521"/>
      <c r="I1106" s="4521"/>
      <c r="J1106" s="4521"/>
      <c r="K1106" s="4521"/>
      <c r="L1106" s="4521"/>
      <c r="M1106" s="4521"/>
      <c r="N1106" s="4521"/>
      <c r="O1106" s="4521"/>
      <c r="P1106" s="4521"/>
      <c r="Q1106" s="4521"/>
      <c r="R1106" s="4521"/>
      <c r="S1106" s="4521"/>
      <c r="T1106" s="4521"/>
      <c r="U1106" s="4521"/>
      <c r="V1106" s="4521"/>
      <c r="W1106" s="4521"/>
      <c r="X1106" s="4521"/>
      <c r="Y1106" s="4521"/>
      <c r="Z1106" s="4521"/>
      <c r="AA1106" s="4521"/>
      <c r="AB1106" s="4522"/>
      <c r="AC1106" s="1920" t="str">
        <f>IF(AC1105&gt;=45,"ST",IF(AC1105&gt;=38,"T",IF(AC1105&gt;=32,"S",IF(AC1105&gt;=25,"R","SR"))))</f>
        <v>SR</v>
      </c>
      <c r="AD1106" s="1920" t="str">
        <f>IF(AD1105&gt;=45,"ST",IF(AD1105&gt;=38,"T",IF(AD1105&gt;=32,"S",IF(AD1105&gt;=25,"R","SR"))))</f>
        <v>ST</v>
      </c>
      <c r="AE1106" s="31"/>
      <c r="AF1106" s="512"/>
      <c r="AG1106" s="1028"/>
      <c r="AH1106" s="1028"/>
      <c r="AI1106" s="1028"/>
      <c r="AJ1106" s="1028"/>
      <c r="AK1106" s="1028"/>
      <c r="AL1106" s="1028"/>
      <c r="AM1106" s="1028"/>
      <c r="AN1106" s="1022" t="s">
        <v>1344</v>
      </c>
      <c r="AO1106" s="1028" t="s">
        <v>1345</v>
      </c>
      <c r="AP1106" s="1028">
        <v>16</v>
      </c>
      <c r="AQ1106" s="1026">
        <v>113765</v>
      </c>
      <c r="AR1106" s="1020">
        <v>8</v>
      </c>
      <c r="AS1106" s="1026">
        <v>54004</v>
      </c>
      <c r="AT1106" s="1028">
        <v>0</v>
      </c>
      <c r="AU1106" s="1026">
        <v>0</v>
      </c>
      <c r="AV1106" s="1027">
        <v>0</v>
      </c>
      <c r="AW1106" s="1020">
        <v>4893.6000000000004</v>
      </c>
      <c r="AX1106" s="1027">
        <f t="shared" si="205"/>
        <v>0</v>
      </c>
      <c r="AY1106" s="1027">
        <v>0</v>
      </c>
      <c r="AZ1106" s="1027">
        <f t="shared" si="206"/>
        <v>0</v>
      </c>
      <c r="BA1106" s="1027">
        <v>0</v>
      </c>
      <c r="BB1106" s="1027">
        <f t="shared" si="207"/>
        <v>0</v>
      </c>
      <c r="BC1106" s="1027">
        <v>0</v>
      </c>
      <c r="BD1106" s="1027">
        <f t="shared" si="197"/>
        <v>0</v>
      </c>
      <c r="BE1106" s="1027">
        <f t="shared" si="197"/>
        <v>4893.6000000000004</v>
      </c>
      <c r="BF1106" s="1027">
        <f t="shared" si="198"/>
        <v>8</v>
      </c>
      <c r="BG1106" s="1027">
        <f t="shared" si="198"/>
        <v>58897.599999999999</v>
      </c>
      <c r="BH1106" s="1027">
        <f t="shared" si="199"/>
        <v>50</v>
      </c>
      <c r="BI1106" s="1027">
        <f t="shared" si="199"/>
        <v>51.771282907748429</v>
      </c>
      <c r="BJ1106" s="1035"/>
    </row>
    <row r="1107" spans="1:62" s="994" customFormat="1" ht="42" customHeight="1">
      <c r="A1107" s="512"/>
      <c r="B1107" s="1028"/>
      <c r="C1107" s="1028"/>
      <c r="D1107" s="1028"/>
      <c r="E1107" s="1028"/>
      <c r="F1107" s="1028"/>
      <c r="G1107" s="1028"/>
      <c r="H1107" s="1028"/>
      <c r="I1107" s="1022" t="s">
        <v>1346</v>
      </c>
      <c r="J1107" s="1028" t="s">
        <v>1347</v>
      </c>
      <c r="K1107" s="1028">
        <v>15</v>
      </c>
      <c r="L1107" s="1026">
        <v>2295690</v>
      </c>
      <c r="M1107" s="1020">
        <v>4</v>
      </c>
      <c r="N1107" s="1026">
        <v>532998</v>
      </c>
      <c r="O1107" s="1028">
        <v>2</v>
      </c>
      <c r="P1107" s="1026">
        <v>343819</v>
      </c>
      <c r="Q1107" s="1027">
        <v>0</v>
      </c>
      <c r="R1107" s="1020">
        <v>0</v>
      </c>
      <c r="S1107" s="1027">
        <f t="shared" ref="S1107:S1124" si="208">Q1107</f>
        <v>0</v>
      </c>
      <c r="T1107" s="1027">
        <v>0</v>
      </c>
      <c r="U1107" s="1027">
        <f t="shared" ref="U1107:U1124" si="209">Q1107+S1107</f>
        <v>0</v>
      </c>
      <c r="V1107" s="1027">
        <v>0</v>
      </c>
      <c r="W1107" s="1027">
        <f t="shared" ref="W1107:W1124" si="210">Q1107+S1107+U1107</f>
        <v>0</v>
      </c>
      <c r="X1107" s="1027">
        <v>0</v>
      </c>
      <c r="Y1107" s="1027">
        <f t="shared" ref="Y1107:Z1138" si="211">Q1107</f>
        <v>0</v>
      </c>
      <c r="Z1107" s="1027">
        <f t="shared" si="211"/>
        <v>0</v>
      </c>
      <c r="AA1107" s="1027">
        <f t="shared" ref="AA1107:AB1138" si="212">M1107+Y1107</f>
        <v>4</v>
      </c>
      <c r="AB1107" s="1027">
        <f t="shared" si="212"/>
        <v>532998</v>
      </c>
      <c r="AC1107" s="1027">
        <f t="shared" ref="AC1107:AD1138" si="213">AA1107/K1107*100</f>
        <v>26.666666666666668</v>
      </c>
      <c r="AD1107" s="1027">
        <f t="shared" si="213"/>
        <v>23.21733335075729</v>
      </c>
      <c r="AE1107" s="382"/>
    </row>
    <row r="1108" spans="1:62" s="994" customFormat="1" ht="43.5" customHeight="1">
      <c r="A1108" s="512"/>
      <c r="B1108" s="1028"/>
      <c r="C1108" s="1028"/>
      <c r="D1108" s="1028"/>
      <c r="E1108" s="1028"/>
      <c r="F1108" s="1028"/>
      <c r="G1108" s="1028"/>
      <c r="H1108" s="1028"/>
      <c r="I1108" s="1022" t="s">
        <v>1348</v>
      </c>
      <c r="J1108" s="1028" t="s">
        <v>1349</v>
      </c>
      <c r="K1108" s="1020">
        <v>60</v>
      </c>
      <c r="L1108" s="1026">
        <v>276655</v>
      </c>
      <c r="M1108" s="1020">
        <v>11</v>
      </c>
      <c r="N1108" s="1026">
        <v>161181</v>
      </c>
      <c r="O1108" s="1020">
        <v>1</v>
      </c>
      <c r="P1108" s="1026">
        <v>50310</v>
      </c>
      <c r="Q1108" s="1027">
        <v>0</v>
      </c>
      <c r="R1108" s="1020">
        <v>525</v>
      </c>
      <c r="S1108" s="1027">
        <f t="shared" si="208"/>
        <v>0</v>
      </c>
      <c r="T1108" s="1027">
        <v>0</v>
      </c>
      <c r="U1108" s="1027">
        <f t="shared" si="209"/>
        <v>0</v>
      </c>
      <c r="V1108" s="1027">
        <v>0</v>
      </c>
      <c r="W1108" s="1027">
        <f t="shared" si="210"/>
        <v>0</v>
      </c>
      <c r="X1108" s="1027">
        <v>0</v>
      </c>
      <c r="Y1108" s="1027">
        <f t="shared" si="211"/>
        <v>0</v>
      </c>
      <c r="Z1108" s="1027">
        <f t="shared" si="211"/>
        <v>525</v>
      </c>
      <c r="AA1108" s="1027">
        <f t="shared" si="212"/>
        <v>11</v>
      </c>
      <c r="AB1108" s="1027">
        <f t="shared" si="212"/>
        <v>161706</v>
      </c>
      <c r="AC1108" s="1027">
        <f t="shared" si="213"/>
        <v>18.333333333333332</v>
      </c>
      <c r="AD1108" s="1027">
        <f t="shared" si="213"/>
        <v>58.450416583831846</v>
      </c>
      <c r="AE1108" s="1035"/>
    </row>
    <row r="1109" spans="1:62" s="994" customFormat="1" ht="69" customHeight="1">
      <c r="A1109" s="512"/>
      <c r="B1109" s="1028"/>
      <c r="C1109" s="1028"/>
      <c r="D1109" s="1028"/>
      <c r="E1109" s="1028"/>
      <c r="F1109" s="1028"/>
      <c r="G1109" s="1028"/>
      <c r="H1109" s="1028"/>
      <c r="I1109" s="1022" t="s">
        <v>1350</v>
      </c>
      <c r="J1109" s="1028" t="s">
        <v>1351</v>
      </c>
      <c r="K1109" s="1028">
        <v>140</v>
      </c>
      <c r="L1109" s="1026">
        <v>1969770</v>
      </c>
      <c r="M1109" s="1020">
        <v>65</v>
      </c>
      <c r="N1109" s="1026">
        <v>416676</v>
      </c>
      <c r="O1109" s="1028">
        <v>25</v>
      </c>
      <c r="P1109" s="1026">
        <v>124570.8</v>
      </c>
      <c r="Q1109" s="1027">
        <v>0</v>
      </c>
      <c r="R1109" s="1020">
        <v>3206.2</v>
      </c>
      <c r="S1109" s="1027">
        <f t="shared" si="208"/>
        <v>0</v>
      </c>
      <c r="T1109" s="1027">
        <v>0</v>
      </c>
      <c r="U1109" s="1027">
        <f t="shared" si="209"/>
        <v>0</v>
      </c>
      <c r="V1109" s="1027">
        <v>0</v>
      </c>
      <c r="W1109" s="1027">
        <f t="shared" si="210"/>
        <v>0</v>
      </c>
      <c r="X1109" s="1027">
        <v>0</v>
      </c>
      <c r="Y1109" s="1027">
        <f t="shared" si="211"/>
        <v>0</v>
      </c>
      <c r="Z1109" s="1027">
        <f t="shared" si="211"/>
        <v>3206.2</v>
      </c>
      <c r="AA1109" s="1027">
        <f t="shared" si="212"/>
        <v>65</v>
      </c>
      <c r="AB1109" s="1027">
        <f t="shared" si="212"/>
        <v>419882.2</v>
      </c>
      <c r="AC1109" s="1027">
        <f t="shared" si="213"/>
        <v>46.428571428571431</v>
      </c>
      <c r="AD1109" s="1027">
        <f t="shared" si="213"/>
        <v>21.316305964655772</v>
      </c>
      <c r="AE1109" s="382"/>
    </row>
    <row r="1110" spans="1:62" s="994" customFormat="1" ht="57" customHeight="1">
      <c r="A1110" s="512"/>
      <c r="B1110" s="1028"/>
      <c r="C1110" s="1028"/>
      <c r="D1110" s="1028"/>
      <c r="E1110" s="1028"/>
      <c r="F1110" s="1028"/>
      <c r="G1110" s="1028"/>
      <c r="H1110" s="1028"/>
      <c r="I1110" s="1022" t="s">
        <v>1352</v>
      </c>
      <c r="J1110" s="1028" t="s">
        <v>1353</v>
      </c>
      <c r="K1110" s="1028">
        <v>90</v>
      </c>
      <c r="L1110" s="1026">
        <v>750377</v>
      </c>
      <c r="M1110" s="1028">
        <v>24</v>
      </c>
      <c r="N1110" s="1026">
        <v>230717.9</v>
      </c>
      <c r="O1110" s="1028">
        <v>15</v>
      </c>
      <c r="P1110" s="1026">
        <v>155015</v>
      </c>
      <c r="Q1110" s="1027">
        <v>0</v>
      </c>
      <c r="R1110" s="1020">
        <v>18345</v>
      </c>
      <c r="S1110" s="1027">
        <f t="shared" si="208"/>
        <v>0</v>
      </c>
      <c r="T1110" s="1027">
        <v>0</v>
      </c>
      <c r="U1110" s="1027">
        <f t="shared" si="209"/>
        <v>0</v>
      </c>
      <c r="V1110" s="1027">
        <v>0</v>
      </c>
      <c r="W1110" s="1027">
        <f t="shared" si="210"/>
        <v>0</v>
      </c>
      <c r="X1110" s="1027">
        <v>0</v>
      </c>
      <c r="Y1110" s="1027">
        <f t="shared" si="211"/>
        <v>0</v>
      </c>
      <c r="Z1110" s="1027">
        <f t="shared" si="211"/>
        <v>18345</v>
      </c>
      <c r="AA1110" s="1027">
        <f t="shared" si="212"/>
        <v>24</v>
      </c>
      <c r="AB1110" s="1027">
        <f t="shared" si="212"/>
        <v>249062.9</v>
      </c>
      <c r="AC1110" s="1027">
        <f t="shared" si="213"/>
        <v>26.666666666666668</v>
      </c>
      <c r="AD1110" s="1027">
        <f t="shared" si="213"/>
        <v>33.191702304308365</v>
      </c>
      <c r="AE1110" s="1035"/>
    </row>
    <row r="1111" spans="1:62" s="996" customFormat="1" ht="57" customHeight="1">
      <c r="A1111" s="499"/>
      <c r="B1111" s="1017"/>
      <c r="C1111" s="1017"/>
      <c r="D1111" s="1017"/>
      <c r="E1111" s="1017"/>
      <c r="F1111" s="1017"/>
      <c r="G1111" s="1017"/>
      <c r="H1111" s="1017"/>
      <c r="I1111" s="1022" t="s">
        <v>1354</v>
      </c>
      <c r="J1111" s="1023" t="s">
        <v>1355</v>
      </c>
      <c r="K1111" s="1024">
        <v>40</v>
      </c>
      <c r="L1111" s="1024">
        <v>342046</v>
      </c>
      <c r="M1111" s="1036">
        <v>0</v>
      </c>
      <c r="N1111" s="1026">
        <v>0</v>
      </c>
      <c r="O1111" s="1020">
        <v>2</v>
      </c>
      <c r="P1111" s="1037">
        <v>92229</v>
      </c>
      <c r="Q1111" s="1027">
        <v>0</v>
      </c>
      <c r="R1111" s="1020">
        <v>9516.2000000000007</v>
      </c>
      <c r="S1111" s="1027">
        <f t="shared" si="208"/>
        <v>0</v>
      </c>
      <c r="T1111" s="1027">
        <v>0</v>
      </c>
      <c r="U1111" s="1027">
        <f t="shared" si="209"/>
        <v>0</v>
      </c>
      <c r="V1111" s="1027">
        <v>0</v>
      </c>
      <c r="W1111" s="1027">
        <f t="shared" si="210"/>
        <v>0</v>
      </c>
      <c r="X1111" s="1027">
        <v>0</v>
      </c>
      <c r="Y1111" s="1027">
        <f t="shared" si="211"/>
        <v>0</v>
      </c>
      <c r="Z1111" s="1027">
        <f t="shared" si="211"/>
        <v>9516.2000000000007</v>
      </c>
      <c r="AA1111" s="1027">
        <f t="shared" si="212"/>
        <v>0</v>
      </c>
      <c r="AB1111" s="1027">
        <f t="shared" si="212"/>
        <v>9516.2000000000007</v>
      </c>
      <c r="AC1111" s="1027">
        <f t="shared" si="213"/>
        <v>0</v>
      </c>
      <c r="AD1111" s="1027">
        <f t="shared" si="213"/>
        <v>2.782140413862463</v>
      </c>
      <c r="AE1111" s="1031"/>
    </row>
    <row r="1112" spans="1:62" s="994" customFormat="1" ht="57" customHeight="1">
      <c r="A1112" s="512"/>
      <c r="B1112" s="1028"/>
      <c r="C1112" s="1028"/>
      <c r="D1112" s="1028"/>
      <c r="E1112" s="1028"/>
      <c r="F1112" s="1028"/>
      <c r="G1112" s="1028"/>
      <c r="H1112" s="1028"/>
      <c r="I1112" s="1028" t="s">
        <v>1356</v>
      </c>
      <c r="J1112" s="1023" t="s">
        <v>1357</v>
      </c>
      <c r="K1112" s="1024">
        <v>60</v>
      </c>
      <c r="L1112" s="1024">
        <v>415837</v>
      </c>
      <c r="M1112" s="1038">
        <v>12</v>
      </c>
      <c r="N1112" s="1026">
        <v>36905</v>
      </c>
      <c r="O1112" s="1020">
        <v>12</v>
      </c>
      <c r="P1112" s="1026">
        <v>213675</v>
      </c>
      <c r="Q1112" s="1027">
        <v>0</v>
      </c>
      <c r="R1112" s="1020">
        <v>35845.699999999997</v>
      </c>
      <c r="S1112" s="1027">
        <f t="shared" si="208"/>
        <v>0</v>
      </c>
      <c r="T1112" s="1027">
        <v>0</v>
      </c>
      <c r="U1112" s="1027">
        <f t="shared" si="209"/>
        <v>0</v>
      </c>
      <c r="V1112" s="1027">
        <v>0</v>
      </c>
      <c r="W1112" s="1027">
        <f t="shared" si="210"/>
        <v>0</v>
      </c>
      <c r="X1112" s="1027">
        <v>0</v>
      </c>
      <c r="Y1112" s="1027">
        <f t="shared" si="211"/>
        <v>0</v>
      </c>
      <c r="Z1112" s="1027">
        <f t="shared" si="211"/>
        <v>35845.699999999997</v>
      </c>
      <c r="AA1112" s="1027">
        <f t="shared" si="212"/>
        <v>12</v>
      </c>
      <c r="AB1112" s="1027">
        <f t="shared" si="212"/>
        <v>72750.7</v>
      </c>
      <c r="AC1112" s="1027">
        <f t="shared" si="213"/>
        <v>20</v>
      </c>
      <c r="AD1112" s="1027">
        <f t="shared" si="213"/>
        <v>17.495004052068477</v>
      </c>
      <c r="AE1112" s="382"/>
    </row>
    <row r="1113" spans="1:62" s="994" customFormat="1" ht="57" customHeight="1">
      <c r="A1113" s="512"/>
      <c r="B1113" s="1028"/>
      <c r="C1113" s="1028"/>
      <c r="D1113" s="1028"/>
      <c r="E1113" s="1028"/>
      <c r="F1113" s="1028"/>
      <c r="G1113" s="1028"/>
      <c r="H1113" s="1028"/>
      <c r="I1113" s="1028" t="s">
        <v>1358</v>
      </c>
      <c r="J1113" s="1023" t="s">
        <v>1359</v>
      </c>
      <c r="K1113" s="1024">
        <v>720</v>
      </c>
      <c r="L1113" s="1024">
        <v>6009136</v>
      </c>
      <c r="M1113" s="1038">
        <v>0</v>
      </c>
      <c r="N1113" s="1026">
        <v>0</v>
      </c>
      <c r="O1113" s="1020">
        <v>0</v>
      </c>
      <c r="P1113" s="1026">
        <v>0</v>
      </c>
      <c r="Q1113" s="1027">
        <v>0</v>
      </c>
      <c r="R1113" s="1020">
        <v>0</v>
      </c>
      <c r="S1113" s="1027">
        <f t="shared" si="208"/>
        <v>0</v>
      </c>
      <c r="T1113" s="1027">
        <v>0</v>
      </c>
      <c r="U1113" s="1027">
        <f t="shared" si="209"/>
        <v>0</v>
      </c>
      <c r="V1113" s="1027">
        <v>0</v>
      </c>
      <c r="W1113" s="1027">
        <f t="shared" si="210"/>
        <v>0</v>
      </c>
      <c r="X1113" s="1027">
        <v>0</v>
      </c>
      <c r="Y1113" s="1027">
        <f t="shared" si="211"/>
        <v>0</v>
      </c>
      <c r="Z1113" s="1027">
        <f t="shared" si="211"/>
        <v>0</v>
      </c>
      <c r="AA1113" s="1027">
        <f t="shared" si="212"/>
        <v>0</v>
      </c>
      <c r="AB1113" s="1027">
        <f t="shared" si="212"/>
        <v>0</v>
      </c>
      <c r="AC1113" s="1027">
        <f t="shared" si="213"/>
        <v>0</v>
      </c>
      <c r="AD1113" s="1027">
        <f t="shared" si="213"/>
        <v>0</v>
      </c>
      <c r="AE1113" s="382"/>
    </row>
    <row r="1114" spans="1:62" s="994" customFormat="1" ht="57" customHeight="1">
      <c r="A1114" s="512"/>
      <c r="B1114" s="1028"/>
      <c r="C1114" s="1028"/>
      <c r="D1114" s="1028"/>
      <c r="E1114" s="1028"/>
      <c r="F1114" s="1028"/>
      <c r="G1114" s="1028"/>
      <c r="H1114" s="1028"/>
      <c r="I1114" s="1017" t="s">
        <v>1360</v>
      </c>
      <c r="J1114" s="584" t="s">
        <v>1361</v>
      </c>
      <c r="K1114" s="1036">
        <v>0.10299999999999999</v>
      </c>
      <c r="L1114" s="4511">
        <f>SUM(L1116:L1117)</f>
        <v>6072687</v>
      </c>
      <c r="M1114" s="1039">
        <v>9.7000000000000003E-2</v>
      </c>
      <c r="N1114" s="4511">
        <f>SUM(N1116:N1117)</f>
        <v>387967</v>
      </c>
      <c r="O1114" s="1040">
        <v>0.10299999999999999</v>
      </c>
      <c r="P1114" s="4511">
        <f>SUM(P1116:P1117)</f>
        <v>560307</v>
      </c>
      <c r="Q1114" s="1027">
        <v>0</v>
      </c>
      <c r="R1114" s="4511">
        <f>SUM(R1116:R1117)</f>
        <v>75927.600000000006</v>
      </c>
      <c r="S1114" s="1027">
        <f t="shared" si="208"/>
        <v>0</v>
      </c>
      <c r="T1114" s="4511">
        <f>SUM(T1116:T1117)</f>
        <v>0</v>
      </c>
      <c r="U1114" s="1027">
        <f t="shared" si="209"/>
        <v>0</v>
      </c>
      <c r="V1114" s="4511">
        <f>SUM(V1116:V1117)</f>
        <v>0</v>
      </c>
      <c r="W1114" s="1027">
        <f t="shared" si="210"/>
        <v>0</v>
      </c>
      <c r="X1114" s="4511">
        <f>SUM(X1116:X1117)</f>
        <v>0</v>
      </c>
      <c r="Y1114" s="1027">
        <f>Q1114</f>
        <v>0</v>
      </c>
      <c r="Z1114" s="4491">
        <f>R1114</f>
        <v>75927.600000000006</v>
      </c>
      <c r="AA1114" s="1027">
        <f>M1114+Y1114</f>
        <v>9.7000000000000003E-2</v>
      </c>
      <c r="AB1114" s="4491">
        <f>N1114+Z1114</f>
        <v>463894.6</v>
      </c>
      <c r="AC1114" s="1027">
        <f>AA1114/K1114*100</f>
        <v>94.174757281553397</v>
      </c>
      <c r="AD1114" s="4491">
        <f>AB1114/L1114*100</f>
        <v>7.6390335941898533</v>
      </c>
      <c r="AE1114" s="382"/>
      <c r="AG1114" s="995">
        <f>(SUM(AG1115:AG1116)/2)*100%</f>
        <v>0</v>
      </c>
    </row>
    <row r="1115" spans="1:62" s="994" customFormat="1" ht="57" customHeight="1">
      <c r="A1115" s="512"/>
      <c r="B1115" s="1028"/>
      <c r="C1115" s="1028"/>
      <c r="D1115" s="1028"/>
      <c r="E1115" s="1028"/>
      <c r="F1115" s="1028"/>
      <c r="G1115" s="1028"/>
      <c r="H1115" s="1028"/>
      <c r="I1115" s="1017"/>
      <c r="J1115" s="584" t="s">
        <v>1362</v>
      </c>
      <c r="K1115" s="1024">
        <v>10</v>
      </c>
      <c r="L1115" s="4512"/>
      <c r="M1115" s="1038">
        <v>4</v>
      </c>
      <c r="N1115" s="4512"/>
      <c r="O1115" s="1020">
        <v>2</v>
      </c>
      <c r="P1115" s="4512"/>
      <c r="Q1115" s="1027">
        <v>0</v>
      </c>
      <c r="R1115" s="4512"/>
      <c r="S1115" s="1027">
        <f t="shared" si="208"/>
        <v>0</v>
      </c>
      <c r="T1115" s="4512"/>
      <c r="U1115" s="1027">
        <f t="shared" si="209"/>
        <v>0</v>
      </c>
      <c r="V1115" s="4512"/>
      <c r="W1115" s="1027">
        <f t="shared" si="210"/>
        <v>0</v>
      </c>
      <c r="X1115" s="4512"/>
      <c r="Y1115" s="1027">
        <f t="shared" si="211"/>
        <v>0</v>
      </c>
      <c r="Z1115" s="4493"/>
      <c r="AA1115" s="1027">
        <f>M1115+Y1115</f>
        <v>4</v>
      </c>
      <c r="AB1115" s="4493"/>
      <c r="AC1115" s="1027">
        <f>AA1115/K1115*100</f>
        <v>40</v>
      </c>
      <c r="AD1115" s="4493"/>
      <c r="AE1115" s="382"/>
      <c r="AG1115" s="994">
        <f>Q1114/O1114*100</f>
        <v>0</v>
      </c>
    </row>
    <row r="1116" spans="1:62" s="994" customFormat="1" ht="57" customHeight="1">
      <c r="A1116" s="512"/>
      <c r="B1116" s="1028"/>
      <c r="C1116" s="1028"/>
      <c r="D1116" s="1028"/>
      <c r="E1116" s="1028"/>
      <c r="F1116" s="1028"/>
      <c r="G1116" s="1028"/>
      <c r="H1116" s="1028"/>
      <c r="I1116" s="1028" t="s">
        <v>1363</v>
      </c>
      <c r="J1116" s="1023" t="s">
        <v>1364</v>
      </c>
      <c r="K1116" s="1024">
        <v>780</v>
      </c>
      <c r="L1116" s="1024">
        <v>5358687</v>
      </c>
      <c r="M1116" s="1038">
        <v>156</v>
      </c>
      <c r="N1116" s="1026">
        <v>310710</v>
      </c>
      <c r="O1116" s="1020">
        <v>156</v>
      </c>
      <c r="P1116" s="1026">
        <v>517182</v>
      </c>
      <c r="Q1116" s="1027">
        <v>0</v>
      </c>
      <c r="R1116" s="1020">
        <v>75927.600000000006</v>
      </c>
      <c r="S1116" s="1027">
        <f t="shared" si="208"/>
        <v>0</v>
      </c>
      <c r="T1116" s="1027">
        <v>0</v>
      </c>
      <c r="U1116" s="1027">
        <f t="shared" si="209"/>
        <v>0</v>
      </c>
      <c r="V1116" s="1027">
        <v>0</v>
      </c>
      <c r="W1116" s="1027">
        <f t="shared" si="210"/>
        <v>0</v>
      </c>
      <c r="X1116" s="1027">
        <v>0</v>
      </c>
      <c r="Y1116" s="1027">
        <f t="shared" si="211"/>
        <v>0</v>
      </c>
      <c r="Z1116" s="1027">
        <f t="shared" si="211"/>
        <v>75927.600000000006</v>
      </c>
      <c r="AA1116" s="1027">
        <f t="shared" si="212"/>
        <v>156</v>
      </c>
      <c r="AB1116" s="1027">
        <f t="shared" si="212"/>
        <v>386637.6</v>
      </c>
      <c r="AC1116" s="1027">
        <f t="shared" si="213"/>
        <v>20</v>
      </c>
      <c r="AD1116" s="1027">
        <f t="shared" si="213"/>
        <v>7.2151555035776482</v>
      </c>
      <c r="AE1116" s="382"/>
      <c r="AG1116" s="994">
        <f>Q1115/O1115*100</f>
        <v>0</v>
      </c>
    </row>
    <row r="1117" spans="1:62" s="994" customFormat="1" ht="57" customHeight="1">
      <c r="A1117" s="512"/>
      <c r="B1117" s="1028"/>
      <c r="C1117" s="1028"/>
      <c r="D1117" s="1028"/>
      <c r="E1117" s="1028"/>
      <c r="F1117" s="1028"/>
      <c r="G1117" s="1028"/>
      <c r="H1117" s="1028"/>
      <c r="I1117" s="1028" t="s">
        <v>1365</v>
      </c>
      <c r="J1117" s="1023" t="s">
        <v>1366</v>
      </c>
      <c r="K1117" s="1024">
        <v>64</v>
      </c>
      <c r="L1117" s="1024">
        <v>714000</v>
      </c>
      <c r="M1117" s="1038">
        <v>16</v>
      </c>
      <c r="N1117" s="1026">
        <v>77257</v>
      </c>
      <c r="O1117" s="1020">
        <v>16</v>
      </c>
      <c r="P1117" s="1026">
        <v>43125</v>
      </c>
      <c r="Q1117" s="1027">
        <v>0</v>
      </c>
      <c r="R1117" s="1020">
        <v>0</v>
      </c>
      <c r="S1117" s="1027">
        <f t="shared" si="208"/>
        <v>0</v>
      </c>
      <c r="T1117" s="1027">
        <v>0</v>
      </c>
      <c r="U1117" s="1027">
        <f t="shared" si="209"/>
        <v>0</v>
      </c>
      <c r="V1117" s="1027">
        <v>0</v>
      </c>
      <c r="W1117" s="1027">
        <f t="shared" si="210"/>
        <v>0</v>
      </c>
      <c r="X1117" s="1027">
        <v>0</v>
      </c>
      <c r="Y1117" s="1027">
        <f t="shared" si="211"/>
        <v>0</v>
      </c>
      <c r="Z1117" s="1027">
        <f t="shared" si="211"/>
        <v>0</v>
      </c>
      <c r="AA1117" s="1027">
        <f t="shared" si="212"/>
        <v>16</v>
      </c>
      <c r="AB1117" s="1027">
        <f>N1117+Z1117</f>
        <v>77257</v>
      </c>
      <c r="AC1117" s="1027">
        <f t="shared" si="213"/>
        <v>25</v>
      </c>
      <c r="AD1117" s="1027">
        <f t="shared" si="213"/>
        <v>10.820308123249301</v>
      </c>
      <c r="AE1117" s="382"/>
    </row>
    <row r="1118" spans="1:62" s="994" customFormat="1" ht="57" customHeight="1">
      <c r="A1118" s="512"/>
      <c r="B1118" s="1028"/>
      <c r="C1118" s="1028"/>
      <c r="D1118" s="1028"/>
      <c r="E1118" s="1028"/>
      <c r="F1118" s="1028"/>
      <c r="G1118" s="1028"/>
      <c r="H1118" s="1028"/>
      <c r="I1118" s="1017" t="s">
        <v>1367</v>
      </c>
      <c r="J1118" s="584" t="s">
        <v>1368</v>
      </c>
      <c r="K1118" s="1024">
        <v>6</v>
      </c>
      <c r="L1118" s="4511">
        <f>SUM(L1121:L1123)</f>
        <v>1404994</v>
      </c>
      <c r="M1118" s="1038">
        <v>2</v>
      </c>
      <c r="N1118" s="4511">
        <f>SUM(N1121:N1123)</f>
        <v>226411</v>
      </c>
      <c r="O1118" s="1020">
        <v>1</v>
      </c>
      <c r="P1118" s="4511">
        <f>SUM(P1121:P1123)</f>
        <v>399032</v>
      </c>
      <c r="Q1118" s="1027">
        <v>0</v>
      </c>
      <c r="R1118" s="4514">
        <v>0</v>
      </c>
      <c r="S1118" s="1027">
        <f t="shared" si="208"/>
        <v>0</v>
      </c>
      <c r="T1118" s="4491">
        <v>0</v>
      </c>
      <c r="U1118" s="1027">
        <f t="shared" si="209"/>
        <v>0</v>
      </c>
      <c r="V1118" s="4491">
        <v>0</v>
      </c>
      <c r="W1118" s="1027">
        <f t="shared" si="210"/>
        <v>0</v>
      </c>
      <c r="X1118" s="4491">
        <v>0</v>
      </c>
      <c r="Y1118" s="1027">
        <f>Q1118</f>
        <v>0</v>
      </c>
      <c r="Z1118" s="4491">
        <f>R1118</f>
        <v>0</v>
      </c>
      <c r="AA1118" s="1027">
        <f>M1118+Y1118</f>
        <v>2</v>
      </c>
      <c r="AB1118" s="4491">
        <f>N1118+Z1118</f>
        <v>226411</v>
      </c>
      <c r="AC1118" s="1027">
        <f>AA1118/K1118*100</f>
        <v>33.333333333333329</v>
      </c>
      <c r="AD1118" s="4491">
        <f>AB1118/L1118*100</f>
        <v>16.114730739063653</v>
      </c>
      <c r="AE1118" s="382"/>
      <c r="AG1118" s="994">
        <f>Q1118/O1118*100</f>
        <v>0</v>
      </c>
      <c r="AI1118" s="994">
        <f>SUM(AG1118:AG1120)/3*100%</f>
        <v>0</v>
      </c>
    </row>
    <row r="1119" spans="1:62" s="994" customFormat="1" ht="57" customHeight="1">
      <c r="A1119" s="512"/>
      <c r="B1119" s="1028"/>
      <c r="C1119" s="1028"/>
      <c r="D1119" s="1028"/>
      <c r="E1119" s="1028"/>
      <c r="F1119" s="1028"/>
      <c r="G1119" s="1028"/>
      <c r="H1119" s="1028"/>
      <c r="I1119" s="1017"/>
      <c r="J1119" s="584" t="s">
        <v>1369</v>
      </c>
      <c r="K1119" s="1024">
        <v>7</v>
      </c>
      <c r="L1119" s="4513"/>
      <c r="M1119" s="1038">
        <v>3</v>
      </c>
      <c r="N1119" s="4513"/>
      <c r="O1119" s="1020">
        <v>1</v>
      </c>
      <c r="P1119" s="4513"/>
      <c r="Q1119" s="1027">
        <v>0</v>
      </c>
      <c r="R1119" s="4515"/>
      <c r="S1119" s="1027">
        <f t="shared" si="208"/>
        <v>0</v>
      </c>
      <c r="T1119" s="4492"/>
      <c r="U1119" s="1027">
        <f t="shared" si="209"/>
        <v>0</v>
      </c>
      <c r="V1119" s="4492"/>
      <c r="W1119" s="1027">
        <f t="shared" si="210"/>
        <v>0</v>
      </c>
      <c r="X1119" s="4492"/>
      <c r="Y1119" s="1027">
        <f>Q1119</f>
        <v>0</v>
      </c>
      <c r="Z1119" s="4492"/>
      <c r="AA1119" s="1027">
        <f>M1119+Y1119</f>
        <v>3</v>
      </c>
      <c r="AB1119" s="4492"/>
      <c r="AC1119" s="1027">
        <f>AA1119/K1119*100</f>
        <v>42.857142857142854</v>
      </c>
      <c r="AD1119" s="4492"/>
      <c r="AE1119" s="382"/>
      <c r="AG1119" s="994">
        <f>Q1119/O1119*100</f>
        <v>0</v>
      </c>
    </row>
    <row r="1120" spans="1:62" s="994" customFormat="1" ht="30" customHeight="1">
      <c r="A1120" s="512"/>
      <c r="B1120" s="1028"/>
      <c r="C1120" s="1028"/>
      <c r="D1120" s="1028"/>
      <c r="E1120" s="1028"/>
      <c r="F1120" s="1028"/>
      <c r="G1120" s="1028"/>
      <c r="H1120" s="1028"/>
      <c r="I1120" s="1017"/>
      <c r="J1120" s="584" t="s">
        <v>1370</v>
      </c>
      <c r="K1120" s="1024">
        <v>5</v>
      </c>
      <c r="L1120" s="4512"/>
      <c r="M1120" s="1038">
        <v>1</v>
      </c>
      <c r="N1120" s="4512"/>
      <c r="O1120" s="1020">
        <v>1</v>
      </c>
      <c r="P1120" s="4512"/>
      <c r="Q1120" s="1027">
        <v>0</v>
      </c>
      <c r="R1120" s="4501"/>
      <c r="S1120" s="1027">
        <f t="shared" si="208"/>
        <v>0</v>
      </c>
      <c r="T1120" s="4493"/>
      <c r="U1120" s="1027">
        <f t="shared" si="209"/>
        <v>0</v>
      </c>
      <c r="V1120" s="4493"/>
      <c r="W1120" s="1027">
        <f t="shared" si="210"/>
        <v>0</v>
      </c>
      <c r="X1120" s="4493"/>
      <c r="Y1120" s="1027">
        <f t="shared" si="211"/>
        <v>0</v>
      </c>
      <c r="Z1120" s="4493"/>
      <c r="AA1120" s="1027">
        <f>M1120+Y1120</f>
        <v>1</v>
      </c>
      <c r="AB1120" s="4493"/>
      <c r="AC1120" s="1027">
        <f>AA1120/K1120*100</f>
        <v>20</v>
      </c>
      <c r="AD1120" s="4493"/>
      <c r="AE1120" s="382"/>
      <c r="AG1120" s="994">
        <f>Q1120/O1120*100</f>
        <v>0</v>
      </c>
    </row>
    <row r="1121" spans="1:37" s="994" customFormat="1" ht="33.75" customHeight="1">
      <c r="A1121" s="512"/>
      <c r="B1121" s="1028"/>
      <c r="C1121" s="1028"/>
      <c r="D1121" s="1028"/>
      <c r="E1121" s="1028"/>
      <c r="F1121" s="1028"/>
      <c r="G1121" s="1028"/>
      <c r="H1121" s="1028"/>
      <c r="I1121" s="1028" t="s">
        <v>1371</v>
      </c>
      <c r="J1121" s="1023" t="s">
        <v>1372</v>
      </c>
      <c r="K1121" s="1024">
        <v>145</v>
      </c>
      <c r="L1121" s="1024">
        <v>210390</v>
      </c>
      <c r="M1121" s="1038">
        <v>145</v>
      </c>
      <c r="N1121" s="1026">
        <v>98984</v>
      </c>
      <c r="O1121" s="1020">
        <v>145</v>
      </c>
      <c r="P1121" s="1026">
        <v>116040</v>
      </c>
      <c r="Q1121" s="1027">
        <v>0</v>
      </c>
      <c r="R1121" s="1020">
        <v>16248.2</v>
      </c>
      <c r="S1121" s="1027">
        <f t="shared" si="208"/>
        <v>0</v>
      </c>
      <c r="T1121" s="1027">
        <v>0</v>
      </c>
      <c r="U1121" s="1027">
        <f t="shared" si="209"/>
        <v>0</v>
      </c>
      <c r="V1121" s="1027">
        <v>0</v>
      </c>
      <c r="W1121" s="1027">
        <f t="shared" si="210"/>
        <v>0</v>
      </c>
      <c r="X1121" s="1027">
        <v>0</v>
      </c>
      <c r="Y1121" s="1027">
        <f t="shared" si="211"/>
        <v>0</v>
      </c>
      <c r="Z1121" s="1027">
        <f t="shared" si="211"/>
        <v>16248.2</v>
      </c>
      <c r="AA1121" s="1027">
        <f t="shared" si="212"/>
        <v>145</v>
      </c>
      <c r="AB1121" s="1027">
        <f t="shared" si="212"/>
        <v>115232.2</v>
      </c>
      <c r="AC1121" s="1027">
        <f t="shared" si="213"/>
        <v>100</v>
      </c>
      <c r="AD1121" s="1027">
        <f t="shared" si="213"/>
        <v>54.770759066495557</v>
      </c>
      <c r="AE1121" s="382"/>
    </row>
    <row r="1122" spans="1:37" s="994" customFormat="1" ht="45.75" customHeight="1">
      <c r="A1122" s="512"/>
      <c r="B1122" s="1028"/>
      <c r="C1122" s="1028"/>
      <c r="D1122" s="1028"/>
      <c r="E1122" s="1028"/>
      <c r="F1122" s="1028"/>
      <c r="G1122" s="1028"/>
      <c r="H1122" s="1028"/>
      <c r="I1122" s="1028" t="s">
        <v>1373</v>
      </c>
      <c r="J1122" s="1023" t="s">
        <v>1374</v>
      </c>
      <c r="K1122" s="1024">
        <v>465</v>
      </c>
      <c r="L1122" s="1024">
        <v>813146</v>
      </c>
      <c r="M1122" s="1038">
        <v>50</v>
      </c>
      <c r="N1122" s="1026">
        <v>93633</v>
      </c>
      <c r="O1122" s="1020">
        <v>115</v>
      </c>
      <c r="P1122" s="1026">
        <v>246496</v>
      </c>
      <c r="Q1122" s="1027">
        <v>0</v>
      </c>
      <c r="R1122" s="1020">
        <v>24988.7</v>
      </c>
      <c r="S1122" s="1027">
        <f t="shared" si="208"/>
        <v>0</v>
      </c>
      <c r="T1122" s="1027">
        <v>0</v>
      </c>
      <c r="U1122" s="1027">
        <f t="shared" si="209"/>
        <v>0</v>
      </c>
      <c r="V1122" s="1027">
        <v>0</v>
      </c>
      <c r="W1122" s="1027">
        <f t="shared" si="210"/>
        <v>0</v>
      </c>
      <c r="X1122" s="1027">
        <v>0</v>
      </c>
      <c r="Y1122" s="1027">
        <f t="shared" si="211"/>
        <v>0</v>
      </c>
      <c r="Z1122" s="1027">
        <f t="shared" si="211"/>
        <v>24988.7</v>
      </c>
      <c r="AA1122" s="1027">
        <f t="shared" si="212"/>
        <v>50</v>
      </c>
      <c r="AB1122" s="1027">
        <f t="shared" si="212"/>
        <v>118621.7</v>
      </c>
      <c r="AC1122" s="1027">
        <f t="shared" si="213"/>
        <v>10.75268817204301</v>
      </c>
      <c r="AD1122" s="1027">
        <f t="shared" si="213"/>
        <v>14.587995267762494</v>
      </c>
      <c r="AE1122" s="382"/>
    </row>
    <row r="1123" spans="1:37" s="994" customFormat="1" ht="57" customHeight="1">
      <c r="A1123" s="512"/>
      <c r="B1123" s="1028"/>
      <c r="C1123" s="1028"/>
      <c r="D1123" s="1028"/>
      <c r="E1123" s="1028"/>
      <c r="F1123" s="1028"/>
      <c r="G1123" s="1028"/>
      <c r="H1123" s="1028"/>
      <c r="I1123" s="1028" t="s">
        <v>1375</v>
      </c>
      <c r="J1123" s="1023" t="s">
        <v>1376</v>
      </c>
      <c r="K1123" s="1024">
        <v>10600</v>
      </c>
      <c r="L1123" s="1024">
        <v>381458</v>
      </c>
      <c r="M1123" s="1038">
        <v>168</v>
      </c>
      <c r="N1123" s="1026">
        <v>33794</v>
      </c>
      <c r="O1123" s="1020">
        <v>2000</v>
      </c>
      <c r="P1123" s="1026">
        <v>36496</v>
      </c>
      <c r="Q1123" s="1027">
        <v>0</v>
      </c>
      <c r="R1123" s="1020">
        <v>2000</v>
      </c>
      <c r="S1123" s="1027">
        <f t="shared" si="208"/>
        <v>0</v>
      </c>
      <c r="T1123" s="1027">
        <v>0</v>
      </c>
      <c r="U1123" s="1027">
        <f t="shared" si="209"/>
        <v>0</v>
      </c>
      <c r="V1123" s="1027">
        <v>0</v>
      </c>
      <c r="W1123" s="1027">
        <f t="shared" si="210"/>
        <v>0</v>
      </c>
      <c r="X1123" s="1027">
        <v>0</v>
      </c>
      <c r="Y1123" s="1027">
        <f t="shared" si="211"/>
        <v>0</v>
      </c>
      <c r="Z1123" s="1027">
        <f t="shared" si="211"/>
        <v>2000</v>
      </c>
      <c r="AA1123" s="1027">
        <f t="shared" si="212"/>
        <v>168</v>
      </c>
      <c r="AB1123" s="1027">
        <f t="shared" si="212"/>
        <v>35794</v>
      </c>
      <c r="AC1123" s="1027">
        <f t="shared" si="213"/>
        <v>1.5849056603773584</v>
      </c>
      <c r="AD1123" s="1027">
        <f t="shared" si="213"/>
        <v>9.3834707883961013</v>
      </c>
      <c r="AE1123" s="382"/>
    </row>
    <row r="1124" spans="1:37" s="994" customFormat="1" ht="72.75" customHeight="1">
      <c r="A1124" s="512"/>
      <c r="B1124" s="1017" t="s">
        <v>1377</v>
      </c>
      <c r="C1124" s="1017"/>
      <c r="D1124" s="1017"/>
      <c r="E1124" s="1017"/>
      <c r="F1124" s="1017"/>
      <c r="G1124" s="1017"/>
      <c r="H1124" s="1017"/>
      <c r="I1124" s="1017" t="s">
        <v>1378</v>
      </c>
      <c r="J1124" s="1026" t="s">
        <v>1379</v>
      </c>
      <c r="K1124" s="1026">
        <v>6</v>
      </c>
      <c r="L1124" s="4527">
        <f>SUM(L1127:L1133)</f>
        <v>3299958</v>
      </c>
      <c r="M1124" s="1026">
        <v>2</v>
      </c>
      <c r="N1124" s="4527">
        <f>SUM(N1127:N1133)</f>
        <v>421180</v>
      </c>
      <c r="O1124" s="1020">
        <v>3</v>
      </c>
      <c r="P1124" s="4527">
        <f>SUM(P1127:P1133)</f>
        <v>914978</v>
      </c>
      <c r="Q1124" s="1027"/>
      <c r="R1124" s="4527">
        <f>SUM(R1127:R1133)</f>
        <v>27570.799999999999</v>
      </c>
      <c r="S1124" s="1027">
        <f t="shared" si="208"/>
        <v>0</v>
      </c>
      <c r="T1124" s="4527">
        <f>SUM(T1127:T1133)</f>
        <v>0</v>
      </c>
      <c r="U1124" s="1027">
        <f t="shared" si="209"/>
        <v>0</v>
      </c>
      <c r="V1124" s="4527">
        <f>SUM(V1127:V1133)</f>
        <v>0</v>
      </c>
      <c r="W1124" s="1027">
        <f t="shared" si="210"/>
        <v>0</v>
      </c>
      <c r="X1124" s="4527">
        <f>SUM(X1127:X1133)</f>
        <v>0</v>
      </c>
      <c r="Y1124" s="1027">
        <f t="shared" si="211"/>
        <v>0</v>
      </c>
      <c r="Z1124" s="4491">
        <f t="shared" si="211"/>
        <v>27570.799999999999</v>
      </c>
      <c r="AA1124" s="1027">
        <f t="shared" si="212"/>
        <v>2</v>
      </c>
      <c r="AB1124" s="4491">
        <f>Z1124+N1124</f>
        <v>448750.8</v>
      </c>
      <c r="AC1124" s="1027">
        <f t="shared" si="213"/>
        <v>33.333333333333329</v>
      </c>
      <c r="AD1124" s="4491">
        <f t="shared" si="213"/>
        <v>13.598682165045735</v>
      </c>
      <c r="AE1124" s="382"/>
      <c r="AG1124" s="995">
        <f>Q1124/O1124*100</f>
        <v>0</v>
      </c>
      <c r="AH1124" s="995">
        <f>SUM(AG1124:AG1126)/3*100%</f>
        <v>0</v>
      </c>
    </row>
    <row r="1125" spans="1:37" s="994" customFormat="1" ht="72.75" customHeight="1">
      <c r="A1125" s="512"/>
      <c r="B1125" s="1017"/>
      <c r="C1125" s="1017"/>
      <c r="D1125" s="1017"/>
      <c r="E1125" s="1017"/>
      <c r="F1125" s="1017"/>
      <c r="G1125" s="1017"/>
      <c r="H1125" s="1017"/>
      <c r="I1125" s="1017"/>
      <c r="J1125" s="1026" t="s">
        <v>1380</v>
      </c>
      <c r="K1125" s="1026">
        <v>5</v>
      </c>
      <c r="L1125" s="4528"/>
      <c r="M1125" s="1026">
        <v>4</v>
      </c>
      <c r="N1125" s="4528"/>
      <c r="O1125" s="1020">
        <v>5</v>
      </c>
      <c r="P1125" s="4528"/>
      <c r="Q1125" s="1027"/>
      <c r="R1125" s="4528"/>
      <c r="S1125" s="1027"/>
      <c r="T1125" s="4528"/>
      <c r="U1125" s="1027"/>
      <c r="V1125" s="4528"/>
      <c r="W1125" s="1027"/>
      <c r="X1125" s="4528"/>
      <c r="Y1125" s="1027"/>
      <c r="Z1125" s="4492"/>
      <c r="AA1125" s="1027">
        <f t="shared" si="212"/>
        <v>4</v>
      </c>
      <c r="AB1125" s="4492"/>
      <c r="AC1125" s="1027">
        <f t="shared" si="213"/>
        <v>80</v>
      </c>
      <c r="AD1125" s="4492"/>
      <c r="AE1125" s="382"/>
      <c r="AG1125" s="995">
        <f>Q1125/O1125*100</f>
        <v>0</v>
      </c>
    </row>
    <row r="1126" spans="1:37" s="994" customFormat="1" ht="72.75" customHeight="1">
      <c r="A1126" s="512"/>
      <c r="B1126" s="1017"/>
      <c r="C1126" s="1017"/>
      <c r="D1126" s="1017"/>
      <c r="E1126" s="1017"/>
      <c r="F1126" s="1017"/>
      <c r="G1126" s="1017"/>
      <c r="H1126" s="1017"/>
      <c r="I1126" s="1017"/>
      <c r="J1126" s="1026" t="s">
        <v>1381</v>
      </c>
      <c r="K1126" s="1026">
        <v>2</v>
      </c>
      <c r="L1126" s="4503"/>
      <c r="M1126" s="1026">
        <v>0</v>
      </c>
      <c r="N1126" s="4503"/>
      <c r="O1126" s="1020">
        <v>2</v>
      </c>
      <c r="P1126" s="4503"/>
      <c r="Q1126" s="1027"/>
      <c r="R1126" s="4503"/>
      <c r="S1126" s="1027"/>
      <c r="T1126" s="4503"/>
      <c r="U1126" s="1027"/>
      <c r="V1126" s="4503"/>
      <c r="W1126" s="1027"/>
      <c r="X1126" s="4503"/>
      <c r="Y1126" s="1027"/>
      <c r="Z1126" s="4493"/>
      <c r="AA1126" s="1027">
        <f t="shared" si="212"/>
        <v>0</v>
      </c>
      <c r="AB1126" s="4493"/>
      <c r="AC1126" s="1027">
        <f t="shared" si="213"/>
        <v>0</v>
      </c>
      <c r="AD1126" s="4493"/>
      <c r="AE1126" s="382"/>
      <c r="AG1126" s="995">
        <f>Q1126/O1126*100</f>
        <v>0</v>
      </c>
    </row>
    <row r="1127" spans="1:37" s="994" customFormat="1" ht="57" customHeight="1">
      <c r="A1127" s="512"/>
      <c r="B1127" s="1028"/>
      <c r="C1127" s="1028"/>
      <c r="D1127" s="1028"/>
      <c r="E1127" s="1028"/>
      <c r="F1127" s="1028"/>
      <c r="G1127" s="1028"/>
      <c r="H1127" s="1028"/>
      <c r="I1127" s="1022" t="s">
        <v>1382</v>
      </c>
      <c r="J1127" s="1028" t="s">
        <v>1383</v>
      </c>
      <c r="K1127" s="1028">
        <v>2</v>
      </c>
      <c r="L1127" s="1026">
        <v>1276126</v>
      </c>
      <c r="M1127" s="1020">
        <v>1</v>
      </c>
      <c r="N1127" s="1026">
        <v>99826</v>
      </c>
      <c r="O1127" s="1028">
        <v>1</v>
      </c>
      <c r="P1127" s="1026">
        <v>482127</v>
      </c>
      <c r="Q1127" s="1027">
        <v>0</v>
      </c>
      <c r="R1127" s="1020">
        <v>15368.7</v>
      </c>
      <c r="S1127" s="1027">
        <f t="shared" ref="S1127:S1150" si="214">Q1127</f>
        <v>0</v>
      </c>
      <c r="T1127" s="1027">
        <v>0</v>
      </c>
      <c r="U1127" s="1027">
        <f t="shared" ref="U1127:U1156" si="215">Q1127+S1127</f>
        <v>0</v>
      </c>
      <c r="V1127" s="1027">
        <v>0</v>
      </c>
      <c r="W1127" s="1027">
        <f t="shared" ref="W1127:W1156" si="216">Q1127+S1127+U1127</f>
        <v>0</v>
      </c>
      <c r="X1127" s="1027">
        <v>0</v>
      </c>
      <c r="Y1127" s="1027">
        <f t="shared" si="211"/>
        <v>0</v>
      </c>
      <c r="Z1127" s="1027">
        <f t="shared" si="211"/>
        <v>15368.7</v>
      </c>
      <c r="AA1127" s="1027">
        <f t="shared" si="212"/>
        <v>1</v>
      </c>
      <c r="AB1127" s="1027">
        <f t="shared" si="212"/>
        <v>115194.7</v>
      </c>
      <c r="AC1127" s="1027">
        <f t="shared" si="213"/>
        <v>50</v>
      </c>
      <c r="AD1127" s="1027">
        <f t="shared" si="213"/>
        <v>9.0269064340041663</v>
      </c>
      <c r="AE1127" s="1041"/>
      <c r="AG1127" s="1001"/>
    </row>
    <row r="1128" spans="1:37" s="994" customFormat="1" ht="57" customHeight="1">
      <c r="A1128" s="512"/>
      <c r="B1128" s="1028"/>
      <c r="C1128" s="1028"/>
      <c r="D1128" s="1028"/>
      <c r="E1128" s="1028"/>
      <c r="F1128" s="1028"/>
      <c r="G1128" s="1028"/>
      <c r="H1128" s="1028"/>
      <c r="I1128" s="1022" t="s">
        <v>1384</v>
      </c>
      <c r="J1128" s="1028" t="s">
        <v>1385</v>
      </c>
      <c r="K1128" s="1028">
        <v>30</v>
      </c>
      <c r="L1128" s="1026">
        <v>323920</v>
      </c>
      <c r="M1128" s="1020">
        <v>6</v>
      </c>
      <c r="N1128" s="1026">
        <v>216899</v>
      </c>
      <c r="O1128" s="1028">
        <v>3</v>
      </c>
      <c r="P1128" s="1026">
        <v>50752</v>
      </c>
      <c r="Q1128" s="1027">
        <v>0</v>
      </c>
      <c r="R1128" s="1020">
        <v>1904.8</v>
      </c>
      <c r="S1128" s="1027">
        <f t="shared" si="214"/>
        <v>0</v>
      </c>
      <c r="T1128" s="1027">
        <v>0</v>
      </c>
      <c r="U1128" s="1027">
        <f t="shared" si="215"/>
        <v>0</v>
      </c>
      <c r="V1128" s="1027">
        <v>0</v>
      </c>
      <c r="W1128" s="1027">
        <f t="shared" si="216"/>
        <v>0</v>
      </c>
      <c r="X1128" s="1027">
        <v>0</v>
      </c>
      <c r="Y1128" s="1027">
        <f t="shared" si="211"/>
        <v>0</v>
      </c>
      <c r="Z1128" s="1027">
        <f t="shared" si="211"/>
        <v>1904.8</v>
      </c>
      <c r="AA1128" s="1027">
        <f t="shared" si="212"/>
        <v>6</v>
      </c>
      <c r="AB1128" s="1027">
        <f t="shared" si="212"/>
        <v>218803.8</v>
      </c>
      <c r="AC1128" s="1027">
        <f t="shared" si="213"/>
        <v>20</v>
      </c>
      <c r="AD1128" s="1027">
        <f t="shared" si="213"/>
        <v>67.548715732279575</v>
      </c>
      <c r="AE1128" s="1030"/>
      <c r="AF1128" s="1002"/>
      <c r="AG1128" s="1002"/>
      <c r="AH1128" s="1002"/>
    </row>
    <row r="1129" spans="1:37" s="994" customFormat="1" ht="57" customHeight="1">
      <c r="A1129" s="512"/>
      <c r="B1129" s="1028"/>
      <c r="C1129" s="1028"/>
      <c r="D1129" s="1028"/>
      <c r="E1129" s="1028"/>
      <c r="F1129" s="1028"/>
      <c r="G1129" s="1028"/>
      <c r="H1129" s="1028"/>
      <c r="I1129" s="1022" t="s">
        <v>1386</v>
      </c>
      <c r="J1129" s="1028" t="s">
        <v>1387</v>
      </c>
      <c r="K1129" s="1020">
        <v>16</v>
      </c>
      <c r="L1129" s="1026">
        <v>153810</v>
      </c>
      <c r="M1129" s="1020">
        <v>8</v>
      </c>
      <c r="N1129" s="1026">
        <v>70820</v>
      </c>
      <c r="O1129" s="1020">
        <v>5</v>
      </c>
      <c r="P1129" s="1026">
        <v>61252</v>
      </c>
      <c r="Q1129" s="1027">
        <v>0</v>
      </c>
      <c r="R1129" s="1020">
        <v>2479.3000000000002</v>
      </c>
      <c r="S1129" s="1027">
        <f t="shared" si="214"/>
        <v>0</v>
      </c>
      <c r="T1129" s="1027">
        <v>0</v>
      </c>
      <c r="U1129" s="1027">
        <f t="shared" si="215"/>
        <v>0</v>
      </c>
      <c r="V1129" s="1027">
        <v>0</v>
      </c>
      <c r="W1129" s="1027">
        <f t="shared" si="216"/>
        <v>0</v>
      </c>
      <c r="X1129" s="1027">
        <v>0</v>
      </c>
      <c r="Y1129" s="1027">
        <f t="shared" si="211"/>
        <v>0</v>
      </c>
      <c r="Z1129" s="1027">
        <f t="shared" si="211"/>
        <v>2479.3000000000002</v>
      </c>
      <c r="AA1129" s="1027">
        <f t="shared" si="212"/>
        <v>8</v>
      </c>
      <c r="AB1129" s="1027">
        <f t="shared" si="212"/>
        <v>73299.3</v>
      </c>
      <c r="AC1129" s="1027">
        <f t="shared" si="213"/>
        <v>50</v>
      </c>
      <c r="AD1129" s="1027">
        <f t="shared" si="213"/>
        <v>47.655744099863469</v>
      </c>
      <c r="AE1129" s="1035"/>
    </row>
    <row r="1130" spans="1:37" s="994" customFormat="1" ht="57" customHeight="1">
      <c r="A1130" s="512"/>
      <c r="B1130" s="1042"/>
      <c r="C1130" s="1042"/>
      <c r="D1130" s="1042"/>
      <c r="E1130" s="1042"/>
      <c r="F1130" s="1042"/>
      <c r="G1130" s="1042"/>
      <c r="H1130" s="1042"/>
      <c r="I1130" s="1043" t="s">
        <v>1388</v>
      </c>
      <c r="J1130" s="1042" t="s">
        <v>1389</v>
      </c>
      <c r="K1130" s="1044">
        <v>12</v>
      </c>
      <c r="L1130" s="1045">
        <v>208902</v>
      </c>
      <c r="M1130" s="1044">
        <v>3</v>
      </c>
      <c r="N1130" s="1045">
        <v>33635</v>
      </c>
      <c r="O1130" s="1044">
        <v>3</v>
      </c>
      <c r="P1130" s="1045">
        <v>42057</v>
      </c>
      <c r="Q1130" s="1027">
        <v>0</v>
      </c>
      <c r="R1130" s="1044">
        <v>0</v>
      </c>
      <c r="S1130" s="1027">
        <f t="shared" si="214"/>
        <v>0</v>
      </c>
      <c r="T1130" s="1027">
        <v>0</v>
      </c>
      <c r="U1130" s="1027">
        <f t="shared" si="215"/>
        <v>0</v>
      </c>
      <c r="V1130" s="1027">
        <v>0</v>
      </c>
      <c r="W1130" s="1027">
        <f t="shared" si="216"/>
        <v>0</v>
      </c>
      <c r="X1130" s="1027">
        <v>0</v>
      </c>
      <c r="Y1130" s="1027">
        <f t="shared" si="211"/>
        <v>0</v>
      </c>
      <c r="Z1130" s="1027">
        <f t="shared" si="211"/>
        <v>0</v>
      </c>
      <c r="AA1130" s="1027">
        <f t="shared" si="212"/>
        <v>3</v>
      </c>
      <c r="AB1130" s="1027">
        <f t="shared" si="212"/>
        <v>33635</v>
      </c>
      <c r="AC1130" s="1027">
        <f t="shared" si="213"/>
        <v>25</v>
      </c>
      <c r="AD1130" s="1027">
        <f t="shared" si="213"/>
        <v>16.100851116791606</v>
      </c>
      <c r="AE1130" s="1046"/>
      <c r="AF1130" s="1002"/>
      <c r="AG1130" s="1002"/>
      <c r="AH1130" s="1002"/>
    </row>
    <row r="1131" spans="1:37" s="994" customFormat="1" ht="84" customHeight="1">
      <c r="A1131" s="512"/>
      <c r="B1131" s="1028"/>
      <c r="C1131" s="1028"/>
      <c r="D1131" s="1028"/>
      <c r="E1131" s="1028"/>
      <c r="F1131" s="1028"/>
      <c r="G1131" s="1028"/>
      <c r="H1131" s="1028"/>
      <c r="I1131" s="1022" t="s">
        <v>1390</v>
      </c>
      <c r="J1131" s="1028" t="s">
        <v>1391</v>
      </c>
      <c r="K1131" s="1020">
        <v>105</v>
      </c>
      <c r="L1131" s="1026">
        <v>330000</v>
      </c>
      <c r="M1131" s="1020">
        <v>0</v>
      </c>
      <c r="N1131" s="1026">
        <v>0</v>
      </c>
      <c r="O1131" s="1020">
        <v>20</v>
      </c>
      <c r="P1131" s="1026">
        <v>41049</v>
      </c>
      <c r="Q1131" s="1027">
        <v>0</v>
      </c>
      <c r="R1131" s="1020">
        <v>1288</v>
      </c>
      <c r="S1131" s="1027">
        <f t="shared" si="214"/>
        <v>0</v>
      </c>
      <c r="T1131" s="1027">
        <v>0</v>
      </c>
      <c r="U1131" s="1027">
        <f t="shared" si="215"/>
        <v>0</v>
      </c>
      <c r="V1131" s="1027">
        <v>0</v>
      </c>
      <c r="W1131" s="1027">
        <f t="shared" si="216"/>
        <v>0</v>
      </c>
      <c r="X1131" s="1027">
        <v>0</v>
      </c>
      <c r="Y1131" s="1027">
        <f t="shared" si="211"/>
        <v>0</v>
      </c>
      <c r="Z1131" s="1027">
        <f t="shared" si="211"/>
        <v>1288</v>
      </c>
      <c r="AA1131" s="1027">
        <f t="shared" si="212"/>
        <v>0</v>
      </c>
      <c r="AB1131" s="1027">
        <f t="shared" si="212"/>
        <v>1288</v>
      </c>
      <c r="AC1131" s="1027">
        <f t="shared" si="213"/>
        <v>0</v>
      </c>
      <c r="AD1131" s="1027">
        <f t="shared" si="213"/>
        <v>0.39030303030303032</v>
      </c>
      <c r="AE1131" s="1047"/>
      <c r="AF1131" s="1003"/>
      <c r="AG1131" s="1003"/>
      <c r="AH1131" s="1003"/>
    </row>
    <row r="1132" spans="1:37" s="994" customFormat="1" ht="57" customHeight="1">
      <c r="A1132" s="512"/>
      <c r="B1132" s="1028"/>
      <c r="C1132" s="1028"/>
      <c r="D1132" s="1028"/>
      <c r="E1132" s="1028"/>
      <c r="F1132" s="1028"/>
      <c r="G1132" s="1028"/>
      <c r="H1132" s="1028"/>
      <c r="I1132" s="1022" t="s">
        <v>1392</v>
      </c>
      <c r="J1132" s="1028" t="s">
        <v>1393</v>
      </c>
      <c r="K1132" s="1020">
        <v>48</v>
      </c>
      <c r="L1132" s="1026">
        <v>447200</v>
      </c>
      <c r="M1132" s="1020">
        <v>0</v>
      </c>
      <c r="N1132" s="1026">
        <v>0</v>
      </c>
      <c r="O1132" s="1020">
        <v>30</v>
      </c>
      <c r="P1132" s="1026">
        <v>49832</v>
      </c>
      <c r="Q1132" s="1027">
        <v>0</v>
      </c>
      <c r="R1132" s="1020">
        <v>4872</v>
      </c>
      <c r="S1132" s="1027">
        <f t="shared" si="214"/>
        <v>0</v>
      </c>
      <c r="T1132" s="1027">
        <v>0</v>
      </c>
      <c r="U1132" s="1027">
        <f t="shared" si="215"/>
        <v>0</v>
      </c>
      <c r="V1132" s="1027">
        <v>0</v>
      </c>
      <c r="W1132" s="1027">
        <f t="shared" si="216"/>
        <v>0</v>
      </c>
      <c r="X1132" s="1027">
        <v>0</v>
      </c>
      <c r="Y1132" s="1027">
        <f t="shared" si="211"/>
        <v>0</v>
      </c>
      <c r="Z1132" s="1027">
        <f t="shared" si="211"/>
        <v>4872</v>
      </c>
      <c r="AA1132" s="1027">
        <f t="shared" si="212"/>
        <v>0</v>
      </c>
      <c r="AB1132" s="1027">
        <f t="shared" si="212"/>
        <v>4872</v>
      </c>
      <c r="AC1132" s="1027">
        <f t="shared" si="213"/>
        <v>0</v>
      </c>
      <c r="AD1132" s="1027">
        <f t="shared" si="213"/>
        <v>1.0894454382826477</v>
      </c>
      <c r="AE1132" s="1035"/>
    </row>
    <row r="1133" spans="1:37" s="994" customFormat="1" ht="57" customHeight="1">
      <c r="A1133" s="512"/>
      <c r="B1133" s="1028"/>
      <c r="C1133" s="1028"/>
      <c r="D1133" s="1028"/>
      <c r="E1133" s="1028"/>
      <c r="F1133" s="1028"/>
      <c r="G1133" s="1028"/>
      <c r="H1133" s="1028"/>
      <c r="I1133" s="1022" t="s">
        <v>1394</v>
      </c>
      <c r="J1133" s="1028" t="s">
        <v>1395</v>
      </c>
      <c r="K1133" s="1020">
        <v>2</v>
      </c>
      <c r="L1133" s="1026">
        <v>560000</v>
      </c>
      <c r="M1133" s="1020">
        <v>0</v>
      </c>
      <c r="N1133" s="1026">
        <v>0</v>
      </c>
      <c r="O1133" s="1020">
        <v>1</v>
      </c>
      <c r="P1133" s="1026">
        <v>187909</v>
      </c>
      <c r="Q1133" s="1027">
        <v>0</v>
      </c>
      <c r="R1133" s="1020">
        <v>1658</v>
      </c>
      <c r="S1133" s="1027">
        <f t="shared" si="214"/>
        <v>0</v>
      </c>
      <c r="T1133" s="1027">
        <v>0</v>
      </c>
      <c r="U1133" s="1027">
        <f t="shared" si="215"/>
        <v>0</v>
      </c>
      <c r="V1133" s="1027">
        <v>0</v>
      </c>
      <c r="W1133" s="1027">
        <f t="shared" si="216"/>
        <v>0</v>
      </c>
      <c r="X1133" s="1027">
        <v>0</v>
      </c>
      <c r="Y1133" s="1027">
        <f t="shared" si="211"/>
        <v>0</v>
      </c>
      <c r="Z1133" s="1027">
        <f t="shared" si="211"/>
        <v>1658</v>
      </c>
      <c r="AA1133" s="1027">
        <f t="shared" si="212"/>
        <v>0</v>
      </c>
      <c r="AB1133" s="1027">
        <f t="shared" si="212"/>
        <v>1658</v>
      </c>
      <c r="AC1133" s="1027">
        <f t="shared" si="213"/>
        <v>0</v>
      </c>
      <c r="AD1133" s="1048">
        <v>0</v>
      </c>
      <c r="AE1133" s="1046"/>
    </row>
    <row r="1134" spans="1:37" s="994" customFormat="1" ht="72.75" customHeight="1">
      <c r="A1134" s="512"/>
      <c r="B1134" s="1042"/>
      <c r="C1134" s="1042"/>
      <c r="D1134" s="1042"/>
      <c r="E1134" s="1042"/>
      <c r="F1134" s="1042"/>
      <c r="G1134" s="1042"/>
      <c r="H1134" s="1042"/>
      <c r="I1134" s="1049" t="s">
        <v>1396</v>
      </c>
      <c r="J1134" s="1042" t="s">
        <v>1397</v>
      </c>
      <c r="K1134" s="1050">
        <v>6.9</v>
      </c>
      <c r="L1134" s="1045">
        <f>SUM(L1135:L1138)</f>
        <v>19243980</v>
      </c>
      <c r="M1134" s="1050">
        <v>4.0599999999999996</v>
      </c>
      <c r="N1134" s="1045">
        <f>SUM(N1135:N1138)</f>
        <v>7695486</v>
      </c>
      <c r="O1134" s="1044">
        <v>4.6399999999999997</v>
      </c>
      <c r="P1134" s="1045">
        <f>SUM(P1135:P1138)</f>
        <v>4507608</v>
      </c>
      <c r="Q1134" s="1027">
        <v>0</v>
      </c>
      <c r="R1134" s="1044">
        <v>0</v>
      </c>
      <c r="S1134" s="1027">
        <f t="shared" si="214"/>
        <v>0</v>
      </c>
      <c r="T1134" s="1027">
        <v>0</v>
      </c>
      <c r="U1134" s="1027">
        <f t="shared" si="215"/>
        <v>0</v>
      </c>
      <c r="V1134" s="1027">
        <v>0</v>
      </c>
      <c r="W1134" s="1027">
        <f t="shared" si="216"/>
        <v>0</v>
      </c>
      <c r="X1134" s="1027">
        <v>0</v>
      </c>
      <c r="Y1134" s="1027">
        <f t="shared" si="211"/>
        <v>0</v>
      </c>
      <c r="Z1134" s="1027">
        <f>SUM(Z1135:Z1138)</f>
        <v>64853.5</v>
      </c>
      <c r="AA1134" s="1027">
        <f>M1134+Y1134</f>
        <v>4.0599999999999996</v>
      </c>
      <c r="AB1134" s="1027">
        <f>N1134+Z1134</f>
        <v>7760339.5</v>
      </c>
      <c r="AC1134" s="1027">
        <f>AA1134/K1134*100</f>
        <v>58.840579710144915</v>
      </c>
      <c r="AD1134" s="1027">
        <f t="shared" si="213"/>
        <v>40.32606300775619</v>
      </c>
      <c r="AE1134" s="382"/>
      <c r="AG1134" s="1004">
        <f>Q1134/O1134*100</f>
        <v>0</v>
      </c>
    </row>
    <row r="1135" spans="1:37" s="994" customFormat="1" ht="57" customHeight="1">
      <c r="A1135" s="512"/>
      <c r="B1135" s="1028"/>
      <c r="C1135" s="1028"/>
      <c r="D1135" s="1028"/>
      <c r="E1135" s="1028"/>
      <c r="F1135" s="1028"/>
      <c r="G1135" s="1028"/>
      <c r="H1135" s="1028"/>
      <c r="I1135" s="1022" t="s">
        <v>1398</v>
      </c>
      <c r="J1135" s="1028" t="s">
        <v>1399</v>
      </c>
      <c r="K1135" s="1020">
        <v>4</v>
      </c>
      <c r="L1135" s="1026">
        <v>464100</v>
      </c>
      <c r="M1135" s="1020">
        <v>1</v>
      </c>
      <c r="N1135" s="1026">
        <v>62250</v>
      </c>
      <c r="O1135" s="1020">
        <v>1</v>
      </c>
      <c r="P1135" s="1026">
        <v>95676</v>
      </c>
      <c r="Q1135" s="1027">
        <v>0</v>
      </c>
      <c r="R1135" s="1020">
        <v>16683.7</v>
      </c>
      <c r="S1135" s="1027">
        <f t="shared" si="214"/>
        <v>0</v>
      </c>
      <c r="T1135" s="1027">
        <v>0</v>
      </c>
      <c r="U1135" s="1027">
        <f t="shared" si="215"/>
        <v>0</v>
      </c>
      <c r="V1135" s="1027">
        <v>0</v>
      </c>
      <c r="W1135" s="1027">
        <f t="shared" si="216"/>
        <v>0</v>
      </c>
      <c r="X1135" s="1027">
        <v>0</v>
      </c>
      <c r="Y1135" s="1027">
        <f t="shared" si="211"/>
        <v>0</v>
      </c>
      <c r="Z1135" s="1027">
        <f t="shared" si="211"/>
        <v>16683.7</v>
      </c>
      <c r="AA1135" s="1027">
        <f t="shared" si="212"/>
        <v>1</v>
      </c>
      <c r="AB1135" s="1027">
        <f t="shared" si="212"/>
        <v>78933.7</v>
      </c>
      <c r="AC1135" s="1027">
        <f t="shared" si="213"/>
        <v>25</v>
      </c>
      <c r="AD1135" s="1027">
        <f t="shared" si="213"/>
        <v>17.007907778496012</v>
      </c>
      <c r="AE1135" s="1051"/>
      <c r="AF1135" s="1005"/>
      <c r="AG1135" s="1005"/>
      <c r="AH1135" s="1005"/>
      <c r="AI1135" s="1005"/>
      <c r="AJ1135" s="1005"/>
      <c r="AK1135" s="1005"/>
    </row>
    <row r="1136" spans="1:37" s="994" customFormat="1" ht="66.75" customHeight="1">
      <c r="A1136" s="512"/>
      <c r="B1136" s="1028"/>
      <c r="C1136" s="1028"/>
      <c r="D1136" s="1028"/>
      <c r="E1136" s="1028"/>
      <c r="F1136" s="1028"/>
      <c r="G1136" s="1028"/>
      <c r="H1136" s="1028"/>
      <c r="I1136" s="1022" t="s">
        <v>1400</v>
      </c>
      <c r="J1136" s="1028" t="s">
        <v>1401</v>
      </c>
      <c r="K1136" s="1020">
        <v>21</v>
      </c>
      <c r="L1136" s="1026">
        <v>4226880</v>
      </c>
      <c r="M1136" s="1020">
        <v>13</v>
      </c>
      <c r="N1136" s="1026">
        <v>2261697</v>
      </c>
      <c r="O1136" s="1020">
        <v>8</v>
      </c>
      <c r="P1136" s="1026">
        <v>1945199</v>
      </c>
      <c r="Q1136" s="1027">
        <v>0</v>
      </c>
      <c r="R1136" s="1020">
        <v>11532.5</v>
      </c>
      <c r="S1136" s="1027">
        <f t="shared" si="214"/>
        <v>0</v>
      </c>
      <c r="T1136" s="1027">
        <v>0</v>
      </c>
      <c r="U1136" s="1027">
        <f t="shared" si="215"/>
        <v>0</v>
      </c>
      <c r="V1136" s="1027">
        <v>0</v>
      </c>
      <c r="W1136" s="1027">
        <f t="shared" si="216"/>
        <v>0</v>
      </c>
      <c r="X1136" s="1027">
        <v>0</v>
      </c>
      <c r="Y1136" s="1027">
        <f t="shared" si="211"/>
        <v>0</v>
      </c>
      <c r="Z1136" s="1027">
        <f t="shared" si="211"/>
        <v>11532.5</v>
      </c>
      <c r="AA1136" s="1027">
        <f t="shared" si="212"/>
        <v>13</v>
      </c>
      <c r="AB1136" s="1027">
        <f t="shared" si="212"/>
        <v>2273229.5</v>
      </c>
      <c r="AC1136" s="1027">
        <f t="shared" si="213"/>
        <v>61.904761904761905</v>
      </c>
      <c r="AD1136" s="1027">
        <f t="shared" si="213"/>
        <v>53.7803178703914</v>
      </c>
      <c r="AE1136" s="382"/>
    </row>
    <row r="1137" spans="1:34" s="994" customFormat="1" ht="57" customHeight="1">
      <c r="A1137" s="512"/>
      <c r="B1137" s="1028"/>
      <c r="C1137" s="1028"/>
      <c r="D1137" s="1028"/>
      <c r="E1137" s="1028"/>
      <c r="F1137" s="1028"/>
      <c r="G1137" s="1028"/>
      <c r="H1137" s="1028"/>
      <c r="I1137" s="1022" t="s">
        <v>1402</v>
      </c>
      <c r="J1137" s="1028" t="s">
        <v>1403</v>
      </c>
      <c r="K1137" s="1020">
        <v>51</v>
      </c>
      <c r="L1137" s="1026">
        <v>13230000</v>
      </c>
      <c r="M1137" s="1020">
        <v>24</v>
      </c>
      <c r="N1137" s="1026">
        <v>5334634</v>
      </c>
      <c r="O1137" s="1020">
        <v>12</v>
      </c>
      <c r="P1137" s="1026">
        <v>2423233</v>
      </c>
      <c r="Q1137" s="1027">
        <v>0</v>
      </c>
      <c r="R1137" s="1020">
        <v>8629.5</v>
      </c>
      <c r="S1137" s="1027">
        <f t="shared" si="214"/>
        <v>0</v>
      </c>
      <c r="T1137" s="1027">
        <v>0</v>
      </c>
      <c r="U1137" s="1027">
        <f t="shared" si="215"/>
        <v>0</v>
      </c>
      <c r="V1137" s="1027">
        <v>0</v>
      </c>
      <c r="W1137" s="1027">
        <f t="shared" si="216"/>
        <v>0</v>
      </c>
      <c r="X1137" s="1027">
        <v>0</v>
      </c>
      <c r="Y1137" s="1027">
        <f t="shared" si="211"/>
        <v>0</v>
      </c>
      <c r="Z1137" s="1027">
        <f t="shared" si="211"/>
        <v>8629.5</v>
      </c>
      <c r="AA1137" s="1027">
        <f t="shared" si="212"/>
        <v>24</v>
      </c>
      <c r="AB1137" s="1027">
        <f t="shared" si="212"/>
        <v>5343263.5</v>
      </c>
      <c r="AC1137" s="1027">
        <f t="shared" si="213"/>
        <v>47.058823529411761</v>
      </c>
      <c r="AD1137" s="1027">
        <f t="shared" si="213"/>
        <v>40.387479213907781</v>
      </c>
      <c r="AE1137" s="1030"/>
      <c r="AF1137" s="1002"/>
      <c r="AG1137" s="1002"/>
      <c r="AH1137" s="1002"/>
    </row>
    <row r="1138" spans="1:34" s="994" customFormat="1" ht="57" customHeight="1">
      <c r="A1138" s="512"/>
      <c r="B1138" s="1028"/>
      <c r="C1138" s="1028"/>
      <c r="D1138" s="1028"/>
      <c r="E1138" s="1028"/>
      <c r="F1138" s="1028"/>
      <c r="G1138" s="1028"/>
      <c r="H1138" s="1028"/>
      <c r="I1138" s="1022" t="s">
        <v>1404</v>
      </c>
      <c r="J1138" s="1028" t="s">
        <v>1405</v>
      </c>
      <c r="K1138" s="1020">
        <v>4</v>
      </c>
      <c r="L1138" s="1026">
        <v>1323000</v>
      </c>
      <c r="M1138" s="1020">
        <v>2</v>
      </c>
      <c r="N1138" s="1026">
        <v>36905</v>
      </c>
      <c r="O1138" s="1020">
        <v>1</v>
      </c>
      <c r="P1138" s="1026">
        <v>43500</v>
      </c>
      <c r="Q1138" s="1027">
        <v>0</v>
      </c>
      <c r="R1138" s="1020">
        <v>28007.8</v>
      </c>
      <c r="S1138" s="1027">
        <f t="shared" si="214"/>
        <v>0</v>
      </c>
      <c r="T1138" s="1027">
        <v>0</v>
      </c>
      <c r="U1138" s="1027">
        <f t="shared" si="215"/>
        <v>0</v>
      </c>
      <c r="V1138" s="1027">
        <v>0</v>
      </c>
      <c r="W1138" s="1027">
        <f t="shared" si="216"/>
        <v>0</v>
      </c>
      <c r="X1138" s="1027">
        <v>0</v>
      </c>
      <c r="Y1138" s="1027">
        <f>Q1138</f>
        <v>0</v>
      </c>
      <c r="Z1138" s="1027">
        <f t="shared" si="211"/>
        <v>28007.8</v>
      </c>
      <c r="AA1138" s="1027">
        <f t="shared" si="212"/>
        <v>2</v>
      </c>
      <c r="AB1138" s="1027">
        <f t="shared" si="212"/>
        <v>64912.800000000003</v>
      </c>
      <c r="AC1138" s="1027">
        <f t="shared" si="213"/>
        <v>50</v>
      </c>
      <c r="AD1138" s="1027">
        <f t="shared" si="213"/>
        <v>4.9064852607709746</v>
      </c>
      <c r="AE1138" s="1035"/>
    </row>
    <row r="1139" spans="1:34" s="994" customFormat="1" ht="57" customHeight="1">
      <c r="A1139" s="512"/>
      <c r="B1139" s="1052"/>
      <c r="C1139" s="1052"/>
      <c r="D1139" s="1052"/>
      <c r="E1139" s="1052"/>
      <c r="F1139" s="1052"/>
      <c r="G1139" s="1052"/>
      <c r="H1139" s="1052"/>
      <c r="I1139" s="1053" t="s">
        <v>221</v>
      </c>
      <c r="J1139" s="1052" t="s">
        <v>1406</v>
      </c>
      <c r="K1139" s="1054">
        <v>100</v>
      </c>
      <c r="L1139" s="1055">
        <f>SUM(L1140:L1150)</f>
        <v>6474148</v>
      </c>
      <c r="M1139" s="1056">
        <f>2/6*100</f>
        <v>33.333333333333329</v>
      </c>
      <c r="N1139" s="1055">
        <f>SUM(N1140:N1150)</f>
        <v>1393924</v>
      </c>
      <c r="O1139" s="1056">
        <f>3/6*100</f>
        <v>50</v>
      </c>
      <c r="P1139" s="1055">
        <f>SUM(P1140:P1150)</f>
        <v>908765</v>
      </c>
      <c r="Q1139" s="1057">
        <v>0</v>
      </c>
      <c r="R1139" s="1055">
        <f>SUM(R1140:R1150)</f>
        <v>121580</v>
      </c>
      <c r="S1139" s="1057">
        <f t="shared" si="214"/>
        <v>0</v>
      </c>
      <c r="T1139" s="1055">
        <f>SUM(T1140:T1150)</f>
        <v>0</v>
      </c>
      <c r="U1139" s="1057">
        <f t="shared" si="215"/>
        <v>0</v>
      </c>
      <c r="V1139" s="1055">
        <f>SUM(V1140:V1150)</f>
        <v>0</v>
      </c>
      <c r="W1139" s="1057">
        <f t="shared" si="216"/>
        <v>0</v>
      </c>
      <c r="X1139" s="1055">
        <f>SUM(X1140:X1150)</f>
        <v>0</v>
      </c>
      <c r="Y1139" s="1027">
        <f t="shared" ref="Y1139:Z1154" si="217">Q1139</f>
        <v>0</v>
      </c>
      <c r="Z1139" s="1057">
        <f>SUM(Z1140:Z1150)</f>
        <v>121580</v>
      </c>
      <c r="AA1139" s="1027">
        <f>M1139+Y1139</f>
        <v>33.333333333333329</v>
      </c>
      <c r="AB1139" s="1027">
        <f>N1139+Z1139</f>
        <v>1515504</v>
      </c>
      <c r="AC1139" s="1027">
        <f>AA1139/K1139*100</f>
        <v>33.333333333333329</v>
      </c>
      <c r="AD1139" s="1027">
        <f>AB1139/L1139*100</f>
        <v>23.408547348624097</v>
      </c>
      <c r="AE1139" s="1041"/>
      <c r="AG1139" s="1004">
        <f>Q1139/O1139*100</f>
        <v>0</v>
      </c>
    </row>
    <row r="1140" spans="1:34" s="994" customFormat="1" ht="57" customHeight="1">
      <c r="A1140" s="512"/>
      <c r="B1140" s="1052"/>
      <c r="C1140" s="1052"/>
      <c r="D1140" s="1052"/>
      <c r="E1140" s="1052"/>
      <c r="F1140" s="1052"/>
      <c r="G1140" s="1052"/>
      <c r="H1140" s="1052"/>
      <c r="I1140" s="1058" t="s">
        <v>147</v>
      </c>
      <c r="J1140" s="1052" t="s">
        <v>1407</v>
      </c>
      <c r="K1140" s="1054">
        <v>72</v>
      </c>
      <c r="L1140" s="1055">
        <v>961416</v>
      </c>
      <c r="M1140" s="1054">
        <v>24</v>
      </c>
      <c r="N1140" s="1054">
        <v>156305</v>
      </c>
      <c r="O1140" s="1054">
        <v>12</v>
      </c>
      <c r="P1140" s="1055">
        <v>131000</v>
      </c>
      <c r="Q1140" s="1057">
        <v>3</v>
      </c>
      <c r="R1140" s="1054">
        <v>21470</v>
      </c>
      <c r="S1140" s="1027">
        <f t="shared" si="214"/>
        <v>3</v>
      </c>
      <c r="T1140" s="1027">
        <v>0</v>
      </c>
      <c r="U1140" s="1027">
        <f t="shared" si="215"/>
        <v>6</v>
      </c>
      <c r="V1140" s="1027">
        <v>0</v>
      </c>
      <c r="W1140" s="1027">
        <f t="shared" si="216"/>
        <v>12</v>
      </c>
      <c r="X1140" s="1027">
        <v>0</v>
      </c>
      <c r="Y1140" s="1027">
        <f t="shared" si="217"/>
        <v>3</v>
      </c>
      <c r="Z1140" s="1027">
        <f t="shared" si="217"/>
        <v>21470</v>
      </c>
      <c r="AA1140" s="1027">
        <f t="shared" ref="AA1140:AB1150" si="218">M1140+Y1140</f>
        <v>27</v>
      </c>
      <c r="AB1140" s="1027">
        <f t="shared" si="218"/>
        <v>177775</v>
      </c>
      <c r="AC1140" s="1027">
        <f t="shared" ref="AC1140:AD1150" si="219">AA1140/K1140*100</f>
        <v>37.5</v>
      </c>
      <c r="AD1140" s="1027">
        <f t="shared" si="219"/>
        <v>18.490955008029822</v>
      </c>
      <c r="AE1140" s="1041"/>
    </row>
    <row r="1141" spans="1:34" s="994" customFormat="1" ht="57" customHeight="1">
      <c r="A1141" s="512"/>
      <c r="B1141" s="1052"/>
      <c r="C1141" s="1052"/>
      <c r="D1141" s="1052"/>
      <c r="E1141" s="1052"/>
      <c r="F1141" s="1052"/>
      <c r="G1141" s="1052"/>
      <c r="H1141" s="1052"/>
      <c r="I1141" s="1058" t="s">
        <v>148</v>
      </c>
      <c r="J1141" s="1052" t="s">
        <v>1408</v>
      </c>
      <c r="K1141" s="1054">
        <v>72</v>
      </c>
      <c r="L1141" s="1055">
        <v>1182633</v>
      </c>
      <c r="M1141" s="1054">
        <v>24</v>
      </c>
      <c r="N1141" s="1054">
        <v>336834</v>
      </c>
      <c r="O1141" s="1054">
        <v>12</v>
      </c>
      <c r="P1141" s="1055">
        <v>194500</v>
      </c>
      <c r="Q1141" s="1057">
        <v>3</v>
      </c>
      <c r="R1141" s="1054">
        <v>17500</v>
      </c>
      <c r="S1141" s="1027">
        <f t="shared" si="214"/>
        <v>3</v>
      </c>
      <c r="T1141" s="1027">
        <v>0</v>
      </c>
      <c r="U1141" s="1027">
        <f t="shared" si="215"/>
        <v>6</v>
      </c>
      <c r="V1141" s="1027">
        <v>0</v>
      </c>
      <c r="W1141" s="1027">
        <f t="shared" si="216"/>
        <v>12</v>
      </c>
      <c r="X1141" s="1027">
        <v>0</v>
      </c>
      <c r="Y1141" s="1027">
        <f t="shared" si="217"/>
        <v>3</v>
      </c>
      <c r="Z1141" s="1027">
        <f t="shared" si="217"/>
        <v>17500</v>
      </c>
      <c r="AA1141" s="1027">
        <f t="shared" si="218"/>
        <v>27</v>
      </c>
      <c r="AB1141" s="1027">
        <f t="shared" si="218"/>
        <v>354334</v>
      </c>
      <c r="AC1141" s="1027">
        <f t="shared" si="219"/>
        <v>37.5</v>
      </c>
      <c r="AD1141" s="1027">
        <f t="shared" si="219"/>
        <v>29.961450424603409</v>
      </c>
      <c r="AE1141" s="1041"/>
    </row>
    <row r="1142" spans="1:34" s="994" customFormat="1" ht="57" customHeight="1">
      <c r="A1142" s="512"/>
      <c r="B1142" s="1052"/>
      <c r="C1142" s="1052"/>
      <c r="D1142" s="1052"/>
      <c r="E1142" s="1052"/>
      <c r="F1142" s="1052"/>
      <c r="G1142" s="1052"/>
      <c r="H1142" s="1052"/>
      <c r="I1142" s="1058" t="s">
        <v>876</v>
      </c>
      <c r="J1142" s="1052" t="s">
        <v>1409</v>
      </c>
      <c r="K1142" s="1054">
        <v>72</v>
      </c>
      <c r="L1142" s="1055">
        <v>622241</v>
      </c>
      <c r="M1142" s="1054">
        <v>24</v>
      </c>
      <c r="N1142" s="1054">
        <v>16353</v>
      </c>
      <c r="O1142" s="1054">
        <v>12</v>
      </c>
      <c r="P1142" s="1055">
        <v>130550</v>
      </c>
      <c r="Q1142" s="1057">
        <v>0</v>
      </c>
      <c r="R1142" s="1054">
        <v>0</v>
      </c>
      <c r="S1142" s="1027">
        <f t="shared" si="214"/>
        <v>0</v>
      </c>
      <c r="T1142" s="1027">
        <v>0</v>
      </c>
      <c r="U1142" s="1027">
        <f t="shared" si="215"/>
        <v>0</v>
      </c>
      <c r="V1142" s="1027">
        <v>0</v>
      </c>
      <c r="W1142" s="1027">
        <f t="shared" si="216"/>
        <v>0</v>
      </c>
      <c r="X1142" s="1027">
        <v>0</v>
      </c>
      <c r="Y1142" s="1027">
        <f t="shared" si="217"/>
        <v>0</v>
      </c>
      <c r="Z1142" s="1027">
        <f t="shared" si="217"/>
        <v>0</v>
      </c>
      <c r="AA1142" s="1027">
        <f t="shared" si="218"/>
        <v>24</v>
      </c>
      <c r="AB1142" s="1027">
        <f t="shared" si="218"/>
        <v>16353</v>
      </c>
      <c r="AC1142" s="1027">
        <f t="shared" si="219"/>
        <v>33.333333333333329</v>
      </c>
      <c r="AD1142" s="1027">
        <f t="shared" si="219"/>
        <v>2.6280814025433878</v>
      </c>
      <c r="AE1142" s="1041"/>
    </row>
    <row r="1143" spans="1:34" s="994" customFormat="1" ht="57" customHeight="1">
      <c r="A1143" s="512"/>
      <c r="B1143" s="1052"/>
      <c r="C1143" s="1052"/>
      <c r="D1143" s="1052"/>
      <c r="E1143" s="1052"/>
      <c r="F1143" s="1052"/>
      <c r="G1143" s="1052"/>
      <c r="H1143" s="1052"/>
      <c r="I1143" s="1058" t="s">
        <v>1410</v>
      </c>
      <c r="J1143" s="1052" t="s">
        <v>1411</v>
      </c>
      <c r="K1143" s="1054">
        <v>72</v>
      </c>
      <c r="L1143" s="1055">
        <v>215116</v>
      </c>
      <c r="M1143" s="1054">
        <v>24</v>
      </c>
      <c r="N1143" s="1054">
        <v>47473</v>
      </c>
      <c r="O1143" s="1054">
        <v>12</v>
      </c>
      <c r="P1143" s="1055">
        <v>20250</v>
      </c>
      <c r="Q1143" s="1057">
        <v>0</v>
      </c>
      <c r="R1143" s="1054">
        <v>0</v>
      </c>
      <c r="S1143" s="1027">
        <f t="shared" si="214"/>
        <v>0</v>
      </c>
      <c r="T1143" s="1027">
        <v>0</v>
      </c>
      <c r="U1143" s="1027">
        <f t="shared" si="215"/>
        <v>0</v>
      </c>
      <c r="V1143" s="1027">
        <v>0</v>
      </c>
      <c r="W1143" s="1027">
        <f t="shared" si="216"/>
        <v>0</v>
      </c>
      <c r="X1143" s="1027">
        <v>0</v>
      </c>
      <c r="Y1143" s="1027">
        <f t="shared" si="217"/>
        <v>0</v>
      </c>
      <c r="Z1143" s="1027">
        <f t="shared" si="217"/>
        <v>0</v>
      </c>
      <c r="AA1143" s="1027">
        <f t="shared" si="218"/>
        <v>24</v>
      </c>
      <c r="AB1143" s="1027">
        <f t="shared" si="218"/>
        <v>47473</v>
      </c>
      <c r="AC1143" s="1027">
        <f t="shared" si="219"/>
        <v>33.333333333333329</v>
      </c>
      <c r="AD1143" s="1027">
        <f t="shared" si="219"/>
        <v>22.068558359210844</v>
      </c>
      <c r="AE1143" s="1041"/>
    </row>
    <row r="1144" spans="1:34" s="994" customFormat="1" ht="57" customHeight="1">
      <c r="A1144" s="512"/>
      <c r="B1144" s="1052"/>
      <c r="C1144" s="1052"/>
      <c r="D1144" s="1052"/>
      <c r="E1144" s="1052"/>
      <c r="F1144" s="1052"/>
      <c r="G1144" s="1052"/>
      <c r="H1144" s="1052"/>
      <c r="I1144" s="1058" t="s">
        <v>150</v>
      </c>
      <c r="J1144" s="1052" t="s">
        <v>1412</v>
      </c>
      <c r="K1144" s="1054">
        <v>72</v>
      </c>
      <c r="L1144" s="1055">
        <v>724094</v>
      </c>
      <c r="M1144" s="1054">
        <v>24</v>
      </c>
      <c r="N1144" s="1054">
        <v>213527</v>
      </c>
      <c r="O1144" s="1054">
        <v>12</v>
      </c>
      <c r="P1144" s="1055">
        <v>110000</v>
      </c>
      <c r="Q1144" s="1057">
        <v>3</v>
      </c>
      <c r="R1144" s="1054">
        <v>9816</v>
      </c>
      <c r="S1144" s="1027">
        <f t="shared" si="214"/>
        <v>3</v>
      </c>
      <c r="T1144" s="1027">
        <v>0</v>
      </c>
      <c r="U1144" s="1027">
        <f t="shared" si="215"/>
        <v>6</v>
      </c>
      <c r="V1144" s="1027">
        <v>0</v>
      </c>
      <c r="W1144" s="1027">
        <f t="shared" si="216"/>
        <v>12</v>
      </c>
      <c r="X1144" s="1027">
        <v>0</v>
      </c>
      <c r="Y1144" s="1027">
        <f t="shared" si="217"/>
        <v>3</v>
      </c>
      <c r="Z1144" s="1027">
        <f t="shared" si="217"/>
        <v>9816</v>
      </c>
      <c r="AA1144" s="1027">
        <f t="shared" si="218"/>
        <v>27</v>
      </c>
      <c r="AB1144" s="1027">
        <f t="shared" si="218"/>
        <v>223343</v>
      </c>
      <c r="AC1144" s="1027">
        <f t="shared" si="219"/>
        <v>37.5</v>
      </c>
      <c r="AD1144" s="1027">
        <f t="shared" si="219"/>
        <v>30.844475993448366</v>
      </c>
      <c r="AE1144" s="1041"/>
    </row>
    <row r="1145" spans="1:34" s="994" customFormat="1" ht="57" customHeight="1">
      <c r="A1145" s="512"/>
      <c r="B1145" s="1052"/>
      <c r="C1145" s="1052"/>
      <c r="D1145" s="1052"/>
      <c r="E1145" s="1052"/>
      <c r="F1145" s="1052"/>
      <c r="G1145" s="1052"/>
      <c r="H1145" s="1052"/>
      <c r="I1145" s="1058" t="s">
        <v>882</v>
      </c>
      <c r="J1145" s="1052" t="s">
        <v>1413</v>
      </c>
      <c r="K1145" s="1054">
        <v>72</v>
      </c>
      <c r="L1145" s="1055">
        <v>291174</v>
      </c>
      <c r="M1145" s="1054">
        <v>24</v>
      </c>
      <c r="N1145" s="1054">
        <v>70027</v>
      </c>
      <c r="O1145" s="1054">
        <v>12</v>
      </c>
      <c r="P1145" s="1055">
        <v>34233</v>
      </c>
      <c r="Q1145" s="1057">
        <v>3</v>
      </c>
      <c r="R1145" s="1054">
        <v>6315</v>
      </c>
      <c r="S1145" s="1027">
        <f t="shared" si="214"/>
        <v>3</v>
      </c>
      <c r="T1145" s="1027">
        <v>0</v>
      </c>
      <c r="U1145" s="1027">
        <f t="shared" si="215"/>
        <v>6</v>
      </c>
      <c r="V1145" s="1027">
        <v>0</v>
      </c>
      <c r="W1145" s="1027">
        <f t="shared" si="216"/>
        <v>12</v>
      </c>
      <c r="X1145" s="1027">
        <v>0</v>
      </c>
      <c r="Y1145" s="1027">
        <f t="shared" si="217"/>
        <v>3</v>
      </c>
      <c r="Z1145" s="1027">
        <f t="shared" si="217"/>
        <v>6315</v>
      </c>
      <c r="AA1145" s="1027">
        <f t="shared" si="218"/>
        <v>27</v>
      </c>
      <c r="AB1145" s="1027">
        <f t="shared" si="218"/>
        <v>76342</v>
      </c>
      <c r="AC1145" s="1027">
        <f t="shared" si="219"/>
        <v>37.5</v>
      </c>
      <c r="AD1145" s="1027">
        <f t="shared" si="219"/>
        <v>26.218687108052229</v>
      </c>
      <c r="AE1145" s="1041"/>
    </row>
    <row r="1146" spans="1:34" s="994" customFormat="1" ht="57" customHeight="1">
      <c r="A1146" s="512"/>
      <c r="B1146" s="1052"/>
      <c r="C1146" s="1052"/>
      <c r="D1146" s="1052"/>
      <c r="E1146" s="1052"/>
      <c r="F1146" s="1052"/>
      <c r="G1146" s="1052"/>
      <c r="H1146" s="1052"/>
      <c r="I1146" s="1058" t="s">
        <v>884</v>
      </c>
      <c r="J1146" s="1052" t="s">
        <v>1414</v>
      </c>
      <c r="K1146" s="1054">
        <v>72</v>
      </c>
      <c r="L1146" s="1055">
        <v>58613</v>
      </c>
      <c r="M1146" s="1054">
        <v>24</v>
      </c>
      <c r="N1146" s="1054">
        <v>12146</v>
      </c>
      <c r="O1146" s="1054">
        <v>12</v>
      </c>
      <c r="P1146" s="1055">
        <v>7607</v>
      </c>
      <c r="Q1146" s="1057">
        <v>0</v>
      </c>
      <c r="R1146" s="1054">
        <v>0</v>
      </c>
      <c r="S1146" s="1027">
        <f t="shared" si="214"/>
        <v>0</v>
      </c>
      <c r="T1146" s="1027">
        <v>0</v>
      </c>
      <c r="U1146" s="1027">
        <f t="shared" si="215"/>
        <v>0</v>
      </c>
      <c r="V1146" s="1027">
        <v>0</v>
      </c>
      <c r="W1146" s="1027">
        <f t="shared" si="216"/>
        <v>0</v>
      </c>
      <c r="X1146" s="1027">
        <v>0</v>
      </c>
      <c r="Y1146" s="1027">
        <f t="shared" si="217"/>
        <v>0</v>
      </c>
      <c r="Z1146" s="1027">
        <f t="shared" si="217"/>
        <v>0</v>
      </c>
      <c r="AA1146" s="1027">
        <f t="shared" si="218"/>
        <v>24</v>
      </c>
      <c r="AB1146" s="1027">
        <f t="shared" si="218"/>
        <v>12146</v>
      </c>
      <c r="AC1146" s="1027">
        <f t="shared" si="219"/>
        <v>33.333333333333329</v>
      </c>
      <c r="AD1146" s="1027">
        <f t="shared" si="219"/>
        <v>20.722365345571802</v>
      </c>
      <c r="AE1146" s="1041"/>
    </row>
    <row r="1147" spans="1:34" s="994" customFormat="1" ht="57" customHeight="1">
      <c r="A1147" s="512"/>
      <c r="B1147" s="1052"/>
      <c r="C1147" s="1052"/>
      <c r="D1147" s="1052"/>
      <c r="E1147" s="1052"/>
      <c r="F1147" s="1052"/>
      <c r="G1147" s="1052"/>
      <c r="H1147" s="1052"/>
      <c r="I1147" s="1058" t="s">
        <v>886</v>
      </c>
      <c r="J1147" s="1052" t="s">
        <v>1415</v>
      </c>
      <c r="K1147" s="1054">
        <v>72</v>
      </c>
      <c r="L1147" s="1055">
        <v>83448</v>
      </c>
      <c r="M1147" s="1054">
        <v>24</v>
      </c>
      <c r="N1147" s="1054">
        <v>25790</v>
      </c>
      <c r="O1147" s="1054">
        <v>12</v>
      </c>
      <c r="P1147" s="1055">
        <v>16400</v>
      </c>
      <c r="Q1147" s="1057">
        <v>3</v>
      </c>
      <c r="R1147" s="1054">
        <v>1095</v>
      </c>
      <c r="S1147" s="1027">
        <f t="shared" si="214"/>
        <v>3</v>
      </c>
      <c r="T1147" s="1027">
        <v>0</v>
      </c>
      <c r="U1147" s="1027">
        <f t="shared" si="215"/>
        <v>6</v>
      </c>
      <c r="V1147" s="1027">
        <v>0</v>
      </c>
      <c r="W1147" s="1027">
        <f t="shared" si="216"/>
        <v>12</v>
      </c>
      <c r="X1147" s="1027">
        <v>0</v>
      </c>
      <c r="Y1147" s="1027">
        <f t="shared" si="217"/>
        <v>3</v>
      </c>
      <c r="Z1147" s="1027">
        <f t="shared" si="217"/>
        <v>1095</v>
      </c>
      <c r="AA1147" s="1027">
        <f t="shared" si="218"/>
        <v>27</v>
      </c>
      <c r="AB1147" s="1027">
        <f t="shared" si="218"/>
        <v>26885</v>
      </c>
      <c r="AC1147" s="1027">
        <f t="shared" si="219"/>
        <v>37.5</v>
      </c>
      <c r="AD1147" s="1027">
        <f t="shared" si="219"/>
        <v>32.217668488160292</v>
      </c>
      <c r="AE1147" s="1041"/>
    </row>
    <row r="1148" spans="1:34" s="994" customFormat="1" ht="57" customHeight="1">
      <c r="A1148" s="512"/>
      <c r="B1148" s="1052"/>
      <c r="C1148" s="1052"/>
      <c r="D1148" s="1052"/>
      <c r="E1148" s="1052"/>
      <c r="F1148" s="1052"/>
      <c r="G1148" s="1052"/>
      <c r="H1148" s="1052"/>
      <c r="I1148" s="1058" t="s">
        <v>157</v>
      </c>
      <c r="J1148" s="1052" t="s">
        <v>1416</v>
      </c>
      <c r="K1148" s="1054">
        <v>72</v>
      </c>
      <c r="L1148" s="1055">
        <v>289824</v>
      </c>
      <c r="M1148" s="1054">
        <v>24</v>
      </c>
      <c r="N1148" s="1054">
        <v>56037</v>
      </c>
      <c r="O1148" s="1054">
        <v>12</v>
      </c>
      <c r="P1148" s="1055">
        <v>45100</v>
      </c>
      <c r="Q1148" s="1057">
        <v>3</v>
      </c>
      <c r="R1148" s="1054">
        <v>6772</v>
      </c>
      <c r="S1148" s="1027">
        <f t="shared" si="214"/>
        <v>3</v>
      </c>
      <c r="T1148" s="1027">
        <v>0</v>
      </c>
      <c r="U1148" s="1027">
        <f t="shared" si="215"/>
        <v>6</v>
      </c>
      <c r="V1148" s="1027">
        <v>0</v>
      </c>
      <c r="W1148" s="1027">
        <f t="shared" si="216"/>
        <v>12</v>
      </c>
      <c r="X1148" s="1027">
        <v>0</v>
      </c>
      <c r="Y1148" s="1027">
        <f t="shared" si="217"/>
        <v>3</v>
      </c>
      <c r="Z1148" s="1027">
        <f t="shared" si="217"/>
        <v>6772</v>
      </c>
      <c r="AA1148" s="1027">
        <f t="shared" si="218"/>
        <v>27</v>
      </c>
      <c r="AB1148" s="1027">
        <f t="shared" si="218"/>
        <v>62809</v>
      </c>
      <c r="AC1148" s="1027">
        <f t="shared" si="219"/>
        <v>37.5</v>
      </c>
      <c r="AD1148" s="1027">
        <f t="shared" si="219"/>
        <v>21.671428177100584</v>
      </c>
      <c r="AE1148" s="1041"/>
    </row>
    <row r="1149" spans="1:34" s="994" customFormat="1" ht="57" customHeight="1">
      <c r="A1149" s="512"/>
      <c r="B1149" s="1052"/>
      <c r="C1149" s="1052"/>
      <c r="D1149" s="1052"/>
      <c r="E1149" s="1052"/>
      <c r="F1149" s="1052"/>
      <c r="G1149" s="1052"/>
      <c r="H1149" s="1052"/>
      <c r="I1149" s="1058" t="s">
        <v>158</v>
      </c>
      <c r="J1149" s="1052" t="s">
        <v>1417</v>
      </c>
      <c r="K1149" s="1054">
        <v>72</v>
      </c>
      <c r="L1149" s="1055">
        <v>1266580</v>
      </c>
      <c r="M1149" s="1054">
        <v>24</v>
      </c>
      <c r="N1149" s="1054">
        <v>295007</v>
      </c>
      <c r="O1149" s="1054">
        <v>12</v>
      </c>
      <c r="P1149" s="1055">
        <v>143000</v>
      </c>
      <c r="Q1149" s="1057">
        <v>3</v>
      </c>
      <c r="R1149" s="1054">
        <v>40932</v>
      </c>
      <c r="S1149" s="1027">
        <f t="shared" si="214"/>
        <v>3</v>
      </c>
      <c r="T1149" s="1027">
        <v>0</v>
      </c>
      <c r="U1149" s="1027">
        <f t="shared" si="215"/>
        <v>6</v>
      </c>
      <c r="V1149" s="1027">
        <v>0</v>
      </c>
      <c r="W1149" s="1027">
        <f t="shared" si="216"/>
        <v>12</v>
      </c>
      <c r="X1149" s="1027">
        <v>0</v>
      </c>
      <c r="Y1149" s="1027">
        <f t="shared" si="217"/>
        <v>3</v>
      </c>
      <c r="Z1149" s="1027">
        <f t="shared" si="217"/>
        <v>40932</v>
      </c>
      <c r="AA1149" s="1027">
        <f t="shared" si="218"/>
        <v>27</v>
      </c>
      <c r="AB1149" s="1027">
        <f t="shared" si="218"/>
        <v>335939</v>
      </c>
      <c r="AC1149" s="1027">
        <f t="shared" si="219"/>
        <v>37.5</v>
      </c>
      <c r="AD1149" s="1027">
        <f t="shared" si="219"/>
        <v>26.523314753114686</v>
      </c>
      <c r="AE1149" s="1041"/>
    </row>
    <row r="1150" spans="1:34" s="994" customFormat="1" ht="57" customHeight="1">
      <c r="A1150" s="512"/>
      <c r="B1150" s="1052"/>
      <c r="C1150" s="1052"/>
      <c r="D1150" s="1052"/>
      <c r="E1150" s="1052"/>
      <c r="F1150" s="1052"/>
      <c r="G1150" s="1052"/>
      <c r="H1150" s="1052"/>
      <c r="I1150" s="1058" t="s">
        <v>159</v>
      </c>
      <c r="J1150" s="1052" t="s">
        <v>1418</v>
      </c>
      <c r="K1150" s="1054">
        <v>72</v>
      </c>
      <c r="L1150" s="1055">
        <v>779009</v>
      </c>
      <c r="M1150" s="1054">
        <v>24</v>
      </c>
      <c r="N1150" s="1054">
        <v>164425</v>
      </c>
      <c r="O1150" s="1054">
        <v>12</v>
      </c>
      <c r="P1150" s="1055">
        <v>76125</v>
      </c>
      <c r="Q1150" s="1057">
        <v>3</v>
      </c>
      <c r="R1150" s="1054">
        <v>17680</v>
      </c>
      <c r="S1150" s="1027">
        <f t="shared" si="214"/>
        <v>3</v>
      </c>
      <c r="T1150" s="1027">
        <v>0</v>
      </c>
      <c r="U1150" s="1027">
        <f t="shared" si="215"/>
        <v>6</v>
      </c>
      <c r="V1150" s="1027">
        <v>0</v>
      </c>
      <c r="W1150" s="1027">
        <f t="shared" si="216"/>
        <v>12</v>
      </c>
      <c r="X1150" s="1027">
        <v>0</v>
      </c>
      <c r="Y1150" s="1027">
        <f t="shared" si="217"/>
        <v>3</v>
      </c>
      <c r="Z1150" s="1027">
        <f t="shared" si="217"/>
        <v>17680</v>
      </c>
      <c r="AA1150" s="1027">
        <f t="shared" si="218"/>
        <v>27</v>
      </c>
      <c r="AB1150" s="1027">
        <f t="shared" si="218"/>
        <v>182105</v>
      </c>
      <c r="AC1150" s="1027">
        <f t="shared" si="219"/>
        <v>37.5</v>
      </c>
      <c r="AD1150" s="1027">
        <f t="shared" si="219"/>
        <v>23.376495008401701</v>
      </c>
      <c r="AE1150" s="1041"/>
    </row>
    <row r="1151" spans="1:34" s="994" customFormat="1" ht="57" customHeight="1">
      <c r="A1151" s="512"/>
      <c r="B1151" s="1052"/>
      <c r="C1151" s="1052"/>
      <c r="D1151" s="1052"/>
      <c r="E1151" s="1052"/>
      <c r="F1151" s="1052"/>
      <c r="G1151" s="1052"/>
      <c r="H1151" s="1052"/>
      <c r="I1151" s="1053" t="s">
        <v>1419</v>
      </c>
      <c r="J1151" s="1052" t="s">
        <v>1420</v>
      </c>
      <c r="K1151" s="1054">
        <v>80</v>
      </c>
      <c r="L1151" s="1055">
        <f>SUM(L1152:L1156)</f>
        <v>2891920</v>
      </c>
      <c r="M1151" s="1054">
        <f>2/6*80</f>
        <v>26.666666666666664</v>
      </c>
      <c r="N1151" s="1055">
        <f>SUM(N1152:N1156)</f>
        <v>693320</v>
      </c>
      <c r="O1151" s="1054">
        <f>3/6*80</f>
        <v>40</v>
      </c>
      <c r="P1151" s="1055">
        <f>SUM(P1152:P1156)</f>
        <v>544213</v>
      </c>
      <c r="Q1151" s="1057">
        <v>0</v>
      </c>
      <c r="R1151" s="1055">
        <f>SUM(R1152:R1156)</f>
        <v>22029</v>
      </c>
      <c r="S1151" s="1057">
        <v>0</v>
      </c>
      <c r="T1151" s="1055">
        <f>SUM(T1152:T1156)</f>
        <v>0</v>
      </c>
      <c r="U1151" s="1057">
        <f t="shared" si="215"/>
        <v>0</v>
      </c>
      <c r="V1151" s="1055">
        <f>SUM(V1152:V1156)</f>
        <v>0</v>
      </c>
      <c r="W1151" s="1057">
        <f t="shared" si="216"/>
        <v>0</v>
      </c>
      <c r="X1151" s="1055">
        <f>SUM(X1152:X1156)</f>
        <v>0</v>
      </c>
      <c r="Y1151" s="1057">
        <f t="shared" si="217"/>
        <v>0</v>
      </c>
      <c r="Z1151" s="1055">
        <f>SUM(Z1152:Z1156)</f>
        <v>22029</v>
      </c>
      <c r="AA1151" s="1027">
        <f>M1151+Y1151</f>
        <v>26.666666666666664</v>
      </c>
      <c r="AB1151" s="1027">
        <f>N1151+Z1151</f>
        <v>715349</v>
      </c>
      <c r="AC1151" s="1027">
        <f>AA1151/K1151*100</f>
        <v>33.333333333333329</v>
      </c>
      <c r="AD1151" s="1027">
        <f>AB1151/L1151*100</f>
        <v>24.736126863813659</v>
      </c>
      <c r="AE1151" s="1041"/>
      <c r="AG1151" s="1004">
        <f>Q1151/O1151*100</f>
        <v>0</v>
      </c>
    </row>
    <row r="1152" spans="1:34" s="994" customFormat="1" ht="57" customHeight="1">
      <c r="A1152" s="512"/>
      <c r="B1152" s="1052"/>
      <c r="C1152" s="1052"/>
      <c r="D1152" s="1052"/>
      <c r="E1152" s="1052"/>
      <c r="F1152" s="1052"/>
      <c r="G1152" s="1052"/>
      <c r="H1152" s="1052"/>
      <c r="I1152" s="1058" t="s">
        <v>1421</v>
      </c>
      <c r="J1152" s="1052" t="s">
        <v>1422</v>
      </c>
      <c r="K1152" s="1054">
        <v>36</v>
      </c>
      <c r="L1152" s="1055">
        <v>813000</v>
      </c>
      <c r="M1152" s="1054">
        <v>3</v>
      </c>
      <c r="N1152" s="1055">
        <v>54600</v>
      </c>
      <c r="O1152" s="1054">
        <v>16</v>
      </c>
      <c r="P1152" s="1055">
        <v>320750</v>
      </c>
      <c r="Q1152" s="1057">
        <v>0</v>
      </c>
      <c r="R1152" s="1054">
        <v>0</v>
      </c>
      <c r="S1152" s="1027">
        <f>Q1152</f>
        <v>0</v>
      </c>
      <c r="T1152" s="1027">
        <v>0</v>
      </c>
      <c r="U1152" s="1027">
        <f t="shared" si="215"/>
        <v>0</v>
      </c>
      <c r="V1152" s="1027">
        <v>0</v>
      </c>
      <c r="W1152" s="1027">
        <f t="shared" si="216"/>
        <v>0</v>
      </c>
      <c r="X1152" s="1027">
        <v>0</v>
      </c>
      <c r="Y1152" s="1027">
        <f t="shared" si="217"/>
        <v>0</v>
      </c>
      <c r="Z1152" s="1027">
        <f t="shared" si="217"/>
        <v>0</v>
      </c>
      <c r="AA1152" s="1027">
        <f t="shared" ref="AA1152:AB1156" si="220">M1152+Y1152</f>
        <v>3</v>
      </c>
      <c r="AB1152" s="1027">
        <f t="shared" si="220"/>
        <v>54600</v>
      </c>
      <c r="AC1152" s="1027">
        <f t="shared" ref="AC1152:AD1156" si="221">AA1152/K1152*100</f>
        <v>8.3333333333333321</v>
      </c>
      <c r="AD1152" s="1027">
        <f t="shared" si="221"/>
        <v>6.7158671586715872</v>
      </c>
      <c r="AE1152" s="1041"/>
    </row>
    <row r="1153" spans="1:33" s="994" customFormat="1" ht="57" customHeight="1">
      <c r="A1153" s="512"/>
      <c r="B1153" s="1059"/>
      <c r="C1153" s="1059"/>
      <c r="D1153" s="1059"/>
      <c r="E1153" s="1059"/>
      <c r="F1153" s="1059"/>
      <c r="G1153" s="1059"/>
      <c r="H1153" s="1059"/>
      <c r="I1153" s="1060" t="s">
        <v>938</v>
      </c>
      <c r="J1153" s="1059" t="s">
        <v>1423</v>
      </c>
      <c r="K1153" s="1061">
        <v>6</v>
      </c>
      <c r="L1153" s="1062">
        <v>302338</v>
      </c>
      <c r="M1153" s="1061">
        <v>4</v>
      </c>
      <c r="N1153" s="1062">
        <v>62250</v>
      </c>
      <c r="O1153" s="1061">
        <v>2</v>
      </c>
      <c r="P1153" s="1062">
        <v>8250</v>
      </c>
      <c r="Q1153" s="1063">
        <v>0</v>
      </c>
      <c r="R1153" s="1061">
        <v>0</v>
      </c>
      <c r="S1153" s="1063">
        <f>Q1153</f>
        <v>0</v>
      </c>
      <c r="T1153" s="1063">
        <v>0</v>
      </c>
      <c r="U1153" s="1063">
        <f t="shared" si="215"/>
        <v>0</v>
      </c>
      <c r="V1153" s="1063">
        <v>0</v>
      </c>
      <c r="W1153" s="1063">
        <f t="shared" si="216"/>
        <v>0</v>
      </c>
      <c r="X1153" s="1063">
        <v>0</v>
      </c>
      <c r="Y1153" s="1063">
        <f t="shared" si="217"/>
        <v>0</v>
      </c>
      <c r="Z1153" s="1063">
        <f t="shared" si="217"/>
        <v>0</v>
      </c>
      <c r="AA1153" s="1063">
        <f t="shared" si="220"/>
        <v>4</v>
      </c>
      <c r="AB1153" s="1063">
        <f t="shared" si="220"/>
        <v>62250</v>
      </c>
      <c r="AC1153" s="1063">
        <f t="shared" si="221"/>
        <v>66.666666666666657</v>
      </c>
      <c r="AD1153" s="1063">
        <f t="shared" si="221"/>
        <v>20.589538860480655</v>
      </c>
      <c r="AE1153" s="1035"/>
    </row>
    <row r="1154" spans="1:33" s="994" customFormat="1" ht="57" customHeight="1">
      <c r="A1154" s="512"/>
      <c r="B1154" s="1047"/>
      <c r="C1154" s="1047"/>
      <c r="D1154" s="1047"/>
      <c r="E1154" s="1047"/>
      <c r="F1154" s="1047"/>
      <c r="G1154" s="1047"/>
      <c r="H1154" s="1047"/>
      <c r="I1154" s="1064" t="s">
        <v>258</v>
      </c>
      <c r="J1154" s="1047" t="s">
        <v>1424</v>
      </c>
      <c r="K1154" s="1065">
        <v>5</v>
      </c>
      <c r="L1154" s="1066">
        <v>617450</v>
      </c>
      <c r="M1154" s="1065">
        <v>1</v>
      </c>
      <c r="N1154" s="1066">
        <v>370726</v>
      </c>
      <c r="O1154" s="1065">
        <v>1</v>
      </c>
      <c r="P1154" s="1066">
        <v>10000</v>
      </c>
      <c r="Q1154" s="1067">
        <v>0</v>
      </c>
      <c r="R1154" s="1065">
        <v>0</v>
      </c>
      <c r="S1154" s="1068">
        <f>Q1154</f>
        <v>0</v>
      </c>
      <c r="T1154" s="1068">
        <v>0</v>
      </c>
      <c r="U1154" s="1068">
        <f t="shared" si="215"/>
        <v>0</v>
      </c>
      <c r="V1154" s="1068">
        <v>0</v>
      </c>
      <c r="W1154" s="1068">
        <f t="shared" si="216"/>
        <v>0</v>
      </c>
      <c r="X1154" s="1068">
        <v>0</v>
      </c>
      <c r="Y1154" s="1068">
        <f t="shared" si="217"/>
        <v>0</v>
      </c>
      <c r="Z1154" s="1068">
        <f t="shared" si="217"/>
        <v>0</v>
      </c>
      <c r="AA1154" s="1068">
        <f t="shared" si="220"/>
        <v>1</v>
      </c>
      <c r="AB1154" s="1068">
        <f t="shared" si="220"/>
        <v>370726</v>
      </c>
      <c r="AC1154" s="1068">
        <f t="shared" si="221"/>
        <v>20</v>
      </c>
      <c r="AD1154" s="1068">
        <f t="shared" si="221"/>
        <v>60.041460847032148</v>
      </c>
      <c r="AE1154" s="382"/>
    </row>
    <row r="1155" spans="1:33" s="994" customFormat="1" ht="57" customHeight="1">
      <c r="A1155" s="512"/>
      <c r="B1155" s="1052"/>
      <c r="C1155" s="1052"/>
      <c r="D1155" s="1052"/>
      <c r="E1155" s="1052"/>
      <c r="F1155" s="1052"/>
      <c r="G1155" s="1052"/>
      <c r="H1155" s="1052"/>
      <c r="I1155" s="1058" t="s">
        <v>224</v>
      </c>
      <c r="J1155" s="1052" t="s">
        <v>1425</v>
      </c>
      <c r="K1155" s="1054">
        <v>72</v>
      </c>
      <c r="L1155" s="1055">
        <v>966132</v>
      </c>
      <c r="M1155" s="1054">
        <v>12</v>
      </c>
      <c r="N1155" s="1055">
        <v>205744</v>
      </c>
      <c r="O1155" s="1054">
        <v>25</v>
      </c>
      <c r="P1155" s="1055">
        <v>176713</v>
      </c>
      <c r="Q1155" s="1057">
        <v>3</v>
      </c>
      <c r="R1155" s="1054">
        <v>22029</v>
      </c>
      <c r="S1155" s="1027">
        <f>Q1155</f>
        <v>3</v>
      </c>
      <c r="T1155" s="1027">
        <v>0</v>
      </c>
      <c r="U1155" s="1027">
        <f t="shared" si="215"/>
        <v>6</v>
      </c>
      <c r="V1155" s="1027">
        <v>0</v>
      </c>
      <c r="W1155" s="1027">
        <f t="shared" si="216"/>
        <v>12</v>
      </c>
      <c r="X1155" s="1027">
        <v>0</v>
      </c>
      <c r="Y1155" s="1027">
        <f>Q1155</f>
        <v>3</v>
      </c>
      <c r="Z1155" s="1027">
        <f>R1155</f>
        <v>22029</v>
      </c>
      <c r="AA1155" s="1027">
        <f t="shared" si="220"/>
        <v>15</v>
      </c>
      <c r="AB1155" s="1027">
        <f t="shared" si="220"/>
        <v>227773</v>
      </c>
      <c r="AC1155" s="1027">
        <f t="shared" si="221"/>
        <v>20.833333333333336</v>
      </c>
      <c r="AD1155" s="1027">
        <f t="shared" si="221"/>
        <v>23.575763974280946</v>
      </c>
      <c r="AE1155" s="1041"/>
    </row>
    <row r="1156" spans="1:33" s="994" customFormat="1" ht="57" customHeight="1">
      <c r="A1156" s="512"/>
      <c r="B1156" s="1052"/>
      <c r="C1156" s="1052"/>
      <c r="D1156" s="1052"/>
      <c r="E1156" s="1052"/>
      <c r="F1156" s="1052"/>
      <c r="G1156" s="1052"/>
      <c r="H1156" s="1052"/>
      <c r="I1156" s="1058" t="s">
        <v>638</v>
      </c>
      <c r="J1156" s="1052" t="s">
        <v>1426</v>
      </c>
      <c r="K1156" s="1054">
        <v>5</v>
      </c>
      <c r="L1156" s="1055">
        <v>193000</v>
      </c>
      <c r="M1156" s="1054">
        <v>1</v>
      </c>
      <c r="N1156" s="1055">
        <v>0</v>
      </c>
      <c r="O1156" s="1054">
        <v>3</v>
      </c>
      <c r="P1156" s="1055">
        <v>28500</v>
      </c>
      <c r="Q1156" s="1057">
        <v>0</v>
      </c>
      <c r="R1156" s="1054">
        <v>0</v>
      </c>
      <c r="S1156" s="1027">
        <f>Q1156</f>
        <v>0</v>
      </c>
      <c r="T1156" s="1027">
        <v>0</v>
      </c>
      <c r="U1156" s="1027">
        <f t="shared" si="215"/>
        <v>0</v>
      </c>
      <c r="V1156" s="1027">
        <v>0</v>
      </c>
      <c r="W1156" s="1027">
        <f t="shared" si="216"/>
        <v>0</v>
      </c>
      <c r="X1156" s="1027">
        <v>0</v>
      </c>
      <c r="Y1156" s="1027">
        <f>Q1156</f>
        <v>0</v>
      </c>
      <c r="Z1156" s="1027">
        <f>R1156</f>
        <v>0</v>
      </c>
      <c r="AA1156" s="1027">
        <f t="shared" si="220"/>
        <v>1</v>
      </c>
      <c r="AB1156" s="1027">
        <f t="shared" si="220"/>
        <v>0</v>
      </c>
      <c r="AC1156" s="1027">
        <f t="shared" si="221"/>
        <v>20</v>
      </c>
      <c r="AD1156" s="1027">
        <f t="shared" si="221"/>
        <v>0</v>
      </c>
      <c r="AE1156" s="1041"/>
    </row>
    <row r="1157" spans="1:33" s="994" customFormat="1" ht="10.5" customHeight="1">
      <c r="A1157" s="512"/>
      <c r="B1157" s="1052"/>
      <c r="C1157" s="1052"/>
      <c r="D1157" s="1052"/>
      <c r="E1157" s="1052"/>
      <c r="F1157" s="1052"/>
      <c r="G1157" s="1052"/>
      <c r="H1157" s="1052"/>
      <c r="I1157" s="1058"/>
      <c r="J1157" s="1052"/>
      <c r="K1157" s="1052"/>
      <c r="L1157" s="1069"/>
      <c r="M1157" s="1054"/>
      <c r="N1157" s="1055"/>
      <c r="O1157" s="1052"/>
      <c r="P1157" s="1055"/>
      <c r="Q1157" s="1054"/>
      <c r="R1157" s="1054"/>
      <c r="S1157" s="1054"/>
      <c r="T1157" s="1054"/>
      <c r="U1157" s="1054"/>
      <c r="V1157" s="1054"/>
      <c r="W1157" s="1054"/>
      <c r="X1157" s="1054"/>
      <c r="Y1157" s="1054"/>
      <c r="Z1157" s="1054"/>
      <c r="AA1157" s="1057"/>
      <c r="AB1157" s="1057"/>
      <c r="AC1157" s="1070"/>
      <c r="AD1157" s="1070"/>
      <c r="AE1157" s="1071"/>
    </row>
    <row r="1158" spans="1:33" s="1005" customFormat="1" ht="15.75" customHeight="1">
      <c r="A1158" s="1072"/>
      <c r="B1158" s="4523" t="s">
        <v>1427</v>
      </c>
      <c r="C1158" s="4523"/>
      <c r="D1158" s="4523"/>
      <c r="E1158" s="4523"/>
      <c r="F1158" s="4523"/>
      <c r="G1158" s="4523"/>
      <c r="H1158" s="4523"/>
      <c r="I1158" s="4523"/>
      <c r="J1158" s="4523"/>
      <c r="K1158" s="4523"/>
      <c r="L1158" s="4523"/>
      <c r="M1158" s="4523"/>
      <c r="N1158" s="4523"/>
      <c r="O1158" s="4523"/>
      <c r="P1158" s="4524"/>
      <c r="Q1158" s="1073"/>
      <c r="R1158" s="1073"/>
      <c r="S1158" s="1073"/>
      <c r="T1158" s="1073"/>
      <c r="U1158" s="1073"/>
      <c r="V1158" s="1073"/>
      <c r="W1158" s="1073"/>
      <c r="X1158" s="1073"/>
      <c r="Y1158" s="1074">
        <v>11.52</v>
      </c>
      <c r="Z1158" s="1075">
        <f>BE1083+BE1089+Z1114+Z1118+Z1124+Z1134+Z1139+Z1151</f>
        <v>12896566.999999998</v>
      </c>
      <c r="AA1158" s="1075">
        <v>0</v>
      </c>
      <c r="AB1158" s="1076">
        <v>0</v>
      </c>
      <c r="AC1158" s="1077">
        <f>(BH1083+BH1084+BH1089+BH1090+BH1091+BH1092+BH1093+BH1094+BH1095+BH1096+BH1097+BH1098+BH1099+BH1100+AC1114+AC1115+AC1118+AC1119+AC1120+AC1124+AC1125+AC1126+AC1134+AC1139+AC1151)/25</f>
        <v>40.182838276784992</v>
      </c>
      <c r="AD1158" s="1077">
        <f>(BI1083+BI1089+AD1114+AD1118+AD1124+AD1134+AD1139+AD1151)/8</f>
        <v>15.778815900218952</v>
      </c>
      <c r="AE1158" s="1078"/>
      <c r="AG1158" s="1005" t="s">
        <v>1428</v>
      </c>
    </row>
    <row r="1159" spans="1:33" s="1005" customFormat="1" ht="15.75" customHeight="1">
      <c r="A1159" s="1072"/>
      <c r="B1159" s="4523" t="s">
        <v>1429</v>
      </c>
      <c r="C1159" s="4523"/>
      <c r="D1159" s="4523"/>
      <c r="E1159" s="4523"/>
      <c r="F1159" s="4523"/>
      <c r="G1159" s="4523"/>
      <c r="H1159" s="4523"/>
      <c r="I1159" s="4523"/>
      <c r="J1159" s="4523"/>
      <c r="K1159" s="4523"/>
      <c r="L1159" s="4523"/>
      <c r="M1159" s="4523"/>
      <c r="N1159" s="4523"/>
      <c r="O1159" s="4523"/>
      <c r="P1159" s="4524"/>
      <c r="Q1159" s="1073"/>
      <c r="R1159" s="1073"/>
      <c r="S1159" s="1073"/>
      <c r="T1159" s="1073"/>
      <c r="U1159" s="1073"/>
      <c r="V1159" s="1073"/>
      <c r="W1159" s="1073"/>
      <c r="X1159" s="1073"/>
      <c r="Y1159" s="1073"/>
      <c r="Z1159" s="1073"/>
      <c r="AA1159" s="1073"/>
      <c r="AB1159" s="1073"/>
      <c r="AC1159" s="1073"/>
      <c r="AD1159" s="1073"/>
      <c r="AE1159" s="1078"/>
      <c r="AG1159" s="1006">
        <f>((BL1083+BL1089+AG1114+AI1118+AH1124+AG1134+AG1139+AG1151)/8)*100%</f>
        <v>11.523426238295968</v>
      </c>
    </row>
    <row r="1160" spans="1:33" s="1005" customFormat="1" ht="15.75" customHeight="1">
      <c r="A1160" s="1072"/>
      <c r="B1160" s="4523" t="s">
        <v>1430</v>
      </c>
      <c r="C1160" s="4523"/>
      <c r="D1160" s="4523"/>
      <c r="E1160" s="4523"/>
      <c r="F1160" s="4523"/>
      <c r="G1160" s="4523"/>
      <c r="H1160" s="4523"/>
      <c r="I1160" s="4523"/>
      <c r="J1160" s="4523"/>
      <c r="K1160" s="4523"/>
      <c r="L1160" s="4523"/>
      <c r="M1160" s="4523"/>
      <c r="N1160" s="4523"/>
      <c r="O1160" s="4523"/>
      <c r="P1160" s="4524"/>
      <c r="Q1160" s="1073"/>
      <c r="R1160" s="1073"/>
      <c r="S1160" s="1073"/>
      <c r="T1160" s="1073"/>
      <c r="U1160" s="1073"/>
      <c r="V1160" s="1073"/>
      <c r="W1160" s="1073"/>
      <c r="X1160" s="1073"/>
      <c r="Y1160" s="1073"/>
      <c r="Z1160" s="1073"/>
      <c r="AA1160" s="1073"/>
      <c r="AB1160" s="1073"/>
      <c r="AC1160" s="1073"/>
      <c r="AD1160" s="1073"/>
      <c r="AE1160" s="1078"/>
    </row>
    <row r="1161" spans="1:33" s="1005" customFormat="1" ht="15.75" customHeight="1">
      <c r="A1161" s="1072"/>
      <c r="B1161" s="4523" t="s">
        <v>1431</v>
      </c>
      <c r="C1161" s="4523"/>
      <c r="D1161" s="4523"/>
      <c r="E1161" s="4523"/>
      <c r="F1161" s="4523"/>
      <c r="G1161" s="4523"/>
      <c r="H1161" s="4523"/>
      <c r="I1161" s="4523"/>
      <c r="J1161" s="4523"/>
      <c r="K1161" s="4523"/>
      <c r="L1161" s="4523"/>
      <c r="M1161" s="4523"/>
      <c r="N1161" s="4523"/>
      <c r="O1161" s="4523"/>
      <c r="P1161" s="4524"/>
      <c r="Q1161" s="1073"/>
      <c r="R1161" s="1073"/>
      <c r="S1161" s="1073"/>
      <c r="T1161" s="1073"/>
      <c r="U1161" s="1073"/>
      <c r="V1161" s="1073"/>
      <c r="W1161" s="1073"/>
      <c r="X1161" s="1073"/>
      <c r="Y1161" s="1073"/>
      <c r="Z1161" s="1073"/>
      <c r="AA1161" s="1073"/>
      <c r="AB1161" s="1073"/>
      <c r="AC1161" s="1073"/>
      <c r="AD1161" s="1073"/>
      <c r="AE1161" s="1078"/>
    </row>
    <row r="1162" spans="1:33" s="1005" customFormat="1" ht="15.75" customHeight="1">
      <c r="A1162" s="1072"/>
      <c r="B1162" s="4523" t="s">
        <v>1432</v>
      </c>
      <c r="C1162" s="4523"/>
      <c r="D1162" s="4523"/>
      <c r="E1162" s="4523"/>
      <c r="F1162" s="4523"/>
      <c r="G1162" s="4523"/>
      <c r="H1162" s="4523"/>
      <c r="I1162" s="4523"/>
      <c r="J1162" s="4523"/>
      <c r="K1162" s="4523"/>
      <c r="L1162" s="4523"/>
      <c r="M1162" s="4523"/>
      <c r="N1162" s="4523"/>
      <c r="O1162" s="4523"/>
      <c r="P1162" s="4524"/>
      <c r="Q1162" s="1073"/>
      <c r="R1162" s="1073"/>
      <c r="S1162" s="1073"/>
      <c r="T1162" s="1073"/>
      <c r="U1162" s="1073"/>
      <c r="V1162" s="1073"/>
      <c r="W1162" s="1073"/>
      <c r="X1162" s="1073"/>
      <c r="Y1162" s="1073"/>
      <c r="Z1162" s="1073"/>
      <c r="AA1162" s="1073"/>
      <c r="AB1162" s="1073"/>
      <c r="AC1162" s="1073"/>
      <c r="AD1162" s="1073"/>
      <c r="AE1162" s="1078"/>
    </row>
    <row r="1163" spans="1:33" s="1005" customFormat="1" ht="15.75" customHeight="1">
      <c r="A1163" s="1079"/>
      <c r="B1163" s="4523" t="s">
        <v>1433</v>
      </c>
      <c r="C1163" s="4523"/>
      <c r="D1163" s="4523"/>
      <c r="E1163" s="4523"/>
      <c r="F1163" s="4523"/>
      <c r="G1163" s="4523"/>
      <c r="H1163" s="4523"/>
      <c r="I1163" s="4523"/>
      <c r="J1163" s="4523"/>
      <c r="K1163" s="4523"/>
      <c r="L1163" s="4523"/>
      <c r="M1163" s="4523"/>
      <c r="N1163" s="4523"/>
      <c r="O1163" s="4523"/>
      <c r="P1163" s="4524"/>
      <c r="Q1163" s="1073"/>
      <c r="R1163" s="1073"/>
      <c r="S1163" s="1073"/>
      <c r="T1163" s="1073"/>
      <c r="U1163" s="1073"/>
      <c r="V1163" s="1073"/>
      <c r="W1163" s="1073"/>
      <c r="X1163" s="1073"/>
      <c r="Y1163" s="1073"/>
      <c r="Z1163" s="1073"/>
      <c r="AA1163" s="1073"/>
      <c r="AB1163" s="1073"/>
      <c r="AC1163" s="1073"/>
      <c r="AD1163" s="1073"/>
      <c r="AE1163" s="1078"/>
    </row>
    <row r="1164" spans="1:33" s="656" customFormat="1" ht="20.25" customHeight="1">
      <c r="A1164" s="4475" t="s">
        <v>909</v>
      </c>
      <c r="B1164" s="4476"/>
      <c r="C1164" s="4476"/>
      <c r="D1164" s="4476"/>
      <c r="E1164" s="4476"/>
      <c r="F1164" s="4476"/>
      <c r="G1164" s="4476"/>
      <c r="H1164" s="4476"/>
      <c r="I1164" s="4476"/>
      <c r="J1164" s="4476"/>
      <c r="K1164" s="4476"/>
      <c r="L1164" s="4476"/>
      <c r="M1164" s="4476"/>
      <c r="N1164" s="4476"/>
      <c r="O1164" s="4476"/>
      <c r="P1164" s="4476"/>
      <c r="Q1164" s="4476"/>
      <c r="R1164" s="4476"/>
      <c r="S1164" s="4476"/>
      <c r="T1164" s="4476"/>
      <c r="U1164" s="4476"/>
      <c r="V1164" s="4476"/>
      <c r="W1164" s="4476"/>
      <c r="X1164" s="4476"/>
      <c r="Y1164" s="4476"/>
      <c r="Z1164" s="4476"/>
      <c r="AA1164" s="4476"/>
      <c r="AB1164" s="4476"/>
      <c r="AC1164" s="4476"/>
      <c r="AD1164" s="4476"/>
      <c r="AE1164" s="4477"/>
    </row>
    <row r="1165" spans="1:33" s="6" customFormat="1" ht="24.75" customHeight="1">
      <c r="A1165" s="439"/>
      <c r="B1165" s="4248" t="s">
        <v>802</v>
      </c>
      <c r="C1165" s="1899">
        <v>2</v>
      </c>
      <c r="D1165" s="1899" t="s">
        <v>107</v>
      </c>
      <c r="E1165" s="1899" t="s">
        <v>196</v>
      </c>
      <c r="F1165" s="1899" t="s">
        <v>65</v>
      </c>
      <c r="G1165" s="1899">
        <v>22</v>
      </c>
      <c r="H1165" s="1899"/>
      <c r="I1165" s="4525" t="s">
        <v>803</v>
      </c>
      <c r="J1165" s="657" t="s">
        <v>804</v>
      </c>
      <c r="K1165" s="597"/>
      <c r="L1165" s="658">
        <f>SUM(L1184:L1189)</f>
        <v>8060005.3200000003</v>
      </c>
      <c r="M1165" s="595"/>
      <c r="N1165" s="659">
        <f>SUM(N1184:N1189)</f>
        <v>2504517.1009999998</v>
      </c>
      <c r="O1165" s="385"/>
      <c r="P1165" s="660">
        <f>SUM(P1184:P1191)</f>
        <v>2080186.3242500001</v>
      </c>
      <c r="Q1165" s="661">
        <v>0</v>
      </c>
      <c r="R1165" s="662">
        <v>114013.14599999999</v>
      </c>
      <c r="S1165" s="385"/>
      <c r="T1165" s="59"/>
      <c r="U1165" s="59"/>
      <c r="V1165" s="59"/>
      <c r="W1165" s="59"/>
      <c r="X1165" s="59"/>
      <c r="Y1165" s="663">
        <f>Q1165+S1165+U1165+W1165</f>
        <v>0</v>
      </c>
      <c r="Z1165" s="664">
        <f>R1165</f>
        <v>114013.14599999999</v>
      </c>
      <c r="AA1165" s="59"/>
      <c r="AB1165" s="665">
        <f>N1165+Z1165</f>
        <v>2618530.247</v>
      </c>
      <c r="AC1165" s="1909"/>
      <c r="AD1165" s="664">
        <f>AB1165/L1165*100</f>
        <v>32.487946881404788</v>
      </c>
      <c r="AE1165" s="1895" t="s">
        <v>805</v>
      </c>
    </row>
    <row r="1166" spans="1:33" s="6" customFormat="1" ht="15">
      <c r="A1166" s="592"/>
      <c r="B1166" s="4405"/>
      <c r="C1166" s="1903"/>
      <c r="D1166" s="1903"/>
      <c r="E1166" s="1903"/>
      <c r="F1166" s="1903"/>
      <c r="G1166" s="1903"/>
      <c r="H1166" s="1903"/>
      <c r="I1166" s="4526"/>
      <c r="J1166" s="667" t="s">
        <v>806</v>
      </c>
      <c r="K1166" s="668">
        <v>84471.905973590474</v>
      </c>
      <c r="L1166" s="386"/>
      <c r="M1166" s="669">
        <v>81786</v>
      </c>
      <c r="N1166" s="670"/>
      <c r="O1166" s="668">
        <v>82280.52853597491</v>
      </c>
      <c r="P1166" s="387"/>
      <c r="Q1166" s="595"/>
      <c r="R1166" s="386"/>
      <c r="S1166" s="385"/>
      <c r="T1166" s="59"/>
      <c r="U1166" s="59"/>
      <c r="V1166" s="59"/>
      <c r="W1166" s="59"/>
      <c r="X1166" s="59"/>
      <c r="Y1166" s="59"/>
      <c r="Z1166" s="664"/>
      <c r="AA1166" s="59"/>
      <c r="AB1166" s="665"/>
      <c r="AC1166" s="1909"/>
      <c r="AD1166" s="664"/>
      <c r="AE1166" s="59"/>
    </row>
    <row r="1167" spans="1:33" s="6" customFormat="1" ht="15">
      <c r="A1167" s="592"/>
      <c r="B1167" s="671"/>
      <c r="C1167" s="1903"/>
      <c r="D1167" s="1903"/>
      <c r="E1167" s="1903"/>
      <c r="F1167" s="1903"/>
      <c r="G1167" s="1903"/>
      <c r="H1167" s="1903"/>
      <c r="I1167" s="666"/>
      <c r="J1167" s="667" t="s">
        <v>807</v>
      </c>
      <c r="K1167" s="668">
        <v>8665.7098756537853</v>
      </c>
      <c r="L1167" s="386"/>
      <c r="M1167" s="669">
        <v>8506</v>
      </c>
      <c r="N1167" s="670"/>
      <c r="O1167" s="668">
        <v>8466.0549479395941</v>
      </c>
      <c r="P1167" s="387"/>
      <c r="Q1167" s="595"/>
      <c r="R1167" s="386"/>
      <c r="S1167" s="385"/>
      <c r="T1167" s="59"/>
      <c r="U1167" s="59"/>
      <c r="V1167" s="59"/>
      <c r="W1167" s="59"/>
      <c r="X1167" s="59"/>
      <c r="Y1167" s="59"/>
      <c r="Z1167" s="664"/>
      <c r="AA1167" s="59"/>
      <c r="AB1167" s="665"/>
      <c r="AC1167" s="1909"/>
      <c r="AD1167" s="664"/>
      <c r="AE1167" s="59"/>
    </row>
    <row r="1168" spans="1:33" s="6" customFormat="1" ht="15">
      <c r="A1168" s="592"/>
      <c r="B1168" s="671"/>
      <c r="C1168" s="1903"/>
      <c r="D1168" s="1903"/>
      <c r="E1168" s="1903"/>
      <c r="F1168" s="1903"/>
      <c r="G1168" s="1903"/>
      <c r="H1168" s="1903"/>
      <c r="I1168" s="666"/>
      <c r="J1168" s="667" t="s">
        <v>808</v>
      </c>
      <c r="K1168" s="668">
        <v>41919.639869005288</v>
      </c>
      <c r="L1168" s="386"/>
      <c r="M1168" s="669">
        <v>40856</v>
      </c>
      <c r="N1168" s="670"/>
      <c r="O1168" s="668">
        <v>41794.132048669002</v>
      </c>
      <c r="P1168" s="387"/>
      <c r="Q1168" s="595"/>
      <c r="R1168" s="386"/>
      <c r="S1168" s="385"/>
      <c r="T1168" s="59"/>
      <c r="U1168" s="59"/>
      <c r="V1168" s="59"/>
      <c r="W1168" s="59"/>
      <c r="X1168" s="59"/>
      <c r="Y1168" s="59"/>
      <c r="Z1168" s="664"/>
      <c r="AA1168" s="59"/>
      <c r="AB1168" s="665"/>
      <c r="AC1168" s="1909"/>
      <c r="AD1168" s="664"/>
      <c r="AE1168" s="59"/>
    </row>
    <row r="1169" spans="1:31" s="6" customFormat="1" ht="15">
      <c r="A1169" s="592"/>
      <c r="B1169" s="671"/>
      <c r="C1169" s="1903"/>
      <c r="D1169" s="1903"/>
      <c r="E1169" s="1903"/>
      <c r="F1169" s="1903"/>
      <c r="G1169" s="1903"/>
      <c r="H1169" s="1903"/>
      <c r="I1169" s="666"/>
      <c r="J1169" s="667" t="s">
        <v>809</v>
      </c>
      <c r="K1169" s="668">
        <v>813634.56146209792</v>
      </c>
      <c r="L1169" s="386"/>
      <c r="M1169" s="669">
        <v>787857</v>
      </c>
      <c r="N1169" s="670"/>
      <c r="O1169" s="668">
        <v>796547.35583316814</v>
      </c>
      <c r="P1169" s="387"/>
      <c r="Q1169" s="595"/>
      <c r="R1169" s="386"/>
      <c r="S1169" s="385"/>
      <c r="T1169" s="59"/>
      <c r="U1169" s="59"/>
      <c r="V1169" s="59"/>
      <c r="W1169" s="59"/>
      <c r="X1169" s="59"/>
      <c r="Y1169" s="59"/>
      <c r="Z1169" s="664"/>
      <c r="AA1169" s="59"/>
      <c r="AB1169" s="665"/>
      <c r="AC1169" s="1909"/>
      <c r="AD1169" s="664"/>
      <c r="AE1169" s="59"/>
    </row>
    <row r="1170" spans="1:31" s="6" customFormat="1" ht="15">
      <c r="A1170" s="592"/>
      <c r="B1170" s="671"/>
      <c r="C1170" s="1903"/>
      <c r="D1170" s="1903"/>
      <c r="E1170" s="1903"/>
      <c r="F1170" s="1903"/>
      <c r="G1170" s="1903"/>
      <c r="H1170" s="1903"/>
      <c r="I1170" s="666"/>
      <c r="J1170" s="667" t="s">
        <v>810</v>
      </c>
      <c r="K1170" s="668">
        <v>114310.15814531251</v>
      </c>
      <c r="L1170" s="386"/>
      <c r="M1170" s="669">
        <v>97500</v>
      </c>
      <c r="N1170" s="670"/>
      <c r="O1170" s="668">
        <v>98745.412500000006</v>
      </c>
      <c r="P1170" s="387"/>
      <c r="Q1170" s="595"/>
      <c r="R1170" s="386"/>
      <c r="S1170" s="385"/>
      <c r="T1170" s="59"/>
      <c r="U1170" s="59"/>
      <c r="V1170" s="59"/>
      <c r="W1170" s="59"/>
      <c r="X1170" s="59"/>
      <c r="Y1170" s="59"/>
      <c r="Z1170" s="664"/>
      <c r="AA1170" s="59"/>
      <c r="AB1170" s="665"/>
      <c r="AC1170" s="1909"/>
      <c r="AD1170" s="664"/>
      <c r="AE1170" s="59"/>
    </row>
    <row r="1171" spans="1:31" s="6" customFormat="1" ht="25.5">
      <c r="A1171" s="592"/>
      <c r="B1171" s="671"/>
      <c r="C1171" s="1903"/>
      <c r="D1171" s="1903"/>
      <c r="E1171" s="1903"/>
      <c r="F1171" s="1903"/>
      <c r="G1171" s="1903"/>
      <c r="H1171" s="1903"/>
      <c r="I1171" s="666"/>
      <c r="J1171" s="667" t="s">
        <v>811</v>
      </c>
      <c r="K1171" s="668">
        <v>2107620.2392578125</v>
      </c>
      <c r="L1171" s="386"/>
      <c r="M1171" s="669">
        <v>1734200</v>
      </c>
      <c r="N1171" s="670"/>
      <c r="O1171" s="668">
        <v>1079101.5625</v>
      </c>
      <c r="P1171" s="387"/>
      <c r="Q1171" s="595"/>
      <c r="R1171" s="386"/>
      <c r="S1171" s="385"/>
      <c r="T1171" s="59"/>
      <c r="U1171" s="59"/>
      <c r="V1171" s="59"/>
      <c r="W1171" s="59"/>
      <c r="X1171" s="59"/>
      <c r="Y1171" s="59"/>
      <c r="Z1171" s="664"/>
      <c r="AA1171" s="59"/>
      <c r="AB1171" s="665"/>
      <c r="AC1171" s="1909"/>
      <c r="AD1171" s="664"/>
      <c r="AE1171" s="59"/>
    </row>
    <row r="1172" spans="1:31" s="6" customFormat="1" ht="15">
      <c r="A1172" s="592"/>
      <c r="B1172" s="671"/>
      <c r="C1172" s="1903"/>
      <c r="D1172" s="1903"/>
      <c r="E1172" s="1903"/>
      <c r="F1172" s="1903"/>
      <c r="G1172" s="1903"/>
      <c r="H1172" s="1903"/>
      <c r="I1172" s="666"/>
      <c r="J1172" s="667" t="s">
        <v>812</v>
      </c>
      <c r="K1172" s="668">
        <v>157021.12219705051</v>
      </c>
      <c r="L1172" s="386"/>
      <c r="M1172" s="669">
        <v>157266</v>
      </c>
      <c r="N1172" s="670"/>
      <c r="O1172" s="668">
        <v>152403.154221</v>
      </c>
      <c r="P1172" s="387"/>
      <c r="Q1172" s="595"/>
      <c r="R1172" s="386"/>
      <c r="S1172" s="385"/>
      <c r="T1172" s="59"/>
      <c r="U1172" s="59"/>
      <c r="V1172" s="59"/>
      <c r="W1172" s="59"/>
      <c r="X1172" s="59"/>
      <c r="Y1172" s="59"/>
      <c r="Z1172" s="664"/>
      <c r="AA1172" s="59"/>
      <c r="AB1172" s="665"/>
      <c r="AC1172" s="1909"/>
      <c r="AD1172" s="664"/>
      <c r="AE1172" s="59"/>
    </row>
    <row r="1173" spans="1:31" s="6" customFormat="1" ht="27.75" customHeight="1">
      <c r="A1173" s="592"/>
      <c r="B1173" s="671"/>
      <c r="C1173" s="1903"/>
      <c r="D1173" s="1903"/>
      <c r="E1173" s="1903"/>
      <c r="F1173" s="1903"/>
      <c r="G1173" s="1903"/>
      <c r="H1173" s="1903"/>
      <c r="I1173" s="666"/>
      <c r="J1173" s="667" t="s">
        <v>813</v>
      </c>
      <c r="K1173" s="672"/>
      <c r="L1173" s="386"/>
      <c r="M1173" s="595"/>
      <c r="N1173" s="670"/>
      <c r="O1173" s="668"/>
      <c r="P1173" s="387"/>
      <c r="Q1173" s="595"/>
      <c r="R1173" s="386"/>
      <c r="S1173" s="385"/>
      <c r="T1173" s="59"/>
      <c r="U1173" s="59"/>
      <c r="V1173" s="59"/>
      <c r="W1173" s="59"/>
      <c r="X1173" s="59"/>
      <c r="Y1173" s="59"/>
      <c r="Z1173" s="664"/>
      <c r="AA1173" s="59"/>
      <c r="AB1173" s="665"/>
      <c r="AC1173" s="1909"/>
      <c r="AD1173" s="664"/>
      <c r="AE1173" s="59"/>
    </row>
    <row r="1174" spans="1:31" s="6" customFormat="1" ht="15">
      <c r="A1174" s="592"/>
      <c r="B1174" s="671"/>
      <c r="C1174" s="1903"/>
      <c r="D1174" s="1903"/>
      <c r="E1174" s="1903"/>
      <c r="F1174" s="1903"/>
      <c r="G1174" s="1903"/>
      <c r="H1174" s="1903"/>
      <c r="I1174" s="666"/>
      <c r="J1174" s="667" t="s">
        <v>814</v>
      </c>
      <c r="K1174" s="668">
        <v>1397267.2210386631</v>
      </c>
      <c r="L1174" s="386"/>
      <c r="M1174" s="669">
        <v>1354022</v>
      </c>
      <c r="N1174" s="670"/>
      <c r="O1174" s="668">
        <v>1367562.0584000191</v>
      </c>
      <c r="P1174" s="387"/>
      <c r="Q1174" s="595"/>
      <c r="R1174" s="386"/>
      <c r="S1174" s="385"/>
      <c r="T1174" s="59"/>
      <c r="U1174" s="59"/>
      <c r="V1174" s="59"/>
      <c r="W1174" s="59"/>
      <c r="X1174" s="59"/>
      <c r="Y1174" s="59"/>
      <c r="Z1174" s="664"/>
      <c r="AA1174" s="59"/>
      <c r="AB1174" s="665"/>
      <c r="AC1174" s="1909"/>
      <c r="AD1174" s="664"/>
      <c r="AE1174" s="59"/>
    </row>
    <row r="1175" spans="1:31" s="6" customFormat="1" ht="15">
      <c r="A1175" s="592"/>
      <c r="B1175" s="671"/>
      <c r="C1175" s="1903"/>
      <c r="D1175" s="1903"/>
      <c r="E1175" s="1903"/>
      <c r="F1175" s="1903"/>
      <c r="G1175" s="1903"/>
      <c r="H1175" s="1903"/>
      <c r="I1175" s="666"/>
      <c r="J1175" s="667" t="s">
        <v>815</v>
      </c>
      <c r="K1175" s="668">
        <v>55113.991256118708</v>
      </c>
      <c r="L1175" s="386"/>
      <c r="M1175" s="669">
        <v>40520</v>
      </c>
      <c r="N1175" s="670"/>
      <c r="O1175" s="668">
        <v>40925.199999999997</v>
      </c>
      <c r="P1175" s="387"/>
      <c r="Q1175" s="595"/>
      <c r="R1175" s="386"/>
      <c r="S1175" s="385"/>
      <c r="T1175" s="59"/>
      <c r="U1175" s="59"/>
      <c r="V1175" s="59"/>
      <c r="W1175" s="59"/>
      <c r="X1175" s="59"/>
      <c r="Y1175" s="59"/>
      <c r="Z1175" s="664"/>
      <c r="AA1175" s="59"/>
      <c r="AB1175" s="665"/>
      <c r="AC1175" s="1909"/>
      <c r="AD1175" s="664"/>
      <c r="AE1175" s="59"/>
    </row>
    <row r="1176" spans="1:31" s="6" customFormat="1" ht="15">
      <c r="A1176" s="592"/>
      <c r="B1176" s="671"/>
      <c r="C1176" s="1903"/>
      <c r="D1176" s="1903"/>
      <c r="E1176" s="1903"/>
      <c r="F1176" s="1903"/>
      <c r="G1176" s="1903"/>
      <c r="H1176" s="1903"/>
      <c r="I1176" s="666"/>
      <c r="J1176" s="667" t="s">
        <v>816</v>
      </c>
      <c r="K1176" s="668">
        <v>50704.49636868095</v>
      </c>
      <c r="L1176" s="386"/>
      <c r="M1176" s="669">
        <v>44958</v>
      </c>
      <c r="N1176" s="670"/>
      <c r="O1176" s="668">
        <v>41708.836600000002</v>
      </c>
      <c r="P1176" s="387"/>
      <c r="Q1176" s="595"/>
      <c r="R1176" s="386"/>
      <c r="S1176" s="385"/>
      <c r="T1176" s="59"/>
      <c r="U1176" s="59"/>
      <c r="V1176" s="59"/>
      <c r="W1176" s="59"/>
      <c r="X1176" s="59"/>
      <c r="Y1176" s="59"/>
      <c r="Z1176" s="664"/>
      <c r="AA1176" s="59"/>
      <c r="AB1176" s="665"/>
      <c r="AC1176" s="1909"/>
      <c r="AD1176" s="664"/>
      <c r="AE1176" s="59"/>
    </row>
    <row r="1177" spans="1:31" s="6" customFormat="1" ht="27.75" customHeight="1">
      <c r="A1177" s="592"/>
      <c r="B1177" s="671"/>
      <c r="C1177" s="1903"/>
      <c r="D1177" s="1903"/>
      <c r="E1177" s="1903"/>
      <c r="F1177" s="1903"/>
      <c r="G1177" s="1903"/>
      <c r="H1177" s="1903"/>
      <c r="I1177" s="666"/>
      <c r="J1177" s="667" t="s">
        <v>817</v>
      </c>
      <c r="K1177" s="668">
        <v>872623.06716810004</v>
      </c>
      <c r="L1177" s="386"/>
      <c r="M1177" s="669">
        <v>965301</v>
      </c>
      <c r="N1177" s="670"/>
      <c r="O1177" s="668">
        <v>974954.01</v>
      </c>
      <c r="P1177" s="387"/>
      <c r="Q1177" s="595"/>
      <c r="R1177" s="386"/>
      <c r="S1177" s="385"/>
      <c r="T1177" s="59"/>
      <c r="U1177" s="59"/>
      <c r="V1177" s="59"/>
      <c r="W1177" s="59"/>
      <c r="X1177" s="59"/>
      <c r="Y1177" s="59"/>
      <c r="Z1177" s="664"/>
      <c r="AA1177" s="59"/>
      <c r="AB1177" s="665"/>
      <c r="AC1177" s="1909"/>
      <c r="AD1177" s="664"/>
      <c r="AE1177" s="59"/>
    </row>
    <row r="1178" spans="1:31" s="6" customFormat="1" ht="27.75" customHeight="1">
      <c r="A1178" s="592"/>
      <c r="B1178" s="671"/>
      <c r="C1178" s="1903"/>
      <c r="D1178" s="1903"/>
      <c r="E1178" s="1903"/>
      <c r="F1178" s="1903"/>
      <c r="G1178" s="1903"/>
      <c r="H1178" s="1903"/>
      <c r="I1178" s="666"/>
      <c r="J1178" s="667" t="s">
        <v>818</v>
      </c>
      <c r="K1178" s="668">
        <v>47152.940234941409</v>
      </c>
      <c r="L1178" s="386"/>
      <c r="M1178" s="669">
        <v>71162</v>
      </c>
      <c r="N1178" s="670"/>
      <c r="O1178" s="668">
        <v>71174.441699999996</v>
      </c>
      <c r="P1178" s="387"/>
      <c r="Q1178" s="595"/>
      <c r="R1178" s="386"/>
      <c r="S1178" s="385"/>
      <c r="T1178" s="59"/>
      <c r="U1178" s="59"/>
      <c r="V1178" s="59"/>
      <c r="W1178" s="59"/>
      <c r="X1178" s="59"/>
      <c r="Y1178" s="59"/>
      <c r="Z1178" s="664"/>
      <c r="AA1178" s="59"/>
      <c r="AB1178" s="665"/>
      <c r="AC1178" s="1909"/>
      <c r="AD1178" s="664"/>
      <c r="AE1178" s="59"/>
    </row>
    <row r="1179" spans="1:31" s="6" customFormat="1" ht="27.75" customHeight="1">
      <c r="A1179" s="592"/>
      <c r="B1179" s="671"/>
      <c r="C1179" s="1903"/>
      <c r="D1179" s="1903"/>
      <c r="E1179" s="1903"/>
      <c r="F1179" s="1903"/>
      <c r="G1179" s="1903"/>
      <c r="H1179" s="1903"/>
      <c r="I1179" s="666"/>
      <c r="J1179" s="667" t="s">
        <v>819</v>
      </c>
      <c r="K1179" s="668">
        <v>1686623</v>
      </c>
      <c r="L1179" s="386"/>
      <c r="M1179" s="669">
        <v>1886261</v>
      </c>
      <c r="N1179" s="670"/>
      <c r="O1179" s="668">
        <v>1894581.297271</v>
      </c>
      <c r="P1179" s="387"/>
      <c r="Q1179" s="595"/>
      <c r="R1179" s="386"/>
      <c r="S1179" s="385"/>
      <c r="T1179" s="59"/>
      <c r="U1179" s="59"/>
      <c r="V1179" s="59"/>
      <c r="W1179" s="59"/>
      <c r="X1179" s="59"/>
      <c r="Y1179" s="59"/>
      <c r="Z1179" s="664"/>
      <c r="AA1179" s="59"/>
      <c r="AB1179" s="665"/>
      <c r="AC1179" s="1909"/>
      <c r="AD1179" s="664"/>
      <c r="AE1179" s="59"/>
    </row>
    <row r="1180" spans="1:31" s="6" customFormat="1" ht="15">
      <c r="A1180" s="592"/>
      <c r="B1180" s="671"/>
      <c r="C1180" s="1903"/>
      <c r="D1180" s="1903"/>
      <c r="E1180" s="1903"/>
      <c r="F1180" s="1903"/>
      <c r="G1180" s="1903"/>
      <c r="H1180" s="1903"/>
      <c r="I1180" s="666"/>
      <c r="J1180" s="667" t="s">
        <v>820</v>
      </c>
      <c r="K1180" s="668">
        <v>64771.212906283334</v>
      </c>
      <c r="L1180" s="386"/>
      <c r="M1180" s="669">
        <v>92447</v>
      </c>
      <c r="N1180" s="670"/>
      <c r="O1180" s="653">
        <v>94227.657099999997</v>
      </c>
      <c r="P1180" s="387"/>
      <c r="Q1180" s="595"/>
      <c r="R1180" s="386"/>
      <c r="S1180" s="385"/>
      <c r="T1180" s="59"/>
      <c r="U1180" s="59"/>
      <c r="V1180" s="59"/>
      <c r="W1180" s="59"/>
      <c r="X1180" s="59"/>
      <c r="Y1180" s="59"/>
      <c r="Z1180" s="664"/>
      <c r="AA1180" s="59"/>
      <c r="AB1180" s="665"/>
      <c r="AC1180" s="1909"/>
      <c r="AD1180" s="664"/>
      <c r="AE1180" s="59"/>
    </row>
    <row r="1181" spans="1:31" s="6" customFormat="1" ht="15">
      <c r="A1181" s="592"/>
      <c r="B1181" s="671"/>
      <c r="C1181" s="1903"/>
      <c r="D1181" s="1903"/>
      <c r="E1181" s="1903"/>
      <c r="F1181" s="1903"/>
      <c r="G1181" s="1903"/>
      <c r="H1181" s="1903"/>
      <c r="I1181" s="666"/>
      <c r="J1181" s="667" t="s">
        <v>821</v>
      </c>
      <c r="K1181" s="668">
        <v>727012.60580418748</v>
      </c>
      <c r="L1181" s="386"/>
      <c r="M1181" s="669">
        <v>751725</v>
      </c>
      <c r="N1181" s="670"/>
      <c r="O1181" s="654">
        <v>628020.82349999994</v>
      </c>
      <c r="P1181" s="387"/>
      <c r="Q1181" s="595"/>
      <c r="R1181" s="386"/>
      <c r="S1181" s="385"/>
      <c r="T1181" s="59"/>
      <c r="U1181" s="59"/>
      <c r="V1181" s="59"/>
      <c r="W1181" s="59"/>
      <c r="X1181" s="59"/>
      <c r="Y1181" s="59"/>
      <c r="Z1181" s="664"/>
      <c r="AA1181" s="59"/>
      <c r="AB1181" s="665"/>
      <c r="AC1181" s="1909"/>
      <c r="AD1181" s="664"/>
      <c r="AE1181" s="59"/>
    </row>
    <row r="1182" spans="1:31" s="6" customFormat="1" ht="15">
      <c r="A1182" s="592"/>
      <c r="B1182" s="671"/>
      <c r="C1182" s="1903"/>
      <c r="D1182" s="1903"/>
      <c r="E1182" s="1903"/>
      <c r="F1182" s="1903"/>
      <c r="G1182" s="1903"/>
      <c r="H1182" s="1903"/>
      <c r="I1182" s="666"/>
      <c r="J1182" s="667" t="s">
        <v>822</v>
      </c>
      <c r="K1182" s="668">
        <v>341726.51581408113</v>
      </c>
      <c r="L1182" s="386"/>
      <c r="M1182" s="669">
        <v>503243</v>
      </c>
      <c r="N1182" s="670"/>
      <c r="O1182" s="654">
        <v>334549.88944993058</v>
      </c>
      <c r="P1182" s="387"/>
      <c r="Q1182" s="595"/>
      <c r="R1182" s="386"/>
      <c r="S1182" s="385"/>
      <c r="T1182" s="59"/>
      <c r="U1182" s="59"/>
      <c r="V1182" s="59"/>
      <c r="W1182" s="59"/>
      <c r="X1182" s="59"/>
      <c r="Y1182" s="59"/>
      <c r="Z1182" s="664"/>
      <c r="AA1182" s="59"/>
      <c r="AB1182" s="665"/>
      <c r="AC1182" s="1909"/>
      <c r="AD1182" s="664"/>
      <c r="AE1182" s="59"/>
    </row>
    <row r="1183" spans="1:31" s="6" customFormat="1" ht="15">
      <c r="A1183" s="59"/>
      <c r="B1183" s="673"/>
      <c r="C1183" s="1900"/>
      <c r="D1183" s="1900"/>
      <c r="E1183" s="1900"/>
      <c r="F1183" s="1900"/>
      <c r="G1183" s="1900"/>
      <c r="H1183" s="1900"/>
      <c r="I1183" s="674"/>
      <c r="J1183" s="667" t="s">
        <v>823</v>
      </c>
      <c r="K1183" s="668">
        <v>716016.31721855025</v>
      </c>
      <c r="L1183" s="386"/>
      <c r="M1183" s="669">
        <v>863392</v>
      </c>
      <c r="N1183" s="670"/>
      <c r="O1183" s="654">
        <v>694958.38324776001</v>
      </c>
      <c r="P1183" s="387"/>
      <c r="Q1183" s="595"/>
      <c r="R1183" s="386"/>
      <c r="S1183" s="385"/>
      <c r="T1183" s="59"/>
      <c r="U1183" s="59"/>
      <c r="V1183" s="59"/>
      <c r="W1183" s="59"/>
      <c r="X1183" s="59"/>
      <c r="Y1183" s="59"/>
      <c r="Z1183" s="664"/>
      <c r="AA1183" s="59"/>
      <c r="AB1183" s="665"/>
      <c r="AC1183" s="1909"/>
      <c r="AD1183" s="664"/>
      <c r="AE1183" s="59"/>
    </row>
    <row r="1184" spans="1:31" s="6" customFormat="1" ht="27.75" customHeight="1">
      <c r="A1184" s="59"/>
      <c r="B1184" s="634"/>
      <c r="C1184" s="1900"/>
      <c r="D1184" s="1900"/>
      <c r="E1184" s="1900"/>
      <c r="F1184" s="1900"/>
      <c r="G1184" s="1900"/>
      <c r="H1184" s="1900"/>
      <c r="I1184" s="675" t="s">
        <v>824</v>
      </c>
      <c r="J1184" s="676" t="s">
        <v>825</v>
      </c>
      <c r="K1184" s="672">
        <v>60</v>
      </c>
      <c r="L1184" s="672">
        <v>1985984</v>
      </c>
      <c r="M1184" s="677">
        <v>24</v>
      </c>
      <c r="N1184" s="677">
        <f>320364.822+255030.078</f>
        <v>575394.9</v>
      </c>
      <c r="O1184" s="677">
        <v>12</v>
      </c>
      <c r="P1184" s="660">
        <v>207376.323</v>
      </c>
      <c r="Q1184" s="661">
        <v>3</v>
      </c>
      <c r="R1184" s="662">
        <v>19455.633999999998</v>
      </c>
      <c r="S1184" s="385"/>
      <c r="T1184" s="59"/>
      <c r="U1184" s="59"/>
      <c r="V1184" s="59"/>
      <c r="W1184" s="59"/>
      <c r="X1184" s="59"/>
      <c r="Y1184" s="663">
        <f t="shared" ref="Y1184:Y1213" si="222">Q1184+S1184+U1184+W1184</f>
        <v>3</v>
      </c>
      <c r="Z1184" s="664">
        <f t="shared" ref="Z1184:Z1213" si="223">R1184</f>
        <v>19455.633999999998</v>
      </c>
      <c r="AA1184" s="678">
        <f>M1184+Y1184</f>
        <v>27</v>
      </c>
      <c r="AB1184" s="665">
        <f>N1184+Z1184</f>
        <v>594850.53399999999</v>
      </c>
      <c r="AC1184" s="679">
        <f t="shared" ref="AC1184:AD1199" si="224">AA1184/K1184*100</f>
        <v>45</v>
      </c>
      <c r="AD1184" s="664">
        <f t="shared" si="224"/>
        <v>29.952433352937387</v>
      </c>
      <c r="AE1184" s="1901" t="s">
        <v>826</v>
      </c>
    </row>
    <row r="1185" spans="1:31" s="6" customFormat="1" ht="27.75" customHeight="1">
      <c r="A1185" s="59"/>
      <c r="B1185" s="634"/>
      <c r="C1185" s="1900"/>
      <c r="D1185" s="1900"/>
      <c r="E1185" s="1900"/>
      <c r="F1185" s="1900"/>
      <c r="G1185" s="1900"/>
      <c r="H1185" s="1900"/>
      <c r="I1185" s="680" t="s">
        <v>827</v>
      </c>
      <c r="J1185" s="384" t="s">
        <v>828</v>
      </c>
      <c r="K1185" s="681">
        <v>68000</v>
      </c>
      <c r="L1185" s="677">
        <f>1424584627/1000</f>
        <v>1424584.6270000001</v>
      </c>
      <c r="M1185" s="682">
        <v>22000</v>
      </c>
      <c r="N1185" s="677">
        <f>238514.212+275287.9</f>
        <v>513802.11200000002</v>
      </c>
      <c r="O1185" s="682">
        <v>11000</v>
      </c>
      <c r="P1185" s="660">
        <v>227091.84400000001</v>
      </c>
      <c r="Q1185" s="661">
        <v>0</v>
      </c>
      <c r="R1185" s="662">
        <v>4542</v>
      </c>
      <c r="S1185" s="385"/>
      <c r="T1185" s="59"/>
      <c r="U1185" s="59"/>
      <c r="V1185" s="59"/>
      <c r="W1185" s="59"/>
      <c r="X1185" s="59"/>
      <c r="Y1185" s="61">
        <f t="shared" si="222"/>
        <v>0</v>
      </c>
      <c r="Z1185" s="664">
        <f t="shared" si="223"/>
        <v>4542</v>
      </c>
      <c r="AA1185" s="678">
        <f t="shared" ref="AA1185:AB1212" si="225">M1185+Y1185</f>
        <v>22000</v>
      </c>
      <c r="AB1185" s="665">
        <f t="shared" si="225"/>
        <v>518344.11200000002</v>
      </c>
      <c r="AC1185" s="679">
        <f t="shared" si="224"/>
        <v>32.352941176470587</v>
      </c>
      <c r="AD1185" s="664">
        <f t="shared" si="224"/>
        <v>36.385631444835184</v>
      </c>
      <c r="AE1185" s="1901" t="s">
        <v>826</v>
      </c>
    </row>
    <row r="1186" spans="1:31" s="6" customFormat="1" ht="27.75" customHeight="1">
      <c r="A1186" s="59"/>
      <c r="B1186" s="634"/>
      <c r="C1186" s="1900"/>
      <c r="D1186" s="1900"/>
      <c r="E1186" s="1900"/>
      <c r="F1186" s="1900"/>
      <c r="G1186" s="1900"/>
      <c r="H1186" s="1900"/>
      <c r="I1186" s="680" t="s">
        <v>829</v>
      </c>
      <c r="J1186" s="634" t="s">
        <v>830</v>
      </c>
      <c r="K1186" s="681">
        <v>35000</v>
      </c>
      <c r="L1186" s="677">
        <f>2208956866/1000</f>
        <v>2208956.8659999999</v>
      </c>
      <c r="M1186" s="683">
        <v>16361</v>
      </c>
      <c r="N1186" s="677">
        <f>343324.18+328259.571</f>
        <v>671583.75099999993</v>
      </c>
      <c r="O1186" s="682">
        <v>4000</v>
      </c>
      <c r="P1186" s="660">
        <v>375310.80800000002</v>
      </c>
      <c r="Q1186" s="661">
        <v>2900</v>
      </c>
      <c r="R1186" s="662">
        <v>26576.936000000002</v>
      </c>
      <c r="S1186" s="385"/>
      <c r="T1186" s="59"/>
      <c r="U1186" s="59"/>
      <c r="V1186" s="59"/>
      <c r="W1186" s="59"/>
      <c r="X1186" s="59"/>
      <c r="Y1186" s="663">
        <f t="shared" si="222"/>
        <v>2900</v>
      </c>
      <c r="Z1186" s="664">
        <f t="shared" si="223"/>
        <v>26576.936000000002</v>
      </c>
      <c r="AA1186" s="678">
        <f t="shared" si="225"/>
        <v>19261</v>
      </c>
      <c r="AB1186" s="665">
        <f t="shared" si="225"/>
        <v>698160.68699999992</v>
      </c>
      <c r="AC1186" s="679">
        <f t="shared" si="224"/>
        <v>55.031428571428577</v>
      </c>
      <c r="AD1186" s="664">
        <f t="shared" si="224"/>
        <v>31.605899496998141</v>
      </c>
      <c r="AE1186" s="1901" t="s">
        <v>826</v>
      </c>
    </row>
    <row r="1187" spans="1:31" s="6" customFormat="1" ht="27.75" customHeight="1">
      <c r="A1187" s="59"/>
      <c r="B1187" s="634"/>
      <c r="C1187" s="1900"/>
      <c r="D1187" s="1900"/>
      <c r="E1187" s="1900"/>
      <c r="F1187" s="1900"/>
      <c r="G1187" s="1900"/>
      <c r="H1187" s="1900"/>
      <c r="I1187" s="680" t="s">
        <v>831</v>
      </c>
      <c r="J1187" s="384" t="s">
        <v>832</v>
      </c>
      <c r="K1187" s="634">
        <v>740</v>
      </c>
      <c r="L1187" s="677">
        <f>1319818845/1000</f>
        <v>1319818.845</v>
      </c>
      <c r="M1187" s="677">
        <v>160</v>
      </c>
      <c r="N1187" s="677">
        <f>222123.296+208458.082</f>
        <v>430581.37800000003</v>
      </c>
      <c r="O1187" s="677">
        <v>80</v>
      </c>
      <c r="P1187" s="660">
        <v>173912.93599999999</v>
      </c>
      <c r="Q1187" s="661">
        <v>150</v>
      </c>
      <c r="R1187" s="662">
        <v>19816.7</v>
      </c>
      <c r="S1187" s="385"/>
      <c r="T1187" s="59"/>
      <c r="U1187" s="59"/>
      <c r="V1187" s="59"/>
      <c r="W1187" s="59"/>
      <c r="X1187" s="59"/>
      <c r="Y1187" s="663">
        <f t="shared" si="222"/>
        <v>150</v>
      </c>
      <c r="Z1187" s="664">
        <f t="shared" si="223"/>
        <v>19816.7</v>
      </c>
      <c r="AA1187" s="678">
        <f t="shared" si="225"/>
        <v>310</v>
      </c>
      <c r="AB1187" s="665">
        <f t="shared" si="225"/>
        <v>450398.07800000004</v>
      </c>
      <c r="AC1187" s="679">
        <f t="shared" si="224"/>
        <v>41.891891891891895</v>
      </c>
      <c r="AD1187" s="664">
        <f t="shared" si="224"/>
        <v>34.125749886530834</v>
      </c>
      <c r="AE1187" s="1901" t="s">
        <v>826</v>
      </c>
    </row>
    <row r="1188" spans="1:31" s="6" customFormat="1" ht="27.75" customHeight="1">
      <c r="A1188" s="59"/>
      <c r="B1188" s="634"/>
      <c r="C1188" s="1900"/>
      <c r="D1188" s="1900"/>
      <c r="E1188" s="1900"/>
      <c r="F1188" s="1900"/>
      <c r="G1188" s="1900"/>
      <c r="H1188" s="1900"/>
      <c r="I1188" s="680" t="s">
        <v>833</v>
      </c>
      <c r="J1188" s="384" t="s">
        <v>834</v>
      </c>
      <c r="K1188" s="681">
        <v>31000</v>
      </c>
      <c r="L1188" s="677">
        <f>687301760/1000</f>
        <v>687301.76</v>
      </c>
      <c r="M1188" s="682">
        <v>8000</v>
      </c>
      <c r="N1188" s="677">
        <f>137619.31+88649.03</f>
        <v>226268.34</v>
      </c>
      <c r="O1188" s="682">
        <v>1500</v>
      </c>
      <c r="P1188" s="660">
        <v>113528.833</v>
      </c>
      <c r="Q1188" s="661">
        <v>0</v>
      </c>
      <c r="R1188" s="662">
        <v>5070.7510000000002</v>
      </c>
      <c r="S1188" s="385"/>
      <c r="T1188" s="59"/>
      <c r="U1188" s="59"/>
      <c r="V1188" s="59"/>
      <c r="W1188" s="59"/>
      <c r="X1188" s="59"/>
      <c r="Y1188" s="663">
        <f t="shared" si="222"/>
        <v>0</v>
      </c>
      <c r="Z1188" s="664">
        <f t="shared" si="223"/>
        <v>5070.7510000000002</v>
      </c>
      <c r="AA1188" s="678">
        <f t="shared" si="225"/>
        <v>8000</v>
      </c>
      <c r="AB1188" s="665">
        <f t="shared" si="225"/>
        <v>231339.09099999999</v>
      </c>
      <c r="AC1188" s="679">
        <f t="shared" si="224"/>
        <v>25.806451612903224</v>
      </c>
      <c r="AD1188" s="664">
        <f t="shared" si="224"/>
        <v>33.65902787736205</v>
      </c>
      <c r="AE1188" s="1901" t="s">
        <v>826</v>
      </c>
    </row>
    <row r="1189" spans="1:31" s="6" customFormat="1" ht="27.75" customHeight="1">
      <c r="A1189" s="59"/>
      <c r="B1189" s="634"/>
      <c r="C1189" s="1900"/>
      <c r="D1189" s="1900"/>
      <c r="E1189" s="1900"/>
      <c r="F1189" s="1900"/>
      <c r="G1189" s="1900"/>
      <c r="H1189" s="1900"/>
      <c r="I1189" s="680" t="s">
        <v>835</v>
      </c>
      <c r="J1189" s="384" t="s">
        <v>836</v>
      </c>
      <c r="K1189" s="681">
        <v>6000</v>
      </c>
      <c r="L1189" s="677">
        <f>433359222/1000</f>
        <v>433359.22200000001</v>
      </c>
      <c r="M1189" s="682">
        <v>1500</v>
      </c>
      <c r="N1189" s="684">
        <v>86886.62</v>
      </c>
      <c r="O1189" s="682">
        <v>1500</v>
      </c>
      <c r="P1189" s="660">
        <v>63212.339</v>
      </c>
      <c r="Q1189" s="661">
        <v>0</v>
      </c>
      <c r="R1189" s="662">
        <v>4625.2250000000004</v>
      </c>
      <c r="S1189" s="385"/>
      <c r="T1189" s="59"/>
      <c r="U1189" s="59"/>
      <c r="V1189" s="59"/>
      <c r="W1189" s="59"/>
      <c r="X1189" s="59"/>
      <c r="Y1189" s="663">
        <f t="shared" si="222"/>
        <v>0</v>
      </c>
      <c r="Z1189" s="664">
        <f t="shared" si="223"/>
        <v>4625.2250000000004</v>
      </c>
      <c r="AA1189" s="678">
        <f t="shared" si="225"/>
        <v>1500</v>
      </c>
      <c r="AB1189" s="665">
        <f t="shared" si="225"/>
        <v>91511.845000000001</v>
      </c>
      <c r="AC1189" s="679">
        <f t="shared" si="224"/>
        <v>25</v>
      </c>
      <c r="AD1189" s="664">
        <f t="shared" si="224"/>
        <v>21.116856490941366</v>
      </c>
      <c r="AE1189" s="1901" t="s">
        <v>826</v>
      </c>
    </row>
    <row r="1190" spans="1:31" s="6" customFormat="1" ht="27.75" customHeight="1">
      <c r="A1190" s="59"/>
      <c r="B1190" s="685"/>
      <c r="C1190" s="1900"/>
      <c r="D1190" s="1900"/>
      <c r="E1190" s="1900"/>
      <c r="F1190" s="1900"/>
      <c r="G1190" s="1900"/>
      <c r="H1190" s="1900"/>
      <c r="I1190" s="686" t="s">
        <v>837</v>
      </c>
      <c r="J1190" s="384" t="s">
        <v>838</v>
      </c>
      <c r="K1190" s="655">
        <v>12</v>
      </c>
      <c r="L1190" s="687">
        <v>3000000</v>
      </c>
      <c r="M1190" s="655">
        <v>4</v>
      </c>
      <c r="N1190" s="662">
        <f>532501.85+30614.584</f>
        <v>563116.43400000001</v>
      </c>
      <c r="O1190" s="655">
        <v>4</v>
      </c>
      <c r="P1190" s="660">
        <v>500000</v>
      </c>
      <c r="Q1190" s="669">
        <v>0</v>
      </c>
      <c r="R1190" s="662">
        <v>30000</v>
      </c>
      <c r="S1190" s="385"/>
      <c r="T1190" s="59"/>
      <c r="U1190" s="59"/>
      <c r="V1190" s="59"/>
      <c r="W1190" s="59"/>
      <c r="X1190" s="59"/>
      <c r="Y1190" s="61">
        <f>Q1190+S1190+U1190+W1190</f>
        <v>0</v>
      </c>
      <c r="Z1190" s="664">
        <f>R1190</f>
        <v>30000</v>
      </c>
      <c r="AA1190" s="678">
        <f t="shared" si="225"/>
        <v>4</v>
      </c>
      <c r="AB1190" s="665">
        <f>N1190+Z1190</f>
        <v>593116.43400000001</v>
      </c>
      <c r="AC1190" s="679">
        <f>AA1190/K1190*100</f>
        <v>33.333333333333329</v>
      </c>
      <c r="AD1190" s="664">
        <f>AB1190/L1190*100</f>
        <v>19.770547799999999</v>
      </c>
      <c r="AE1190" s="1901" t="s">
        <v>826</v>
      </c>
    </row>
    <row r="1191" spans="1:31" s="6" customFormat="1" ht="27.75" customHeight="1">
      <c r="A1191" s="59"/>
      <c r="B1191" s="685"/>
      <c r="C1191" s="1900"/>
      <c r="D1191" s="1900"/>
      <c r="E1191" s="1900"/>
      <c r="F1191" s="1900"/>
      <c r="G1191" s="1900"/>
      <c r="H1191" s="1900"/>
      <c r="I1191" s="680" t="s">
        <v>839</v>
      </c>
      <c r="J1191" s="384" t="s">
        <v>840</v>
      </c>
      <c r="K1191" s="634">
        <v>240</v>
      </c>
      <c r="L1191" s="677">
        <v>2400000</v>
      </c>
      <c r="M1191" s="682">
        <v>65</v>
      </c>
      <c r="N1191" s="677">
        <f>407527.15+317607.85</f>
        <v>725135</v>
      </c>
      <c r="O1191" s="682">
        <v>971</v>
      </c>
      <c r="P1191" s="660">
        <v>419753.24125000002</v>
      </c>
      <c r="Q1191" s="661">
        <v>0</v>
      </c>
      <c r="R1191" s="662">
        <v>3925.9</v>
      </c>
      <c r="S1191" s="385"/>
      <c r="T1191" s="59"/>
      <c r="U1191" s="59"/>
      <c r="V1191" s="59"/>
      <c r="W1191" s="59"/>
      <c r="X1191" s="59"/>
      <c r="Y1191" s="663">
        <f t="shared" si="222"/>
        <v>0</v>
      </c>
      <c r="Z1191" s="664">
        <f t="shared" si="223"/>
        <v>3925.9</v>
      </c>
      <c r="AA1191" s="678">
        <f t="shared" si="225"/>
        <v>65</v>
      </c>
      <c r="AB1191" s="665">
        <f t="shared" si="225"/>
        <v>729060.9</v>
      </c>
      <c r="AC1191" s="679">
        <f t="shared" si="224"/>
        <v>27.083333333333332</v>
      </c>
      <c r="AD1191" s="664">
        <f t="shared" si="224"/>
        <v>30.377537500000003</v>
      </c>
      <c r="AE1191" s="1901" t="s">
        <v>826</v>
      </c>
    </row>
    <row r="1192" spans="1:31" s="6" customFormat="1" ht="27.75" customHeight="1">
      <c r="A1192" s="59"/>
      <c r="B1192" s="685"/>
      <c r="C1192" s="1900"/>
      <c r="D1192" s="1900"/>
      <c r="E1192" s="1900"/>
      <c r="F1192" s="1900"/>
      <c r="G1192" s="1900"/>
      <c r="H1192" s="1900"/>
      <c r="I1192" s="688" t="s">
        <v>841</v>
      </c>
      <c r="J1192" s="384"/>
      <c r="K1192" s="634"/>
      <c r="L1192" s="677"/>
      <c r="M1192" s="682"/>
      <c r="N1192" s="684"/>
      <c r="O1192" s="682"/>
      <c r="P1192" s="689">
        <f>P1193</f>
        <v>68821.233999999997</v>
      </c>
      <c r="Q1192" s="661"/>
      <c r="R1192" s="662"/>
      <c r="S1192" s="385"/>
      <c r="T1192" s="59"/>
      <c r="U1192" s="59"/>
      <c r="V1192" s="59"/>
      <c r="W1192" s="59"/>
      <c r="X1192" s="59"/>
      <c r="Y1192" s="663"/>
      <c r="Z1192" s="664"/>
      <c r="AA1192" s="678"/>
      <c r="AB1192" s="665"/>
      <c r="AC1192" s="679"/>
      <c r="AD1192" s="664"/>
      <c r="AE1192" s="1901"/>
    </row>
    <row r="1193" spans="1:31" s="6" customFormat="1" ht="27.75" customHeight="1">
      <c r="A1193" s="59"/>
      <c r="B1193" s="685"/>
      <c r="C1193" s="1900"/>
      <c r="D1193" s="1900"/>
      <c r="E1193" s="1900"/>
      <c r="F1193" s="1900"/>
      <c r="G1193" s="1900"/>
      <c r="H1193" s="1900"/>
      <c r="I1193" s="680" t="s">
        <v>842</v>
      </c>
      <c r="J1193" s="690" t="s">
        <v>843</v>
      </c>
      <c r="K1193" s="634">
        <v>72</v>
      </c>
      <c r="L1193" s="677">
        <v>562226.02099999995</v>
      </c>
      <c r="M1193" s="682">
        <v>24</v>
      </c>
      <c r="N1193" s="684">
        <f>91450.021+76272.2</f>
        <v>167722.22099999999</v>
      </c>
      <c r="O1193" s="682">
        <v>3</v>
      </c>
      <c r="P1193" s="660">
        <v>68821.233999999997</v>
      </c>
      <c r="Q1193" s="661">
        <v>3</v>
      </c>
      <c r="R1193" s="662">
        <v>3844.0610000000001</v>
      </c>
      <c r="S1193" s="385"/>
      <c r="T1193" s="59"/>
      <c r="U1193" s="59"/>
      <c r="V1193" s="59"/>
      <c r="W1193" s="59"/>
      <c r="X1193" s="59"/>
      <c r="Y1193" s="663">
        <f>Q1193+S1193+U1193+W1193</f>
        <v>3</v>
      </c>
      <c r="Z1193" s="664">
        <f>R1193</f>
        <v>3844.0610000000001</v>
      </c>
      <c r="AA1193" s="678">
        <f>M1193+Y1193</f>
        <v>27</v>
      </c>
      <c r="AB1193" s="665">
        <f>N1193+Z1193</f>
        <v>171566.28199999998</v>
      </c>
      <c r="AC1193" s="679">
        <f>AA1193/K1193*100</f>
        <v>37.5</v>
      </c>
      <c r="AD1193" s="664">
        <f>AB1193/L1193*100</f>
        <v>30.515535672796616</v>
      </c>
      <c r="AE1193" s="1901" t="s">
        <v>826</v>
      </c>
    </row>
    <row r="1194" spans="1:31" s="6" customFormat="1" ht="38.25">
      <c r="A1194" s="592"/>
      <c r="B1194" s="4248" t="s">
        <v>802</v>
      </c>
      <c r="C1194" s="1903">
        <v>2</v>
      </c>
      <c r="D1194" s="1903" t="s">
        <v>107</v>
      </c>
      <c r="E1194" s="1903" t="s">
        <v>196</v>
      </c>
      <c r="F1194" s="1903" t="s">
        <v>65</v>
      </c>
      <c r="G1194" s="1903">
        <v>21</v>
      </c>
      <c r="H1194" s="1903"/>
      <c r="I1194" s="4538" t="s">
        <v>844</v>
      </c>
      <c r="J1194" s="691" t="s">
        <v>845</v>
      </c>
      <c r="K1194" s="692">
        <v>70000</v>
      </c>
      <c r="L1194" s="693">
        <v>333747.3847224362</v>
      </c>
      <c r="M1194" s="694">
        <v>22000</v>
      </c>
      <c r="N1194" s="693">
        <v>213.74700000000001</v>
      </c>
      <c r="O1194" s="692">
        <v>11000</v>
      </c>
      <c r="P1194" s="692">
        <v>275389.61599999998</v>
      </c>
      <c r="Q1194" s="661">
        <v>0</v>
      </c>
      <c r="R1194" s="662">
        <v>27776.652999999998</v>
      </c>
      <c r="S1194" s="385"/>
      <c r="T1194" s="59"/>
      <c r="U1194" s="59"/>
      <c r="V1194" s="59"/>
      <c r="W1194" s="59"/>
      <c r="X1194" s="59"/>
      <c r="Y1194" s="663">
        <f t="shared" si="222"/>
        <v>0</v>
      </c>
      <c r="Z1194" s="664">
        <f t="shared" si="223"/>
        <v>27776.652999999998</v>
      </c>
      <c r="AA1194" s="678">
        <f t="shared" si="225"/>
        <v>22000</v>
      </c>
      <c r="AB1194" s="665">
        <f t="shared" si="225"/>
        <v>27990.399999999998</v>
      </c>
      <c r="AC1194" s="679">
        <f t="shared" si="224"/>
        <v>31.428571428571427</v>
      </c>
      <c r="AD1194" s="664">
        <f t="shared" si="224"/>
        <v>8.3867024226357465</v>
      </c>
      <c r="AE1194" s="1901" t="s">
        <v>826</v>
      </c>
    </row>
    <row r="1195" spans="1:31" s="6" customFormat="1" ht="15">
      <c r="A1195" s="592"/>
      <c r="B1195" s="4405"/>
      <c r="C1195" s="1903"/>
      <c r="D1195" s="1903"/>
      <c r="E1195" s="1903"/>
      <c r="F1195" s="1903"/>
      <c r="G1195" s="1903"/>
      <c r="H1195" s="1903"/>
      <c r="I1195" s="4539"/>
      <c r="J1195" s="667" t="s">
        <v>846</v>
      </c>
      <c r="K1195" s="668">
        <v>720</v>
      </c>
      <c r="L1195" s="672">
        <v>130509.2196147506</v>
      </c>
      <c r="M1195" s="695">
        <v>240</v>
      </c>
      <c r="N1195" s="384">
        <v>83.584000000000003</v>
      </c>
      <c r="O1195" s="668">
        <v>120</v>
      </c>
      <c r="P1195" s="672">
        <v>33750</v>
      </c>
      <c r="Q1195" s="661">
        <v>0</v>
      </c>
      <c r="R1195" s="662"/>
      <c r="S1195" s="385"/>
      <c r="T1195" s="59"/>
      <c r="U1195" s="59"/>
      <c r="V1195" s="59"/>
      <c r="W1195" s="59"/>
      <c r="X1195" s="59"/>
      <c r="Y1195" s="663">
        <f t="shared" si="222"/>
        <v>0</v>
      </c>
      <c r="Z1195" s="664">
        <f t="shared" si="223"/>
        <v>0</v>
      </c>
      <c r="AA1195" s="678">
        <f t="shared" si="225"/>
        <v>240</v>
      </c>
      <c r="AB1195" s="665">
        <f t="shared" si="225"/>
        <v>83.584000000000003</v>
      </c>
      <c r="AC1195" s="679">
        <f t="shared" si="224"/>
        <v>33.333333333333329</v>
      </c>
      <c r="AD1195" s="664">
        <f t="shared" si="224"/>
        <v>6.4044517503614784E-2</v>
      </c>
      <c r="AE1195" s="1901" t="s">
        <v>826</v>
      </c>
    </row>
    <row r="1196" spans="1:31" s="6" customFormat="1" ht="15">
      <c r="A1196" s="592"/>
      <c r="B1196" s="671"/>
      <c r="C1196" s="1903"/>
      <c r="D1196" s="1903"/>
      <c r="E1196" s="1903"/>
      <c r="F1196" s="1903"/>
      <c r="G1196" s="1903"/>
      <c r="H1196" s="1903"/>
      <c r="I1196" s="4539"/>
      <c r="J1196" s="667" t="s">
        <v>847</v>
      </c>
      <c r="K1196" s="668">
        <f>(5500*4)+13000</f>
        <v>35000</v>
      </c>
      <c r="L1196" s="672">
        <v>72460.84038351597</v>
      </c>
      <c r="M1196" s="696">
        <v>22000</v>
      </c>
      <c r="N1196" s="634">
        <v>46.406999999999996</v>
      </c>
      <c r="O1196" s="668">
        <v>5250</v>
      </c>
      <c r="P1196" s="672">
        <v>36750</v>
      </c>
      <c r="Q1196" s="661">
        <v>0</v>
      </c>
      <c r="R1196" s="662"/>
      <c r="S1196" s="385"/>
      <c r="T1196" s="59"/>
      <c r="U1196" s="59"/>
      <c r="V1196" s="59"/>
      <c r="W1196" s="59"/>
      <c r="X1196" s="59"/>
      <c r="Y1196" s="663">
        <f t="shared" si="222"/>
        <v>0</v>
      </c>
      <c r="Z1196" s="664">
        <f t="shared" si="223"/>
        <v>0</v>
      </c>
      <c r="AA1196" s="678">
        <f t="shared" si="225"/>
        <v>22000</v>
      </c>
      <c r="AB1196" s="665">
        <f t="shared" si="225"/>
        <v>46.406999999999996</v>
      </c>
      <c r="AC1196" s="679">
        <f t="shared" si="224"/>
        <v>62.857142857142854</v>
      </c>
      <c r="AD1196" s="664">
        <f t="shared" si="224"/>
        <v>6.4044247560999953E-2</v>
      </c>
      <c r="AE1196" s="1901" t="s">
        <v>826</v>
      </c>
    </row>
    <row r="1197" spans="1:31" s="6" customFormat="1" ht="15">
      <c r="A1197" s="592"/>
      <c r="B1197" s="671"/>
      <c r="C1197" s="1903"/>
      <c r="D1197" s="1903"/>
      <c r="E1197" s="1903"/>
      <c r="F1197" s="1903"/>
      <c r="G1197" s="1903"/>
      <c r="H1197" s="1903"/>
      <c r="I1197" s="666"/>
      <c r="J1197" s="667" t="s">
        <v>848</v>
      </c>
      <c r="K1197" s="668">
        <f>(5500*4)+13000</f>
        <v>35000</v>
      </c>
      <c r="L1197" s="672">
        <v>21738.252115054791</v>
      </c>
      <c r="M1197" s="696">
        <v>22000</v>
      </c>
      <c r="N1197" s="384">
        <v>13.922000000000001</v>
      </c>
      <c r="O1197" s="668">
        <v>5250</v>
      </c>
      <c r="P1197" s="672">
        <v>36750</v>
      </c>
      <c r="Q1197" s="661">
        <v>0</v>
      </c>
      <c r="R1197" s="662"/>
      <c r="S1197" s="385"/>
      <c r="T1197" s="59"/>
      <c r="U1197" s="59"/>
      <c r="V1197" s="59"/>
      <c r="W1197" s="59"/>
      <c r="X1197" s="59"/>
      <c r="Y1197" s="663">
        <f t="shared" si="222"/>
        <v>0</v>
      </c>
      <c r="Z1197" s="664">
        <f t="shared" si="223"/>
        <v>0</v>
      </c>
      <c r="AA1197" s="678">
        <f t="shared" si="225"/>
        <v>22000</v>
      </c>
      <c r="AB1197" s="665">
        <f t="shared" si="225"/>
        <v>13.922000000000001</v>
      </c>
      <c r="AC1197" s="679">
        <f t="shared" si="224"/>
        <v>62.857142857142854</v>
      </c>
      <c r="AD1197" s="664">
        <f t="shared" si="224"/>
        <v>6.4043787542413966E-2</v>
      </c>
      <c r="AE1197" s="1901" t="s">
        <v>826</v>
      </c>
    </row>
    <row r="1198" spans="1:31" s="6" customFormat="1" ht="27.75" customHeight="1">
      <c r="A1198" s="59"/>
      <c r="B1198" s="673"/>
      <c r="C1198" s="1900"/>
      <c r="D1198" s="1900"/>
      <c r="E1198" s="1900"/>
      <c r="F1198" s="1900"/>
      <c r="G1198" s="1900"/>
      <c r="H1198" s="1900"/>
      <c r="I1198" s="674"/>
      <c r="J1198" s="667" t="s">
        <v>849</v>
      </c>
      <c r="K1198" s="668">
        <v>250</v>
      </c>
      <c r="L1198" s="672">
        <v>1250</v>
      </c>
      <c r="M1198" s="634">
        <v>100</v>
      </c>
      <c r="N1198" s="681">
        <v>5000</v>
      </c>
      <c r="O1198" s="668">
        <v>100</v>
      </c>
      <c r="P1198" s="672">
        <v>5000</v>
      </c>
      <c r="Q1198" s="661">
        <v>0</v>
      </c>
      <c r="R1198" s="662"/>
      <c r="S1198" s="385"/>
      <c r="T1198" s="59"/>
      <c r="U1198" s="59"/>
      <c r="V1198" s="59"/>
      <c r="W1198" s="59"/>
      <c r="X1198" s="59"/>
      <c r="Y1198" s="663">
        <f t="shared" si="222"/>
        <v>0</v>
      </c>
      <c r="Z1198" s="664">
        <f t="shared" si="223"/>
        <v>0</v>
      </c>
      <c r="AA1198" s="678">
        <f t="shared" si="225"/>
        <v>100</v>
      </c>
      <c r="AB1198" s="665">
        <f t="shared" si="225"/>
        <v>5000</v>
      </c>
      <c r="AC1198" s="679">
        <f t="shared" si="224"/>
        <v>40</v>
      </c>
      <c r="AD1198" s="664">
        <f t="shared" si="224"/>
        <v>400</v>
      </c>
      <c r="AE1198" s="1901" t="s">
        <v>826</v>
      </c>
    </row>
    <row r="1199" spans="1:31" s="6" customFormat="1" ht="27.75" customHeight="1">
      <c r="A1199" s="439"/>
      <c r="B1199" s="4540" t="s">
        <v>802</v>
      </c>
      <c r="C1199" s="1899">
        <v>2</v>
      </c>
      <c r="D1199" s="1899" t="s">
        <v>107</v>
      </c>
      <c r="E1199" s="1899" t="s">
        <v>196</v>
      </c>
      <c r="F1199" s="1899" t="s">
        <v>65</v>
      </c>
      <c r="G1199" s="1899">
        <v>23</v>
      </c>
      <c r="H1199" s="1899"/>
      <c r="I1199" s="4542" t="s">
        <v>850</v>
      </c>
      <c r="J1199" s="657" t="s">
        <v>851</v>
      </c>
      <c r="K1199" s="692">
        <v>20</v>
      </c>
      <c r="L1199" s="693">
        <v>325115.26972922869</v>
      </c>
      <c r="M1199" s="697">
        <v>7</v>
      </c>
      <c r="N1199" s="698">
        <v>208219</v>
      </c>
      <c r="O1199" s="692">
        <v>3</v>
      </c>
      <c r="P1199" s="693">
        <v>913327.59600000002</v>
      </c>
      <c r="Q1199" s="661">
        <v>0</v>
      </c>
      <c r="R1199" s="662">
        <f>R1201</f>
        <v>13919.632</v>
      </c>
      <c r="S1199" s="385"/>
      <c r="T1199" s="59"/>
      <c r="U1199" s="59"/>
      <c r="V1199" s="59"/>
      <c r="W1199" s="59"/>
      <c r="X1199" s="59"/>
      <c r="Y1199" s="61">
        <f t="shared" si="222"/>
        <v>0</v>
      </c>
      <c r="Z1199" s="664">
        <f t="shared" si="223"/>
        <v>13919.632</v>
      </c>
      <c r="AA1199" s="678">
        <f t="shared" si="225"/>
        <v>7</v>
      </c>
      <c r="AB1199" s="665">
        <f t="shared" si="225"/>
        <v>222138.63200000001</v>
      </c>
      <c r="AC1199" s="679">
        <f t="shared" si="224"/>
        <v>35</v>
      </c>
      <c r="AD1199" s="664">
        <f t="shared" si="224"/>
        <v>68.326114668501276</v>
      </c>
      <c r="AE1199" s="1901" t="s">
        <v>826</v>
      </c>
    </row>
    <row r="1200" spans="1:31" s="6" customFormat="1" ht="27.75" customHeight="1">
      <c r="A1200" s="59"/>
      <c r="B1200" s="4541"/>
      <c r="C1200" s="1900"/>
      <c r="D1200" s="1900"/>
      <c r="E1200" s="1900"/>
      <c r="F1200" s="1900"/>
      <c r="G1200" s="1900"/>
      <c r="H1200" s="1900"/>
      <c r="I1200" s="4543"/>
      <c r="J1200" s="385"/>
      <c r="K1200" s="385"/>
      <c r="L1200" s="385"/>
      <c r="M1200" s="386"/>
      <c r="N1200" s="385"/>
      <c r="O1200" s="385"/>
      <c r="P1200" s="658"/>
      <c r="Q1200" s="669"/>
      <c r="R1200" s="699"/>
      <c r="S1200" s="385"/>
      <c r="T1200" s="59"/>
      <c r="U1200" s="59"/>
      <c r="V1200" s="59"/>
      <c r="W1200" s="59"/>
      <c r="X1200" s="59"/>
      <c r="Y1200" s="61"/>
      <c r="Z1200" s="664"/>
      <c r="AA1200" s="678"/>
      <c r="AB1200" s="665"/>
      <c r="AC1200" s="679"/>
      <c r="AD1200" s="664"/>
      <c r="AE1200" s="1901"/>
    </row>
    <row r="1201" spans="1:31" s="6" customFormat="1" ht="27.75" customHeight="1">
      <c r="A1201" s="59"/>
      <c r="B1201" s="634"/>
      <c r="C1201" s="1900"/>
      <c r="D1201" s="1900"/>
      <c r="E1201" s="1900"/>
      <c r="F1201" s="1900"/>
      <c r="G1201" s="1900"/>
      <c r="H1201" s="1900"/>
      <c r="I1201" s="700" t="s">
        <v>852</v>
      </c>
      <c r="J1201" s="385" t="s">
        <v>853</v>
      </c>
      <c r="K1201" s="655">
        <v>20</v>
      </c>
      <c r="L1201" s="687">
        <f>2269262100/1000</f>
        <v>2269262.1</v>
      </c>
      <c r="M1201" s="655">
        <v>7</v>
      </c>
      <c r="N1201" s="662">
        <f>238855.276+227361.06</f>
        <v>466216.33600000001</v>
      </c>
      <c r="O1201" s="655">
        <v>3</v>
      </c>
      <c r="P1201" s="660">
        <v>913327.6</v>
      </c>
      <c r="Q1201" s="669">
        <v>0</v>
      </c>
      <c r="R1201" s="662">
        <v>13919.632</v>
      </c>
      <c r="S1201" s="385"/>
      <c r="T1201" s="59"/>
      <c r="U1201" s="59"/>
      <c r="V1201" s="59"/>
      <c r="W1201" s="59"/>
      <c r="X1201" s="59"/>
      <c r="Y1201" s="61">
        <f t="shared" si="222"/>
        <v>0</v>
      </c>
      <c r="Z1201" s="664">
        <f t="shared" si="223"/>
        <v>13919.632</v>
      </c>
      <c r="AA1201" s="678">
        <f t="shared" si="225"/>
        <v>7</v>
      </c>
      <c r="AB1201" s="665">
        <f>N1201+Z1201</f>
        <v>480135.96799999999</v>
      </c>
      <c r="AC1201" s="679">
        <f t="shared" ref="AC1201:AD1205" si="226">AA1201/K1201*100</f>
        <v>35</v>
      </c>
      <c r="AD1201" s="664">
        <f t="shared" si="226"/>
        <v>21.158242055864768</v>
      </c>
      <c r="AE1201" s="1901" t="s">
        <v>826</v>
      </c>
    </row>
    <row r="1202" spans="1:31" s="6" customFormat="1" ht="38.25">
      <c r="A1202" s="385"/>
      <c r="B1202" s="634"/>
      <c r="C1202" s="1905">
        <v>2</v>
      </c>
      <c r="D1202" s="1905" t="s">
        <v>107</v>
      </c>
      <c r="E1202" s="1905" t="s">
        <v>196</v>
      </c>
      <c r="F1202" s="1905" t="s">
        <v>65</v>
      </c>
      <c r="G1202" s="1905">
        <v>24</v>
      </c>
      <c r="H1202" s="1905"/>
      <c r="I1202" s="1893" t="s">
        <v>854</v>
      </c>
      <c r="J1202" s="1906" t="s">
        <v>855</v>
      </c>
      <c r="K1202" s="655">
        <v>4</v>
      </c>
      <c r="L1202" s="687">
        <f>L1203</f>
        <v>1003223</v>
      </c>
      <c r="M1202" s="655">
        <v>4</v>
      </c>
      <c r="N1202" s="662">
        <f>N1203</f>
        <v>356482.99800000002</v>
      </c>
      <c r="O1202" s="655">
        <v>1</v>
      </c>
      <c r="P1202" s="660">
        <f>P1203</f>
        <v>160740.14199999999</v>
      </c>
      <c r="Q1202" s="669">
        <v>0</v>
      </c>
      <c r="R1202" s="662">
        <f>R1203</f>
        <v>2052.5</v>
      </c>
      <c r="S1202" s="385"/>
      <c r="T1202" s="59"/>
      <c r="U1202" s="59"/>
      <c r="V1202" s="59"/>
      <c r="W1202" s="59"/>
      <c r="X1202" s="59"/>
      <c r="Y1202" s="61">
        <f t="shared" si="222"/>
        <v>0</v>
      </c>
      <c r="Z1202" s="664">
        <f t="shared" si="223"/>
        <v>2052.5</v>
      </c>
      <c r="AA1202" s="678">
        <f t="shared" si="225"/>
        <v>4</v>
      </c>
      <c r="AB1202" s="665">
        <f>N1202+Z1202</f>
        <v>358535.49800000002</v>
      </c>
      <c r="AC1202" s="679">
        <f t="shared" si="226"/>
        <v>100</v>
      </c>
      <c r="AD1202" s="664">
        <f t="shared" si="226"/>
        <v>35.738365049445633</v>
      </c>
      <c r="AE1202" s="1901" t="s">
        <v>826</v>
      </c>
    </row>
    <row r="1203" spans="1:31" s="6" customFormat="1" ht="25.5">
      <c r="A1203" s="385"/>
      <c r="B1203" s="634"/>
      <c r="C1203" s="1905"/>
      <c r="D1203" s="1905"/>
      <c r="E1203" s="1905"/>
      <c r="F1203" s="1905"/>
      <c r="G1203" s="1905"/>
      <c r="H1203" s="1905"/>
      <c r="I1203" s="724" t="s">
        <v>856</v>
      </c>
      <c r="J1203" s="1906" t="s">
        <v>857</v>
      </c>
      <c r="K1203" s="655">
        <v>4</v>
      </c>
      <c r="L1203" s="687">
        <v>1003223</v>
      </c>
      <c r="M1203" s="655">
        <v>4</v>
      </c>
      <c r="N1203" s="662">
        <f>173833.19+182649.808</f>
        <v>356482.99800000002</v>
      </c>
      <c r="O1203" s="655">
        <v>1</v>
      </c>
      <c r="P1203" s="660">
        <v>160740.14199999999</v>
      </c>
      <c r="Q1203" s="669">
        <v>0</v>
      </c>
      <c r="R1203" s="662">
        <v>2052.5</v>
      </c>
      <c r="S1203" s="385"/>
      <c r="T1203" s="59"/>
      <c r="U1203" s="59"/>
      <c r="V1203" s="59"/>
      <c r="W1203" s="59"/>
      <c r="X1203" s="59"/>
      <c r="Y1203" s="61">
        <f t="shared" si="222"/>
        <v>0</v>
      </c>
      <c r="Z1203" s="664">
        <f t="shared" si="223"/>
        <v>2052.5</v>
      </c>
      <c r="AA1203" s="678">
        <f>M1203+Y1203</f>
        <v>4</v>
      </c>
      <c r="AB1203" s="665">
        <f>N1203+Z1203</f>
        <v>358535.49800000002</v>
      </c>
      <c r="AC1203" s="679">
        <f t="shared" si="226"/>
        <v>100</v>
      </c>
      <c r="AD1203" s="664">
        <f t="shared" si="226"/>
        <v>35.738365049445633</v>
      </c>
      <c r="AE1203" s="1901" t="s">
        <v>826</v>
      </c>
    </row>
    <row r="1204" spans="1:31" s="6" customFormat="1" ht="27.75" customHeight="1">
      <c r="A1204" s="59"/>
      <c r="B1204" s="634"/>
      <c r="C1204" s="1900">
        <v>2</v>
      </c>
      <c r="D1204" s="1900" t="s">
        <v>107</v>
      </c>
      <c r="E1204" s="1900" t="s">
        <v>196</v>
      </c>
      <c r="F1204" s="1900" t="s">
        <v>65</v>
      </c>
      <c r="G1204" s="1900">
        <v>32</v>
      </c>
      <c r="H1204" s="1900"/>
      <c r="I1204" s="701" t="s">
        <v>858</v>
      </c>
      <c r="J1204" s="383" t="s">
        <v>859</v>
      </c>
      <c r="K1204" s="702">
        <v>24</v>
      </c>
      <c r="L1204" s="703">
        <f>L1205</f>
        <v>3980000</v>
      </c>
      <c r="M1204" s="702">
        <v>13</v>
      </c>
      <c r="N1204" s="704">
        <f>N1205</f>
        <v>334333.08999999997</v>
      </c>
      <c r="O1204" s="702">
        <v>5</v>
      </c>
      <c r="P1204" s="705">
        <f>P1205</f>
        <v>63895.957999999999</v>
      </c>
      <c r="Q1204" s="706">
        <f>Q1205</f>
        <v>0</v>
      </c>
      <c r="R1204" s="704">
        <f>R1205</f>
        <v>35132.472000000002</v>
      </c>
      <c r="S1204" s="385"/>
      <c r="T1204" s="59"/>
      <c r="U1204" s="59"/>
      <c r="V1204" s="59"/>
      <c r="W1204" s="59"/>
      <c r="X1204" s="59"/>
      <c r="Y1204" s="61">
        <f t="shared" si="222"/>
        <v>0</v>
      </c>
      <c r="Z1204" s="664">
        <f t="shared" si="223"/>
        <v>35132.472000000002</v>
      </c>
      <c r="AA1204" s="678">
        <f>M1204+Y1204</f>
        <v>13</v>
      </c>
      <c r="AB1204" s="665">
        <f>N1204+Z1204</f>
        <v>369465.56199999998</v>
      </c>
      <c r="AC1204" s="679">
        <f t="shared" si="226"/>
        <v>54.166666666666664</v>
      </c>
      <c r="AD1204" s="664">
        <f t="shared" si="226"/>
        <v>9.2830543216080397</v>
      </c>
      <c r="AE1204" s="1901" t="s">
        <v>826</v>
      </c>
    </row>
    <row r="1205" spans="1:31" s="6" customFormat="1" ht="27.75" customHeight="1">
      <c r="A1205" s="59"/>
      <c r="B1205" s="634"/>
      <c r="C1205" s="1900"/>
      <c r="D1205" s="1900"/>
      <c r="E1205" s="1900"/>
      <c r="F1205" s="1900"/>
      <c r="G1205" s="1900"/>
      <c r="H1205" s="1900"/>
      <c r="I1205" s="686" t="s">
        <v>860</v>
      </c>
      <c r="J1205" s="384" t="s">
        <v>861</v>
      </c>
      <c r="K1205" s="655">
        <v>12</v>
      </c>
      <c r="L1205" s="687">
        <v>3980000</v>
      </c>
      <c r="M1205" s="655">
        <v>9</v>
      </c>
      <c r="N1205" s="662">
        <f>179390.79+154942.3</f>
        <v>334333.08999999997</v>
      </c>
      <c r="O1205" s="655">
        <v>1</v>
      </c>
      <c r="P1205" s="660">
        <v>63895.957999999999</v>
      </c>
      <c r="Q1205" s="669">
        <v>0</v>
      </c>
      <c r="R1205" s="662">
        <v>35132.472000000002</v>
      </c>
      <c r="S1205" s="385"/>
      <c r="T1205" s="59"/>
      <c r="U1205" s="59"/>
      <c r="V1205" s="59"/>
      <c r="W1205" s="59"/>
      <c r="X1205" s="59"/>
      <c r="Y1205" s="61">
        <f t="shared" si="222"/>
        <v>0</v>
      </c>
      <c r="Z1205" s="664">
        <f t="shared" si="223"/>
        <v>35132.472000000002</v>
      </c>
      <c r="AA1205" s="678">
        <f>M1205+Y1205</f>
        <v>9</v>
      </c>
      <c r="AB1205" s="665">
        <f>N1205+Z1205</f>
        <v>369465.56199999998</v>
      </c>
      <c r="AC1205" s="679">
        <f t="shared" si="226"/>
        <v>75</v>
      </c>
      <c r="AD1205" s="664">
        <f t="shared" si="226"/>
        <v>9.2830543216080397</v>
      </c>
      <c r="AE1205" s="1901" t="s">
        <v>826</v>
      </c>
    </row>
    <row r="1206" spans="1:31" s="6" customFormat="1" ht="38.25">
      <c r="A1206" s="59"/>
      <c r="B1206" s="4248" t="s">
        <v>862</v>
      </c>
      <c r="C1206" s="1900">
        <v>2</v>
      </c>
      <c r="D1206" s="1900" t="s">
        <v>107</v>
      </c>
      <c r="E1206" s="1900" t="s">
        <v>196</v>
      </c>
      <c r="F1206" s="1900" t="s">
        <v>65</v>
      </c>
      <c r="G1206" s="1900">
        <v>21</v>
      </c>
      <c r="H1206" s="1900"/>
      <c r="I1206" s="618" t="s">
        <v>844</v>
      </c>
      <c r="J1206" s="691"/>
      <c r="K1206" s="692"/>
      <c r="L1206" s="693"/>
      <c r="M1206" s="694">
        <f>M1207+M1212+M1213</f>
        <v>27315.333333333332</v>
      </c>
      <c r="N1206" s="693"/>
      <c r="O1206" s="692"/>
      <c r="P1206" s="693">
        <f>P1207+P1212+P1213+P1214</f>
        <v>569703.51799999992</v>
      </c>
      <c r="Q1206" s="669"/>
      <c r="R1206" s="386"/>
      <c r="S1206" s="385"/>
      <c r="T1206" s="59"/>
      <c r="U1206" s="59"/>
      <c r="V1206" s="59"/>
      <c r="W1206" s="59"/>
      <c r="X1206" s="59"/>
      <c r="Y1206" s="61"/>
      <c r="Z1206" s="664">
        <f t="shared" si="223"/>
        <v>0</v>
      </c>
      <c r="AA1206" s="678">
        <f>M1206+Y1206</f>
        <v>27315.333333333332</v>
      </c>
      <c r="AB1206" s="665">
        <f>AB1207+AB1212+AB1213</f>
        <v>641162.13100000005</v>
      </c>
      <c r="AC1206" s="679"/>
      <c r="AD1206" s="664"/>
      <c r="AE1206" s="1901"/>
    </row>
    <row r="1207" spans="1:31" s="6" customFormat="1" ht="27.75" customHeight="1">
      <c r="A1207" s="59"/>
      <c r="B1207" s="4405"/>
      <c r="C1207" s="1900"/>
      <c r="D1207" s="1900"/>
      <c r="E1207" s="1900"/>
      <c r="F1207" s="1900"/>
      <c r="G1207" s="1900"/>
      <c r="H1207" s="1900"/>
      <c r="I1207" s="433" t="s">
        <v>863</v>
      </c>
      <c r="J1207" s="691" t="s">
        <v>845</v>
      </c>
      <c r="K1207" s="692">
        <v>70000</v>
      </c>
      <c r="L1207" s="693">
        <v>333747.3847224362</v>
      </c>
      <c r="M1207" s="694">
        <v>22000</v>
      </c>
      <c r="N1207" s="693">
        <v>213.74700000000001</v>
      </c>
      <c r="O1207" s="692">
        <v>11000</v>
      </c>
      <c r="P1207" s="693">
        <v>274039.61599999998</v>
      </c>
      <c r="Q1207" s="669">
        <v>0</v>
      </c>
      <c r="R1207" s="662">
        <v>27776.652999999998</v>
      </c>
      <c r="S1207" s="385"/>
      <c r="T1207" s="59"/>
      <c r="U1207" s="59"/>
      <c r="V1207" s="59"/>
      <c r="W1207" s="59"/>
      <c r="X1207" s="59"/>
      <c r="Y1207" s="663">
        <f t="shared" si="222"/>
        <v>0</v>
      </c>
      <c r="Z1207" s="664">
        <f t="shared" si="223"/>
        <v>27776.652999999998</v>
      </c>
      <c r="AA1207" s="678">
        <f t="shared" si="225"/>
        <v>22000</v>
      </c>
      <c r="AB1207" s="665">
        <f t="shared" si="225"/>
        <v>27990.399999999998</v>
      </c>
      <c r="AC1207" s="679">
        <f t="shared" ref="AC1207:AD1222" si="227">AA1207/K1207*100</f>
        <v>31.428571428571427</v>
      </c>
      <c r="AD1207" s="664">
        <f t="shared" si="227"/>
        <v>8.3867024226357465</v>
      </c>
      <c r="AE1207" s="1901" t="s">
        <v>826</v>
      </c>
    </row>
    <row r="1208" spans="1:31" s="6" customFormat="1" ht="15">
      <c r="A1208" s="59"/>
      <c r="B1208" s="58"/>
      <c r="C1208" s="1900"/>
      <c r="D1208" s="1900"/>
      <c r="E1208" s="1900"/>
      <c r="F1208" s="1900"/>
      <c r="G1208" s="1900"/>
      <c r="H1208" s="1900"/>
      <c r="I1208" s="383"/>
      <c r="J1208" s="667" t="s">
        <v>846</v>
      </c>
      <c r="K1208" s="668">
        <v>720</v>
      </c>
      <c r="L1208" s="672">
        <v>130509.2196147506</v>
      </c>
      <c r="M1208" s="695">
        <v>240</v>
      </c>
      <c r="N1208" s="384">
        <v>83.584000000000003</v>
      </c>
      <c r="O1208" s="385">
        <v>120</v>
      </c>
      <c r="P1208" s="387">
        <v>33750</v>
      </c>
      <c r="Q1208" s="669">
        <v>0</v>
      </c>
      <c r="R1208" s="386"/>
      <c r="S1208" s="385"/>
      <c r="T1208" s="59"/>
      <c r="U1208" s="59"/>
      <c r="V1208" s="59"/>
      <c r="W1208" s="59"/>
      <c r="X1208" s="59"/>
      <c r="Y1208" s="663">
        <f t="shared" si="222"/>
        <v>0</v>
      </c>
      <c r="Z1208" s="664">
        <f t="shared" si="223"/>
        <v>0</v>
      </c>
      <c r="AA1208" s="678">
        <f t="shared" si="225"/>
        <v>240</v>
      </c>
      <c r="AB1208" s="665">
        <f t="shared" si="225"/>
        <v>83.584000000000003</v>
      </c>
      <c r="AC1208" s="679">
        <f t="shared" si="227"/>
        <v>33.333333333333329</v>
      </c>
      <c r="AD1208" s="664">
        <f t="shared" si="227"/>
        <v>6.4044517503614784E-2</v>
      </c>
      <c r="AE1208" s="1901" t="s">
        <v>826</v>
      </c>
    </row>
    <row r="1209" spans="1:31" s="6" customFormat="1" ht="15">
      <c r="A1209" s="59"/>
      <c r="B1209" s="634"/>
      <c r="C1209" s="1900"/>
      <c r="D1209" s="1900"/>
      <c r="E1209" s="1900"/>
      <c r="F1209" s="1900"/>
      <c r="G1209" s="1900"/>
      <c r="H1209" s="1900"/>
      <c r="I1209" s="383"/>
      <c r="J1209" s="667" t="s">
        <v>847</v>
      </c>
      <c r="K1209" s="668">
        <f>(5500*4)+13000</f>
        <v>35000</v>
      </c>
      <c r="L1209" s="672">
        <v>72460.84038351597</v>
      </c>
      <c r="M1209" s="696">
        <v>22000</v>
      </c>
      <c r="N1209" s="634">
        <v>46.406999999999996</v>
      </c>
      <c r="O1209" s="655">
        <v>5250</v>
      </c>
      <c r="P1209" s="387">
        <v>36750</v>
      </c>
      <c r="Q1209" s="669">
        <v>0</v>
      </c>
      <c r="R1209" s="386"/>
      <c r="S1209" s="385"/>
      <c r="T1209" s="59"/>
      <c r="U1209" s="59"/>
      <c r="V1209" s="59"/>
      <c r="W1209" s="59"/>
      <c r="X1209" s="59"/>
      <c r="Y1209" s="663">
        <f t="shared" si="222"/>
        <v>0</v>
      </c>
      <c r="Z1209" s="664">
        <f t="shared" si="223"/>
        <v>0</v>
      </c>
      <c r="AA1209" s="678">
        <f t="shared" si="225"/>
        <v>22000</v>
      </c>
      <c r="AB1209" s="665">
        <f t="shared" si="225"/>
        <v>46.406999999999996</v>
      </c>
      <c r="AC1209" s="679">
        <f t="shared" si="227"/>
        <v>62.857142857142854</v>
      </c>
      <c r="AD1209" s="664">
        <f t="shared" si="227"/>
        <v>6.4044247560999953E-2</v>
      </c>
      <c r="AE1209" s="1901" t="s">
        <v>826</v>
      </c>
    </row>
    <row r="1210" spans="1:31" s="6" customFormat="1" ht="15">
      <c r="A1210" s="59"/>
      <c r="B1210" s="634"/>
      <c r="C1210" s="1900"/>
      <c r="D1210" s="1900"/>
      <c r="E1210" s="1900"/>
      <c r="F1210" s="1900"/>
      <c r="G1210" s="1900"/>
      <c r="H1210" s="1900"/>
      <c r="I1210" s="383"/>
      <c r="J1210" s="667" t="s">
        <v>848</v>
      </c>
      <c r="K1210" s="668">
        <f>(5500*4)+13000</f>
        <v>35000</v>
      </c>
      <c r="L1210" s="672">
        <v>21738.252115054791</v>
      </c>
      <c r="M1210" s="696">
        <v>22000</v>
      </c>
      <c r="N1210" s="384">
        <v>13.922000000000001</v>
      </c>
      <c r="O1210" s="385">
        <v>5250</v>
      </c>
      <c r="P1210" s="387">
        <v>36750</v>
      </c>
      <c r="Q1210" s="669">
        <v>0</v>
      </c>
      <c r="R1210" s="386"/>
      <c r="S1210" s="385"/>
      <c r="T1210" s="59"/>
      <c r="U1210" s="59"/>
      <c r="V1210" s="59"/>
      <c r="W1210" s="59"/>
      <c r="X1210" s="59"/>
      <c r="Y1210" s="663">
        <f t="shared" si="222"/>
        <v>0</v>
      </c>
      <c r="Z1210" s="664">
        <f t="shared" si="223"/>
        <v>0</v>
      </c>
      <c r="AA1210" s="678">
        <f t="shared" si="225"/>
        <v>22000</v>
      </c>
      <c r="AB1210" s="665">
        <f t="shared" si="225"/>
        <v>13.922000000000001</v>
      </c>
      <c r="AC1210" s="679">
        <f t="shared" si="227"/>
        <v>62.857142857142854</v>
      </c>
      <c r="AD1210" s="664">
        <f t="shared" si="227"/>
        <v>6.4043787542413966E-2</v>
      </c>
      <c r="AE1210" s="1901" t="s">
        <v>826</v>
      </c>
    </row>
    <row r="1211" spans="1:31" s="6" customFormat="1" ht="25.5">
      <c r="A1211" s="59"/>
      <c r="B1211" s="634"/>
      <c r="C1211" s="1900"/>
      <c r="D1211" s="1900"/>
      <c r="E1211" s="1900"/>
      <c r="F1211" s="1900"/>
      <c r="G1211" s="1900"/>
      <c r="H1211" s="1900"/>
      <c r="I1211" s="383"/>
      <c r="J1211" s="667" t="s">
        <v>849</v>
      </c>
      <c r="K1211" s="668">
        <v>250</v>
      </c>
      <c r="L1211" s="672">
        <v>125000</v>
      </c>
      <c r="M1211" s="634">
        <v>100</v>
      </c>
      <c r="N1211" s="681">
        <v>5000</v>
      </c>
      <c r="O1211" s="655">
        <v>100</v>
      </c>
      <c r="P1211" s="658">
        <v>5000</v>
      </c>
      <c r="Q1211" s="669">
        <v>0</v>
      </c>
      <c r="R1211" s="386"/>
      <c r="S1211" s="385"/>
      <c r="T1211" s="59"/>
      <c r="U1211" s="59"/>
      <c r="V1211" s="59"/>
      <c r="W1211" s="59"/>
      <c r="X1211" s="59"/>
      <c r="Y1211" s="663">
        <f t="shared" si="222"/>
        <v>0</v>
      </c>
      <c r="Z1211" s="664">
        <f t="shared" si="223"/>
        <v>0</v>
      </c>
      <c r="AA1211" s="678">
        <f t="shared" si="225"/>
        <v>100</v>
      </c>
      <c r="AB1211" s="665">
        <f t="shared" si="225"/>
        <v>5000</v>
      </c>
      <c r="AC1211" s="679">
        <f t="shared" si="227"/>
        <v>40</v>
      </c>
      <c r="AD1211" s="664">
        <f t="shared" si="227"/>
        <v>4</v>
      </c>
      <c r="AE1211" s="1901" t="s">
        <v>826</v>
      </c>
    </row>
    <row r="1212" spans="1:31" s="6" customFormat="1" ht="38.25">
      <c r="A1212" s="59"/>
      <c r="B1212" s="634"/>
      <c r="C1212" s="1900"/>
      <c r="D1212" s="1900"/>
      <c r="E1212" s="1900"/>
      <c r="F1212" s="1900"/>
      <c r="G1212" s="1900"/>
      <c r="H1212" s="1900"/>
      <c r="I1212" s="724" t="s">
        <v>864</v>
      </c>
      <c r="J1212" s="1906" t="s">
        <v>865</v>
      </c>
      <c r="K1212" s="590">
        <v>30300</v>
      </c>
      <c r="L1212" s="707">
        <v>1362290.58</v>
      </c>
      <c r="M1212" s="707">
        <v>5302</v>
      </c>
      <c r="N1212" s="708">
        <f>215746.47+258768.52</f>
        <v>474514.99</v>
      </c>
      <c r="O1212" s="385">
        <v>4000</v>
      </c>
      <c r="P1212" s="708">
        <v>165695.67499999999</v>
      </c>
      <c r="Q1212" s="669">
        <v>0</v>
      </c>
      <c r="R1212" s="699">
        <v>4331.5119999999997</v>
      </c>
      <c r="S1212" s="385"/>
      <c r="T1212" s="59"/>
      <c r="U1212" s="59"/>
      <c r="V1212" s="59"/>
      <c r="W1212" s="59"/>
      <c r="X1212" s="59"/>
      <c r="Y1212" s="61">
        <f t="shared" si="222"/>
        <v>0</v>
      </c>
      <c r="Z1212" s="664">
        <f t="shared" si="223"/>
        <v>4331.5119999999997</v>
      </c>
      <c r="AA1212" s="678">
        <f t="shared" si="225"/>
        <v>5302</v>
      </c>
      <c r="AB1212" s="665">
        <f t="shared" si="225"/>
        <v>478846.50199999998</v>
      </c>
      <c r="AC1212" s="679">
        <f t="shared" si="227"/>
        <v>17.498349834983497</v>
      </c>
      <c r="AD1212" s="664">
        <f t="shared" si="227"/>
        <v>35.150100061618275</v>
      </c>
      <c r="AE1212" s="1901" t="s">
        <v>826</v>
      </c>
    </row>
    <row r="1213" spans="1:31" s="6" customFormat="1" ht="63.75">
      <c r="A1213" s="59"/>
      <c r="B1213" s="634"/>
      <c r="C1213" s="1900"/>
      <c r="D1213" s="1900"/>
      <c r="E1213" s="1900"/>
      <c r="F1213" s="1900"/>
      <c r="G1213" s="1900"/>
      <c r="H1213" s="1900"/>
      <c r="I1213" s="726" t="s">
        <v>866</v>
      </c>
      <c r="J1213" s="433" t="s">
        <v>867</v>
      </c>
      <c r="K1213" s="634">
        <v>33.33</v>
      </c>
      <c r="L1213" s="709">
        <f>740626820/1000</f>
        <v>740626.82</v>
      </c>
      <c r="M1213" s="710">
        <f>2/15*100</f>
        <v>13.333333333333334</v>
      </c>
      <c r="N1213" s="709">
        <f>120423280/1000</f>
        <v>120423.28</v>
      </c>
      <c r="O1213" s="389">
        <f>3/15*100</f>
        <v>20</v>
      </c>
      <c r="P1213" s="711">
        <v>94611.61</v>
      </c>
      <c r="Q1213" s="669">
        <v>0</v>
      </c>
      <c r="R1213" s="699">
        <v>13901.949000000001</v>
      </c>
      <c r="S1213" s="385"/>
      <c r="T1213" s="59"/>
      <c r="U1213" s="59"/>
      <c r="V1213" s="59"/>
      <c r="W1213" s="59"/>
      <c r="X1213" s="59"/>
      <c r="Y1213" s="61">
        <f t="shared" si="222"/>
        <v>0</v>
      </c>
      <c r="Z1213" s="664">
        <f t="shared" si="223"/>
        <v>13901.949000000001</v>
      </c>
      <c r="AA1213" s="678">
        <f>M1213+Y1213</f>
        <v>13.333333333333334</v>
      </c>
      <c r="AB1213" s="665">
        <f>N1213+Z1213</f>
        <v>134325.22899999999</v>
      </c>
      <c r="AC1213" s="679">
        <f t="shared" si="227"/>
        <v>40.004000400040006</v>
      </c>
      <c r="AD1213" s="664">
        <f t="shared" si="227"/>
        <v>18.136695211766703</v>
      </c>
      <c r="AE1213" s="1901" t="s">
        <v>826</v>
      </c>
    </row>
    <row r="1214" spans="1:31" s="6" customFormat="1" ht="25.5">
      <c r="A1214" s="59"/>
      <c r="B1214" s="634"/>
      <c r="C1214" s="1900"/>
      <c r="D1214" s="1900"/>
      <c r="E1214" s="1900"/>
      <c r="F1214" s="1900"/>
      <c r="G1214" s="1900"/>
      <c r="H1214" s="1900"/>
      <c r="I1214" s="726" t="s">
        <v>868</v>
      </c>
      <c r="J1214" s="1906" t="s">
        <v>869</v>
      </c>
      <c r="K1214" s="597">
        <v>1</v>
      </c>
      <c r="L1214" s="699">
        <f>39719.84+35356.617</f>
        <v>75076.456999999995</v>
      </c>
      <c r="M1214" s="595">
        <v>1</v>
      </c>
      <c r="N1214" s="712">
        <v>26742.185000000001</v>
      </c>
      <c r="O1214" s="385">
        <v>1</v>
      </c>
      <c r="P1214" s="711">
        <v>35356.616999999998</v>
      </c>
      <c r="Q1214" s="669">
        <v>0</v>
      </c>
      <c r="R1214" s="386">
        <v>0</v>
      </c>
      <c r="S1214" s="385"/>
      <c r="T1214" s="59"/>
      <c r="U1214" s="59"/>
      <c r="V1214" s="59"/>
      <c r="W1214" s="59"/>
      <c r="X1214" s="59"/>
      <c r="Y1214" s="61">
        <f>Q1214+S1214+U1214+W1214</f>
        <v>0</v>
      </c>
      <c r="Z1214" s="664">
        <f>R1214</f>
        <v>0</v>
      </c>
      <c r="AA1214" s="678">
        <f>M1214+Y1214</f>
        <v>1</v>
      </c>
      <c r="AB1214" s="665">
        <f>N1214+Z1214</f>
        <v>26742.185000000001</v>
      </c>
      <c r="AC1214" s="679">
        <f t="shared" si="227"/>
        <v>100</v>
      </c>
      <c r="AD1214" s="664">
        <f t="shared" si="227"/>
        <v>35.61993475531218</v>
      </c>
      <c r="AE1214" s="1901" t="s">
        <v>826</v>
      </c>
    </row>
    <row r="1215" spans="1:31" s="6" customFormat="1" ht="51">
      <c r="A1215" s="59"/>
      <c r="B1215" s="4248" t="s">
        <v>870</v>
      </c>
      <c r="C1215" s="1900">
        <v>2</v>
      </c>
      <c r="D1215" s="1900" t="s">
        <v>107</v>
      </c>
      <c r="E1215" s="1900" t="s">
        <v>196</v>
      </c>
      <c r="F1215" s="1900" t="s">
        <v>65</v>
      </c>
      <c r="G1215" s="1900" t="s">
        <v>66</v>
      </c>
      <c r="H1215" s="1900"/>
      <c r="I1215" s="725" t="s">
        <v>871</v>
      </c>
      <c r="J1215" s="618" t="s">
        <v>872</v>
      </c>
      <c r="K1215" s="620">
        <v>72</v>
      </c>
      <c r="L1215" s="713">
        <f>SUM(L1216:L1227)</f>
        <v>3067772.264</v>
      </c>
      <c r="M1215" s="617">
        <v>24</v>
      </c>
      <c r="N1215" s="714">
        <f>SUM(N1216:N1227)</f>
        <v>1105940.872</v>
      </c>
      <c r="O1215" s="616">
        <v>12</v>
      </c>
      <c r="P1215" s="715">
        <v>561930.701</v>
      </c>
      <c r="Q1215" s="669">
        <v>0</v>
      </c>
      <c r="R1215" s="624">
        <f>SUM(R1216:R1227)</f>
        <v>132839.59</v>
      </c>
      <c r="S1215" s="385"/>
      <c r="T1215" s="59"/>
      <c r="U1215" s="59"/>
      <c r="V1215" s="59"/>
      <c r="W1215" s="59"/>
      <c r="X1215" s="59"/>
      <c r="Y1215" s="61">
        <f t="shared" ref="Y1215:Y1227" si="228">Q1215+S1215+U1215+W1215</f>
        <v>0</v>
      </c>
      <c r="Z1215" s="664">
        <f t="shared" ref="Z1215:Z1227" si="229">R1215</f>
        <v>132839.59</v>
      </c>
      <c r="AA1215" s="678">
        <f t="shared" ref="AA1215:AB1227" si="230">M1215+Y1215</f>
        <v>24</v>
      </c>
      <c r="AB1215" s="665">
        <f t="shared" si="230"/>
        <v>1238780.4620000001</v>
      </c>
      <c r="AC1215" s="679">
        <f t="shared" si="227"/>
        <v>33.333333333333329</v>
      </c>
      <c r="AD1215" s="664">
        <f t="shared" si="227"/>
        <v>40.380457067721899</v>
      </c>
      <c r="AE1215" s="1901" t="s">
        <v>826</v>
      </c>
    </row>
    <row r="1216" spans="1:31" s="6" customFormat="1" ht="51">
      <c r="A1216" s="59"/>
      <c r="B1216" s="4405"/>
      <c r="C1216" s="1900"/>
      <c r="D1216" s="1900"/>
      <c r="E1216" s="1900"/>
      <c r="F1216" s="1900"/>
      <c r="G1216" s="1900"/>
      <c r="H1216" s="1900"/>
      <c r="I1216" s="724" t="s">
        <v>873</v>
      </c>
      <c r="J1216" s="1906" t="s">
        <v>874</v>
      </c>
      <c r="K1216" s="597">
        <v>72</v>
      </c>
      <c r="L1216" s="699">
        <v>257400</v>
      </c>
      <c r="M1216" s="595">
        <v>24</v>
      </c>
      <c r="N1216" s="670">
        <f>37372.956+43916.084</f>
        <v>81289.040000000008</v>
      </c>
      <c r="O1216" s="597">
        <v>12</v>
      </c>
      <c r="P1216" s="711">
        <v>56000</v>
      </c>
      <c r="Q1216" s="669">
        <v>3</v>
      </c>
      <c r="R1216" s="386">
        <v>23653.751</v>
      </c>
      <c r="S1216" s="385"/>
      <c r="T1216" s="59"/>
      <c r="U1216" s="59"/>
      <c r="V1216" s="59"/>
      <c r="W1216" s="59"/>
      <c r="X1216" s="59"/>
      <c r="Y1216" s="61">
        <f t="shared" si="228"/>
        <v>3</v>
      </c>
      <c r="Z1216" s="664">
        <f t="shared" si="229"/>
        <v>23653.751</v>
      </c>
      <c r="AA1216" s="678">
        <f t="shared" si="230"/>
        <v>27</v>
      </c>
      <c r="AB1216" s="665">
        <f t="shared" si="230"/>
        <v>104942.79100000001</v>
      </c>
      <c r="AC1216" s="679">
        <f t="shared" si="227"/>
        <v>37.5</v>
      </c>
      <c r="AD1216" s="664">
        <f t="shared" si="227"/>
        <v>40.770315073815077</v>
      </c>
      <c r="AE1216" s="1901" t="s">
        <v>826</v>
      </c>
    </row>
    <row r="1217" spans="1:31" s="6" customFormat="1" ht="27.75" customHeight="1">
      <c r="A1217" s="59"/>
      <c r="B1217" s="4249"/>
      <c r="C1217" s="1900"/>
      <c r="D1217" s="1900"/>
      <c r="E1217" s="1900"/>
      <c r="F1217" s="1900"/>
      <c r="G1217" s="1900"/>
      <c r="H1217" s="1900"/>
      <c r="I1217" s="724" t="s">
        <v>148</v>
      </c>
      <c r="J1217" s="1906" t="s">
        <v>875</v>
      </c>
      <c r="K1217" s="597">
        <v>72</v>
      </c>
      <c r="L1217" s="699">
        <v>572400</v>
      </c>
      <c r="M1217" s="595">
        <v>24</v>
      </c>
      <c r="N1217" s="670">
        <f>95400+142850</f>
        <v>238250</v>
      </c>
      <c r="O1217" s="597">
        <v>20</v>
      </c>
      <c r="P1217" s="711">
        <v>140920</v>
      </c>
      <c r="Q1217" s="669">
        <v>3</v>
      </c>
      <c r="R1217" s="386">
        <v>31800</v>
      </c>
      <c r="S1217" s="385"/>
      <c r="T1217" s="59"/>
      <c r="U1217" s="59"/>
      <c r="V1217" s="59"/>
      <c r="W1217" s="59"/>
      <c r="X1217" s="59"/>
      <c r="Y1217" s="61">
        <f t="shared" si="228"/>
        <v>3</v>
      </c>
      <c r="Z1217" s="664">
        <f t="shared" si="229"/>
        <v>31800</v>
      </c>
      <c r="AA1217" s="678">
        <f t="shared" si="230"/>
        <v>27</v>
      </c>
      <c r="AB1217" s="665">
        <f t="shared" si="230"/>
        <v>270050</v>
      </c>
      <c r="AC1217" s="679">
        <f t="shared" si="227"/>
        <v>37.5</v>
      </c>
      <c r="AD1217" s="664">
        <f t="shared" si="227"/>
        <v>47.178546470999301</v>
      </c>
      <c r="AE1217" s="1901" t="s">
        <v>826</v>
      </c>
    </row>
    <row r="1218" spans="1:31" s="6" customFormat="1" ht="38.25">
      <c r="A1218" s="59"/>
      <c r="B1218" s="634"/>
      <c r="C1218" s="1900"/>
      <c r="D1218" s="1900"/>
      <c r="E1218" s="1900"/>
      <c r="F1218" s="1900"/>
      <c r="G1218" s="1900"/>
      <c r="H1218" s="1900"/>
      <c r="I1218" s="727" t="s">
        <v>876</v>
      </c>
      <c r="J1218" s="1906" t="s">
        <v>877</v>
      </c>
      <c r="K1218" s="597">
        <v>72</v>
      </c>
      <c r="L1218" s="699">
        <v>41172</v>
      </c>
      <c r="M1218" s="595">
        <v>24</v>
      </c>
      <c r="N1218" s="670">
        <f>6862+5458</f>
        <v>12320</v>
      </c>
      <c r="O1218" s="597">
        <v>12</v>
      </c>
      <c r="P1218" s="711">
        <v>30858</v>
      </c>
      <c r="Q1218" s="669">
        <v>3</v>
      </c>
      <c r="R1218" s="386">
        <v>5049.5</v>
      </c>
      <c r="S1218" s="385"/>
      <c r="T1218" s="59"/>
      <c r="U1218" s="59"/>
      <c r="V1218" s="59"/>
      <c r="W1218" s="59"/>
      <c r="X1218" s="59"/>
      <c r="Y1218" s="61">
        <f t="shared" si="228"/>
        <v>3</v>
      </c>
      <c r="Z1218" s="664">
        <f t="shared" si="229"/>
        <v>5049.5</v>
      </c>
      <c r="AA1218" s="678">
        <f t="shared" si="230"/>
        <v>27</v>
      </c>
      <c r="AB1218" s="665">
        <f t="shared" si="230"/>
        <v>17369.5</v>
      </c>
      <c r="AC1218" s="679">
        <f t="shared" si="227"/>
        <v>37.5</v>
      </c>
      <c r="AD1218" s="664">
        <f t="shared" si="227"/>
        <v>42.187651802195667</v>
      </c>
      <c r="AE1218" s="1901" t="s">
        <v>826</v>
      </c>
    </row>
    <row r="1219" spans="1:31" s="6" customFormat="1" ht="51">
      <c r="A1219" s="59"/>
      <c r="B1219" s="634"/>
      <c r="C1219" s="1900"/>
      <c r="D1219" s="1900"/>
      <c r="E1219" s="1900"/>
      <c r="F1219" s="1900"/>
      <c r="G1219" s="1900"/>
      <c r="H1219" s="1900"/>
      <c r="I1219" s="728" t="s">
        <v>878</v>
      </c>
      <c r="J1219" s="1906" t="s">
        <v>879</v>
      </c>
      <c r="K1219" s="597">
        <v>72</v>
      </c>
      <c r="L1219" s="699">
        <v>93900</v>
      </c>
      <c r="M1219" s="595">
        <v>24</v>
      </c>
      <c r="N1219" s="670">
        <f>14736.5+20447</f>
        <v>35183.5</v>
      </c>
      <c r="O1219" s="597">
        <v>12</v>
      </c>
      <c r="P1219" s="711">
        <v>20040</v>
      </c>
      <c r="Q1219" s="669">
        <v>3</v>
      </c>
      <c r="R1219" s="386">
        <v>1377</v>
      </c>
      <c r="S1219" s="385"/>
      <c r="T1219" s="59"/>
      <c r="U1219" s="59"/>
      <c r="V1219" s="59"/>
      <c r="W1219" s="59"/>
      <c r="X1219" s="59"/>
      <c r="Y1219" s="61">
        <f t="shared" si="228"/>
        <v>3</v>
      </c>
      <c r="Z1219" s="664">
        <f t="shared" si="229"/>
        <v>1377</v>
      </c>
      <c r="AA1219" s="678">
        <f t="shared" si="230"/>
        <v>27</v>
      </c>
      <c r="AB1219" s="665">
        <f t="shared" si="230"/>
        <v>36560.5</v>
      </c>
      <c r="AC1219" s="679">
        <f t="shared" si="227"/>
        <v>37.5</v>
      </c>
      <c r="AD1219" s="664">
        <f t="shared" si="227"/>
        <v>38.935569755058573</v>
      </c>
      <c r="AE1219" s="1901" t="s">
        <v>826</v>
      </c>
    </row>
    <row r="1220" spans="1:31" s="6" customFormat="1" ht="27.75" customHeight="1">
      <c r="A1220" s="59"/>
      <c r="B1220" s="634"/>
      <c r="C1220" s="1900"/>
      <c r="D1220" s="1900"/>
      <c r="E1220" s="1900"/>
      <c r="F1220" s="1900"/>
      <c r="G1220" s="1900"/>
      <c r="H1220" s="1900"/>
      <c r="I1220" s="384" t="s">
        <v>880</v>
      </c>
      <c r="J1220" s="1906" t="s">
        <v>881</v>
      </c>
      <c r="K1220" s="597">
        <v>72</v>
      </c>
      <c r="L1220" s="699">
        <v>209496.264</v>
      </c>
      <c r="M1220" s="595">
        <v>24</v>
      </c>
      <c r="N1220" s="670">
        <f>34911.562+34846.246</f>
        <v>69757.80799999999</v>
      </c>
      <c r="O1220" s="597">
        <v>12</v>
      </c>
      <c r="P1220" s="711">
        <v>35034.000999999997</v>
      </c>
      <c r="Q1220" s="669">
        <v>3</v>
      </c>
      <c r="R1220" s="386">
        <v>8873.7649999999994</v>
      </c>
      <c r="S1220" s="385"/>
      <c r="T1220" s="59"/>
      <c r="U1220" s="59"/>
      <c r="V1220" s="59"/>
      <c r="W1220" s="59"/>
      <c r="X1220" s="59"/>
      <c r="Y1220" s="61">
        <f t="shared" si="228"/>
        <v>3</v>
      </c>
      <c r="Z1220" s="664">
        <f t="shared" si="229"/>
        <v>8873.7649999999994</v>
      </c>
      <c r="AA1220" s="678">
        <f t="shared" si="230"/>
        <v>27</v>
      </c>
      <c r="AB1220" s="665">
        <f t="shared" si="230"/>
        <v>78631.572999999989</v>
      </c>
      <c r="AC1220" s="679">
        <f t="shared" si="227"/>
        <v>37.5</v>
      </c>
      <c r="AD1220" s="664">
        <f t="shared" si="227"/>
        <v>37.533639740706782</v>
      </c>
      <c r="AE1220" s="1901" t="s">
        <v>826</v>
      </c>
    </row>
    <row r="1221" spans="1:31" s="6" customFormat="1" ht="38.25">
      <c r="A1221" s="59"/>
      <c r="B1221" s="634"/>
      <c r="C1221" s="1900"/>
      <c r="D1221" s="1900"/>
      <c r="E1221" s="1900"/>
      <c r="F1221" s="1900"/>
      <c r="G1221" s="1900"/>
      <c r="H1221" s="1900"/>
      <c r="I1221" s="727" t="s">
        <v>882</v>
      </c>
      <c r="J1221" s="728" t="s">
        <v>883</v>
      </c>
      <c r="K1221" s="597">
        <v>72</v>
      </c>
      <c r="L1221" s="699">
        <v>136962</v>
      </c>
      <c r="M1221" s="716">
        <v>24</v>
      </c>
      <c r="N1221" s="717">
        <f>22823.9+23510</f>
        <v>46333.9</v>
      </c>
      <c r="O1221" s="718">
        <v>12</v>
      </c>
      <c r="P1221" s="711">
        <v>26970.400000000001</v>
      </c>
      <c r="Q1221" s="719">
        <v>3</v>
      </c>
      <c r="R1221" s="699">
        <v>11503.2</v>
      </c>
      <c r="S1221" s="711"/>
      <c r="T1221" s="720"/>
      <c r="U1221" s="720"/>
      <c r="V1221" s="720"/>
      <c r="W1221" s="720"/>
      <c r="X1221" s="720"/>
      <c r="Y1221" s="720">
        <f t="shared" si="228"/>
        <v>3</v>
      </c>
      <c r="Z1221" s="664">
        <f t="shared" si="229"/>
        <v>11503.2</v>
      </c>
      <c r="AA1221" s="721">
        <f t="shared" si="230"/>
        <v>27</v>
      </c>
      <c r="AB1221" s="664">
        <f t="shared" si="230"/>
        <v>57837.100000000006</v>
      </c>
      <c r="AC1221" s="679">
        <f t="shared" si="227"/>
        <v>37.5</v>
      </c>
      <c r="AD1221" s="664">
        <f t="shared" si="227"/>
        <v>42.228574349089534</v>
      </c>
      <c r="AE1221" s="1901" t="s">
        <v>826</v>
      </c>
    </row>
    <row r="1222" spans="1:31" s="6" customFormat="1" ht="51">
      <c r="A1222" s="59"/>
      <c r="B1222" s="634"/>
      <c r="C1222" s="1900"/>
      <c r="D1222" s="1900"/>
      <c r="E1222" s="1900"/>
      <c r="F1222" s="1900"/>
      <c r="G1222" s="1900"/>
      <c r="H1222" s="1900"/>
      <c r="I1222" s="724" t="s">
        <v>884</v>
      </c>
      <c r="J1222" s="1906" t="s">
        <v>885</v>
      </c>
      <c r="K1222" s="597">
        <v>72</v>
      </c>
      <c r="L1222" s="699">
        <v>55482</v>
      </c>
      <c r="M1222" s="716">
        <v>24</v>
      </c>
      <c r="N1222" s="717">
        <f>9247+56387</f>
        <v>65634</v>
      </c>
      <c r="O1222" s="718">
        <v>12</v>
      </c>
      <c r="P1222" s="711">
        <v>5570.8</v>
      </c>
      <c r="Q1222" s="719">
        <v>3</v>
      </c>
      <c r="R1222" s="699">
        <v>248.4</v>
      </c>
      <c r="S1222" s="711"/>
      <c r="T1222" s="720"/>
      <c r="U1222" s="720"/>
      <c r="V1222" s="720"/>
      <c r="W1222" s="720"/>
      <c r="X1222" s="720"/>
      <c r="Y1222" s="720">
        <f t="shared" si="228"/>
        <v>3</v>
      </c>
      <c r="Z1222" s="664">
        <f t="shared" si="229"/>
        <v>248.4</v>
      </c>
      <c r="AA1222" s="721">
        <f t="shared" si="230"/>
        <v>27</v>
      </c>
      <c r="AB1222" s="664">
        <f t="shared" si="230"/>
        <v>65882.399999999994</v>
      </c>
      <c r="AC1222" s="679">
        <f t="shared" si="227"/>
        <v>37.5</v>
      </c>
      <c r="AD1222" s="664">
        <f t="shared" si="227"/>
        <v>118.74553909376013</v>
      </c>
      <c r="AE1222" s="1901" t="s">
        <v>826</v>
      </c>
    </row>
    <row r="1223" spans="1:31" s="6" customFormat="1" ht="51">
      <c r="A1223" s="59"/>
      <c r="B1223" s="634"/>
      <c r="C1223" s="1900"/>
      <c r="D1223" s="1900"/>
      <c r="E1223" s="1900"/>
      <c r="F1223" s="1900"/>
      <c r="G1223" s="1900"/>
      <c r="H1223" s="1900"/>
      <c r="I1223" s="724" t="s">
        <v>886</v>
      </c>
      <c r="J1223" s="1906" t="s">
        <v>887</v>
      </c>
      <c r="K1223" s="597">
        <v>72</v>
      </c>
      <c r="L1223" s="699">
        <v>36000</v>
      </c>
      <c r="M1223" s="716">
        <v>24</v>
      </c>
      <c r="N1223" s="717">
        <f>7893+4900</f>
        <v>12793</v>
      </c>
      <c r="O1223" s="718">
        <v>12</v>
      </c>
      <c r="P1223" s="711">
        <v>5420</v>
      </c>
      <c r="Q1223" s="719">
        <v>3</v>
      </c>
      <c r="R1223" s="699">
        <v>600</v>
      </c>
      <c r="S1223" s="711"/>
      <c r="T1223" s="720"/>
      <c r="U1223" s="720"/>
      <c r="V1223" s="720"/>
      <c r="W1223" s="720"/>
      <c r="X1223" s="720"/>
      <c r="Y1223" s="720">
        <f t="shared" si="228"/>
        <v>3</v>
      </c>
      <c r="Z1223" s="664">
        <f t="shared" si="229"/>
        <v>600</v>
      </c>
      <c r="AA1223" s="721">
        <f t="shared" si="230"/>
        <v>27</v>
      </c>
      <c r="AB1223" s="664">
        <f t="shared" si="230"/>
        <v>13393</v>
      </c>
      <c r="AC1223" s="679">
        <f t="shared" ref="AC1223:AD1227" si="231">AA1223/K1223*100</f>
        <v>37.5</v>
      </c>
      <c r="AD1223" s="664">
        <f t="shared" si="231"/>
        <v>37.202777777777776</v>
      </c>
      <c r="AE1223" s="1901" t="s">
        <v>826</v>
      </c>
    </row>
    <row r="1224" spans="1:31" s="6" customFormat="1" ht="27.75" customHeight="1">
      <c r="A1224" s="59"/>
      <c r="B1224" s="634"/>
      <c r="C1224" s="1900"/>
      <c r="D1224" s="1900"/>
      <c r="E1224" s="1900"/>
      <c r="F1224" s="1900"/>
      <c r="G1224" s="1900"/>
      <c r="H1224" s="1900"/>
      <c r="I1224" s="727" t="s">
        <v>223</v>
      </c>
      <c r="J1224" s="1906" t="s">
        <v>888</v>
      </c>
      <c r="K1224" s="597">
        <v>72</v>
      </c>
      <c r="L1224" s="699">
        <v>164340</v>
      </c>
      <c r="M1224" s="716">
        <v>24</v>
      </c>
      <c r="N1224" s="717">
        <f>27206+24021</f>
        <v>51227</v>
      </c>
      <c r="O1224" s="718">
        <v>12</v>
      </c>
      <c r="P1224" s="711">
        <v>50722.5</v>
      </c>
      <c r="Q1224" s="719">
        <v>3</v>
      </c>
      <c r="R1224" s="699">
        <v>2772.5</v>
      </c>
      <c r="S1224" s="711"/>
      <c r="T1224" s="720"/>
      <c r="U1224" s="720"/>
      <c r="V1224" s="720"/>
      <c r="W1224" s="720"/>
      <c r="X1224" s="720"/>
      <c r="Y1224" s="720">
        <f t="shared" si="228"/>
        <v>3</v>
      </c>
      <c r="Z1224" s="664">
        <f t="shared" si="229"/>
        <v>2772.5</v>
      </c>
      <c r="AA1224" s="721">
        <f t="shared" si="230"/>
        <v>27</v>
      </c>
      <c r="AB1224" s="664">
        <f t="shared" si="230"/>
        <v>53999.5</v>
      </c>
      <c r="AC1224" s="679">
        <f t="shared" si="231"/>
        <v>37.5</v>
      </c>
      <c r="AD1224" s="664">
        <f t="shared" si="231"/>
        <v>32.858403310210541</v>
      </c>
      <c r="AE1224" s="1901" t="s">
        <v>826</v>
      </c>
    </row>
    <row r="1225" spans="1:31" s="6" customFormat="1" ht="27.75" customHeight="1">
      <c r="A1225" s="59"/>
      <c r="B1225" s="634"/>
      <c r="C1225" s="1900"/>
      <c r="D1225" s="1900"/>
      <c r="E1225" s="1900"/>
      <c r="F1225" s="1900"/>
      <c r="G1225" s="1900"/>
      <c r="H1225" s="1900"/>
      <c r="I1225" s="727" t="s">
        <v>889</v>
      </c>
      <c r="J1225" s="728" t="s">
        <v>890</v>
      </c>
      <c r="K1225" s="597">
        <v>72</v>
      </c>
      <c r="L1225" s="699">
        <v>859440</v>
      </c>
      <c r="M1225" s="716">
        <v>24</v>
      </c>
      <c r="N1225" s="717">
        <f>143195.187+154442.437</f>
        <v>297637.62400000001</v>
      </c>
      <c r="O1225" s="718">
        <v>12</v>
      </c>
      <c r="P1225" s="711">
        <v>104800</v>
      </c>
      <c r="Q1225" s="719">
        <v>3</v>
      </c>
      <c r="R1225" s="699">
        <v>16450</v>
      </c>
      <c r="S1225" s="711"/>
      <c r="T1225" s="720"/>
      <c r="U1225" s="720"/>
      <c r="V1225" s="720"/>
      <c r="W1225" s="720"/>
      <c r="X1225" s="720"/>
      <c r="Y1225" s="720">
        <f t="shared" si="228"/>
        <v>3</v>
      </c>
      <c r="Z1225" s="664">
        <f t="shared" si="229"/>
        <v>16450</v>
      </c>
      <c r="AA1225" s="721">
        <f t="shared" si="230"/>
        <v>27</v>
      </c>
      <c r="AB1225" s="664">
        <f t="shared" si="230"/>
        <v>314087.62400000001</v>
      </c>
      <c r="AC1225" s="679">
        <f t="shared" si="231"/>
        <v>37.5</v>
      </c>
      <c r="AD1225" s="664">
        <f t="shared" si="231"/>
        <v>36.545613888113195</v>
      </c>
      <c r="AE1225" s="1901" t="s">
        <v>826</v>
      </c>
    </row>
    <row r="1226" spans="1:31" s="6" customFormat="1" ht="51">
      <c r="A1226" s="59"/>
      <c r="B1226" s="634"/>
      <c r="C1226" s="1900"/>
      <c r="D1226" s="1900"/>
      <c r="E1226" s="1900"/>
      <c r="F1226" s="1900"/>
      <c r="G1226" s="1900"/>
      <c r="H1226" s="1900"/>
      <c r="I1226" s="727" t="s">
        <v>891</v>
      </c>
      <c r="J1226" s="728" t="s">
        <v>892</v>
      </c>
      <c r="K1226" s="597">
        <v>72</v>
      </c>
      <c r="L1226" s="699">
        <v>534900</v>
      </c>
      <c r="M1226" s="716">
        <v>24</v>
      </c>
      <c r="N1226" s="717">
        <f>89135+106380</f>
        <v>195515</v>
      </c>
      <c r="O1226" s="718">
        <v>12</v>
      </c>
      <c r="P1226" s="711">
        <v>59025</v>
      </c>
      <c r="Q1226" s="719">
        <v>3</v>
      </c>
      <c r="R1226" s="699">
        <v>19275</v>
      </c>
      <c r="S1226" s="711"/>
      <c r="T1226" s="720"/>
      <c r="U1226" s="720"/>
      <c r="V1226" s="720"/>
      <c r="W1226" s="720"/>
      <c r="X1226" s="720"/>
      <c r="Y1226" s="720">
        <f t="shared" si="228"/>
        <v>3</v>
      </c>
      <c r="Z1226" s="664">
        <f t="shared" si="229"/>
        <v>19275</v>
      </c>
      <c r="AA1226" s="721">
        <f t="shared" si="230"/>
        <v>27</v>
      </c>
      <c r="AB1226" s="664">
        <f t="shared" si="230"/>
        <v>214790</v>
      </c>
      <c r="AC1226" s="679">
        <f t="shared" si="231"/>
        <v>37.5</v>
      </c>
      <c r="AD1226" s="664">
        <f t="shared" si="231"/>
        <v>40.155169190502896</v>
      </c>
      <c r="AE1226" s="1901" t="s">
        <v>826</v>
      </c>
    </row>
    <row r="1227" spans="1:31" s="6" customFormat="1" ht="51">
      <c r="A1227" s="59"/>
      <c r="B1227" s="634"/>
      <c r="C1227" s="1900"/>
      <c r="D1227" s="1900"/>
      <c r="E1227" s="1900"/>
      <c r="F1227" s="1900"/>
      <c r="G1227" s="1900"/>
      <c r="H1227" s="1900"/>
      <c r="I1227" s="727" t="s">
        <v>893</v>
      </c>
      <c r="J1227" s="728" t="s">
        <v>894</v>
      </c>
      <c r="K1227" s="597">
        <v>48</v>
      </c>
      <c r="L1227" s="699">
        <v>106280</v>
      </c>
      <c r="M1227" s="716">
        <v>24</v>
      </c>
      <c r="N1227" s="717">
        <f>0</f>
        <v>0</v>
      </c>
      <c r="O1227" s="718">
        <v>12</v>
      </c>
      <c r="P1227" s="711">
        <v>26570</v>
      </c>
      <c r="Q1227" s="719">
        <v>3</v>
      </c>
      <c r="R1227" s="699">
        <v>11236.474</v>
      </c>
      <c r="S1227" s="711"/>
      <c r="T1227" s="720"/>
      <c r="U1227" s="720"/>
      <c r="V1227" s="720"/>
      <c r="W1227" s="720"/>
      <c r="X1227" s="720"/>
      <c r="Y1227" s="720">
        <f t="shared" si="228"/>
        <v>3</v>
      </c>
      <c r="Z1227" s="664">
        <f t="shared" si="229"/>
        <v>11236.474</v>
      </c>
      <c r="AA1227" s="721">
        <f t="shared" si="230"/>
        <v>27</v>
      </c>
      <c r="AB1227" s="664">
        <f t="shared" si="230"/>
        <v>11236.474</v>
      </c>
      <c r="AC1227" s="679">
        <f t="shared" si="231"/>
        <v>56.25</v>
      </c>
      <c r="AD1227" s="664">
        <f t="shared" si="231"/>
        <v>10.572519759126834</v>
      </c>
      <c r="AE1227" s="1901" t="s">
        <v>826</v>
      </c>
    </row>
    <row r="1228" spans="1:31" s="6" customFormat="1" ht="38.25">
      <c r="A1228" s="59"/>
      <c r="B1228" s="634"/>
      <c r="C1228" s="1900"/>
      <c r="D1228" s="1900"/>
      <c r="E1228" s="1900"/>
      <c r="F1228" s="1900"/>
      <c r="G1228" s="1900"/>
      <c r="H1228" s="1900"/>
      <c r="I1228" s="618" t="s">
        <v>895</v>
      </c>
      <c r="J1228" s="1906"/>
      <c r="K1228" s="597"/>
      <c r="L1228" s="699"/>
      <c r="M1228" s="716"/>
      <c r="N1228" s="717"/>
      <c r="O1228" s="711"/>
      <c r="P1228" s="715">
        <f>SUM(P1229:P1232)</f>
        <v>605630</v>
      </c>
      <c r="Q1228" s="719"/>
      <c r="R1228" s="699"/>
      <c r="S1228" s="711"/>
      <c r="T1228" s="720"/>
      <c r="U1228" s="720"/>
      <c r="V1228" s="720"/>
      <c r="W1228" s="720"/>
      <c r="X1228" s="720"/>
      <c r="Y1228" s="720"/>
      <c r="Z1228" s="722"/>
      <c r="AA1228" s="720"/>
      <c r="AB1228" s="722"/>
      <c r="AC1228" s="723"/>
      <c r="AD1228" s="720"/>
      <c r="AE1228" s="59"/>
    </row>
    <row r="1229" spans="1:31" s="6" customFormat="1" ht="25.5">
      <c r="A1229" s="59"/>
      <c r="B1229" s="634"/>
      <c r="C1229" s="1900"/>
      <c r="D1229" s="1900"/>
      <c r="E1229" s="1900"/>
      <c r="F1229" s="1900"/>
      <c r="G1229" s="1900"/>
      <c r="H1229" s="1900"/>
      <c r="I1229" s="1906" t="s">
        <v>896</v>
      </c>
      <c r="J1229" s="1906" t="s">
        <v>897</v>
      </c>
      <c r="K1229" s="597">
        <v>24</v>
      </c>
      <c r="L1229" s="699">
        <f>55150+59400+220000</f>
        <v>334550</v>
      </c>
      <c r="M1229" s="716">
        <v>12</v>
      </c>
      <c r="N1229" s="717">
        <f>54525+59200</f>
        <v>113725</v>
      </c>
      <c r="O1229" s="711">
        <v>3</v>
      </c>
      <c r="P1229" s="711">
        <v>127050</v>
      </c>
      <c r="Q1229" s="719">
        <v>3</v>
      </c>
      <c r="R1229" s="699">
        <v>17590</v>
      </c>
      <c r="S1229" s="711"/>
      <c r="T1229" s="720"/>
      <c r="U1229" s="720"/>
      <c r="V1229" s="720"/>
      <c r="W1229" s="720"/>
      <c r="X1229" s="720"/>
      <c r="Y1229" s="720">
        <v>3</v>
      </c>
      <c r="Z1229" s="722">
        <f>R1229</f>
        <v>17590</v>
      </c>
      <c r="AA1229" s="721">
        <f t="shared" ref="AA1229:AB1232" si="232">M1229+Y1229</f>
        <v>15</v>
      </c>
      <c r="AB1229" s="664">
        <f t="shared" si="232"/>
        <v>131315</v>
      </c>
      <c r="AC1229" s="679">
        <f t="shared" ref="AC1229:AD1232" si="233">AA1229/K1229*100</f>
        <v>62.5</v>
      </c>
      <c r="AD1229" s="664">
        <f t="shared" si="233"/>
        <v>39.25123299955164</v>
      </c>
      <c r="AE1229" s="1901" t="s">
        <v>826</v>
      </c>
    </row>
    <row r="1230" spans="1:31" s="6" customFormat="1" ht="25.5">
      <c r="A1230" s="59"/>
      <c r="B1230" s="634"/>
      <c r="C1230" s="1900"/>
      <c r="D1230" s="1900"/>
      <c r="E1230" s="1900"/>
      <c r="F1230" s="1900"/>
      <c r="G1230" s="1900"/>
      <c r="H1230" s="1900"/>
      <c r="I1230" s="727" t="s">
        <v>898</v>
      </c>
      <c r="J1230" s="728" t="s">
        <v>899</v>
      </c>
      <c r="K1230" s="597">
        <v>72</v>
      </c>
      <c r="L1230" s="699">
        <f>125206+77178+300000</f>
        <v>502384</v>
      </c>
      <c r="M1230" s="716">
        <v>24</v>
      </c>
      <c r="N1230" s="717">
        <f>125206+75531</f>
        <v>200737</v>
      </c>
      <c r="O1230" s="711">
        <v>12</v>
      </c>
      <c r="P1230" s="711">
        <v>134000</v>
      </c>
      <c r="Q1230" s="719">
        <v>3</v>
      </c>
      <c r="R1230" s="699">
        <v>29000</v>
      </c>
      <c r="S1230" s="711"/>
      <c r="T1230" s="720"/>
      <c r="U1230" s="720"/>
      <c r="V1230" s="720"/>
      <c r="W1230" s="720"/>
      <c r="X1230" s="720"/>
      <c r="Y1230" s="720">
        <v>3</v>
      </c>
      <c r="Z1230" s="722">
        <f>R1230</f>
        <v>29000</v>
      </c>
      <c r="AA1230" s="721">
        <f t="shared" si="232"/>
        <v>27</v>
      </c>
      <c r="AB1230" s="664">
        <f t="shared" si="232"/>
        <v>229737</v>
      </c>
      <c r="AC1230" s="679">
        <f t="shared" si="233"/>
        <v>37.5</v>
      </c>
      <c r="AD1230" s="664">
        <f t="shared" si="233"/>
        <v>45.729362400076432</v>
      </c>
      <c r="AE1230" s="1901" t="s">
        <v>826</v>
      </c>
    </row>
    <row r="1231" spans="1:31" s="6" customFormat="1" ht="38.25">
      <c r="A1231" s="59"/>
      <c r="B1231" s="634"/>
      <c r="C1231" s="1900"/>
      <c r="D1231" s="1900"/>
      <c r="E1231" s="1900"/>
      <c r="F1231" s="1900"/>
      <c r="G1231" s="1900"/>
      <c r="H1231" s="1900"/>
      <c r="I1231" s="724" t="s">
        <v>900</v>
      </c>
      <c r="J1231" s="728" t="s">
        <v>901</v>
      </c>
      <c r="K1231" s="597">
        <v>72</v>
      </c>
      <c r="L1231" s="699">
        <f>175490.7+178320+575788</f>
        <v>929598.7</v>
      </c>
      <c r="M1231" s="716">
        <v>24</v>
      </c>
      <c r="N1231" s="717">
        <f>160963+148947.7</f>
        <v>309910.7</v>
      </c>
      <c r="O1231" s="711">
        <v>12</v>
      </c>
      <c r="P1231" s="711">
        <v>210400</v>
      </c>
      <c r="Q1231" s="719">
        <v>3</v>
      </c>
      <c r="R1231" s="699">
        <v>29492.5</v>
      </c>
      <c r="S1231" s="711"/>
      <c r="T1231" s="720"/>
      <c r="U1231" s="720"/>
      <c r="V1231" s="720"/>
      <c r="W1231" s="720"/>
      <c r="X1231" s="720"/>
      <c r="Y1231" s="720">
        <v>3</v>
      </c>
      <c r="Z1231" s="722">
        <f>R1231</f>
        <v>29492.5</v>
      </c>
      <c r="AA1231" s="721">
        <f t="shared" si="232"/>
        <v>27</v>
      </c>
      <c r="AB1231" s="664">
        <f t="shared" si="232"/>
        <v>339403.2</v>
      </c>
      <c r="AC1231" s="679">
        <f t="shared" si="233"/>
        <v>37.5</v>
      </c>
      <c r="AD1231" s="664">
        <f t="shared" si="233"/>
        <v>36.510722314908577</v>
      </c>
      <c r="AE1231" s="1901" t="s">
        <v>826</v>
      </c>
    </row>
    <row r="1232" spans="1:31" s="6" customFormat="1" ht="25.5">
      <c r="A1232" s="59"/>
      <c r="B1232" s="634"/>
      <c r="C1232" s="1900"/>
      <c r="D1232" s="1900"/>
      <c r="E1232" s="1900"/>
      <c r="F1232" s="1900"/>
      <c r="G1232" s="1900"/>
      <c r="H1232" s="1900"/>
      <c r="I1232" s="724" t="s">
        <v>902</v>
      </c>
      <c r="J1232" s="1906" t="s">
        <v>903</v>
      </c>
      <c r="K1232" s="597">
        <v>24</v>
      </c>
      <c r="L1232" s="699">
        <f>88890+114530+356000</f>
        <v>559420</v>
      </c>
      <c r="M1232" s="716">
        <v>19</v>
      </c>
      <c r="N1232" s="717">
        <f>82894+110308.95</f>
        <v>193202.95</v>
      </c>
      <c r="O1232" s="711">
        <v>4</v>
      </c>
      <c r="P1232" s="711">
        <v>134180</v>
      </c>
      <c r="Q1232" s="719">
        <v>0</v>
      </c>
      <c r="R1232" s="699">
        <v>0</v>
      </c>
      <c r="S1232" s="711"/>
      <c r="T1232" s="720"/>
      <c r="U1232" s="720"/>
      <c r="V1232" s="720"/>
      <c r="W1232" s="720"/>
      <c r="X1232" s="720"/>
      <c r="Y1232" s="720">
        <v>0</v>
      </c>
      <c r="Z1232" s="722">
        <f>R1232</f>
        <v>0</v>
      </c>
      <c r="AA1232" s="721">
        <f t="shared" si="232"/>
        <v>19</v>
      </c>
      <c r="AB1232" s="664">
        <f t="shared" si="232"/>
        <v>193202.95</v>
      </c>
      <c r="AC1232" s="679">
        <f t="shared" si="233"/>
        <v>79.166666666666657</v>
      </c>
      <c r="AD1232" s="664">
        <f t="shared" si="233"/>
        <v>34.536296521397162</v>
      </c>
      <c r="AE1232" s="1901" t="s">
        <v>826</v>
      </c>
    </row>
    <row r="1233" spans="1:31" s="6" customFormat="1" ht="51">
      <c r="A1233" s="59"/>
      <c r="B1233" s="634"/>
      <c r="C1233" s="1900"/>
      <c r="D1233" s="1900"/>
      <c r="E1233" s="1900"/>
      <c r="F1233" s="1900"/>
      <c r="G1233" s="1900"/>
      <c r="H1233" s="1900"/>
      <c r="I1233" s="725" t="s">
        <v>227</v>
      </c>
      <c r="J1233" s="1906"/>
      <c r="K1233" s="597"/>
      <c r="L1233" s="699"/>
      <c r="M1233" s="716"/>
      <c r="N1233" s="717"/>
      <c r="O1233" s="711"/>
      <c r="P1233" s="711">
        <f>P1234</f>
        <v>26838.457999999999</v>
      </c>
      <c r="Q1233" s="719"/>
      <c r="R1233" s="699"/>
      <c r="S1233" s="711"/>
      <c r="T1233" s="720"/>
      <c r="U1233" s="720"/>
      <c r="V1233" s="720"/>
      <c r="W1233" s="720"/>
      <c r="X1233" s="720"/>
      <c r="Y1233" s="720"/>
      <c r="Z1233" s="722"/>
      <c r="AA1233" s="720"/>
      <c r="AB1233" s="722"/>
      <c r="AC1233" s="723"/>
      <c r="AD1233" s="720"/>
      <c r="AE1233" s="59"/>
    </row>
    <row r="1234" spans="1:31" s="6" customFormat="1" ht="25.5">
      <c r="A1234" s="59"/>
      <c r="B1234" s="634"/>
      <c r="C1234" s="1900"/>
      <c r="D1234" s="1900"/>
      <c r="E1234" s="1900"/>
      <c r="F1234" s="1900"/>
      <c r="G1234" s="1900"/>
      <c r="H1234" s="1900"/>
      <c r="I1234" s="724" t="s">
        <v>904</v>
      </c>
      <c r="J1234" s="728" t="s">
        <v>905</v>
      </c>
      <c r="K1234" s="597">
        <v>24</v>
      </c>
      <c r="L1234" s="699">
        <v>156000</v>
      </c>
      <c r="M1234" s="716">
        <v>8</v>
      </c>
      <c r="N1234" s="717">
        <f>26742.185+26332.092</f>
        <v>53074.277000000002</v>
      </c>
      <c r="O1234" s="711">
        <v>4</v>
      </c>
      <c r="P1234" s="711">
        <v>26838.457999999999</v>
      </c>
      <c r="Q1234" s="719">
        <v>4</v>
      </c>
      <c r="R1234" s="699">
        <v>4842.098</v>
      </c>
      <c r="S1234" s="711"/>
      <c r="T1234" s="720"/>
      <c r="U1234" s="720"/>
      <c r="V1234" s="720"/>
      <c r="W1234" s="720"/>
      <c r="X1234" s="720"/>
      <c r="Y1234" s="720">
        <v>4</v>
      </c>
      <c r="Z1234" s="722">
        <f>R1234</f>
        <v>4842.098</v>
      </c>
      <c r="AA1234" s="721">
        <f>M1234+Y1234</f>
        <v>12</v>
      </c>
      <c r="AB1234" s="664">
        <f>N1234+Z1234</f>
        <v>57916.375</v>
      </c>
      <c r="AC1234" s="679">
        <f>AA1234/K1234*100</f>
        <v>50</v>
      </c>
      <c r="AD1234" s="664">
        <f>AB1234/L1234*100</f>
        <v>37.125881410256412</v>
      </c>
      <c r="AE1234" s="1901" t="s">
        <v>826</v>
      </c>
    </row>
    <row r="1235" spans="1:31" s="6" customFormat="1" ht="15">
      <c r="A1235" s="4335" t="s">
        <v>89</v>
      </c>
      <c r="B1235" s="4335"/>
      <c r="C1235" s="4256"/>
      <c r="D1235" s="4256"/>
      <c r="E1235" s="4256"/>
      <c r="F1235" s="4256"/>
      <c r="G1235" s="4256"/>
      <c r="H1235" s="4256"/>
      <c r="I1235" s="4256"/>
      <c r="J1235" s="4256"/>
      <c r="K1235" s="4256"/>
      <c r="L1235" s="4256"/>
      <c r="M1235" s="4256"/>
      <c r="N1235" s="4256"/>
      <c r="O1235" s="4256"/>
      <c r="P1235" s="4256"/>
      <c r="Q1235" s="4256"/>
      <c r="R1235" s="4256"/>
      <c r="S1235" s="4256"/>
      <c r="T1235" s="4256"/>
      <c r="U1235" s="4256"/>
      <c r="V1235" s="4256"/>
      <c r="W1235" s="4256"/>
      <c r="X1235" s="4256"/>
      <c r="Y1235" s="4256"/>
      <c r="Z1235" s="4256"/>
      <c r="AA1235" s="4256"/>
      <c r="AB1235" s="4256"/>
      <c r="AC1235" s="493">
        <f>AVERAGE(AC1165:AC1234)</f>
        <v>45.855886473335474</v>
      </c>
      <c r="AD1235" s="493">
        <f>AVERAGE(AD1165:AD1234)</f>
        <v>37.192277335632568</v>
      </c>
      <c r="AE1235" s="385"/>
    </row>
    <row r="1236" spans="1:31" s="6" customFormat="1" ht="15">
      <c r="A1236" s="4335" t="s">
        <v>90</v>
      </c>
      <c r="B1236" s="4335"/>
      <c r="C1236" s="4256"/>
      <c r="D1236" s="4256"/>
      <c r="E1236" s="4256"/>
      <c r="F1236" s="4256"/>
      <c r="G1236" s="4256"/>
      <c r="H1236" s="4256"/>
      <c r="I1236" s="4256"/>
      <c r="J1236" s="4256"/>
      <c r="K1236" s="4256"/>
      <c r="L1236" s="4256"/>
      <c r="M1236" s="4256"/>
      <c r="N1236" s="4256"/>
      <c r="O1236" s="4256"/>
      <c r="P1236" s="4256"/>
      <c r="Q1236" s="4256"/>
      <c r="R1236" s="4256"/>
      <c r="S1236" s="4256"/>
      <c r="T1236" s="4256"/>
      <c r="U1236" s="4256"/>
      <c r="V1236" s="4256"/>
      <c r="W1236" s="4256"/>
      <c r="X1236" s="4256"/>
      <c r="Y1236" s="4256"/>
      <c r="Z1236" s="4256"/>
      <c r="AA1236" s="4256"/>
      <c r="AB1236" s="4256"/>
      <c r="AC1236" s="495" t="str">
        <f>IF(AC1235&gt;=45,"ST",IF(AC1235&gt;=38,"T",IF(AC1235&gt;=32,"S",IF(AC1235&gt;=25,"R","SR"))))</f>
        <v>ST</v>
      </c>
      <c r="AD1236" s="495" t="str">
        <f>IF(AD1235&gt;=45,"ST",IF(AD1235&gt;=38,"T",IF(AD1235&gt;=32,"S",IF(AD1235&gt;=25,"R","SR"))))</f>
        <v>S</v>
      </c>
      <c r="AE1236" s="385"/>
    </row>
    <row r="1237" spans="1:31">
      <c r="A1237" s="4461"/>
      <c r="B1237" s="4462"/>
      <c r="C1237" s="4462"/>
      <c r="D1237" s="4462"/>
      <c r="E1237" s="4462"/>
      <c r="F1237" s="4462"/>
      <c r="G1237" s="4462"/>
      <c r="H1237" s="4462"/>
      <c r="I1237" s="4462"/>
      <c r="J1237" s="4462"/>
      <c r="K1237" s="4462"/>
      <c r="L1237" s="4462"/>
      <c r="M1237" s="4462"/>
      <c r="N1237" s="4462"/>
      <c r="O1237" s="4462"/>
      <c r="P1237" s="4462"/>
      <c r="Q1237" s="4462"/>
      <c r="R1237" s="4462"/>
      <c r="S1237" s="4462"/>
      <c r="T1237" s="4462"/>
      <c r="U1237" s="4462"/>
      <c r="V1237" s="4462"/>
      <c r="W1237" s="4462"/>
      <c r="X1237" s="4462"/>
      <c r="Y1237" s="4462"/>
      <c r="Z1237" s="4462"/>
      <c r="AA1237" s="4462"/>
      <c r="AB1237" s="4462"/>
      <c r="AC1237" s="4462"/>
      <c r="AD1237" s="4462"/>
      <c r="AE1237" s="4463"/>
    </row>
    <row r="1238" spans="1:31" s="69" customFormat="1" ht="27.75" customHeight="1">
      <c r="A1238" s="67">
        <v>28</v>
      </c>
      <c r="B1238" s="67"/>
      <c r="C1238" s="67"/>
      <c r="D1238" s="67"/>
      <c r="E1238" s="67"/>
      <c r="F1238" s="67"/>
      <c r="G1238" s="67"/>
      <c r="H1238" s="67"/>
      <c r="I1238" s="68" t="s">
        <v>215</v>
      </c>
      <c r="J1238" s="67"/>
      <c r="K1238" s="67"/>
      <c r="L1238" s="67"/>
      <c r="M1238" s="67"/>
      <c r="N1238" s="67"/>
      <c r="O1238" s="67"/>
      <c r="P1238" s="67"/>
      <c r="Q1238" s="67"/>
      <c r="R1238" s="67"/>
      <c r="S1238" s="67"/>
      <c r="T1238" s="67"/>
      <c r="U1238" s="67"/>
      <c r="V1238" s="67"/>
      <c r="W1238" s="67"/>
      <c r="X1238" s="67"/>
      <c r="Y1238" s="366"/>
      <c r="Z1238" s="67"/>
      <c r="AA1238" s="67"/>
      <c r="AB1238" s="67"/>
      <c r="AC1238" s="67"/>
      <c r="AD1238" s="67"/>
      <c r="AE1238" s="67"/>
    </row>
    <row r="1239" spans="1:31" s="2086" customFormat="1" ht="51">
      <c r="A1239" s="2073">
        <v>5</v>
      </c>
      <c r="B1239" s="2074" t="s">
        <v>2060</v>
      </c>
      <c r="C1239" s="2075" t="s">
        <v>197</v>
      </c>
      <c r="D1239" s="2075">
        <v>1</v>
      </c>
      <c r="E1239" s="2075" t="s">
        <v>65</v>
      </c>
      <c r="F1239" s="2075">
        <v>11</v>
      </c>
      <c r="G1239" s="2075">
        <v>15</v>
      </c>
      <c r="H1239" s="2076"/>
      <c r="I1239" s="2074" t="s">
        <v>2061</v>
      </c>
      <c r="J1239" s="2074" t="s">
        <v>2062</v>
      </c>
      <c r="K1239" s="2077">
        <v>9</v>
      </c>
      <c r="L1239" s="2078">
        <f>SUM(L1241:L1250)</f>
        <v>8684831</v>
      </c>
      <c r="M1239" s="2074">
        <v>1</v>
      </c>
      <c r="N1239" s="2079">
        <f>SUM(N1241:N1248)</f>
        <v>4035951.87</v>
      </c>
      <c r="O1239" s="2074"/>
      <c r="P1239" s="2078">
        <f>SUM(P1241:P1250)</f>
        <v>372216.83</v>
      </c>
      <c r="Q1239" s="2074"/>
      <c r="R1239" s="2078">
        <f>SUM(R1241:R1248)</f>
        <v>27675</v>
      </c>
      <c r="S1239" s="2074"/>
      <c r="T1239" s="2078"/>
      <c r="U1239" s="2074"/>
      <c r="V1239" s="2074"/>
      <c r="W1239" s="2074"/>
      <c r="X1239" s="2074"/>
      <c r="Y1239" s="2080">
        <f t="shared" ref="Y1239:Z1264" si="234">Q1239+S1239+U1239+W1239</f>
        <v>0</v>
      </c>
      <c r="Z1239" s="2078">
        <f>SUM(Z1241:Z1250)</f>
        <v>10493702.5</v>
      </c>
      <c r="AA1239" s="2081">
        <f>M1239+Y1239</f>
        <v>1</v>
      </c>
      <c r="AB1239" s="2082">
        <f>N1239+Z1239</f>
        <v>14529654.370000001</v>
      </c>
      <c r="AC1239" s="2083">
        <f t="shared" ref="AC1239:AC1264" si="235">AA1239/K1239*100</f>
        <v>11.111111111111111</v>
      </c>
      <c r="AD1239" s="2084">
        <f>AB1239/L1239*100%</f>
        <v>1.6729921825767249</v>
      </c>
      <c r="AE1239" s="2085" t="s">
        <v>2058</v>
      </c>
    </row>
    <row r="1240" spans="1:31" s="1384" customFormat="1" ht="51">
      <c r="A1240" s="1375"/>
      <c r="B1240" s="1374"/>
      <c r="C1240" s="1373"/>
      <c r="D1240" s="1373"/>
      <c r="E1240" s="1373"/>
      <c r="F1240" s="1373"/>
      <c r="G1240" s="1373"/>
      <c r="H1240" s="1391"/>
      <c r="I1240" s="1374"/>
      <c r="J1240" s="1374" t="s">
        <v>2063</v>
      </c>
      <c r="K1240" s="1394" t="s">
        <v>2064</v>
      </c>
      <c r="L1240" s="1393"/>
      <c r="M1240" s="1394" t="s">
        <v>2064</v>
      </c>
      <c r="N1240" s="1392"/>
      <c r="O1240" s="1394" t="s">
        <v>2064</v>
      </c>
      <c r="P1240" s="1393"/>
      <c r="Q1240" s="1394" t="s">
        <v>2064</v>
      </c>
      <c r="R1240" s="1393"/>
      <c r="S1240" s="1374"/>
      <c r="T1240" s="1395"/>
      <c r="U1240" s="1374"/>
      <c r="V1240" s="1374"/>
      <c r="W1240" s="1374"/>
      <c r="X1240" s="1374"/>
      <c r="Y1240" s="1389" t="s">
        <v>2065</v>
      </c>
      <c r="Z1240" s="1393"/>
      <c r="AA1240" s="1385" t="s">
        <v>2065</v>
      </c>
      <c r="AB1240" s="1376"/>
      <c r="AC1240" s="1377">
        <v>100</v>
      </c>
      <c r="AD1240" s="1378">
        <v>0</v>
      </c>
      <c r="AE1240" s="1379"/>
    </row>
    <row r="1241" spans="1:31" s="1383" customFormat="1" ht="51">
      <c r="A1241" s="1389"/>
      <c r="B1241" s="1385" t="s">
        <v>2066</v>
      </c>
      <c r="C1241" s="1381" t="s">
        <v>197</v>
      </c>
      <c r="D1241" s="1381">
        <v>1</v>
      </c>
      <c r="E1241" s="1381" t="s">
        <v>65</v>
      </c>
      <c r="F1241" s="1381">
        <v>11</v>
      </c>
      <c r="G1241" s="1381">
        <v>15</v>
      </c>
      <c r="H1241" s="1382" t="s">
        <v>196</v>
      </c>
      <c r="I1241" s="1385" t="s">
        <v>2067</v>
      </c>
      <c r="J1241" s="1385" t="s">
        <v>2068</v>
      </c>
      <c r="K1241" s="233">
        <v>42</v>
      </c>
      <c r="L1241" s="1386">
        <v>540000</v>
      </c>
      <c r="M1241" s="1385">
        <v>12</v>
      </c>
      <c r="N1241" s="1386">
        <f>25862.22+30774.85</f>
        <v>56637.07</v>
      </c>
      <c r="O1241" s="1385">
        <v>15</v>
      </c>
      <c r="P1241" s="1387">
        <v>70860</v>
      </c>
      <c r="Q1241" s="1385"/>
      <c r="R1241" s="1387">
        <v>17202.5</v>
      </c>
      <c r="S1241" s="1385"/>
      <c r="T1241" s="1388"/>
      <c r="U1241" s="1385"/>
      <c r="V1241" s="1385"/>
      <c r="W1241" s="1385"/>
      <c r="X1241" s="1385"/>
      <c r="Y1241" s="1389">
        <f t="shared" si="234"/>
        <v>0</v>
      </c>
      <c r="Z1241" s="1387">
        <f>R1241+T1241+V1241+X1241</f>
        <v>17202.5</v>
      </c>
      <c r="AA1241" s="1385">
        <f t="shared" ref="AA1241:AB1256" si="236">M1241+Y1241</f>
        <v>12</v>
      </c>
      <c r="AB1241" s="1376">
        <f t="shared" si="236"/>
        <v>73839.570000000007</v>
      </c>
      <c r="AC1241" s="1377">
        <f t="shared" si="235"/>
        <v>28.571428571428569</v>
      </c>
      <c r="AD1241" s="1378">
        <f t="shared" ref="AD1241:AD1248" si="237">AB1241/L1241*100%</f>
        <v>0.13673994444444446</v>
      </c>
      <c r="AE1241" s="1379" t="s">
        <v>2058</v>
      </c>
    </row>
    <row r="1242" spans="1:31" s="1383" customFormat="1" ht="38.25">
      <c r="A1242" s="1389"/>
      <c r="B1242" s="1385" t="s">
        <v>2069</v>
      </c>
      <c r="C1242" s="1381" t="s">
        <v>197</v>
      </c>
      <c r="D1242" s="1381">
        <v>1</v>
      </c>
      <c r="E1242" s="1381" t="s">
        <v>65</v>
      </c>
      <c r="F1242" s="1381">
        <v>11</v>
      </c>
      <c r="G1242" s="1381">
        <v>15</v>
      </c>
      <c r="H1242" s="1382" t="s">
        <v>95</v>
      </c>
      <c r="I1242" s="1385" t="s">
        <v>2070</v>
      </c>
      <c r="J1242" s="1385" t="s">
        <v>2071</v>
      </c>
      <c r="K1242" s="233">
        <v>72</v>
      </c>
      <c r="L1242" s="1386">
        <v>2378725</v>
      </c>
      <c r="M1242" s="1385">
        <v>24</v>
      </c>
      <c r="N1242" s="1386">
        <f>61521.8</f>
        <v>61521.8</v>
      </c>
      <c r="O1242" s="1385">
        <v>12</v>
      </c>
      <c r="P1242" s="1387">
        <v>107497.46</v>
      </c>
      <c r="Q1242" s="1385">
        <v>3</v>
      </c>
      <c r="R1242" s="1387">
        <v>6000</v>
      </c>
      <c r="S1242" s="1385"/>
      <c r="T1242" s="1385"/>
      <c r="U1242" s="1385"/>
      <c r="V1242" s="1385"/>
      <c r="W1242" s="1385"/>
      <c r="X1242" s="1385"/>
      <c r="Y1242" s="1389">
        <f t="shared" si="234"/>
        <v>3</v>
      </c>
      <c r="Z1242" s="1387">
        <v>6000000</v>
      </c>
      <c r="AA1242" s="1385">
        <f t="shared" si="236"/>
        <v>27</v>
      </c>
      <c r="AB1242" s="1376">
        <f t="shared" si="236"/>
        <v>6061521.7999999998</v>
      </c>
      <c r="AC1242" s="1377">
        <f t="shared" si="235"/>
        <v>37.5</v>
      </c>
      <c r="AD1242" s="1378">
        <f t="shared" si="237"/>
        <v>2.5482230186339319</v>
      </c>
      <c r="AE1242" s="1379" t="s">
        <v>2058</v>
      </c>
    </row>
    <row r="1243" spans="1:31" s="1383" customFormat="1" ht="38.25">
      <c r="A1243" s="1389"/>
      <c r="B1243" s="1385" t="s">
        <v>2069</v>
      </c>
      <c r="C1243" s="1381" t="s">
        <v>197</v>
      </c>
      <c r="D1243" s="1381">
        <v>1</v>
      </c>
      <c r="E1243" s="1381" t="s">
        <v>65</v>
      </c>
      <c r="F1243" s="1381">
        <v>11</v>
      </c>
      <c r="G1243" s="1381">
        <v>15</v>
      </c>
      <c r="H1243" s="1382" t="s">
        <v>197</v>
      </c>
      <c r="I1243" s="1385" t="s">
        <v>2072</v>
      </c>
      <c r="J1243" s="1385" t="s">
        <v>2073</v>
      </c>
      <c r="K1243" s="233">
        <v>1</v>
      </c>
      <c r="L1243" s="1386">
        <v>68000</v>
      </c>
      <c r="M1243" s="1385">
        <v>1</v>
      </c>
      <c r="N1243" s="1386">
        <v>67083.14</v>
      </c>
      <c r="O1243" s="1385"/>
      <c r="P1243" s="1387"/>
      <c r="Q1243" s="1385"/>
      <c r="R1243" s="1387"/>
      <c r="S1243" s="1385"/>
      <c r="T1243" s="1385"/>
      <c r="U1243" s="1385"/>
      <c r="V1243" s="1385"/>
      <c r="W1243" s="1385"/>
      <c r="X1243" s="1385"/>
      <c r="Y1243" s="1389">
        <f t="shared" si="234"/>
        <v>0</v>
      </c>
      <c r="Z1243" s="1387">
        <f>R1243+T1243+V1243+X1243</f>
        <v>0</v>
      </c>
      <c r="AA1243" s="1385">
        <f t="shared" si="236"/>
        <v>1</v>
      </c>
      <c r="AB1243" s="1376">
        <f t="shared" si="236"/>
        <v>67083.14</v>
      </c>
      <c r="AC1243" s="1377">
        <f t="shared" si="235"/>
        <v>100</v>
      </c>
      <c r="AD1243" s="1378">
        <f t="shared" si="237"/>
        <v>0.98651676470588234</v>
      </c>
      <c r="AE1243" s="1379" t="s">
        <v>2058</v>
      </c>
    </row>
    <row r="1244" spans="1:31" s="1383" customFormat="1" ht="38.25">
      <c r="A1244" s="1389"/>
      <c r="B1244" s="1385" t="s">
        <v>2069</v>
      </c>
      <c r="C1244" s="1381" t="s">
        <v>197</v>
      </c>
      <c r="D1244" s="1381">
        <v>1</v>
      </c>
      <c r="E1244" s="1381" t="s">
        <v>65</v>
      </c>
      <c r="F1244" s="1381">
        <v>11</v>
      </c>
      <c r="G1244" s="1381">
        <v>15</v>
      </c>
      <c r="H1244" s="1382">
        <v>10</v>
      </c>
      <c r="I1244" s="1385" t="s">
        <v>2074</v>
      </c>
      <c r="J1244" s="1385" t="s">
        <v>2075</v>
      </c>
      <c r="K1244" s="233">
        <v>5</v>
      </c>
      <c r="L1244" s="1386">
        <v>59000</v>
      </c>
      <c r="M1244" s="1385">
        <v>5</v>
      </c>
      <c r="N1244" s="1386">
        <v>58296.2</v>
      </c>
      <c r="O1244" s="1385"/>
      <c r="P1244" s="1387"/>
      <c r="Q1244" s="1385"/>
      <c r="R1244" s="1387"/>
      <c r="S1244" s="1385"/>
      <c r="T1244" s="1385"/>
      <c r="U1244" s="1385"/>
      <c r="V1244" s="1385"/>
      <c r="W1244" s="1385"/>
      <c r="X1244" s="1385"/>
      <c r="Y1244" s="1389">
        <f t="shared" si="234"/>
        <v>0</v>
      </c>
      <c r="Z1244" s="1387">
        <f>R1244+T1244+V1244+X1244</f>
        <v>0</v>
      </c>
      <c r="AA1244" s="1385">
        <f t="shared" si="236"/>
        <v>5</v>
      </c>
      <c r="AB1244" s="1376">
        <f t="shared" si="236"/>
        <v>58296.2</v>
      </c>
      <c r="AC1244" s="1377">
        <f t="shared" si="235"/>
        <v>100</v>
      </c>
      <c r="AD1244" s="1378">
        <f t="shared" si="237"/>
        <v>0.98807118644067793</v>
      </c>
      <c r="AE1244" s="1379" t="s">
        <v>2058</v>
      </c>
    </row>
    <row r="1245" spans="1:31" s="1383" customFormat="1" ht="38.25">
      <c r="A1245" s="1389"/>
      <c r="B1245" s="1385" t="s">
        <v>2069</v>
      </c>
      <c r="C1245" s="1381" t="s">
        <v>197</v>
      </c>
      <c r="D1245" s="1381">
        <v>1</v>
      </c>
      <c r="E1245" s="1381" t="s">
        <v>65</v>
      </c>
      <c r="F1245" s="1381">
        <v>11</v>
      </c>
      <c r="G1245" s="1381">
        <v>15</v>
      </c>
      <c r="H1245" s="1382">
        <v>15</v>
      </c>
      <c r="I1245" s="1385" t="s">
        <v>2076</v>
      </c>
      <c r="J1245" s="1385" t="s">
        <v>2077</v>
      </c>
      <c r="K1245" s="233">
        <v>10</v>
      </c>
      <c r="L1245" s="1386">
        <v>62000</v>
      </c>
      <c r="M1245" s="1385">
        <v>10</v>
      </c>
      <c r="N1245" s="1386">
        <v>61581.79</v>
      </c>
      <c r="O1245" s="1385"/>
      <c r="P1245" s="1387"/>
      <c r="Q1245" s="1385"/>
      <c r="R1245" s="1387"/>
      <c r="S1245" s="1385"/>
      <c r="T1245" s="1385"/>
      <c r="U1245" s="1385"/>
      <c r="V1245" s="1385"/>
      <c r="W1245" s="1385"/>
      <c r="X1245" s="1385"/>
      <c r="Y1245" s="1389">
        <f t="shared" si="234"/>
        <v>0</v>
      </c>
      <c r="Z1245" s="1387">
        <f>R1245+T1245+V1245+X1245</f>
        <v>0</v>
      </c>
      <c r="AA1245" s="1385">
        <f t="shared" si="236"/>
        <v>10</v>
      </c>
      <c r="AB1245" s="1376">
        <f t="shared" si="236"/>
        <v>61581.79</v>
      </c>
      <c r="AC1245" s="1377">
        <f t="shared" si="235"/>
        <v>100</v>
      </c>
      <c r="AD1245" s="1378">
        <f t="shared" si="237"/>
        <v>0.9932546774193548</v>
      </c>
      <c r="AE1245" s="1379" t="s">
        <v>2058</v>
      </c>
    </row>
    <row r="1246" spans="1:31" s="1383" customFormat="1" ht="38.25">
      <c r="A1246" s="1389"/>
      <c r="B1246" s="1385" t="s">
        <v>2069</v>
      </c>
      <c r="C1246" s="1381" t="s">
        <v>197</v>
      </c>
      <c r="D1246" s="1381">
        <v>1</v>
      </c>
      <c r="E1246" s="1381" t="s">
        <v>65</v>
      </c>
      <c r="F1246" s="1381">
        <v>11</v>
      </c>
      <c r="G1246" s="1381">
        <v>15</v>
      </c>
      <c r="H1246" s="1382">
        <v>17</v>
      </c>
      <c r="I1246" s="1385" t="s">
        <v>2078</v>
      </c>
      <c r="J1246" s="1385" t="s">
        <v>2079</v>
      </c>
      <c r="K1246" s="233">
        <v>1</v>
      </c>
      <c r="L1246" s="1386">
        <v>3488617</v>
      </c>
      <c r="M1246" s="1385">
        <v>1</v>
      </c>
      <c r="N1246" s="1386">
        <v>3488617</v>
      </c>
      <c r="O1246" s="1385"/>
      <c r="P1246" s="1387"/>
      <c r="Q1246" s="1385"/>
      <c r="R1246" s="1387"/>
      <c r="S1246" s="1385"/>
      <c r="T1246" s="1385"/>
      <c r="U1246" s="1385"/>
      <c r="V1246" s="1385"/>
      <c r="W1246" s="1385"/>
      <c r="X1246" s="1385"/>
      <c r="Y1246" s="1389">
        <f t="shared" si="234"/>
        <v>0</v>
      </c>
      <c r="Z1246" s="1387">
        <f>R1246+T1246+V1246+X1246</f>
        <v>0</v>
      </c>
      <c r="AA1246" s="1385">
        <f t="shared" si="236"/>
        <v>1</v>
      </c>
      <c r="AB1246" s="1376">
        <f t="shared" si="236"/>
        <v>3488617</v>
      </c>
      <c r="AC1246" s="1377">
        <f t="shared" si="235"/>
        <v>100</v>
      </c>
      <c r="AD1246" s="1378">
        <f t="shared" si="237"/>
        <v>1</v>
      </c>
      <c r="AE1246" s="1379" t="s">
        <v>2058</v>
      </c>
    </row>
    <row r="1247" spans="1:31" s="1383" customFormat="1" ht="51">
      <c r="A1247" s="1389"/>
      <c r="B1247" s="1385" t="s">
        <v>2069</v>
      </c>
      <c r="C1247" s="1381" t="s">
        <v>197</v>
      </c>
      <c r="D1247" s="1381">
        <v>1</v>
      </c>
      <c r="E1247" s="1381" t="s">
        <v>65</v>
      </c>
      <c r="F1247" s="1381">
        <v>11</v>
      </c>
      <c r="G1247" s="1381">
        <v>15</v>
      </c>
      <c r="H1247" s="1382">
        <v>18</v>
      </c>
      <c r="I1247" s="1385" t="s">
        <v>2080</v>
      </c>
      <c r="J1247" s="1385" t="s">
        <v>2081</v>
      </c>
      <c r="K1247" s="233">
        <v>12</v>
      </c>
      <c r="L1247" s="1386">
        <v>94854</v>
      </c>
      <c r="M1247" s="1385">
        <v>12</v>
      </c>
      <c r="N1247" s="1386">
        <v>94854.35</v>
      </c>
      <c r="O1247" s="1385"/>
      <c r="P1247" s="1387"/>
      <c r="Q1247" s="1385"/>
      <c r="R1247" s="1387"/>
      <c r="S1247" s="1385"/>
      <c r="T1247" s="1385"/>
      <c r="U1247" s="1385">
        <v>12</v>
      </c>
      <c r="V1247" s="1385"/>
      <c r="W1247" s="1385"/>
      <c r="X1247" s="1385"/>
      <c r="Y1247" s="1389">
        <f t="shared" si="234"/>
        <v>12</v>
      </c>
      <c r="Z1247" s="1387">
        <f>R1247+T1247+V1247+X1247</f>
        <v>0</v>
      </c>
      <c r="AA1247" s="1385">
        <f t="shared" si="236"/>
        <v>24</v>
      </c>
      <c r="AB1247" s="1376">
        <f t="shared" si="236"/>
        <v>94854.35</v>
      </c>
      <c r="AC1247" s="1377">
        <f t="shared" si="235"/>
        <v>200</v>
      </c>
      <c r="AD1247" s="1378">
        <f t="shared" si="237"/>
        <v>1.0000036898812914</v>
      </c>
      <c r="AE1247" s="1379" t="s">
        <v>2058</v>
      </c>
    </row>
    <row r="1248" spans="1:31" s="1383" customFormat="1" ht="51">
      <c r="A1248" s="1389"/>
      <c r="B1248" s="1385" t="s">
        <v>2060</v>
      </c>
      <c r="C1248" s="1381" t="s">
        <v>197</v>
      </c>
      <c r="D1248" s="1381">
        <v>1</v>
      </c>
      <c r="E1248" s="1381" t="s">
        <v>65</v>
      </c>
      <c r="F1248" s="1381">
        <v>11</v>
      </c>
      <c r="G1248" s="1381">
        <v>15</v>
      </c>
      <c r="H1248" s="1382">
        <v>22</v>
      </c>
      <c r="I1248" s="1385" t="s">
        <v>2082</v>
      </c>
      <c r="J1248" s="1385" t="s">
        <v>2083</v>
      </c>
      <c r="K1248" s="233">
        <v>30</v>
      </c>
      <c r="L1248" s="1386">
        <v>1713635</v>
      </c>
      <c r="M1248" s="1385">
        <v>7</v>
      </c>
      <c r="N1248" s="1386">
        <f>0+147360.52</f>
        <v>147360.51999999999</v>
      </c>
      <c r="O1248" s="1385">
        <v>4</v>
      </c>
      <c r="P1248" s="1387">
        <v>124892.91</v>
      </c>
      <c r="Q1248" s="1385"/>
      <c r="R1248" s="1387">
        <v>4472.5</v>
      </c>
      <c r="S1248" s="1385"/>
      <c r="T1248" s="1385"/>
      <c r="U1248" s="1385"/>
      <c r="V1248" s="1385"/>
      <c r="W1248" s="1385"/>
      <c r="X1248" s="1385"/>
      <c r="Y1248" s="1389">
        <f t="shared" si="234"/>
        <v>0</v>
      </c>
      <c r="Z1248" s="1387">
        <v>4472500</v>
      </c>
      <c r="AA1248" s="1385">
        <f t="shared" si="236"/>
        <v>7</v>
      </c>
      <c r="AB1248" s="1376">
        <f t="shared" si="236"/>
        <v>4619860.5199999996</v>
      </c>
      <c r="AC1248" s="1377">
        <f t="shared" si="235"/>
        <v>23.333333333333332</v>
      </c>
      <c r="AD1248" s="1378">
        <f t="shared" si="237"/>
        <v>2.6959419713066084</v>
      </c>
      <c r="AE1248" s="1379" t="s">
        <v>2058</v>
      </c>
    </row>
    <row r="1249" spans="1:31" s="1383" customFormat="1" ht="38.25">
      <c r="A1249" s="1389"/>
      <c r="B1249" s="1385"/>
      <c r="C1249" s="1381"/>
      <c r="D1249" s="1381"/>
      <c r="E1249" s="1381"/>
      <c r="F1249" s="1381"/>
      <c r="G1249" s="1381"/>
      <c r="H1249" s="1382"/>
      <c r="I1249" s="1385"/>
      <c r="J1249" s="1385" t="s">
        <v>2084</v>
      </c>
      <c r="K1249" s="233">
        <v>5</v>
      </c>
      <c r="L1249" s="1386"/>
      <c r="M1249" s="1385">
        <v>1</v>
      </c>
      <c r="N1249" s="1386"/>
      <c r="O1249" s="1385"/>
      <c r="P1249" s="1387"/>
      <c r="Q1249" s="1385"/>
      <c r="R1249" s="1387"/>
      <c r="S1249" s="1385"/>
      <c r="T1249" s="1385"/>
      <c r="U1249" s="1385"/>
      <c r="V1249" s="1385"/>
      <c r="W1249" s="1385"/>
      <c r="X1249" s="1385"/>
      <c r="Y1249" s="1389">
        <f t="shared" si="234"/>
        <v>0</v>
      </c>
      <c r="Z1249" s="1387"/>
      <c r="AA1249" s="1385">
        <f t="shared" si="236"/>
        <v>1</v>
      </c>
      <c r="AB1249" s="1376"/>
      <c r="AC1249" s="1377">
        <f t="shared" si="235"/>
        <v>20</v>
      </c>
      <c r="AD1249" s="1378"/>
      <c r="AE1249" s="1379"/>
    </row>
    <row r="1250" spans="1:31" s="1383" customFormat="1" ht="38.25">
      <c r="A1250" s="1389"/>
      <c r="B1250" s="1390" t="s">
        <v>2060</v>
      </c>
      <c r="C1250" s="1381" t="s">
        <v>197</v>
      </c>
      <c r="D1250" s="1381">
        <v>1</v>
      </c>
      <c r="E1250" s="1381" t="s">
        <v>65</v>
      </c>
      <c r="F1250" s="1381">
        <v>11</v>
      </c>
      <c r="G1250" s="1381">
        <v>15</v>
      </c>
      <c r="H1250" s="1382">
        <v>24</v>
      </c>
      <c r="I1250" s="1385" t="s">
        <v>2085</v>
      </c>
      <c r="J1250" s="1385" t="s">
        <v>2086</v>
      </c>
      <c r="K1250" s="233">
        <v>5</v>
      </c>
      <c r="L1250" s="1386">
        <v>280000</v>
      </c>
      <c r="M1250" s="1385"/>
      <c r="N1250" s="1386">
        <f>0+0</f>
        <v>0</v>
      </c>
      <c r="O1250" s="1385">
        <v>1</v>
      </c>
      <c r="P1250" s="1387">
        <v>68966.460000000006</v>
      </c>
      <c r="Q1250" s="1385"/>
      <c r="R1250" s="1387">
        <v>4000</v>
      </c>
      <c r="S1250" s="1385"/>
      <c r="T1250" s="1385"/>
      <c r="U1250" s="1385"/>
      <c r="V1250" s="1385"/>
      <c r="W1250" s="1385"/>
      <c r="X1250" s="1385"/>
      <c r="Y1250" s="1389">
        <f t="shared" si="234"/>
        <v>0</v>
      </c>
      <c r="Z1250" s="1387">
        <f t="shared" si="234"/>
        <v>4000</v>
      </c>
      <c r="AA1250" s="1385">
        <f t="shared" si="236"/>
        <v>0</v>
      </c>
      <c r="AB1250" s="1376">
        <f t="shared" si="236"/>
        <v>4000</v>
      </c>
      <c r="AC1250" s="1377">
        <f t="shared" si="235"/>
        <v>0</v>
      </c>
      <c r="AD1250" s="1378">
        <f t="shared" ref="AD1250:AD1264" si="238">AB1250/L1250*100%</f>
        <v>1.4285714285714285E-2</v>
      </c>
      <c r="AE1250" s="1379" t="s">
        <v>2058</v>
      </c>
    </row>
    <row r="1251" spans="1:31" s="2086" customFormat="1" ht="51">
      <c r="A1251" s="2073">
        <v>6</v>
      </c>
      <c r="B1251" s="2074" t="s">
        <v>2087</v>
      </c>
      <c r="C1251" s="2087" t="s">
        <v>197</v>
      </c>
      <c r="D1251" s="2087">
        <v>1</v>
      </c>
      <c r="E1251" s="2087" t="s">
        <v>65</v>
      </c>
      <c r="F1251" s="2087">
        <v>11</v>
      </c>
      <c r="G1251" s="2087">
        <v>18</v>
      </c>
      <c r="H1251" s="2088"/>
      <c r="I1251" s="2074" t="s">
        <v>2088</v>
      </c>
      <c r="J1251" s="2074" t="s">
        <v>2089</v>
      </c>
      <c r="K1251" s="2077">
        <v>9</v>
      </c>
      <c r="L1251" s="2078">
        <f>SUM(L1252:L1264)</f>
        <v>64791341</v>
      </c>
      <c r="M1251" s="2074">
        <v>3</v>
      </c>
      <c r="N1251" s="2079">
        <f>SUM(N1252:N1263)</f>
        <v>12690351</v>
      </c>
      <c r="O1251" s="2074">
        <v>3</v>
      </c>
      <c r="P1251" s="2078">
        <f>SUM(P1252:P1263)</f>
        <v>17735701.990000002</v>
      </c>
      <c r="Q1251" s="2074"/>
      <c r="R1251" s="2078">
        <f>SUM(R1252:R1263)</f>
        <v>191533.55</v>
      </c>
      <c r="S1251" s="2074"/>
      <c r="T1251" s="2078"/>
      <c r="U1251" s="2074"/>
      <c r="V1251" s="2074"/>
      <c r="W1251" s="2074"/>
      <c r="X1251" s="2074"/>
      <c r="Y1251" s="2080">
        <f t="shared" si="234"/>
        <v>0</v>
      </c>
      <c r="Z1251" s="2078">
        <f t="shared" si="234"/>
        <v>191533.55</v>
      </c>
      <c r="AA1251" s="2081">
        <f t="shared" si="236"/>
        <v>3</v>
      </c>
      <c r="AB1251" s="2082">
        <f t="shared" si="236"/>
        <v>12881884.550000001</v>
      </c>
      <c r="AC1251" s="2083">
        <f t="shared" si="235"/>
        <v>33.333333333333329</v>
      </c>
      <c r="AD1251" s="2084">
        <f t="shared" si="238"/>
        <v>0.19882108243445681</v>
      </c>
      <c r="AE1251" s="2085" t="s">
        <v>2058</v>
      </c>
    </row>
    <row r="1252" spans="1:31" s="1383" customFormat="1" ht="51">
      <c r="A1252" s="1389"/>
      <c r="B1252" s="1390" t="s">
        <v>2059</v>
      </c>
      <c r="C1252" s="1381" t="s">
        <v>197</v>
      </c>
      <c r="D1252" s="1381">
        <v>1</v>
      </c>
      <c r="E1252" s="1381" t="s">
        <v>65</v>
      </c>
      <c r="F1252" s="1381">
        <v>11</v>
      </c>
      <c r="G1252" s="1381">
        <v>18</v>
      </c>
      <c r="H1252" s="1382" t="s">
        <v>197</v>
      </c>
      <c r="I1252" s="1385" t="s">
        <v>2090</v>
      </c>
      <c r="J1252" s="1385" t="s">
        <v>2091</v>
      </c>
      <c r="K1252" s="233">
        <v>12</v>
      </c>
      <c r="L1252" s="1386">
        <v>938850</v>
      </c>
      <c r="M1252" s="1385">
        <v>4</v>
      </c>
      <c r="N1252" s="1386">
        <f>136822.8+136978.32</f>
        <v>273801.12</v>
      </c>
      <c r="O1252" s="1385">
        <v>2</v>
      </c>
      <c r="P1252" s="1387">
        <v>223106.2</v>
      </c>
      <c r="Q1252" s="1385"/>
      <c r="R1252" s="1387">
        <v>75878.8</v>
      </c>
      <c r="S1252" s="1385"/>
      <c r="T1252" s="1388"/>
      <c r="U1252" s="1385"/>
      <c r="V1252" s="1385"/>
      <c r="W1252" s="1385"/>
      <c r="X1252" s="1385"/>
      <c r="Y1252" s="1389">
        <f t="shared" si="234"/>
        <v>0</v>
      </c>
      <c r="Z1252" s="1387">
        <f t="shared" si="234"/>
        <v>75878.8</v>
      </c>
      <c r="AA1252" s="1385">
        <f t="shared" si="236"/>
        <v>4</v>
      </c>
      <c r="AB1252" s="1376">
        <f t="shared" si="236"/>
        <v>349679.92</v>
      </c>
      <c r="AC1252" s="1377">
        <f t="shared" si="235"/>
        <v>33.333333333333329</v>
      </c>
      <c r="AD1252" s="1378">
        <f t="shared" si="238"/>
        <v>0.37245557863343448</v>
      </c>
      <c r="AE1252" s="1379" t="s">
        <v>2058</v>
      </c>
    </row>
    <row r="1253" spans="1:31" s="1383" customFormat="1" ht="51">
      <c r="A1253" s="1389"/>
      <c r="B1253" s="1390" t="s">
        <v>2092</v>
      </c>
      <c r="C1253" s="1381" t="s">
        <v>197</v>
      </c>
      <c r="D1253" s="1381">
        <v>1</v>
      </c>
      <c r="E1253" s="1381" t="s">
        <v>65</v>
      </c>
      <c r="F1253" s="1381">
        <v>11</v>
      </c>
      <c r="G1253" s="1381">
        <v>18</v>
      </c>
      <c r="H1253" s="1382">
        <v>11</v>
      </c>
      <c r="I1253" s="1385" t="s">
        <v>2093</v>
      </c>
      <c r="J1253" s="1385" t="s">
        <v>2094</v>
      </c>
      <c r="K1253" s="233">
        <v>72</v>
      </c>
      <c r="L1253" s="1386">
        <v>1378644</v>
      </c>
      <c r="M1253" s="1385">
        <v>24</v>
      </c>
      <c r="N1253" s="1386">
        <f>206765.43+197696.25</f>
        <v>404461.68</v>
      </c>
      <c r="O1253" s="1385">
        <v>12</v>
      </c>
      <c r="P1253" s="1387">
        <v>88950</v>
      </c>
      <c r="Q1253" s="1385"/>
      <c r="R1253" s="1387">
        <v>12238.5</v>
      </c>
      <c r="S1253" s="1385"/>
      <c r="T1253" s="1385"/>
      <c r="U1253" s="1385"/>
      <c r="V1253" s="1385"/>
      <c r="W1253" s="1385"/>
      <c r="X1253" s="1385"/>
      <c r="Y1253" s="1389">
        <f t="shared" si="234"/>
        <v>0</v>
      </c>
      <c r="Z1253" s="1387">
        <f t="shared" si="234"/>
        <v>12238.5</v>
      </c>
      <c r="AA1253" s="1385">
        <f t="shared" si="236"/>
        <v>24</v>
      </c>
      <c r="AB1253" s="1376">
        <f t="shared" si="236"/>
        <v>416700.18</v>
      </c>
      <c r="AC1253" s="1377">
        <f t="shared" si="235"/>
        <v>33.333333333333329</v>
      </c>
      <c r="AD1253" s="1378">
        <f t="shared" si="238"/>
        <v>0.30225364923794684</v>
      </c>
      <c r="AE1253" s="1379" t="s">
        <v>2058</v>
      </c>
    </row>
    <row r="1254" spans="1:31" s="1383" customFormat="1" ht="51">
      <c r="A1254" s="1389"/>
      <c r="B1254" s="1390" t="s">
        <v>2092</v>
      </c>
      <c r="C1254" s="1381" t="s">
        <v>197</v>
      </c>
      <c r="D1254" s="1381">
        <v>1</v>
      </c>
      <c r="E1254" s="1381" t="s">
        <v>65</v>
      </c>
      <c r="F1254" s="1381">
        <v>11</v>
      </c>
      <c r="G1254" s="1381">
        <v>18</v>
      </c>
      <c r="H1254" s="1382">
        <v>12</v>
      </c>
      <c r="I1254" s="1385" t="s">
        <v>2095</v>
      </c>
      <c r="J1254" s="1385" t="s">
        <v>2096</v>
      </c>
      <c r="K1254" s="233">
        <v>72</v>
      </c>
      <c r="L1254" s="1386">
        <v>2105724</v>
      </c>
      <c r="M1254" s="1385">
        <v>24</v>
      </c>
      <c r="N1254" s="1386">
        <f>289755.07+307952.9</f>
        <v>597707.97</v>
      </c>
      <c r="O1254" s="1385">
        <v>12</v>
      </c>
      <c r="P1254" s="1387">
        <v>355992.4</v>
      </c>
      <c r="Q1254" s="1385"/>
      <c r="R1254" s="1387">
        <v>35041</v>
      </c>
      <c r="S1254" s="1385"/>
      <c r="T1254" s="1385"/>
      <c r="U1254" s="1385"/>
      <c r="V1254" s="1385"/>
      <c r="W1254" s="1385"/>
      <c r="X1254" s="1385"/>
      <c r="Y1254" s="1389">
        <f t="shared" si="234"/>
        <v>0</v>
      </c>
      <c r="Z1254" s="1387">
        <f t="shared" si="234"/>
        <v>35041</v>
      </c>
      <c r="AA1254" s="1385">
        <f t="shared" si="236"/>
        <v>24</v>
      </c>
      <c r="AB1254" s="1376">
        <f t="shared" si="236"/>
        <v>632748.97</v>
      </c>
      <c r="AC1254" s="1377">
        <f t="shared" si="235"/>
        <v>33.333333333333329</v>
      </c>
      <c r="AD1254" s="1378">
        <f t="shared" si="238"/>
        <v>0.30048998349261347</v>
      </c>
      <c r="AE1254" s="1379" t="s">
        <v>2058</v>
      </c>
    </row>
    <row r="1255" spans="1:31" s="1383" customFormat="1" ht="38.25">
      <c r="A1255" s="1389"/>
      <c r="B1255" s="1385" t="s">
        <v>2097</v>
      </c>
      <c r="C1255" s="1381" t="s">
        <v>197</v>
      </c>
      <c r="D1255" s="1381">
        <v>1</v>
      </c>
      <c r="E1255" s="1381" t="s">
        <v>65</v>
      </c>
      <c r="F1255" s="1381">
        <v>11</v>
      </c>
      <c r="G1255" s="1381">
        <v>18</v>
      </c>
      <c r="H1255" s="1382">
        <v>34</v>
      </c>
      <c r="I1255" s="1385" t="s">
        <v>2098</v>
      </c>
      <c r="J1255" s="1385" t="s">
        <v>2099</v>
      </c>
      <c r="K1255" s="233">
        <v>20</v>
      </c>
      <c r="L1255" s="1386">
        <v>8677932</v>
      </c>
      <c r="M1255" s="1385">
        <v>7</v>
      </c>
      <c r="N1255" s="1386">
        <f>0+1233405.1</f>
        <v>1233405.1000000001</v>
      </c>
      <c r="O1255" s="1385">
        <v>1</v>
      </c>
      <c r="P1255" s="1387">
        <v>150000</v>
      </c>
      <c r="Q1255" s="1385"/>
      <c r="R1255" s="1387">
        <v>0</v>
      </c>
      <c r="S1255" s="1385"/>
      <c r="T1255" s="1388"/>
      <c r="U1255" s="1385"/>
      <c r="V1255" s="1385"/>
      <c r="W1255" s="1385"/>
      <c r="X1255" s="1385"/>
      <c r="Y1255" s="1389">
        <f t="shared" si="234"/>
        <v>0</v>
      </c>
      <c r="Z1255" s="1387">
        <f t="shared" si="234"/>
        <v>0</v>
      </c>
      <c r="AA1255" s="1385">
        <f t="shared" si="236"/>
        <v>7</v>
      </c>
      <c r="AB1255" s="1376">
        <f t="shared" si="236"/>
        <v>1233405.1000000001</v>
      </c>
      <c r="AC1255" s="1377">
        <f t="shared" si="235"/>
        <v>35</v>
      </c>
      <c r="AD1255" s="1378">
        <f t="shared" si="238"/>
        <v>0.14213122435160822</v>
      </c>
      <c r="AE1255" s="1379" t="s">
        <v>2058</v>
      </c>
    </row>
    <row r="1256" spans="1:31" s="1383" customFormat="1" ht="38.25">
      <c r="A1256" s="1389"/>
      <c r="B1256" s="1385" t="s">
        <v>2097</v>
      </c>
      <c r="C1256" s="1381" t="s">
        <v>197</v>
      </c>
      <c r="D1256" s="1381">
        <v>1</v>
      </c>
      <c r="E1256" s="1381" t="s">
        <v>65</v>
      </c>
      <c r="F1256" s="1381">
        <v>11</v>
      </c>
      <c r="G1256" s="1381">
        <v>18</v>
      </c>
      <c r="H1256" s="1382">
        <v>43</v>
      </c>
      <c r="I1256" s="1385" t="s">
        <v>2100</v>
      </c>
      <c r="J1256" s="1385" t="s">
        <v>2101</v>
      </c>
      <c r="K1256" s="233">
        <v>15</v>
      </c>
      <c r="L1256" s="1386">
        <v>9104405</v>
      </c>
      <c r="M1256" s="1385">
        <v>3</v>
      </c>
      <c r="N1256" s="1386">
        <f>0+639325</f>
        <v>639325</v>
      </c>
      <c r="O1256" s="1385">
        <v>4</v>
      </c>
      <c r="P1256" s="1387">
        <v>806000</v>
      </c>
      <c r="Q1256" s="1385"/>
      <c r="R1256" s="1387">
        <v>3243</v>
      </c>
      <c r="S1256" s="1385"/>
      <c r="T1256" s="1385"/>
      <c r="U1256" s="1385"/>
      <c r="V1256" s="1385"/>
      <c r="W1256" s="1385"/>
      <c r="X1256" s="1385"/>
      <c r="Y1256" s="1389">
        <f t="shared" si="234"/>
        <v>0</v>
      </c>
      <c r="Z1256" s="1387">
        <f t="shared" si="234"/>
        <v>3243</v>
      </c>
      <c r="AA1256" s="1385">
        <f t="shared" si="236"/>
        <v>3</v>
      </c>
      <c r="AB1256" s="1376">
        <f t="shared" si="236"/>
        <v>642568</v>
      </c>
      <c r="AC1256" s="1377">
        <f t="shared" si="235"/>
        <v>20</v>
      </c>
      <c r="AD1256" s="1378">
        <f t="shared" si="238"/>
        <v>7.0577703869720204E-2</v>
      </c>
      <c r="AE1256" s="1379" t="s">
        <v>2058</v>
      </c>
    </row>
    <row r="1257" spans="1:31" s="1383" customFormat="1" ht="63.75">
      <c r="A1257" s="1389"/>
      <c r="B1257" s="1385" t="s">
        <v>2097</v>
      </c>
      <c r="C1257" s="1381" t="s">
        <v>197</v>
      </c>
      <c r="D1257" s="1381">
        <v>1</v>
      </c>
      <c r="E1257" s="1381" t="s">
        <v>65</v>
      </c>
      <c r="F1257" s="1381">
        <v>11</v>
      </c>
      <c r="G1257" s="1381">
        <v>18</v>
      </c>
      <c r="H1257" s="1382">
        <v>50</v>
      </c>
      <c r="I1257" s="1385" t="s">
        <v>2102</v>
      </c>
      <c r="J1257" s="1385" t="s">
        <v>2101</v>
      </c>
      <c r="K1257" s="233">
        <v>1</v>
      </c>
      <c r="L1257" s="1386">
        <v>213855</v>
      </c>
      <c r="M1257" s="1385">
        <v>1</v>
      </c>
      <c r="N1257" s="1386">
        <v>213855.12</v>
      </c>
      <c r="O1257" s="1385"/>
      <c r="P1257" s="1387"/>
      <c r="Q1257" s="1385"/>
      <c r="R1257" s="1387"/>
      <c r="S1257" s="1385"/>
      <c r="T1257" s="1385"/>
      <c r="U1257" s="1385"/>
      <c r="V1257" s="1385"/>
      <c r="W1257" s="1385"/>
      <c r="X1257" s="1385"/>
      <c r="Y1257" s="1389">
        <f t="shared" si="234"/>
        <v>0</v>
      </c>
      <c r="Z1257" s="1387">
        <f t="shared" si="234"/>
        <v>0</v>
      </c>
      <c r="AA1257" s="1385">
        <f t="shared" ref="AA1257:AB1264" si="239">M1257+Y1257</f>
        <v>1</v>
      </c>
      <c r="AB1257" s="1376">
        <f t="shared" si="239"/>
        <v>213855.12</v>
      </c>
      <c r="AC1257" s="1377">
        <f t="shared" si="235"/>
        <v>100</v>
      </c>
      <c r="AD1257" s="1378">
        <f t="shared" si="238"/>
        <v>1.0000005611278671</v>
      </c>
      <c r="AE1257" s="1379" t="s">
        <v>2058</v>
      </c>
    </row>
    <row r="1258" spans="1:31" s="1383" customFormat="1" ht="63.75">
      <c r="A1258" s="1389"/>
      <c r="B1258" s="1385" t="s">
        <v>2097</v>
      </c>
      <c r="C1258" s="1381" t="s">
        <v>197</v>
      </c>
      <c r="D1258" s="1381">
        <v>1</v>
      </c>
      <c r="E1258" s="1381" t="s">
        <v>65</v>
      </c>
      <c r="F1258" s="1381">
        <v>11</v>
      </c>
      <c r="G1258" s="1381">
        <v>18</v>
      </c>
      <c r="H1258" s="1382">
        <v>51</v>
      </c>
      <c r="I1258" s="1385" t="s">
        <v>2103</v>
      </c>
      <c r="J1258" s="1385" t="s">
        <v>2101</v>
      </c>
      <c r="K1258" s="233">
        <v>1</v>
      </c>
      <c r="L1258" s="1386">
        <v>199436</v>
      </c>
      <c r="M1258" s="1385">
        <v>1</v>
      </c>
      <c r="N1258" s="1386">
        <v>199435.57</v>
      </c>
      <c r="O1258" s="1385"/>
      <c r="P1258" s="1387"/>
      <c r="Q1258" s="1385"/>
      <c r="R1258" s="1387"/>
      <c r="S1258" s="1385"/>
      <c r="T1258" s="1385"/>
      <c r="U1258" s="1385"/>
      <c r="V1258" s="1385"/>
      <c r="W1258" s="1385"/>
      <c r="X1258" s="1385"/>
      <c r="Y1258" s="1389">
        <f t="shared" si="234"/>
        <v>0</v>
      </c>
      <c r="Z1258" s="1387">
        <f t="shared" si="234"/>
        <v>0</v>
      </c>
      <c r="AA1258" s="1385">
        <f t="shared" si="239"/>
        <v>1</v>
      </c>
      <c r="AB1258" s="1376">
        <f t="shared" si="239"/>
        <v>199435.57</v>
      </c>
      <c r="AC1258" s="1377">
        <f t="shared" si="235"/>
        <v>100</v>
      </c>
      <c r="AD1258" s="1378">
        <f t="shared" si="238"/>
        <v>0.99999784391985402</v>
      </c>
      <c r="AE1258" s="1379" t="s">
        <v>2058</v>
      </c>
    </row>
    <row r="1259" spans="1:31" s="1383" customFormat="1" ht="38.25">
      <c r="A1259" s="1389"/>
      <c r="B1259" s="1385" t="s">
        <v>2097</v>
      </c>
      <c r="C1259" s="1381" t="s">
        <v>197</v>
      </c>
      <c r="D1259" s="1381">
        <v>1</v>
      </c>
      <c r="E1259" s="1381" t="s">
        <v>65</v>
      </c>
      <c r="F1259" s="1381">
        <v>11</v>
      </c>
      <c r="G1259" s="1381">
        <v>18</v>
      </c>
      <c r="H1259" s="1382">
        <v>56</v>
      </c>
      <c r="I1259" s="1385" t="s">
        <v>2104</v>
      </c>
      <c r="J1259" s="1385" t="s">
        <v>2105</v>
      </c>
      <c r="K1259" s="233">
        <v>24</v>
      </c>
      <c r="L1259" s="1386">
        <v>24524919</v>
      </c>
      <c r="M1259" s="1385">
        <v>6</v>
      </c>
      <c r="N1259" s="1386">
        <f>73595.44+8907188</f>
        <v>8980783.4399999995</v>
      </c>
      <c r="O1259" s="1385">
        <v>7</v>
      </c>
      <c r="P1259" s="1387">
        <v>11758961</v>
      </c>
      <c r="Q1259" s="1385"/>
      <c r="R1259" s="1387">
        <v>11659.25</v>
      </c>
      <c r="S1259" s="1385"/>
      <c r="T1259" s="1388"/>
      <c r="U1259" s="1385"/>
      <c r="V1259" s="1385"/>
      <c r="W1259" s="1385"/>
      <c r="X1259" s="1385"/>
      <c r="Y1259" s="1389">
        <f t="shared" si="234"/>
        <v>0</v>
      </c>
      <c r="Z1259" s="1387">
        <f t="shared" si="234"/>
        <v>11659.25</v>
      </c>
      <c r="AA1259" s="1385">
        <f t="shared" si="239"/>
        <v>6</v>
      </c>
      <c r="AB1259" s="1376">
        <f t="shared" si="239"/>
        <v>8992442.6899999995</v>
      </c>
      <c r="AC1259" s="1377">
        <f t="shared" si="235"/>
        <v>25</v>
      </c>
      <c r="AD1259" s="1378">
        <f t="shared" si="238"/>
        <v>0.36666554087293823</v>
      </c>
      <c r="AE1259" s="1379" t="s">
        <v>2058</v>
      </c>
    </row>
    <row r="1260" spans="1:31" s="1383" customFormat="1" ht="63.75">
      <c r="A1260" s="1389"/>
      <c r="B1260" s="1385" t="s">
        <v>2097</v>
      </c>
      <c r="C1260" s="1381" t="s">
        <v>197</v>
      </c>
      <c r="D1260" s="1381">
        <v>1</v>
      </c>
      <c r="E1260" s="1381" t="s">
        <v>65</v>
      </c>
      <c r="F1260" s="1381">
        <v>11</v>
      </c>
      <c r="G1260" s="1381">
        <v>18</v>
      </c>
      <c r="H1260" s="1382">
        <v>58</v>
      </c>
      <c r="I1260" s="1385" t="s">
        <v>2106</v>
      </c>
      <c r="J1260" s="1385" t="s">
        <v>2107</v>
      </c>
      <c r="K1260" s="233">
        <v>1</v>
      </c>
      <c r="L1260" s="1386">
        <v>147576</v>
      </c>
      <c r="M1260" s="1385">
        <v>1</v>
      </c>
      <c r="N1260" s="1386">
        <v>147576</v>
      </c>
      <c r="O1260" s="1385"/>
      <c r="P1260" s="1387"/>
      <c r="Q1260" s="1385">
        <v>0</v>
      </c>
      <c r="R1260" s="1387">
        <v>0</v>
      </c>
      <c r="S1260" s="1385"/>
      <c r="T1260" s="1385"/>
      <c r="U1260" s="1385"/>
      <c r="V1260" s="1385"/>
      <c r="W1260" s="1385"/>
      <c r="X1260" s="1385"/>
      <c r="Y1260" s="1389">
        <f t="shared" si="234"/>
        <v>0</v>
      </c>
      <c r="Z1260" s="1387">
        <f t="shared" si="234"/>
        <v>0</v>
      </c>
      <c r="AA1260" s="1385">
        <f t="shared" si="239"/>
        <v>1</v>
      </c>
      <c r="AB1260" s="1376">
        <f t="shared" si="239"/>
        <v>147576</v>
      </c>
      <c r="AC1260" s="1377">
        <f t="shared" si="235"/>
        <v>100</v>
      </c>
      <c r="AD1260" s="1378">
        <f t="shared" si="238"/>
        <v>1</v>
      </c>
      <c r="AE1260" s="1379" t="s">
        <v>2058</v>
      </c>
    </row>
    <row r="1261" spans="1:31" s="1383" customFormat="1" ht="63.75">
      <c r="A1261" s="1389"/>
      <c r="B1261" s="1385" t="s">
        <v>2097</v>
      </c>
      <c r="C1261" s="1381" t="s">
        <v>197</v>
      </c>
      <c r="D1261" s="1381">
        <v>1</v>
      </c>
      <c r="E1261" s="1381" t="s">
        <v>65</v>
      </c>
      <c r="F1261" s="1381">
        <v>11</v>
      </c>
      <c r="G1261" s="1381">
        <v>18</v>
      </c>
      <c r="H1261" s="1382">
        <v>60</v>
      </c>
      <c r="I1261" s="1385" t="s">
        <v>2108</v>
      </c>
      <c r="J1261" s="1385" t="s">
        <v>2109</v>
      </c>
      <c r="K1261" s="233">
        <v>48</v>
      </c>
      <c r="L1261" s="1386">
        <v>800000</v>
      </c>
      <c r="M1261" s="1385"/>
      <c r="N1261" s="1386">
        <f>0+0</f>
        <v>0</v>
      </c>
      <c r="O1261" s="1385">
        <v>12</v>
      </c>
      <c r="P1261" s="1387">
        <v>411093.39</v>
      </c>
      <c r="Q1261" s="1385"/>
      <c r="R1261" s="1387">
        <v>53473</v>
      </c>
      <c r="S1261" s="1385"/>
      <c r="T1261" s="1385"/>
      <c r="U1261" s="1385"/>
      <c r="V1261" s="1385"/>
      <c r="W1261" s="1385"/>
      <c r="X1261" s="1385"/>
      <c r="Y1261" s="1389">
        <f t="shared" si="234"/>
        <v>0</v>
      </c>
      <c r="Z1261" s="1387">
        <f t="shared" si="234"/>
        <v>53473</v>
      </c>
      <c r="AA1261" s="1385">
        <f t="shared" si="239"/>
        <v>0</v>
      </c>
      <c r="AB1261" s="1376">
        <f t="shared" si="239"/>
        <v>53473</v>
      </c>
      <c r="AC1261" s="1377">
        <f t="shared" si="235"/>
        <v>0</v>
      </c>
      <c r="AD1261" s="1378">
        <f t="shared" si="238"/>
        <v>6.6841250000000005E-2</v>
      </c>
      <c r="AE1261" s="1379" t="s">
        <v>2058</v>
      </c>
    </row>
    <row r="1262" spans="1:31" s="1383" customFormat="1" ht="51">
      <c r="A1262" s="1389"/>
      <c r="B1262" s="1390" t="s">
        <v>2092</v>
      </c>
      <c r="C1262" s="1381" t="s">
        <v>197</v>
      </c>
      <c r="D1262" s="1381">
        <v>1</v>
      </c>
      <c r="E1262" s="1381" t="s">
        <v>65</v>
      </c>
      <c r="F1262" s="1381">
        <v>11</v>
      </c>
      <c r="G1262" s="1381">
        <v>18</v>
      </c>
      <c r="H1262" s="1382">
        <v>63</v>
      </c>
      <c r="I1262" s="1385" t="s">
        <v>2110</v>
      </c>
      <c r="J1262" s="1385" t="s">
        <v>2111</v>
      </c>
      <c r="K1262" s="233">
        <v>4</v>
      </c>
      <c r="L1262" s="1386">
        <v>200000</v>
      </c>
      <c r="M1262" s="1385"/>
      <c r="N1262" s="1386">
        <f>0+0</f>
        <v>0</v>
      </c>
      <c r="O1262" s="1385">
        <v>1</v>
      </c>
      <c r="P1262" s="1387">
        <v>44555</v>
      </c>
      <c r="Q1262" s="1385"/>
      <c r="R1262" s="1387">
        <v>0</v>
      </c>
      <c r="S1262" s="1385"/>
      <c r="T1262" s="1385"/>
      <c r="U1262" s="1385"/>
      <c r="V1262" s="1385"/>
      <c r="W1262" s="1385"/>
      <c r="X1262" s="1385"/>
      <c r="Y1262" s="1389">
        <f t="shared" si="234"/>
        <v>0</v>
      </c>
      <c r="Z1262" s="1387">
        <f t="shared" si="234"/>
        <v>0</v>
      </c>
      <c r="AA1262" s="1385">
        <f t="shared" si="239"/>
        <v>0</v>
      </c>
      <c r="AB1262" s="1376">
        <f t="shared" si="239"/>
        <v>0</v>
      </c>
      <c r="AC1262" s="1377">
        <f t="shared" si="235"/>
        <v>0</v>
      </c>
      <c r="AD1262" s="1378">
        <f t="shared" si="238"/>
        <v>0</v>
      </c>
      <c r="AE1262" s="1379" t="s">
        <v>2058</v>
      </c>
    </row>
    <row r="1263" spans="1:31" s="1383" customFormat="1" ht="38.25">
      <c r="A1263" s="1389"/>
      <c r="B1263" s="1390" t="s">
        <v>2097</v>
      </c>
      <c r="C1263" s="1381" t="s">
        <v>197</v>
      </c>
      <c r="D1263" s="1381">
        <v>1</v>
      </c>
      <c r="E1263" s="1381" t="s">
        <v>65</v>
      </c>
      <c r="F1263" s="1381">
        <v>11</v>
      </c>
      <c r="G1263" s="1381">
        <v>18</v>
      </c>
      <c r="H1263" s="1382">
        <v>65</v>
      </c>
      <c r="I1263" s="233" t="s">
        <v>2112</v>
      </c>
      <c r="J1263" s="1385" t="s">
        <v>2113</v>
      </c>
      <c r="K1263" s="233">
        <v>15</v>
      </c>
      <c r="L1263" s="1386">
        <v>15000000</v>
      </c>
      <c r="M1263" s="1385"/>
      <c r="N1263" s="1386">
        <v>0</v>
      </c>
      <c r="O1263" s="1385">
        <v>3</v>
      </c>
      <c r="P1263" s="1387">
        <v>3897044</v>
      </c>
      <c r="Q1263" s="1385"/>
      <c r="R1263" s="1387">
        <v>0</v>
      </c>
      <c r="S1263" s="1385"/>
      <c r="T1263" s="1385"/>
      <c r="U1263" s="1385"/>
      <c r="V1263" s="1385"/>
      <c r="W1263" s="1385"/>
      <c r="X1263" s="1385"/>
      <c r="Y1263" s="1389">
        <f t="shared" si="234"/>
        <v>0</v>
      </c>
      <c r="Z1263" s="1387">
        <f t="shared" si="234"/>
        <v>0</v>
      </c>
      <c r="AA1263" s="1385">
        <f t="shared" si="239"/>
        <v>0</v>
      </c>
      <c r="AB1263" s="1376">
        <f t="shared" si="239"/>
        <v>0</v>
      </c>
      <c r="AC1263" s="1377">
        <f t="shared" si="235"/>
        <v>0</v>
      </c>
      <c r="AD1263" s="1378">
        <f t="shared" si="238"/>
        <v>0</v>
      </c>
      <c r="AE1263" s="1379" t="s">
        <v>2058</v>
      </c>
    </row>
    <row r="1264" spans="1:31" s="1383" customFormat="1" ht="38.25">
      <c r="A1264" s="1389"/>
      <c r="B1264" s="1390" t="s">
        <v>2097</v>
      </c>
      <c r="C1264" s="1381" t="s">
        <v>197</v>
      </c>
      <c r="D1264" s="1381">
        <v>1</v>
      </c>
      <c r="E1264" s="1381" t="s">
        <v>65</v>
      </c>
      <c r="F1264" s="1381">
        <v>11</v>
      </c>
      <c r="G1264" s="1381">
        <v>18</v>
      </c>
      <c r="H1264" s="1382"/>
      <c r="I1264" s="233" t="s">
        <v>2114</v>
      </c>
      <c r="J1264" s="1385" t="s">
        <v>2115</v>
      </c>
      <c r="K1264" s="233">
        <v>72</v>
      </c>
      <c r="L1264" s="1386">
        <v>1500000</v>
      </c>
      <c r="M1264" s="1385"/>
      <c r="N1264" s="1386">
        <v>0</v>
      </c>
      <c r="O1264" s="1385">
        <v>12</v>
      </c>
      <c r="P1264" s="1387">
        <v>3897044</v>
      </c>
      <c r="Q1264" s="1385">
        <v>3</v>
      </c>
      <c r="R1264" s="1387">
        <v>0</v>
      </c>
      <c r="S1264" s="1385"/>
      <c r="T1264" s="1385"/>
      <c r="U1264" s="1385"/>
      <c r="V1264" s="1385"/>
      <c r="W1264" s="1385"/>
      <c r="X1264" s="1385"/>
      <c r="Y1264" s="1389">
        <f t="shared" si="234"/>
        <v>3</v>
      </c>
      <c r="Z1264" s="1387">
        <f t="shared" si="234"/>
        <v>0</v>
      </c>
      <c r="AA1264" s="1385">
        <f t="shared" si="239"/>
        <v>3</v>
      </c>
      <c r="AB1264" s="1376">
        <f t="shared" si="239"/>
        <v>0</v>
      </c>
      <c r="AC1264" s="1377">
        <f t="shared" si="235"/>
        <v>4.1666666666666661</v>
      </c>
      <c r="AD1264" s="1378">
        <f t="shared" si="238"/>
        <v>0</v>
      </c>
      <c r="AE1264" s="1379" t="s">
        <v>2058</v>
      </c>
    </row>
    <row r="1265" spans="1:31">
      <c r="A1265" s="112"/>
      <c r="B1265" s="112"/>
      <c r="C1265" s="112"/>
      <c r="D1265" s="112"/>
      <c r="E1265" s="112"/>
      <c r="F1265" s="112"/>
      <c r="G1265" s="112"/>
      <c r="H1265" s="112"/>
      <c r="I1265" s="112"/>
      <c r="J1265" s="112"/>
      <c r="K1265" s="112"/>
      <c r="L1265" s="112"/>
      <c r="M1265" s="112"/>
      <c r="N1265" s="112"/>
      <c r="O1265" s="112"/>
      <c r="P1265" s="112"/>
      <c r="Q1265" s="112"/>
      <c r="R1265" s="112"/>
      <c r="S1265" s="112"/>
      <c r="T1265" s="112"/>
      <c r="U1265" s="112"/>
      <c r="V1265" s="112"/>
      <c r="W1265" s="112"/>
      <c r="X1265" s="112"/>
      <c r="Y1265" s="570"/>
      <c r="Z1265" s="112"/>
      <c r="AA1265" s="112"/>
      <c r="AB1265" s="112"/>
      <c r="AC1265" s="112"/>
      <c r="AD1265" s="112"/>
      <c r="AE1265" s="112"/>
    </row>
    <row r="1266" spans="1:31" s="69" customFormat="1" ht="27.75" customHeight="1">
      <c r="A1266" s="67">
        <v>29</v>
      </c>
      <c r="B1266" s="67"/>
      <c r="C1266" s="67"/>
      <c r="D1266" s="67"/>
      <c r="E1266" s="67"/>
      <c r="F1266" s="67"/>
      <c r="G1266" s="67"/>
      <c r="H1266" s="67"/>
      <c r="I1266" s="68" t="s">
        <v>216</v>
      </c>
      <c r="J1266" s="67"/>
      <c r="K1266" s="67"/>
      <c r="L1266" s="67"/>
      <c r="M1266" s="67"/>
      <c r="N1266" s="67"/>
      <c r="O1266" s="67"/>
      <c r="P1266" s="67"/>
      <c r="Q1266" s="67"/>
      <c r="R1266" s="67"/>
      <c r="S1266" s="67"/>
      <c r="T1266" s="67"/>
      <c r="U1266" s="67"/>
      <c r="V1266" s="67"/>
      <c r="W1266" s="67"/>
      <c r="X1266" s="67"/>
      <c r="Y1266" s="366"/>
      <c r="Z1266" s="67"/>
      <c r="AA1266" s="67"/>
      <c r="AB1266" s="67"/>
      <c r="AC1266" s="67"/>
      <c r="AD1266" s="67"/>
      <c r="AE1266" s="67"/>
    </row>
    <row r="1267" spans="1:31" s="2102" customFormat="1" ht="38.25">
      <c r="A1267" s="616">
        <v>7</v>
      </c>
      <c r="B1267" s="383" t="s">
        <v>2116</v>
      </c>
      <c r="C1267" s="623" t="s">
        <v>198</v>
      </c>
      <c r="D1267" s="623">
        <v>1</v>
      </c>
      <c r="E1267" s="623" t="s">
        <v>65</v>
      </c>
      <c r="F1267" s="623">
        <v>11</v>
      </c>
      <c r="G1267" s="623">
        <v>16</v>
      </c>
      <c r="H1267" s="627"/>
      <c r="I1267" s="383" t="s">
        <v>2117</v>
      </c>
      <c r="J1267" s="383" t="s">
        <v>2118</v>
      </c>
      <c r="K1267" s="344">
        <v>170</v>
      </c>
      <c r="L1267" s="628">
        <f>SUM(L1268:L1273)</f>
        <v>3938996</v>
      </c>
      <c r="M1267" s="383">
        <v>10</v>
      </c>
      <c r="N1267" s="2110">
        <f>SUM(N1269:N1273)</f>
        <v>1010235.2000000001</v>
      </c>
      <c r="O1267" s="383">
        <v>25</v>
      </c>
      <c r="P1267" s="628">
        <f>SUM(P1269:P1273)</f>
        <v>1300229.27</v>
      </c>
      <c r="Q1267" s="383"/>
      <c r="R1267" s="628">
        <f>SUM(R1269:R1273)</f>
        <v>26260.67</v>
      </c>
      <c r="S1267" s="383"/>
      <c r="T1267" s="628">
        <v>3938996</v>
      </c>
      <c r="U1267" s="383"/>
      <c r="V1267" s="383"/>
      <c r="W1267" s="383"/>
      <c r="X1267" s="383"/>
      <c r="Y1267" s="385">
        <f t="shared" ref="Y1267:Z1282" si="240">Q1267+S1267+U1267+W1267</f>
        <v>0</v>
      </c>
      <c r="Z1267" s="628">
        <f t="shared" si="240"/>
        <v>3965256.67</v>
      </c>
      <c r="AA1267" s="2097">
        <f t="shared" ref="AA1267:AB1282" si="241">M1267+Y1267</f>
        <v>10</v>
      </c>
      <c r="AB1267" s="2098">
        <f t="shared" si="241"/>
        <v>4975491.87</v>
      </c>
      <c r="AC1267" s="2099">
        <f t="shared" ref="AC1267:AC1282" si="242">AA1267/K1267*100</f>
        <v>5.8823529411764701</v>
      </c>
      <c r="AD1267" s="2100">
        <f t="shared" ref="AD1267:AD1278" si="243">AB1267/L1267*100%</f>
        <v>1.2631370709693537</v>
      </c>
      <c r="AE1267" s="2101" t="s">
        <v>2058</v>
      </c>
    </row>
    <row r="1268" spans="1:31" s="1383" customFormat="1" ht="63.75">
      <c r="A1268" s="1389"/>
      <c r="B1268" s="1390" t="s">
        <v>2119</v>
      </c>
      <c r="C1268" s="1381" t="s">
        <v>198</v>
      </c>
      <c r="D1268" s="1381">
        <v>1</v>
      </c>
      <c r="E1268" s="1381" t="s">
        <v>65</v>
      </c>
      <c r="F1268" s="1381">
        <v>11</v>
      </c>
      <c r="G1268" s="1381">
        <v>16</v>
      </c>
      <c r="H1268" s="1382" t="s">
        <v>201</v>
      </c>
      <c r="I1268" s="1385" t="s">
        <v>2120</v>
      </c>
      <c r="J1268" s="1385" t="s">
        <v>2121</v>
      </c>
      <c r="K1268" s="233">
        <v>60</v>
      </c>
      <c r="L1268" s="1386">
        <v>120000</v>
      </c>
      <c r="M1268" s="1385">
        <v>30</v>
      </c>
      <c r="N1268" s="1386">
        <v>66425.899999999994</v>
      </c>
      <c r="O1268" s="1385"/>
      <c r="P1268" s="1387"/>
      <c r="Q1268" s="1385"/>
      <c r="R1268" s="1387"/>
      <c r="S1268" s="1385"/>
      <c r="T1268" s="1388">
        <f>L1267-T1267</f>
        <v>0</v>
      </c>
      <c r="U1268" s="1385"/>
      <c r="V1268" s="1385"/>
      <c r="W1268" s="1385"/>
      <c r="X1268" s="1385"/>
      <c r="Y1268" s="1389">
        <f t="shared" si="240"/>
        <v>0</v>
      </c>
      <c r="Z1268" s="1387">
        <f t="shared" si="240"/>
        <v>0</v>
      </c>
      <c r="AA1268" s="1385">
        <f t="shared" si="241"/>
        <v>30</v>
      </c>
      <c r="AB1268" s="1376">
        <f t="shared" si="241"/>
        <v>66425.899999999994</v>
      </c>
      <c r="AC1268" s="1377">
        <f t="shared" si="242"/>
        <v>50</v>
      </c>
      <c r="AD1268" s="1378">
        <f t="shared" si="243"/>
        <v>0.55354916666666665</v>
      </c>
      <c r="AE1268" s="1379" t="s">
        <v>2058</v>
      </c>
    </row>
    <row r="1269" spans="1:31" s="1383" customFormat="1" ht="38.25">
      <c r="A1269" s="1389"/>
      <c r="B1269" s="1385" t="s">
        <v>2122</v>
      </c>
      <c r="C1269" s="1381" t="s">
        <v>198</v>
      </c>
      <c r="D1269" s="1381">
        <v>1</v>
      </c>
      <c r="E1269" s="1381" t="s">
        <v>65</v>
      </c>
      <c r="F1269" s="1381">
        <v>11</v>
      </c>
      <c r="G1269" s="1381">
        <v>16</v>
      </c>
      <c r="H1269" s="1382">
        <v>10</v>
      </c>
      <c r="I1269" s="1385" t="s">
        <v>2123</v>
      </c>
      <c r="J1269" s="1385" t="s">
        <v>2124</v>
      </c>
      <c r="K1269" s="233">
        <v>6</v>
      </c>
      <c r="L1269" s="1386">
        <v>366210</v>
      </c>
      <c r="M1269" s="1385">
        <v>2</v>
      </c>
      <c r="N1269" s="1386">
        <f>55251.12+41733.8</f>
        <v>96984.920000000013</v>
      </c>
      <c r="O1269" s="1385">
        <v>1</v>
      </c>
      <c r="P1269" s="1387">
        <v>74602.91</v>
      </c>
      <c r="Q1269" s="1385"/>
      <c r="R1269" s="1387">
        <v>7195</v>
      </c>
      <c r="S1269" s="1385"/>
      <c r="T1269" s="1385"/>
      <c r="U1269" s="1385"/>
      <c r="V1269" s="1385"/>
      <c r="W1269" s="1385"/>
      <c r="X1269" s="1385"/>
      <c r="Y1269" s="1389">
        <f t="shared" si="240"/>
        <v>0</v>
      </c>
      <c r="Z1269" s="1387">
        <f t="shared" si="240"/>
        <v>7195</v>
      </c>
      <c r="AA1269" s="1385">
        <f t="shared" si="241"/>
        <v>2</v>
      </c>
      <c r="AB1269" s="1376">
        <f t="shared" si="241"/>
        <v>104179.92000000001</v>
      </c>
      <c r="AC1269" s="1377">
        <f t="shared" si="242"/>
        <v>33.333333333333329</v>
      </c>
      <c r="AD1269" s="1378">
        <f t="shared" si="243"/>
        <v>0.28448136315228972</v>
      </c>
      <c r="AE1269" s="1379" t="s">
        <v>2058</v>
      </c>
    </row>
    <row r="1270" spans="1:31" s="1383" customFormat="1" ht="63.75">
      <c r="A1270" s="1389"/>
      <c r="B1270" s="1385" t="s">
        <v>2125</v>
      </c>
      <c r="C1270" s="1381" t="s">
        <v>198</v>
      </c>
      <c r="D1270" s="1381">
        <v>1</v>
      </c>
      <c r="E1270" s="1381" t="s">
        <v>65</v>
      </c>
      <c r="F1270" s="1381">
        <v>11</v>
      </c>
      <c r="G1270" s="1381">
        <v>16</v>
      </c>
      <c r="H1270" s="1382">
        <v>15</v>
      </c>
      <c r="I1270" s="1385" t="s">
        <v>2126</v>
      </c>
      <c r="J1270" s="1385" t="s">
        <v>2127</v>
      </c>
      <c r="K1270" s="233">
        <v>36</v>
      </c>
      <c r="L1270" s="1386">
        <v>2143803</v>
      </c>
      <c r="M1270" s="1385">
        <v>12</v>
      </c>
      <c r="N1270" s="1386">
        <f>455665.53+360335.2</f>
        <v>816000.73</v>
      </c>
      <c r="O1270" s="1396">
        <v>6</v>
      </c>
      <c r="P1270" s="1387">
        <v>963378.36</v>
      </c>
      <c r="Q1270" s="1385"/>
      <c r="R1270" s="1387">
        <v>10489.67</v>
      </c>
      <c r="S1270" s="1385"/>
      <c r="T1270" s="1385"/>
      <c r="U1270" s="1385"/>
      <c r="V1270" s="1385"/>
      <c r="W1270" s="1385"/>
      <c r="X1270" s="1385"/>
      <c r="Y1270" s="1389">
        <f t="shared" si="240"/>
        <v>0</v>
      </c>
      <c r="Z1270" s="1387">
        <f t="shared" si="240"/>
        <v>10489.67</v>
      </c>
      <c r="AA1270" s="1385">
        <f t="shared" si="241"/>
        <v>12</v>
      </c>
      <c r="AB1270" s="1376">
        <f t="shared" si="241"/>
        <v>826490.4</v>
      </c>
      <c r="AC1270" s="1377">
        <f t="shared" si="242"/>
        <v>33.333333333333329</v>
      </c>
      <c r="AD1270" s="1378">
        <f t="shared" si="243"/>
        <v>0.38552534911090247</v>
      </c>
      <c r="AE1270" s="1379" t="s">
        <v>2058</v>
      </c>
    </row>
    <row r="1271" spans="1:31" s="1383" customFormat="1" ht="51">
      <c r="A1271" s="1389"/>
      <c r="B1271" s="1385" t="s">
        <v>2128</v>
      </c>
      <c r="C1271" s="1381" t="s">
        <v>198</v>
      </c>
      <c r="D1271" s="1381">
        <v>1</v>
      </c>
      <c r="E1271" s="1381" t="s">
        <v>65</v>
      </c>
      <c r="F1271" s="1381">
        <v>11</v>
      </c>
      <c r="G1271" s="1381">
        <v>16</v>
      </c>
      <c r="H1271" s="1382">
        <v>20</v>
      </c>
      <c r="I1271" s="1385" t="s">
        <v>2129</v>
      </c>
      <c r="J1271" s="1385" t="s">
        <v>2130</v>
      </c>
      <c r="K1271" s="233">
        <v>3</v>
      </c>
      <c r="L1271" s="1386">
        <v>133983</v>
      </c>
      <c r="M1271" s="1385">
        <v>1</v>
      </c>
      <c r="N1271" s="1386">
        <f>0+97249.55</f>
        <v>97249.55</v>
      </c>
      <c r="O1271" s="1396">
        <v>1</v>
      </c>
      <c r="P1271" s="1387">
        <v>54846.49</v>
      </c>
      <c r="Q1271" s="1385"/>
      <c r="R1271" s="1387">
        <v>1352</v>
      </c>
      <c r="S1271" s="1385"/>
      <c r="T1271" s="1388">
        <f>L1271-T1268</f>
        <v>133983</v>
      </c>
      <c r="U1271" s="1385"/>
      <c r="V1271" s="1385"/>
      <c r="W1271" s="1385"/>
      <c r="X1271" s="1385"/>
      <c r="Y1271" s="1389">
        <f t="shared" si="240"/>
        <v>0</v>
      </c>
      <c r="Z1271" s="1387">
        <f t="shared" si="240"/>
        <v>135335</v>
      </c>
      <c r="AA1271" s="1385">
        <f t="shared" si="241"/>
        <v>1</v>
      </c>
      <c r="AB1271" s="1376">
        <f t="shared" si="241"/>
        <v>232584.55</v>
      </c>
      <c r="AC1271" s="1377">
        <f t="shared" si="242"/>
        <v>33.333333333333329</v>
      </c>
      <c r="AD1271" s="1378">
        <f t="shared" si="243"/>
        <v>1.7359258264108133</v>
      </c>
      <c r="AE1271" s="1379" t="s">
        <v>2058</v>
      </c>
    </row>
    <row r="1272" spans="1:31" s="1383" customFormat="1" ht="38.25">
      <c r="A1272" s="1389" t="s">
        <v>228</v>
      </c>
      <c r="B1272" s="1385" t="s">
        <v>2131</v>
      </c>
      <c r="C1272" s="1381" t="s">
        <v>198</v>
      </c>
      <c r="D1272" s="1381">
        <v>1</v>
      </c>
      <c r="E1272" s="1381" t="s">
        <v>65</v>
      </c>
      <c r="F1272" s="1381">
        <v>11</v>
      </c>
      <c r="G1272" s="1381">
        <v>16</v>
      </c>
      <c r="H1272" s="1382">
        <v>22</v>
      </c>
      <c r="I1272" s="233" t="s">
        <v>2132</v>
      </c>
      <c r="J1272" s="1385" t="s">
        <v>2133</v>
      </c>
      <c r="K1272" s="233">
        <v>125</v>
      </c>
      <c r="L1272" s="1386">
        <v>575000</v>
      </c>
      <c r="M1272" s="1385"/>
      <c r="N1272" s="1386">
        <f>0+0</f>
        <v>0</v>
      </c>
      <c r="O1272" s="1396">
        <v>25</v>
      </c>
      <c r="P1272" s="1387">
        <v>98247.41</v>
      </c>
      <c r="Q1272" s="1385"/>
      <c r="R1272" s="1387">
        <v>0</v>
      </c>
      <c r="S1272" s="1385"/>
      <c r="T1272" s="1385"/>
      <c r="U1272" s="1385"/>
      <c r="V1272" s="1385"/>
      <c r="W1272" s="1385"/>
      <c r="X1272" s="1385"/>
      <c r="Y1272" s="1389">
        <f t="shared" si="240"/>
        <v>0</v>
      </c>
      <c r="Z1272" s="1387">
        <f t="shared" si="240"/>
        <v>0</v>
      </c>
      <c r="AA1272" s="1385">
        <f t="shared" si="241"/>
        <v>0</v>
      </c>
      <c r="AB1272" s="1376">
        <f t="shared" si="241"/>
        <v>0</v>
      </c>
      <c r="AC1272" s="1377">
        <f t="shared" si="242"/>
        <v>0</v>
      </c>
      <c r="AD1272" s="1378">
        <f t="shared" si="243"/>
        <v>0</v>
      </c>
      <c r="AE1272" s="1379" t="s">
        <v>2058</v>
      </c>
    </row>
    <row r="1273" spans="1:31" s="1383" customFormat="1" ht="63.75">
      <c r="A1273" s="1389" t="s">
        <v>228</v>
      </c>
      <c r="B1273" s="1385" t="s">
        <v>2125</v>
      </c>
      <c r="C1273" s="1381" t="s">
        <v>198</v>
      </c>
      <c r="D1273" s="1381">
        <v>1</v>
      </c>
      <c r="E1273" s="1381" t="s">
        <v>65</v>
      </c>
      <c r="F1273" s="1381">
        <v>11</v>
      </c>
      <c r="G1273" s="1381">
        <v>16</v>
      </c>
      <c r="H1273" s="1382">
        <v>24</v>
      </c>
      <c r="I1273" s="1385" t="s">
        <v>2134</v>
      </c>
      <c r="J1273" s="1385" t="s">
        <v>2135</v>
      </c>
      <c r="K1273" s="233">
        <v>250</v>
      </c>
      <c r="L1273" s="1386">
        <v>600000</v>
      </c>
      <c r="M1273" s="1385"/>
      <c r="N1273" s="1386">
        <f>0+0</f>
        <v>0</v>
      </c>
      <c r="O1273" s="1396">
        <v>40</v>
      </c>
      <c r="P1273" s="1387">
        <v>109154.1</v>
      </c>
      <c r="Q1273" s="1385"/>
      <c r="R1273" s="1387">
        <v>7224</v>
      </c>
      <c r="S1273" s="1385"/>
      <c r="T1273" s="1385"/>
      <c r="U1273" s="1385"/>
      <c r="V1273" s="1385"/>
      <c r="W1273" s="1385"/>
      <c r="X1273" s="1385"/>
      <c r="Y1273" s="1389">
        <f t="shared" si="240"/>
        <v>0</v>
      </c>
      <c r="Z1273" s="1387">
        <f t="shared" si="240"/>
        <v>7224</v>
      </c>
      <c r="AA1273" s="1385">
        <f t="shared" si="241"/>
        <v>0</v>
      </c>
      <c r="AB1273" s="1376">
        <f t="shared" si="241"/>
        <v>7224</v>
      </c>
      <c r="AC1273" s="1377">
        <f t="shared" si="242"/>
        <v>0</v>
      </c>
      <c r="AD1273" s="1378">
        <f t="shared" si="243"/>
        <v>1.204E-2</v>
      </c>
      <c r="AE1273" s="1379" t="s">
        <v>2058</v>
      </c>
    </row>
    <row r="1274" spans="1:31" s="2102" customFormat="1" ht="63.75">
      <c r="A1274" s="495">
        <v>8</v>
      </c>
      <c r="B1274" s="383" t="s">
        <v>2116</v>
      </c>
      <c r="C1274" s="623" t="s">
        <v>198</v>
      </c>
      <c r="D1274" s="623">
        <v>1</v>
      </c>
      <c r="E1274" s="623" t="s">
        <v>65</v>
      </c>
      <c r="F1274" s="623">
        <v>11</v>
      </c>
      <c r="G1274" s="623">
        <v>17</v>
      </c>
      <c r="H1274" s="627"/>
      <c r="I1274" s="383" t="s">
        <v>2136</v>
      </c>
      <c r="J1274" s="383" t="s">
        <v>2137</v>
      </c>
      <c r="K1274" s="344">
        <v>95</v>
      </c>
      <c r="L1274" s="2110">
        <f>SUM(L1275:L1276)</f>
        <v>3340073</v>
      </c>
      <c r="M1274" s="741">
        <v>10</v>
      </c>
      <c r="N1274" s="2110">
        <f>SUM(N1275)</f>
        <v>115916.75</v>
      </c>
      <c r="O1274" s="2118">
        <v>0</v>
      </c>
      <c r="P1274" s="2110">
        <f>SUM(P1275)</f>
        <v>0</v>
      </c>
      <c r="Q1274" s="383"/>
      <c r="R1274" s="2110">
        <f>SUM(R1275)</f>
        <v>0</v>
      </c>
      <c r="S1274" s="383"/>
      <c r="T1274" s="2110"/>
      <c r="U1274" s="383"/>
      <c r="V1274" s="383"/>
      <c r="W1274" s="383"/>
      <c r="X1274" s="383"/>
      <c r="Y1274" s="385">
        <f t="shared" si="240"/>
        <v>0</v>
      </c>
      <c r="Z1274" s="628">
        <f t="shared" si="240"/>
        <v>0</v>
      </c>
      <c r="AA1274" s="2097">
        <f t="shared" si="241"/>
        <v>10</v>
      </c>
      <c r="AB1274" s="2098">
        <f t="shared" si="241"/>
        <v>115916.75</v>
      </c>
      <c r="AC1274" s="2099">
        <f t="shared" si="242"/>
        <v>10.526315789473683</v>
      </c>
      <c r="AD1274" s="2100">
        <f t="shared" si="243"/>
        <v>3.4704855253163629E-2</v>
      </c>
      <c r="AE1274" s="2101" t="s">
        <v>2058</v>
      </c>
    </row>
    <row r="1275" spans="1:31" s="1383" customFormat="1" ht="25.5">
      <c r="A1275" s="1389" t="s">
        <v>228</v>
      </c>
      <c r="B1275" s="1385" t="s">
        <v>2131</v>
      </c>
      <c r="C1275" s="1381" t="s">
        <v>198</v>
      </c>
      <c r="D1275" s="1381">
        <v>1</v>
      </c>
      <c r="E1275" s="1381" t="s">
        <v>65</v>
      </c>
      <c r="F1275" s="1381">
        <v>11</v>
      </c>
      <c r="G1275" s="1381">
        <v>17</v>
      </c>
      <c r="H1275" s="1382">
        <v>15</v>
      </c>
      <c r="I1275" s="1385" t="s">
        <v>2138</v>
      </c>
      <c r="J1275" s="1385" t="s">
        <v>2139</v>
      </c>
      <c r="K1275" s="233">
        <v>750</v>
      </c>
      <c r="L1275" s="1386">
        <v>2340073</v>
      </c>
      <c r="M1275" s="1385">
        <v>40</v>
      </c>
      <c r="N1275" s="1386">
        <f>54199.05+61717.7</f>
        <v>115916.75</v>
      </c>
      <c r="O1275" s="1396"/>
      <c r="P1275" s="1387"/>
      <c r="Q1275" s="1385"/>
      <c r="R1275" s="1387"/>
      <c r="S1275" s="1385"/>
      <c r="T1275" s="1388"/>
      <c r="U1275" s="1385"/>
      <c r="V1275" s="1385"/>
      <c r="W1275" s="1385"/>
      <c r="X1275" s="1385"/>
      <c r="Y1275" s="1389">
        <f t="shared" si="240"/>
        <v>0</v>
      </c>
      <c r="Z1275" s="1387">
        <f t="shared" si="240"/>
        <v>0</v>
      </c>
      <c r="AA1275" s="1385">
        <f t="shared" si="241"/>
        <v>40</v>
      </c>
      <c r="AB1275" s="1376">
        <f t="shared" si="241"/>
        <v>115916.75</v>
      </c>
      <c r="AC1275" s="1377">
        <f t="shared" si="242"/>
        <v>5.3333333333333339</v>
      </c>
      <c r="AD1275" s="1378">
        <f t="shared" si="243"/>
        <v>4.9535527310472796E-2</v>
      </c>
      <c r="AE1275" s="1379" t="s">
        <v>2058</v>
      </c>
    </row>
    <row r="1276" spans="1:31" s="1383" customFormat="1" ht="25.5">
      <c r="A1276" s="1389" t="s">
        <v>228</v>
      </c>
      <c r="B1276" s="1385" t="s">
        <v>2131</v>
      </c>
      <c r="C1276" s="1381" t="s">
        <v>198</v>
      </c>
      <c r="D1276" s="1381">
        <v>1</v>
      </c>
      <c r="E1276" s="1381" t="s">
        <v>65</v>
      </c>
      <c r="F1276" s="1381">
        <v>11</v>
      </c>
      <c r="G1276" s="1381">
        <v>17</v>
      </c>
      <c r="H1276" s="1382">
        <v>18</v>
      </c>
      <c r="I1276" s="1385" t="s">
        <v>2140</v>
      </c>
      <c r="J1276" s="1385" t="s">
        <v>2139</v>
      </c>
      <c r="K1276" s="233">
        <v>130</v>
      </c>
      <c r="L1276" s="1386">
        <v>1000000</v>
      </c>
      <c r="M1276" s="1385">
        <v>10</v>
      </c>
      <c r="N1276" s="1386">
        <v>64602.25</v>
      </c>
      <c r="O1276" s="1396"/>
      <c r="P1276" s="1387"/>
      <c r="Q1276" s="1385"/>
      <c r="R1276" s="1387"/>
      <c r="S1276" s="1385"/>
      <c r="T1276" s="1385"/>
      <c r="U1276" s="1385"/>
      <c r="V1276" s="1385"/>
      <c r="W1276" s="1385"/>
      <c r="X1276" s="1385"/>
      <c r="Y1276" s="1389">
        <f t="shared" si="240"/>
        <v>0</v>
      </c>
      <c r="Z1276" s="1387">
        <f t="shared" si="240"/>
        <v>0</v>
      </c>
      <c r="AA1276" s="1385">
        <f t="shared" si="241"/>
        <v>10</v>
      </c>
      <c r="AB1276" s="1376">
        <f t="shared" si="241"/>
        <v>64602.25</v>
      </c>
      <c r="AC1276" s="1377">
        <f t="shared" si="242"/>
        <v>7.6923076923076925</v>
      </c>
      <c r="AD1276" s="1378">
        <f t="shared" si="243"/>
        <v>6.460225E-2</v>
      </c>
      <c r="AE1276" s="1379" t="s">
        <v>2058</v>
      </c>
    </row>
    <row r="1277" spans="1:31" s="1384" customFormat="1" ht="51">
      <c r="A1277" s="1375">
        <v>9</v>
      </c>
      <c r="B1277" s="1398" t="s">
        <v>2141</v>
      </c>
      <c r="C1277" s="1373" t="s">
        <v>198</v>
      </c>
      <c r="D1277" s="1373">
        <v>1</v>
      </c>
      <c r="E1277" s="1373" t="s">
        <v>65</v>
      </c>
      <c r="F1277" s="1373">
        <v>11</v>
      </c>
      <c r="G1277" s="1373">
        <v>19</v>
      </c>
      <c r="H1277" s="1391"/>
      <c r="I1277" s="1374" t="s">
        <v>2142</v>
      </c>
      <c r="J1277" s="1374" t="s">
        <v>2143</v>
      </c>
      <c r="K1277" s="286">
        <v>6</v>
      </c>
      <c r="L1277" s="1393">
        <f>SUM(L1278:L1280)</f>
        <v>4563754</v>
      </c>
      <c r="M1277" s="1374">
        <v>1</v>
      </c>
      <c r="N1277" s="1392">
        <f>SUM(N1278:N1280)</f>
        <v>85873.5</v>
      </c>
      <c r="O1277" s="1397">
        <v>3</v>
      </c>
      <c r="P1277" s="1393">
        <f>SUM(P1278:P1280)</f>
        <v>1204543</v>
      </c>
      <c r="Q1277" s="1374"/>
      <c r="R1277" s="1393">
        <f>SUM(R1278:R1280)</f>
        <v>8772.84</v>
      </c>
      <c r="S1277" s="1374"/>
      <c r="T1277" s="1393"/>
      <c r="U1277" s="1374"/>
      <c r="V1277" s="1374"/>
      <c r="W1277" s="1374"/>
      <c r="X1277" s="1374"/>
      <c r="Y1277" s="1389">
        <f t="shared" si="240"/>
        <v>0</v>
      </c>
      <c r="Z1277" s="1393">
        <f t="shared" si="240"/>
        <v>8772.84</v>
      </c>
      <c r="AA1277" s="1385">
        <f t="shared" si="241"/>
        <v>1</v>
      </c>
      <c r="AB1277" s="1376">
        <f t="shared" si="241"/>
        <v>94646.34</v>
      </c>
      <c r="AC1277" s="1377">
        <f t="shared" si="242"/>
        <v>16.666666666666664</v>
      </c>
      <c r="AD1277" s="1378">
        <f t="shared" si="243"/>
        <v>2.073870326928226E-2</v>
      </c>
      <c r="AE1277" s="1379" t="s">
        <v>2058</v>
      </c>
    </row>
    <row r="1278" spans="1:31" s="1383" customFormat="1" ht="63.75">
      <c r="A1278" s="1389" t="s">
        <v>228</v>
      </c>
      <c r="B1278" s="1385" t="s">
        <v>2125</v>
      </c>
      <c r="C1278" s="1381" t="s">
        <v>198</v>
      </c>
      <c r="D1278" s="1381">
        <v>1</v>
      </c>
      <c r="E1278" s="1381" t="s">
        <v>65</v>
      </c>
      <c r="F1278" s="1381">
        <v>11</v>
      </c>
      <c r="G1278" s="1381">
        <v>19</v>
      </c>
      <c r="H1278" s="1382">
        <v>5</v>
      </c>
      <c r="I1278" s="233" t="s">
        <v>2144</v>
      </c>
      <c r="J1278" s="233" t="s">
        <v>2145</v>
      </c>
      <c r="K1278" s="233">
        <v>240</v>
      </c>
      <c r="L1278" s="1386">
        <v>1146383</v>
      </c>
      <c r="M1278" s="1385">
        <v>25</v>
      </c>
      <c r="N1278" s="1386">
        <f>0+85873.5</f>
        <v>85873.5</v>
      </c>
      <c r="O1278" s="1396">
        <v>40</v>
      </c>
      <c r="P1278" s="1387">
        <v>104513.08</v>
      </c>
      <c r="Q1278" s="1385"/>
      <c r="R1278" s="1387">
        <v>2952</v>
      </c>
      <c r="S1278" s="1385"/>
      <c r="T1278" s="1393"/>
      <c r="U1278" s="1385"/>
      <c r="V1278" s="1385"/>
      <c r="W1278" s="1385"/>
      <c r="X1278" s="1385"/>
      <c r="Y1278" s="1389">
        <f t="shared" si="240"/>
        <v>0</v>
      </c>
      <c r="Z1278" s="1387">
        <f t="shared" si="240"/>
        <v>2952</v>
      </c>
      <c r="AA1278" s="1385">
        <f t="shared" si="241"/>
        <v>25</v>
      </c>
      <c r="AB1278" s="1376">
        <f t="shared" si="241"/>
        <v>88825.5</v>
      </c>
      <c r="AC1278" s="1377">
        <f t="shared" si="242"/>
        <v>10.416666666666668</v>
      </c>
      <c r="AD1278" s="1378">
        <f t="shared" si="243"/>
        <v>7.7483266936093781E-2</v>
      </c>
      <c r="AE1278" s="1379" t="s">
        <v>2058</v>
      </c>
    </row>
    <row r="1279" spans="1:31" s="1383" customFormat="1" ht="51">
      <c r="A1279" s="1389" t="s">
        <v>228</v>
      </c>
      <c r="B1279" s="1385" t="s">
        <v>2128</v>
      </c>
      <c r="C1279" s="1381" t="s">
        <v>198</v>
      </c>
      <c r="D1279" s="1381">
        <v>1</v>
      </c>
      <c r="E1279" s="1381" t="s">
        <v>65</v>
      </c>
      <c r="F1279" s="1381">
        <v>11</v>
      </c>
      <c r="G1279" s="1381">
        <v>19</v>
      </c>
      <c r="H1279" s="1382" t="s">
        <v>198</v>
      </c>
      <c r="I1279" s="233" t="s">
        <v>2146</v>
      </c>
      <c r="J1279" s="233" t="s">
        <v>2147</v>
      </c>
      <c r="K1279" s="233">
        <v>3</v>
      </c>
      <c r="L1279" s="1386">
        <v>3106701</v>
      </c>
      <c r="M1279" s="1385"/>
      <c r="N1279" s="1386">
        <f>0+0</f>
        <v>0</v>
      </c>
      <c r="O1279" s="1396">
        <v>1</v>
      </c>
      <c r="P1279" s="1387">
        <v>1000000</v>
      </c>
      <c r="Q1279" s="1385"/>
      <c r="R1279" s="1387">
        <v>0</v>
      </c>
      <c r="S1279" s="1385"/>
      <c r="T1279" s="1385"/>
      <c r="U1279" s="1385"/>
      <c r="V1279" s="1385"/>
      <c r="W1279" s="1385"/>
      <c r="X1279" s="1385"/>
      <c r="Y1279" s="1389">
        <f t="shared" si="240"/>
        <v>0</v>
      </c>
      <c r="Z1279" s="1387">
        <f t="shared" si="240"/>
        <v>0</v>
      </c>
      <c r="AA1279" s="1385">
        <f t="shared" si="241"/>
        <v>0</v>
      </c>
      <c r="AB1279" s="1376">
        <f t="shared" si="241"/>
        <v>0</v>
      </c>
      <c r="AC1279" s="1377">
        <f t="shared" si="242"/>
        <v>0</v>
      </c>
      <c r="AD1279" s="1378">
        <v>0</v>
      </c>
      <c r="AE1279" s="1379" t="s">
        <v>2058</v>
      </c>
    </row>
    <row r="1280" spans="1:31" s="1383" customFormat="1" ht="51">
      <c r="A1280" s="1389" t="s">
        <v>228</v>
      </c>
      <c r="B1280" s="1385" t="s">
        <v>2128</v>
      </c>
      <c r="C1280" s="1381" t="s">
        <v>198</v>
      </c>
      <c r="D1280" s="1381">
        <v>1</v>
      </c>
      <c r="E1280" s="1381" t="s">
        <v>65</v>
      </c>
      <c r="F1280" s="1381">
        <v>11</v>
      </c>
      <c r="G1280" s="1381">
        <v>19</v>
      </c>
      <c r="H1280" s="1382" t="s">
        <v>93</v>
      </c>
      <c r="I1280" s="233" t="s">
        <v>2148</v>
      </c>
      <c r="J1280" s="233" t="s">
        <v>2149</v>
      </c>
      <c r="K1280" s="233">
        <v>24</v>
      </c>
      <c r="L1280" s="1386">
        <v>310670</v>
      </c>
      <c r="M1280" s="1385"/>
      <c r="N1280" s="1386">
        <f>0+0</f>
        <v>0</v>
      </c>
      <c r="O1280" s="1396">
        <v>12</v>
      </c>
      <c r="P1280" s="1387">
        <v>100029.92</v>
      </c>
      <c r="Q1280" s="1385">
        <v>3</v>
      </c>
      <c r="R1280" s="1387">
        <v>5820.84</v>
      </c>
      <c r="S1280" s="1385"/>
      <c r="T1280" s="1385"/>
      <c r="U1280" s="1385"/>
      <c r="V1280" s="1385"/>
      <c r="W1280" s="1385"/>
      <c r="X1280" s="1385"/>
      <c r="Y1280" s="1389">
        <f t="shared" si="240"/>
        <v>3</v>
      </c>
      <c r="Z1280" s="1387">
        <f t="shared" si="240"/>
        <v>5820.84</v>
      </c>
      <c r="AA1280" s="1385">
        <f t="shared" si="241"/>
        <v>3</v>
      </c>
      <c r="AB1280" s="1376">
        <f t="shared" si="241"/>
        <v>5820.84</v>
      </c>
      <c r="AC1280" s="1377">
        <f t="shared" si="242"/>
        <v>12.5</v>
      </c>
      <c r="AD1280" s="1378">
        <v>0</v>
      </c>
      <c r="AE1280" s="1379" t="s">
        <v>2058</v>
      </c>
    </row>
    <row r="1281" spans="1:32" s="2102" customFormat="1" ht="38.25">
      <c r="A1281" s="2089">
        <v>10</v>
      </c>
      <c r="B1281" s="2090" t="s">
        <v>2116</v>
      </c>
      <c r="C1281" s="2091" t="s">
        <v>198</v>
      </c>
      <c r="D1281" s="2091">
        <v>1</v>
      </c>
      <c r="E1281" s="2091" t="s">
        <v>65</v>
      </c>
      <c r="F1281" s="2091">
        <v>11</v>
      </c>
      <c r="G1281" s="2091">
        <v>20</v>
      </c>
      <c r="H1281" s="2092"/>
      <c r="I1281" s="2090" t="s">
        <v>2150</v>
      </c>
      <c r="J1281" s="2097" t="s">
        <v>2151</v>
      </c>
      <c r="K1281" s="2093">
        <v>50</v>
      </c>
      <c r="L1281" s="2094">
        <f>SUM(L1282)</f>
        <v>57725</v>
      </c>
      <c r="M1281" s="2090"/>
      <c r="N1281" s="2095">
        <f>SUM(N1282)</f>
        <v>0</v>
      </c>
      <c r="O1281" s="2103">
        <v>50</v>
      </c>
      <c r="P1281" s="2094">
        <f>SUM(P1282)</f>
        <v>57725.03</v>
      </c>
      <c r="Q1281" s="2090"/>
      <c r="R1281" s="2094">
        <f>SUM(R1282)</f>
        <v>0</v>
      </c>
      <c r="S1281" s="2090"/>
      <c r="T1281" s="2090"/>
      <c r="U1281" s="2090"/>
      <c r="V1281" s="2090"/>
      <c r="W1281" s="2090"/>
      <c r="X1281" s="2090"/>
      <c r="Y1281" s="2096">
        <f t="shared" si="240"/>
        <v>0</v>
      </c>
      <c r="Z1281" s="2094">
        <f t="shared" si="240"/>
        <v>0</v>
      </c>
      <c r="AA1281" s="2097">
        <f t="shared" si="241"/>
        <v>0</v>
      </c>
      <c r="AB1281" s="2098">
        <f t="shared" si="241"/>
        <v>0</v>
      </c>
      <c r="AC1281" s="2099">
        <f t="shared" si="242"/>
        <v>0</v>
      </c>
      <c r="AD1281" s="2100">
        <v>0</v>
      </c>
      <c r="AE1281" s="2101" t="s">
        <v>2058</v>
      </c>
    </row>
    <row r="1282" spans="1:32" s="1383" customFormat="1" ht="25.5">
      <c r="A1282" s="1389" t="s">
        <v>228</v>
      </c>
      <c r="B1282" s="1385" t="s">
        <v>2131</v>
      </c>
      <c r="C1282" s="1381" t="s">
        <v>198</v>
      </c>
      <c r="D1282" s="1381">
        <v>1</v>
      </c>
      <c r="E1282" s="1381" t="s">
        <v>65</v>
      </c>
      <c r="F1282" s="1381">
        <v>11</v>
      </c>
      <c r="G1282" s="1381">
        <v>20</v>
      </c>
      <c r="H1282" s="1382" t="s">
        <v>65</v>
      </c>
      <c r="I1282" s="233" t="s">
        <v>2152</v>
      </c>
      <c r="J1282" s="1385" t="s">
        <v>2151</v>
      </c>
      <c r="K1282" s="233">
        <v>50</v>
      </c>
      <c r="L1282" s="1393">
        <v>57725</v>
      </c>
      <c r="M1282" s="1385"/>
      <c r="N1282" s="1386"/>
      <c r="O1282" s="1396">
        <v>50</v>
      </c>
      <c r="P1282" s="1387">
        <v>57725.03</v>
      </c>
      <c r="Q1282" s="1385"/>
      <c r="R1282" s="1387">
        <v>0</v>
      </c>
      <c r="S1282" s="1385"/>
      <c r="T1282" s="1385"/>
      <c r="U1282" s="1385"/>
      <c r="V1282" s="1385"/>
      <c r="W1282" s="1385"/>
      <c r="X1282" s="1385"/>
      <c r="Y1282" s="1389">
        <f t="shared" si="240"/>
        <v>0</v>
      </c>
      <c r="Z1282" s="1387">
        <f t="shared" si="240"/>
        <v>0</v>
      </c>
      <c r="AA1282" s="1385">
        <f t="shared" si="241"/>
        <v>0</v>
      </c>
      <c r="AB1282" s="1376">
        <f t="shared" si="241"/>
        <v>0</v>
      </c>
      <c r="AC1282" s="1377">
        <f t="shared" si="242"/>
        <v>0</v>
      </c>
      <c r="AD1282" s="1378">
        <v>0</v>
      </c>
      <c r="AE1282" s="1379" t="s">
        <v>2058</v>
      </c>
    </row>
    <row r="1283" spans="1:32">
      <c r="A1283" s="112"/>
      <c r="B1283" s="112"/>
      <c r="C1283" s="112"/>
      <c r="D1283" s="112"/>
      <c r="E1283" s="112"/>
      <c r="F1283" s="112"/>
      <c r="G1283" s="112"/>
      <c r="H1283" s="112"/>
      <c r="I1283" s="112"/>
      <c r="J1283" s="112"/>
      <c r="K1283" s="112"/>
      <c r="L1283" s="112"/>
      <c r="M1283" s="112"/>
      <c r="N1283" s="112"/>
      <c r="O1283" s="112"/>
      <c r="P1283" s="112"/>
      <c r="Q1283" s="112"/>
      <c r="R1283" s="112"/>
      <c r="S1283" s="112"/>
      <c r="T1283" s="112"/>
      <c r="U1283" s="112"/>
      <c r="V1283" s="112"/>
      <c r="W1283" s="112"/>
      <c r="X1283" s="112"/>
      <c r="Y1283" s="570"/>
      <c r="Z1283" s="112"/>
      <c r="AA1283" s="112"/>
      <c r="AB1283" s="112"/>
      <c r="AC1283" s="112"/>
      <c r="AD1283" s="112"/>
      <c r="AE1283" s="112"/>
    </row>
    <row r="1284" spans="1:32" s="69" customFormat="1" ht="27.75" customHeight="1">
      <c r="A1284" s="67">
        <v>30</v>
      </c>
      <c r="B1284" s="67"/>
      <c r="C1284" s="67"/>
      <c r="D1284" s="67"/>
      <c r="E1284" s="67"/>
      <c r="F1284" s="67"/>
      <c r="G1284" s="67"/>
      <c r="H1284" s="67"/>
      <c r="I1284" s="68" t="s">
        <v>217</v>
      </c>
      <c r="J1284" s="67"/>
      <c r="K1284" s="67"/>
      <c r="L1284" s="67"/>
      <c r="M1284" s="67"/>
      <c r="N1284" s="67"/>
      <c r="O1284" s="67"/>
      <c r="P1284" s="67"/>
      <c r="Q1284" s="67"/>
      <c r="R1284" s="67"/>
      <c r="S1284" s="67"/>
      <c r="T1284" s="67"/>
      <c r="U1284" s="67"/>
      <c r="V1284" s="67"/>
      <c r="W1284" s="67"/>
      <c r="X1284" s="67"/>
      <c r="Y1284" s="366"/>
      <c r="Z1284" s="67"/>
      <c r="AA1284" s="67"/>
      <c r="AB1284" s="67"/>
      <c r="AC1284" s="67"/>
      <c r="AD1284" s="67"/>
      <c r="AE1284" s="67"/>
    </row>
    <row r="1285" spans="1:32">
      <c r="A1285" s="111"/>
      <c r="B1285" s="111"/>
      <c r="C1285" s="111"/>
      <c r="D1285" s="111"/>
      <c r="E1285" s="111"/>
      <c r="F1285" s="111"/>
      <c r="G1285" s="111"/>
      <c r="H1285" s="111"/>
      <c r="I1285" s="111"/>
      <c r="J1285" s="111"/>
      <c r="K1285" s="111"/>
      <c r="L1285" s="111"/>
      <c r="M1285" s="111"/>
      <c r="N1285" s="111"/>
      <c r="O1285" s="111"/>
      <c r="P1285" s="111"/>
      <c r="Q1285" s="111"/>
      <c r="R1285" s="111"/>
      <c r="S1285" s="111"/>
      <c r="T1285" s="111"/>
      <c r="U1285" s="111"/>
      <c r="V1285" s="111"/>
      <c r="W1285" s="111"/>
      <c r="X1285" s="111"/>
      <c r="Y1285" s="571"/>
      <c r="Z1285" s="111"/>
      <c r="AA1285" s="111"/>
      <c r="AB1285" s="111"/>
      <c r="AC1285" s="111"/>
      <c r="AD1285" s="111"/>
      <c r="AE1285" s="111"/>
    </row>
    <row r="1286" spans="1:32" s="69" customFormat="1" ht="33.75" customHeight="1">
      <c r="A1286" s="72"/>
      <c r="B1286" s="72"/>
      <c r="C1286" s="72"/>
      <c r="D1286" s="72"/>
      <c r="E1286" s="72"/>
      <c r="F1286" s="72"/>
      <c r="G1286" s="72"/>
      <c r="H1286" s="72"/>
      <c r="I1286" s="73" t="s">
        <v>218</v>
      </c>
      <c r="J1286" s="72"/>
      <c r="K1286" s="72"/>
      <c r="L1286" s="72"/>
      <c r="M1286" s="72"/>
      <c r="N1286" s="72"/>
      <c r="O1286" s="72"/>
      <c r="P1286" s="72"/>
      <c r="Q1286" s="72"/>
      <c r="R1286" s="72"/>
      <c r="S1286" s="72"/>
      <c r="T1286" s="72"/>
      <c r="U1286" s="72"/>
      <c r="V1286" s="72"/>
      <c r="W1286" s="72"/>
      <c r="X1286" s="72"/>
      <c r="Y1286" s="561"/>
      <c r="Z1286" s="72"/>
      <c r="AA1286" s="72"/>
      <c r="AB1286" s="72"/>
      <c r="AC1286" s="72"/>
      <c r="AD1286" s="72"/>
      <c r="AE1286" s="72"/>
    </row>
    <row r="1287" spans="1:32" s="69" customFormat="1" ht="24.75" customHeight="1">
      <c r="A1287" s="67">
        <v>31</v>
      </c>
      <c r="B1287" s="67"/>
      <c r="C1287" s="67"/>
      <c r="D1287" s="67"/>
      <c r="E1287" s="67"/>
      <c r="F1287" s="67"/>
      <c r="G1287" s="67"/>
      <c r="H1287" s="67"/>
      <c r="I1287" s="68" t="s">
        <v>906</v>
      </c>
      <c r="J1287" s="67"/>
      <c r="K1287" s="67"/>
      <c r="L1287" s="67"/>
      <c r="M1287" s="67"/>
      <c r="N1287" s="67"/>
      <c r="O1287" s="67"/>
      <c r="P1287" s="67"/>
      <c r="Q1287" s="67"/>
      <c r="R1287" s="67"/>
      <c r="S1287" s="67"/>
      <c r="T1287" s="67"/>
      <c r="U1287" s="67"/>
      <c r="V1287" s="67"/>
      <c r="W1287" s="67"/>
      <c r="X1287" s="67"/>
      <c r="Y1287" s="366"/>
      <c r="Z1287" s="67"/>
      <c r="AA1287" s="67"/>
      <c r="AB1287" s="67"/>
      <c r="AC1287" s="67"/>
      <c r="AD1287" s="67"/>
      <c r="AE1287" s="67"/>
    </row>
    <row r="1288" spans="1:32" customFormat="1" ht="99" customHeight="1">
      <c r="A1288" s="1081">
        <v>1</v>
      </c>
      <c r="B1288" s="1082" t="s">
        <v>1037</v>
      </c>
      <c r="C1288" s="1083">
        <v>3</v>
      </c>
      <c r="D1288" s="1083" t="s">
        <v>107</v>
      </c>
      <c r="E1288" s="1083" t="s">
        <v>66</v>
      </c>
      <c r="F1288" s="1083" t="s">
        <v>66</v>
      </c>
      <c r="G1288" s="1084"/>
      <c r="H1288" s="1084"/>
      <c r="I1288" s="1081" t="s">
        <v>221</v>
      </c>
      <c r="J1288" s="1085" t="s">
        <v>1038</v>
      </c>
      <c r="K1288" s="1086">
        <f>SUM(K1289:K1300)/12</f>
        <v>67</v>
      </c>
      <c r="L1288" s="1086">
        <f>SUM(L1289:L1300)</f>
        <v>6057500000</v>
      </c>
      <c r="M1288" s="1086">
        <f>SUM(M1289:M1300)/12</f>
        <v>22</v>
      </c>
      <c r="N1288" s="1081">
        <f>SUM(N1289:N1301)</f>
        <v>1165404355</v>
      </c>
      <c r="O1288" s="1086">
        <f>SUM(O1289:O1300)/12</f>
        <v>11.166666666666666</v>
      </c>
      <c r="P1288" s="1081">
        <f>SUM(P1289:P1300)</f>
        <v>511677878</v>
      </c>
      <c r="Q1288" s="1086">
        <f>SUM(Q1289:Q1300)/12</f>
        <v>2.5</v>
      </c>
      <c r="R1288" s="1086">
        <f>SUM(R1289:R1299)</f>
        <v>95913325</v>
      </c>
      <c r="S1288" s="1086">
        <f>SUM(S1289:S1300)/12</f>
        <v>0</v>
      </c>
      <c r="T1288" s="1081">
        <f>SUM(T1289:T1299)</f>
        <v>0</v>
      </c>
      <c r="U1288" s="1086">
        <f>SUM(U1289:U1300)/12</f>
        <v>0</v>
      </c>
      <c r="V1288" s="1081">
        <f>SUM(V1289:V1299)</f>
        <v>0</v>
      </c>
      <c r="W1288" s="1086">
        <f>SUM(W1289:W1300)/12</f>
        <v>0</v>
      </c>
      <c r="X1288" s="1081">
        <f>SUM(X1289:X1299)</f>
        <v>0</v>
      </c>
      <c r="Y1288" s="1086">
        <f>SUM(Y1289:Y1300)/12</f>
        <v>2.5</v>
      </c>
      <c r="Z1288" s="1081">
        <f t="shared" ref="Z1288:Z1300" si="244">+R1288+T1288+V1288+X1288</f>
        <v>95913325</v>
      </c>
      <c r="AA1288" s="1086">
        <f>SUM(AA1289:AA1300)/12</f>
        <v>24.5</v>
      </c>
      <c r="AB1288" s="1081">
        <f t="shared" ref="AB1288:AB1299" si="245">+N1288+Z1288</f>
        <v>1261317680</v>
      </c>
      <c r="AC1288" s="1086">
        <f>SUM(AC1289:AC1300)/12</f>
        <v>34.027777777777779</v>
      </c>
      <c r="AD1288" s="1087">
        <f t="shared" ref="AD1288:AD1300" si="246">(AB1288/L1288)*100</f>
        <v>20.82241320676847</v>
      </c>
      <c r="AE1288" s="4532" t="s">
        <v>1434</v>
      </c>
      <c r="AF1288" s="1088"/>
    </row>
    <row r="1289" spans="1:32" customFormat="1" ht="48.75" customHeight="1">
      <c r="A1289" s="1886"/>
      <c r="B1289" s="1114"/>
      <c r="C1289" s="1089">
        <v>3</v>
      </c>
      <c r="D1289" s="1089" t="s">
        <v>107</v>
      </c>
      <c r="E1289" s="1089" t="s">
        <v>66</v>
      </c>
      <c r="F1289" s="1089" t="s">
        <v>66</v>
      </c>
      <c r="G1289" s="1089" t="s">
        <v>65</v>
      </c>
      <c r="H1289" s="1089"/>
      <c r="I1289" s="1090" t="s">
        <v>195</v>
      </c>
      <c r="J1289" s="1091" t="s">
        <v>1435</v>
      </c>
      <c r="K1289" s="1886">
        <v>72</v>
      </c>
      <c r="L1289" s="1886">
        <f>60000000+65000000+75000000+75500000+78000000+80000000</f>
        <v>433500000</v>
      </c>
      <c r="M1289" s="1886">
        <v>24</v>
      </c>
      <c r="N1289" s="1886">
        <f>45987962+49885950</f>
        <v>95873912</v>
      </c>
      <c r="O1289" s="1886">
        <v>12</v>
      </c>
      <c r="P1289" s="1886">
        <f>+[10]Sheet1!$D$3</f>
        <v>49800000</v>
      </c>
      <c r="Q1289" s="1886">
        <v>3</v>
      </c>
      <c r="R1289" s="1886">
        <f>[10]Sheet1!$E$3</f>
        <v>7860525</v>
      </c>
      <c r="S1289" s="1886">
        <f>T1289/P1289%</f>
        <v>0</v>
      </c>
      <c r="T1289" s="1886">
        <v>0</v>
      </c>
      <c r="U1289" s="1886">
        <f>V1289/P1289*100</f>
        <v>0</v>
      </c>
      <c r="V1289" s="1886">
        <v>0</v>
      </c>
      <c r="W1289" s="1086">
        <f t="shared" ref="W1289:W1299" si="247">X1289/P1289*100</f>
        <v>0</v>
      </c>
      <c r="X1289" s="1086">
        <v>0</v>
      </c>
      <c r="Y1289" s="1886">
        <f t="shared" ref="Y1289:Y1300" si="248">Q1289+S1289+U1289+W1289</f>
        <v>3</v>
      </c>
      <c r="Z1289" s="1886">
        <f t="shared" si="244"/>
        <v>7860525</v>
      </c>
      <c r="AA1289" s="1886">
        <f t="shared" ref="AA1289:AA1300" si="249">+Y1289+M1289</f>
        <v>27</v>
      </c>
      <c r="AB1289" s="1091">
        <f>N1289+Z1289</f>
        <v>103734437</v>
      </c>
      <c r="AC1289" s="1091">
        <f t="shared" ref="AC1289:AC1300" si="250">(AA1289/K1289)*100</f>
        <v>37.5</v>
      </c>
      <c r="AD1289" s="1092">
        <f>(AB1289/L1289)*100</f>
        <v>23.929512572087656</v>
      </c>
      <c r="AE1289" s="4533"/>
    </row>
    <row r="1290" spans="1:32" customFormat="1" ht="38.25">
      <c r="A1290" s="1081"/>
      <c r="B1290" s="1081"/>
      <c r="C1290" s="1089">
        <v>3</v>
      </c>
      <c r="D1290" s="1089" t="s">
        <v>107</v>
      </c>
      <c r="E1290" s="1089" t="s">
        <v>66</v>
      </c>
      <c r="F1290" s="1089" t="s">
        <v>66</v>
      </c>
      <c r="G1290" s="1089" t="s">
        <v>198</v>
      </c>
      <c r="H1290" s="1089"/>
      <c r="I1290" s="1090" t="s">
        <v>199</v>
      </c>
      <c r="J1290" s="1091" t="s">
        <v>1436</v>
      </c>
      <c r="K1290" s="1886">
        <v>72</v>
      </c>
      <c r="L1290" s="1886">
        <f>70000000+75000000+80000000+81000000+85000000+90000000</f>
        <v>481000000</v>
      </c>
      <c r="M1290" s="1886">
        <v>24</v>
      </c>
      <c r="N1290" s="1886">
        <f>63245000+67480000</f>
        <v>130725000</v>
      </c>
      <c r="O1290" s="1886">
        <v>12</v>
      </c>
      <c r="P1290" s="1886">
        <f>+[10]Sheet1!$D$6</f>
        <v>82800000</v>
      </c>
      <c r="Q1290" s="1886">
        <v>3</v>
      </c>
      <c r="R1290" s="1886">
        <f>[10]Sheet1!$E$6</f>
        <v>12950000</v>
      </c>
      <c r="S1290" s="1886">
        <f t="shared" ref="S1290:S1299" si="251">T1290/P1290%</f>
        <v>0</v>
      </c>
      <c r="T1290" s="1886">
        <v>0</v>
      </c>
      <c r="U1290" s="1886">
        <f t="shared" ref="U1290:U1299" si="252">V1290/P1290*100</f>
        <v>0</v>
      </c>
      <c r="V1290" s="1886">
        <v>0</v>
      </c>
      <c r="W1290" s="1086">
        <f t="shared" si="247"/>
        <v>0</v>
      </c>
      <c r="X1290" s="1886">
        <v>0</v>
      </c>
      <c r="Y1290" s="1886">
        <f t="shared" si="248"/>
        <v>3</v>
      </c>
      <c r="Z1290" s="1886">
        <f t="shared" si="244"/>
        <v>12950000</v>
      </c>
      <c r="AA1290" s="1886">
        <f t="shared" si="249"/>
        <v>27</v>
      </c>
      <c r="AB1290" s="1091">
        <f>N1290+Z1290</f>
        <v>143675000</v>
      </c>
      <c r="AC1290" s="1091">
        <f t="shared" si="250"/>
        <v>37.5</v>
      </c>
      <c r="AD1290" s="1092">
        <f t="shared" si="246"/>
        <v>29.870062370062371</v>
      </c>
      <c r="AE1290" s="4533"/>
    </row>
    <row r="1291" spans="1:32" customFormat="1" ht="29.25" customHeight="1">
      <c r="A1291" s="1886"/>
      <c r="B1291" s="1886"/>
      <c r="C1291" s="1089">
        <v>3</v>
      </c>
      <c r="D1291" s="1089" t="s">
        <v>107</v>
      </c>
      <c r="E1291" s="1089" t="s">
        <v>66</v>
      </c>
      <c r="F1291" s="1089" t="s">
        <v>66</v>
      </c>
      <c r="G1291" s="1089" t="s">
        <v>93</v>
      </c>
      <c r="H1291" s="1089"/>
      <c r="I1291" s="1090" t="s">
        <v>200</v>
      </c>
      <c r="J1291" s="1091" t="s">
        <v>1437</v>
      </c>
      <c r="K1291" s="1886">
        <v>72</v>
      </c>
      <c r="L1291" s="1886">
        <f>65000000+70000000+70500000+72500000+75000000+80000000</f>
        <v>433000000</v>
      </c>
      <c r="M1291" s="1886">
        <v>24</v>
      </c>
      <c r="N1291" s="1886">
        <f>67296000+42849400</f>
        <v>110145400</v>
      </c>
      <c r="O1291" s="1886">
        <v>12</v>
      </c>
      <c r="P1291" s="1886">
        <f>[10]Sheet1!$D$9</f>
        <v>57205391</v>
      </c>
      <c r="Q1291" s="1886">
        <v>3</v>
      </c>
      <c r="R1291" s="1886">
        <f>[10]Sheet1!$E$9</f>
        <v>12830000</v>
      </c>
      <c r="S1291" s="1886">
        <f t="shared" si="251"/>
        <v>0</v>
      </c>
      <c r="T1291" s="1886">
        <v>0</v>
      </c>
      <c r="U1291" s="1886">
        <f t="shared" si="252"/>
        <v>0</v>
      </c>
      <c r="V1291" s="1886">
        <v>0</v>
      </c>
      <c r="W1291" s="1086">
        <f t="shared" si="247"/>
        <v>0</v>
      </c>
      <c r="X1291" s="1886">
        <v>0</v>
      </c>
      <c r="Y1291" s="1886">
        <f t="shared" si="248"/>
        <v>3</v>
      </c>
      <c r="Z1291" s="1886">
        <f t="shared" si="244"/>
        <v>12830000</v>
      </c>
      <c r="AA1291" s="1886">
        <f t="shared" si="249"/>
        <v>27</v>
      </c>
      <c r="AB1291" s="1091">
        <f>N1291+Z1291</f>
        <v>122975400</v>
      </c>
      <c r="AC1291" s="1091">
        <f t="shared" si="250"/>
        <v>37.5</v>
      </c>
      <c r="AD1291" s="1092">
        <f t="shared" si="246"/>
        <v>28.400785219399538</v>
      </c>
      <c r="AE1291" s="4533"/>
    </row>
    <row r="1292" spans="1:32" customFormat="1" ht="42" customHeight="1">
      <c r="A1292" s="1886"/>
      <c r="B1292" s="1886"/>
      <c r="C1292" s="1089">
        <v>3</v>
      </c>
      <c r="D1292" s="1089" t="s">
        <v>107</v>
      </c>
      <c r="E1292" s="1089" t="s">
        <v>66</v>
      </c>
      <c r="F1292" s="1089" t="s">
        <v>66</v>
      </c>
      <c r="G1292" s="1089" t="s">
        <v>201</v>
      </c>
      <c r="H1292" s="1089"/>
      <c r="I1292" s="1090" t="s">
        <v>1438</v>
      </c>
      <c r="J1292" s="1093" t="s">
        <v>1439</v>
      </c>
      <c r="K1292" s="1886">
        <v>72</v>
      </c>
      <c r="L1292" s="1886">
        <f>70000000+45000000+45000000+45500000+50000000+55000000</f>
        <v>310500000</v>
      </c>
      <c r="M1292" s="1886">
        <v>24</v>
      </c>
      <c r="N1292" s="1886">
        <f>28931900+33050000</f>
        <v>61981900</v>
      </c>
      <c r="O1292" s="1886">
        <v>12</v>
      </c>
      <c r="P1292" s="1886">
        <f>[10]Sheet1!$D$13</f>
        <v>24350000</v>
      </c>
      <c r="Q1292" s="1886">
        <v>3</v>
      </c>
      <c r="R1292" s="1886">
        <f>[10]Sheet1!$E$13</f>
        <v>6350000</v>
      </c>
      <c r="S1292" s="1886">
        <f t="shared" si="251"/>
        <v>0</v>
      </c>
      <c r="T1292" s="1886">
        <v>0</v>
      </c>
      <c r="U1292" s="1886">
        <f t="shared" si="252"/>
        <v>0</v>
      </c>
      <c r="V1292" s="1886">
        <v>0</v>
      </c>
      <c r="W1292" s="1086">
        <f t="shared" si="247"/>
        <v>0</v>
      </c>
      <c r="X1292" s="1886">
        <v>0</v>
      </c>
      <c r="Y1292" s="1886">
        <f t="shared" si="248"/>
        <v>3</v>
      </c>
      <c r="Z1292" s="1886">
        <f t="shared" si="244"/>
        <v>6350000</v>
      </c>
      <c r="AA1292" s="1886">
        <f t="shared" si="249"/>
        <v>27</v>
      </c>
      <c r="AB1292" s="1091">
        <f>N1292+Z1292</f>
        <v>68331900</v>
      </c>
      <c r="AC1292" s="1091">
        <f t="shared" si="250"/>
        <v>37.5</v>
      </c>
      <c r="AD1292" s="1092">
        <f t="shared" si="246"/>
        <v>22.00705314009662</v>
      </c>
      <c r="AE1292" s="4533"/>
    </row>
    <row r="1293" spans="1:32" customFormat="1" ht="22.5" customHeight="1">
      <c r="A1293" s="1886"/>
      <c r="B1293" s="1886"/>
      <c r="C1293" s="1089">
        <v>3</v>
      </c>
      <c r="D1293" s="1089" t="s">
        <v>107</v>
      </c>
      <c r="E1293" s="1089" t="s">
        <v>66</v>
      </c>
      <c r="F1293" s="1089" t="s">
        <v>66</v>
      </c>
      <c r="G1293" s="1089" t="s">
        <v>202</v>
      </c>
      <c r="H1293" s="1089"/>
      <c r="I1293" s="1090" t="s">
        <v>1440</v>
      </c>
      <c r="J1293" s="1091" t="s">
        <v>1441</v>
      </c>
      <c r="K1293" s="1886">
        <v>72</v>
      </c>
      <c r="L1293" s="1886">
        <f>70000000+73000000+75000000+75500000+80000000+85000000</f>
        <v>458500000</v>
      </c>
      <c r="M1293" s="1886">
        <v>24</v>
      </c>
      <c r="N1293" s="1886">
        <f>35342500+35031000</f>
        <v>70373500</v>
      </c>
      <c r="O1293" s="1886">
        <v>12</v>
      </c>
      <c r="P1293" s="1886">
        <f>[10]Sheet1!$D$16</f>
        <v>31655923</v>
      </c>
      <c r="Q1293" s="1886">
        <v>3</v>
      </c>
      <c r="R1293" s="1886">
        <f>[10]Sheet1!$E$16</f>
        <v>5240000</v>
      </c>
      <c r="S1293" s="1886">
        <f t="shared" si="251"/>
        <v>0</v>
      </c>
      <c r="T1293" s="1886">
        <v>0</v>
      </c>
      <c r="U1293" s="1886">
        <f t="shared" si="252"/>
        <v>0</v>
      </c>
      <c r="V1293" s="1886">
        <v>0</v>
      </c>
      <c r="W1293" s="1086">
        <f t="shared" si="247"/>
        <v>0</v>
      </c>
      <c r="X1293" s="1886">
        <v>0</v>
      </c>
      <c r="Y1293" s="1886">
        <f t="shared" si="248"/>
        <v>3</v>
      </c>
      <c r="Z1293" s="1886">
        <f t="shared" si="244"/>
        <v>5240000</v>
      </c>
      <c r="AA1293" s="1886">
        <f t="shared" si="249"/>
        <v>27</v>
      </c>
      <c r="AB1293" s="1091">
        <f>N1293+Z1293</f>
        <v>75613500</v>
      </c>
      <c r="AC1293" s="1091">
        <f t="shared" si="250"/>
        <v>37.5</v>
      </c>
      <c r="AD1293" s="1092">
        <f t="shared" si="246"/>
        <v>16.491494002181025</v>
      </c>
      <c r="AE1293" s="4533"/>
    </row>
    <row r="1294" spans="1:32" customFormat="1" ht="25.5">
      <c r="A1294" s="1886"/>
      <c r="B1294" s="1886"/>
      <c r="C1294" s="1089">
        <v>3</v>
      </c>
      <c r="D1294" s="1089" t="s">
        <v>107</v>
      </c>
      <c r="E1294" s="1089" t="s">
        <v>66</v>
      </c>
      <c r="F1294" s="1089" t="s">
        <v>66</v>
      </c>
      <c r="G1294" s="1089" t="s">
        <v>417</v>
      </c>
      <c r="H1294" s="1089"/>
      <c r="I1294" s="1090" t="s">
        <v>204</v>
      </c>
      <c r="J1294" s="1091" t="s">
        <v>1442</v>
      </c>
      <c r="K1294" s="1886">
        <v>72</v>
      </c>
      <c r="L1294" s="1886">
        <f>50000000+53000000+55000000+55500000+60000000+70000000</f>
        <v>343500000</v>
      </c>
      <c r="M1294" s="1886">
        <v>24</v>
      </c>
      <c r="N1294" s="1886">
        <f>42522500+42519000</f>
        <v>85041500</v>
      </c>
      <c r="O1294" s="1886">
        <v>12</v>
      </c>
      <c r="P1294" s="1886">
        <f>[10]Sheet1!$D$19</f>
        <v>22793564</v>
      </c>
      <c r="Q1294" s="1886">
        <v>3</v>
      </c>
      <c r="R1294" s="1886">
        <f>[10]Sheet1!$E$19</f>
        <v>3800000</v>
      </c>
      <c r="S1294" s="1886">
        <f t="shared" si="251"/>
        <v>0</v>
      </c>
      <c r="T1294" s="1886">
        <v>0</v>
      </c>
      <c r="U1294" s="1886">
        <f t="shared" si="252"/>
        <v>0</v>
      </c>
      <c r="V1294" s="1886">
        <v>0</v>
      </c>
      <c r="W1294" s="1086">
        <f t="shared" si="247"/>
        <v>0</v>
      </c>
      <c r="X1294" s="1886">
        <v>0</v>
      </c>
      <c r="Y1294" s="1886">
        <f t="shared" si="248"/>
        <v>3</v>
      </c>
      <c r="Z1294" s="1886">
        <f t="shared" si="244"/>
        <v>3800000</v>
      </c>
      <c r="AA1294" s="1886">
        <f t="shared" si="249"/>
        <v>27</v>
      </c>
      <c r="AB1294" s="1091">
        <f t="shared" si="245"/>
        <v>88841500</v>
      </c>
      <c r="AC1294" s="1091">
        <f t="shared" si="250"/>
        <v>37.5</v>
      </c>
      <c r="AD1294" s="1092">
        <f t="shared" si="246"/>
        <v>25.863609898107715</v>
      </c>
      <c r="AE1294" s="4533"/>
    </row>
    <row r="1295" spans="1:32" customFormat="1" ht="51">
      <c r="A1295" s="1886"/>
      <c r="B1295" s="1886"/>
      <c r="C1295" s="1089">
        <v>3</v>
      </c>
      <c r="D1295" s="1089" t="s">
        <v>107</v>
      </c>
      <c r="E1295" s="1089" t="s">
        <v>66</v>
      </c>
      <c r="F1295" s="1089" t="s">
        <v>66</v>
      </c>
      <c r="G1295" s="1089" t="s">
        <v>160</v>
      </c>
      <c r="H1295" s="1089"/>
      <c r="I1295" s="1090" t="s">
        <v>205</v>
      </c>
      <c r="J1295" s="1091" t="s">
        <v>1443</v>
      </c>
      <c r="K1295" s="1886">
        <v>72</v>
      </c>
      <c r="L1295" s="1886">
        <f>30000000+33000000+35000000+35500000+40000000+45000000</f>
        <v>218500000</v>
      </c>
      <c r="M1295" s="1886">
        <v>24</v>
      </c>
      <c r="N1295" s="1886">
        <f>21659000+21719000</f>
        <v>43378000</v>
      </c>
      <c r="O1295" s="1886">
        <v>12</v>
      </c>
      <c r="P1295" s="1886">
        <f>[10]Sheet1!$D$22</f>
        <v>12738000</v>
      </c>
      <c r="Q1295" s="1886">
        <f>R1295/P1295*100</f>
        <v>0</v>
      </c>
      <c r="R1295" s="1886">
        <f>[10]Sheet1!$E$22</f>
        <v>0</v>
      </c>
      <c r="S1295" s="1886">
        <f t="shared" si="251"/>
        <v>0</v>
      </c>
      <c r="T1295" s="1886">
        <v>0</v>
      </c>
      <c r="U1295" s="1886">
        <f t="shared" si="252"/>
        <v>0</v>
      </c>
      <c r="V1295" s="1886">
        <v>0</v>
      </c>
      <c r="W1295" s="1086">
        <f t="shared" si="247"/>
        <v>0</v>
      </c>
      <c r="X1295" s="1886">
        <v>0</v>
      </c>
      <c r="Y1295" s="1886">
        <f t="shared" si="248"/>
        <v>0</v>
      </c>
      <c r="Z1295" s="1886">
        <f t="shared" si="244"/>
        <v>0</v>
      </c>
      <c r="AA1295" s="1886">
        <f t="shared" si="249"/>
        <v>24</v>
      </c>
      <c r="AB1295" s="1091">
        <f t="shared" si="245"/>
        <v>43378000</v>
      </c>
      <c r="AC1295" s="1091">
        <f t="shared" si="250"/>
        <v>33.333333333333329</v>
      </c>
      <c r="AD1295" s="1092">
        <f t="shared" si="246"/>
        <v>19.852631578947371</v>
      </c>
      <c r="AE1295" s="4533"/>
    </row>
    <row r="1296" spans="1:32" customFormat="1" ht="45" customHeight="1">
      <c r="A1296" s="1886"/>
      <c r="B1296" s="1886"/>
      <c r="C1296" s="1089">
        <v>3</v>
      </c>
      <c r="D1296" s="1089" t="s">
        <v>107</v>
      </c>
      <c r="E1296" s="1089" t="s">
        <v>66</v>
      </c>
      <c r="F1296" s="1089" t="s">
        <v>66</v>
      </c>
      <c r="G1296" s="1089" t="s">
        <v>155</v>
      </c>
      <c r="H1296" s="1089"/>
      <c r="I1296" s="1090" t="s">
        <v>533</v>
      </c>
      <c r="J1296" s="1091" t="s">
        <v>1444</v>
      </c>
      <c r="K1296" s="1886">
        <v>72</v>
      </c>
      <c r="L1296" s="1886">
        <f>20000000+23000000+25000000+25500000+30000000+35000000</f>
        <v>158500000</v>
      </c>
      <c r="M1296" s="1886">
        <v>24</v>
      </c>
      <c r="N1296" s="1886">
        <f>8900000+12400000</f>
        <v>21300000</v>
      </c>
      <c r="O1296" s="1886">
        <v>12</v>
      </c>
      <c r="P1296" s="1886">
        <f>[10]Sheet1!$D$25</f>
        <v>6400000</v>
      </c>
      <c r="Q1296" s="1886">
        <v>3</v>
      </c>
      <c r="R1296" s="1886">
        <f>[10]Sheet1!$E$25</f>
        <v>720000</v>
      </c>
      <c r="S1296" s="1886">
        <f t="shared" si="251"/>
        <v>0</v>
      </c>
      <c r="T1296" s="1886">
        <v>0</v>
      </c>
      <c r="U1296" s="1886">
        <f t="shared" si="252"/>
        <v>0</v>
      </c>
      <c r="V1296" s="1886">
        <v>0</v>
      </c>
      <c r="W1296" s="1086">
        <f t="shared" si="247"/>
        <v>0</v>
      </c>
      <c r="X1296" s="1886">
        <v>0</v>
      </c>
      <c r="Y1296" s="1886">
        <f t="shared" si="248"/>
        <v>3</v>
      </c>
      <c r="Z1296" s="1886">
        <f t="shared" si="244"/>
        <v>720000</v>
      </c>
      <c r="AA1296" s="1886">
        <f t="shared" si="249"/>
        <v>27</v>
      </c>
      <c r="AB1296" s="1091">
        <f t="shared" si="245"/>
        <v>22020000</v>
      </c>
      <c r="AC1296" s="1091">
        <f t="shared" si="250"/>
        <v>37.5</v>
      </c>
      <c r="AD1296" s="1092">
        <f t="shared" si="246"/>
        <v>13.892744479495267</v>
      </c>
      <c r="AE1296" s="4533"/>
    </row>
    <row r="1297" spans="1:31" customFormat="1" ht="38.25">
      <c r="A1297" s="1886"/>
      <c r="B1297" s="1886"/>
      <c r="C1297" s="1089">
        <v>3</v>
      </c>
      <c r="D1297" s="1089" t="s">
        <v>107</v>
      </c>
      <c r="E1297" s="1089" t="s">
        <v>66</v>
      </c>
      <c r="F1297" s="1089" t="s">
        <v>66</v>
      </c>
      <c r="G1297" s="1089" t="s">
        <v>448</v>
      </c>
      <c r="H1297" s="1089"/>
      <c r="I1297" s="1090" t="s">
        <v>206</v>
      </c>
      <c r="J1297" s="1091" t="s">
        <v>1445</v>
      </c>
      <c r="K1297" s="1886">
        <v>72</v>
      </c>
      <c r="L1297" s="1886">
        <f>40000000+45000000+55000000+55500000+60000000+65000000</f>
        <v>320500000</v>
      </c>
      <c r="M1297" s="1886">
        <v>24</v>
      </c>
      <c r="N1297" s="1886">
        <f>42215000+38192500</f>
        <v>80407500</v>
      </c>
      <c r="O1297" s="1886">
        <v>12</v>
      </c>
      <c r="P1297" s="1886">
        <f>[10]Sheet1!$D$28</f>
        <v>43610000</v>
      </c>
      <c r="Q1297" s="1886">
        <v>3</v>
      </c>
      <c r="R1297" s="1886">
        <f>[10]Sheet1!$E$28</f>
        <v>11715000</v>
      </c>
      <c r="S1297" s="1886">
        <f t="shared" si="251"/>
        <v>0</v>
      </c>
      <c r="T1297" s="1886">
        <v>0</v>
      </c>
      <c r="U1297" s="1886">
        <f t="shared" si="252"/>
        <v>0</v>
      </c>
      <c r="V1297" s="1886">
        <v>0</v>
      </c>
      <c r="W1297" s="1086">
        <f t="shared" si="247"/>
        <v>0</v>
      </c>
      <c r="X1297" s="1886">
        <v>0</v>
      </c>
      <c r="Y1297" s="1886">
        <f t="shared" si="248"/>
        <v>3</v>
      </c>
      <c r="Z1297" s="1886">
        <f t="shared" si="244"/>
        <v>11715000</v>
      </c>
      <c r="AA1297" s="1886">
        <f t="shared" si="249"/>
        <v>27</v>
      </c>
      <c r="AB1297" s="1091">
        <f t="shared" si="245"/>
        <v>92122500</v>
      </c>
      <c r="AC1297" s="1091">
        <f t="shared" si="250"/>
        <v>37.5</v>
      </c>
      <c r="AD1297" s="1092">
        <f t="shared" si="246"/>
        <v>28.743369734789393</v>
      </c>
      <c r="AE1297" s="4533"/>
    </row>
    <row r="1298" spans="1:31" customFormat="1" ht="38.25">
      <c r="A1298" s="1886"/>
      <c r="B1298" s="1886"/>
      <c r="C1298" s="1089">
        <v>3</v>
      </c>
      <c r="D1298" s="1089" t="s">
        <v>107</v>
      </c>
      <c r="E1298" s="1089" t="s">
        <v>66</v>
      </c>
      <c r="F1298" s="1089" t="s">
        <v>66</v>
      </c>
      <c r="G1298" s="1089" t="s">
        <v>167</v>
      </c>
      <c r="H1298" s="1089"/>
      <c r="I1298" s="1090" t="s">
        <v>207</v>
      </c>
      <c r="J1298" s="1091" t="s">
        <v>1446</v>
      </c>
      <c r="K1298" s="1886">
        <v>72</v>
      </c>
      <c r="L1298" s="1886">
        <f>250000000+300000000+335000000+340000000+350000000+360000000</f>
        <v>1935000000</v>
      </c>
      <c r="M1298" s="1886">
        <v>24</v>
      </c>
      <c r="N1298" s="1886">
        <f>203794943+159982700</f>
        <v>363777643</v>
      </c>
      <c r="O1298" s="1886">
        <v>12</v>
      </c>
      <c r="P1298" s="1886">
        <f>[10]Sheet1!$D$31</f>
        <v>92000000</v>
      </c>
      <c r="Q1298" s="1886">
        <v>3</v>
      </c>
      <c r="R1298" s="1886">
        <f>[10]Sheet1!$E$31</f>
        <v>28447800</v>
      </c>
      <c r="S1298" s="1886">
        <f t="shared" si="251"/>
        <v>0</v>
      </c>
      <c r="T1298" s="1886">
        <v>0</v>
      </c>
      <c r="U1298" s="1886">
        <f t="shared" si="252"/>
        <v>0</v>
      </c>
      <c r="V1298" s="1886">
        <v>0</v>
      </c>
      <c r="W1298" s="1086">
        <f t="shared" si="247"/>
        <v>0</v>
      </c>
      <c r="X1298" s="1886">
        <v>0</v>
      </c>
      <c r="Y1298" s="1886">
        <f t="shared" si="248"/>
        <v>3</v>
      </c>
      <c r="Z1298" s="1886">
        <f t="shared" si="244"/>
        <v>28447800</v>
      </c>
      <c r="AA1298" s="1886">
        <f t="shared" si="249"/>
        <v>27</v>
      </c>
      <c r="AB1298" s="1091">
        <f t="shared" si="245"/>
        <v>392225443</v>
      </c>
      <c r="AC1298" s="1091">
        <f t="shared" si="250"/>
        <v>37.5</v>
      </c>
      <c r="AD1298" s="1092">
        <f t="shared" si="246"/>
        <v>20.270048733850128</v>
      </c>
      <c r="AE1298" s="4533"/>
    </row>
    <row r="1299" spans="1:31" customFormat="1" ht="38.25">
      <c r="A1299" s="1886"/>
      <c r="B1299" s="1886"/>
      <c r="C1299" s="1089">
        <v>3</v>
      </c>
      <c r="D1299" s="1089" t="s">
        <v>107</v>
      </c>
      <c r="E1299" s="1089" t="s">
        <v>66</v>
      </c>
      <c r="F1299" s="1089" t="s">
        <v>66</v>
      </c>
      <c r="G1299" s="1089" t="s">
        <v>376</v>
      </c>
      <c r="H1299" s="1089"/>
      <c r="I1299" s="1090" t="s">
        <v>208</v>
      </c>
      <c r="J1299" s="1091" t="s">
        <v>1447</v>
      </c>
      <c r="K1299" s="1886">
        <v>72</v>
      </c>
      <c r="L1299" s="1886">
        <f>100000000+110000000+120000000+125000000+130000000+140000000</f>
        <v>725000000</v>
      </c>
      <c r="M1299" s="1886">
        <v>24</v>
      </c>
      <c r="N1299" s="1886">
        <f>51200000+51200000</f>
        <v>102400000</v>
      </c>
      <c r="O1299" s="1886">
        <v>12</v>
      </c>
      <c r="P1299" s="1886">
        <f>[10]Sheet1!$D$34</f>
        <v>53325000</v>
      </c>
      <c r="Q1299" s="1886">
        <v>3</v>
      </c>
      <c r="R1299" s="1886">
        <f>[10]Sheet1!$E$34</f>
        <v>6000000</v>
      </c>
      <c r="S1299" s="1886">
        <f t="shared" si="251"/>
        <v>0</v>
      </c>
      <c r="T1299" s="1886">
        <v>0</v>
      </c>
      <c r="U1299" s="1886">
        <f t="shared" si="252"/>
        <v>0</v>
      </c>
      <c r="V1299" s="1886">
        <v>0</v>
      </c>
      <c r="W1299" s="1086">
        <f t="shared" si="247"/>
        <v>0</v>
      </c>
      <c r="X1299" s="1886">
        <v>0</v>
      </c>
      <c r="Y1299" s="1886">
        <f t="shared" si="248"/>
        <v>3</v>
      </c>
      <c r="Z1299" s="1886">
        <f t="shared" si="244"/>
        <v>6000000</v>
      </c>
      <c r="AA1299" s="1886">
        <f t="shared" si="249"/>
        <v>27</v>
      </c>
      <c r="AB1299" s="1091">
        <f t="shared" si="245"/>
        <v>108400000</v>
      </c>
      <c r="AC1299" s="1091">
        <f t="shared" si="250"/>
        <v>37.5</v>
      </c>
      <c r="AD1299" s="1092">
        <f t="shared" si="246"/>
        <v>14.951724137931036</v>
      </c>
      <c r="AE1299" s="4533"/>
    </row>
    <row r="1300" spans="1:31" customFormat="1" ht="48" customHeight="1">
      <c r="A1300" s="1886"/>
      <c r="B1300" s="1886"/>
      <c r="C1300" s="1089">
        <v>3</v>
      </c>
      <c r="D1300" s="1089" t="s">
        <v>107</v>
      </c>
      <c r="E1300" s="1089" t="s">
        <v>66</v>
      </c>
      <c r="F1300" s="1089" t="s">
        <v>66</v>
      </c>
      <c r="G1300" s="1089" t="s">
        <v>1087</v>
      </c>
      <c r="H1300" s="1089"/>
      <c r="I1300" s="1090" t="s">
        <v>1448</v>
      </c>
      <c r="J1300" s="1093" t="s">
        <v>1449</v>
      </c>
      <c r="K1300" s="1886">
        <v>12</v>
      </c>
      <c r="L1300" s="1886">
        <f>25000000+30000000+35000000+40000000+50000000+60000000</f>
        <v>240000000</v>
      </c>
      <c r="M1300" s="1886">
        <v>0</v>
      </c>
      <c r="N1300" s="1886">
        <v>0</v>
      </c>
      <c r="O1300" s="1886">
        <v>2</v>
      </c>
      <c r="P1300" s="1886">
        <f>[10]Sheet1!$D$37</f>
        <v>35000000</v>
      </c>
      <c r="Q1300" s="1886">
        <f>R1300/P1300*100</f>
        <v>0</v>
      </c>
      <c r="R1300" s="1886">
        <f>[10]Sheet1!$E$37</f>
        <v>0</v>
      </c>
      <c r="S1300" s="1886"/>
      <c r="T1300" s="1886"/>
      <c r="U1300" s="1886"/>
      <c r="V1300" s="1886"/>
      <c r="W1300" s="1086"/>
      <c r="X1300" s="1886"/>
      <c r="Y1300" s="1886">
        <f t="shared" si="248"/>
        <v>0</v>
      </c>
      <c r="Z1300" s="1886">
        <f t="shared" si="244"/>
        <v>0</v>
      </c>
      <c r="AA1300" s="1886">
        <f t="shared" si="249"/>
        <v>0</v>
      </c>
      <c r="AB1300" s="1886">
        <f>(N1300+Z1300)/2</f>
        <v>0</v>
      </c>
      <c r="AC1300" s="1091">
        <f t="shared" si="250"/>
        <v>0</v>
      </c>
      <c r="AD1300" s="1092">
        <f t="shared" si="246"/>
        <v>0</v>
      </c>
      <c r="AE1300" s="4533"/>
    </row>
    <row r="1301" spans="1:31" customFormat="1" ht="9.75" customHeight="1">
      <c r="A1301" s="1886"/>
      <c r="B1301" s="1886"/>
      <c r="C1301" s="1090"/>
      <c r="D1301" s="1090"/>
      <c r="E1301" s="1090"/>
      <c r="F1301" s="1090"/>
      <c r="G1301" s="1090"/>
      <c r="H1301" s="1090"/>
      <c r="I1301" s="1090"/>
      <c r="J1301" s="1886"/>
      <c r="K1301" s="1886"/>
      <c r="L1301" s="1886"/>
      <c r="M1301" s="1886"/>
      <c r="N1301" s="1886"/>
      <c r="O1301" s="1886" t="s">
        <v>228</v>
      </c>
      <c r="P1301" s="1886"/>
      <c r="Q1301" s="1886"/>
      <c r="R1301" s="1886"/>
      <c r="S1301" s="1886"/>
      <c r="T1301" s="1886"/>
      <c r="U1301" s="1886"/>
      <c r="V1301" s="1886"/>
      <c r="W1301" s="1886"/>
      <c r="X1301" s="1886"/>
      <c r="Y1301" s="1886"/>
      <c r="Z1301" s="1886"/>
      <c r="AA1301" s="1886"/>
      <c r="AB1301" s="1091" t="s">
        <v>228</v>
      </c>
      <c r="AC1301" s="1091"/>
      <c r="AD1301" s="1091" t="s">
        <v>228</v>
      </c>
      <c r="AE1301" s="4533"/>
    </row>
    <row r="1302" spans="1:31" customFormat="1" ht="69" customHeight="1">
      <c r="A1302" s="1086"/>
      <c r="B1302" s="1086"/>
      <c r="C1302" s="1094">
        <v>3</v>
      </c>
      <c r="D1302" s="1094" t="s">
        <v>107</v>
      </c>
      <c r="E1302" s="1094" t="s">
        <v>66</v>
      </c>
      <c r="F1302" s="1094" t="s">
        <v>65</v>
      </c>
      <c r="G1302" s="1095"/>
      <c r="H1302" s="1095"/>
      <c r="I1302" s="1095" t="s">
        <v>257</v>
      </c>
      <c r="J1302" s="1096" t="s">
        <v>1450</v>
      </c>
      <c r="K1302" s="1097">
        <f>SUM(K1303:K1310)/8</f>
        <v>72</v>
      </c>
      <c r="L1302" s="1097">
        <f>SUM(L1303:L1310)</f>
        <v>7276000000</v>
      </c>
      <c r="M1302" s="1097">
        <f>SUM(M1303:M1310)/8</f>
        <v>12</v>
      </c>
      <c r="N1302" s="1086">
        <f>SUM(N1303:N1307)</f>
        <v>602529100</v>
      </c>
      <c r="O1302" s="1097">
        <f>SUM(O1303:O1310)/8</f>
        <v>6</v>
      </c>
      <c r="P1302" s="1086">
        <f>SUM(P1303:P1307)</f>
        <v>277742000</v>
      </c>
      <c r="Q1302" s="1097">
        <f>SUM(Q1303:Q1310)/8</f>
        <v>1.125</v>
      </c>
      <c r="R1302" s="1086">
        <f>SUM(R1303:R1310)</f>
        <v>49440500</v>
      </c>
      <c r="S1302" s="1086">
        <f>T1302/P1302*100</f>
        <v>0</v>
      </c>
      <c r="T1302" s="1086">
        <f>SUM(T1303:T1307)</f>
        <v>0</v>
      </c>
      <c r="U1302" s="1086">
        <f>V1302/P1302*100</f>
        <v>0</v>
      </c>
      <c r="V1302" s="1086">
        <f>SUM(V1303:V1307)</f>
        <v>0</v>
      </c>
      <c r="W1302" s="1086">
        <f>X1302/P1302*100</f>
        <v>0</v>
      </c>
      <c r="X1302" s="1086">
        <f>SUM(X1303:X1307)</f>
        <v>0</v>
      </c>
      <c r="Y1302" s="1086">
        <f t="shared" ref="Y1302:Y1310" si="253">Q1302+S1302+U1302+W1302</f>
        <v>1.125</v>
      </c>
      <c r="Z1302" s="1086">
        <f t="shared" ref="Z1302:Z1310" si="254">+R1302+T1302+V1302+X1302</f>
        <v>49440500</v>
      </c>
      <c r="AA1302" s="1086">
        <f t="shared" ref="AA1302:AA1310" si="255">+Y1302+M1302</f>
        <v>13.125</v>
      </c>
      <c r="AB1302" s="1081">
        <f t="shared" ref="AB1302:AB1328" si="256">+N1302+Z1302</f>
        <v>651969600</v>
      </c>
      <c r="AC1302" s="1081">
        <f t="shared" ref="AC1302:AD1310" si="257">(AA1302/K1302)*100</f>
        <v>18.229166666666664</v>
      </c>
      <c r="AD1302" s="1087">
        <f t="shared" si="257"/>
        <v>8.9605497526113247</v>
      </c>
      <c r="AE1302" s="4533"/>
    </row>
    <row r="1303" spans="1:31" customFormat="1" ht="43.5" customHeight="1">
      <c r="A1303" s="1886"/>
      <c r="B1303" s="1886"/>
      <c r="C1303" s="1089">
        <v>3</v>
      </c>
      <c r="D1303" s="1089" t="s">
        <v>107</v>
      </c>
      <c r="E1303" s="1089" t="s">
        <v>66</v>
      </c>
      <c r="F1303" s="1089" t="s">
        <v>65</v>
      </c>
      <c r="G1303" s="1089" t="s">
        <v>198</v>
      </c>
      <c r="H1303" s="1089"/>
      <c r="I1303" s="1090" t="s">
        <v>1451</v>
      </c>
      <c r="J1303" s="1091" t="s">
        <v>1452</v>
      </c>
      <c r="K1303" s="1886">
        <v>72</v>
      </c>
      <c r="L1303" s="1886">
        <f>35000000+40000000+50000000+60000000+70000000+80000000</f>
        <v>335000000</v>
      </c>
      <c r="M1303" s="1098">
        <v>24</v>
      </c>
      <c r="N1303" s="1886">
        <f>44000000+112000000</f>
        <v>156000000</v>
      </c>
      <c r="O1303" s="1098">
        <v>12</v>
      </c>
      <c r="P1303" s="1886">
        <f>[10]Sheet1!$D$42</f>
        <v>3000000</v>
      </c>
      <c r="Q1303" s="1098">
        <v>3</v>
      </c>
      <c r="R1303" s="1886">
        <f>[10]Sheet1!$E$42</f>
        <v>3000000</v>
      </c>
      <c r="S1303" s="1886">
        <f>T1303/P1303*100</f>
        <v>0</v>
      </c>
      <c r="T1303" s="1886">
        <v>0</v>
      </c>
      <c r="U1303" s="1886">
        <f>V1303/P1303*100</f>
        <v>0</v>
      </c>
      <c r="V1303" s="1886">
        <v>0</v>
      </c>
      <c r="W1303" s="1886">
        <f>X1303/P1303*100</f>
        <v>0</v>
      </c>
      <c r="X1303" s="1886">
        <v>0</v>
      </c>
      <c r="Y1303" s="1886">
        <f t="shared" si="253"/>
        <v>3</v>
      </c>
      <c r="Z1303" s="1886">
        <f t="shared" si="254"/>
        <v>3000000</v>
      </c>
      <c r="AA1303" s="1886">
        <f t="shared" si="255"/>
        <v>27</v>
      </c>
      <c r="AB1303" s="1091">
        <f t="shared" si="256"/>
        <v>159000000</v>
      </c>
      <c r="AC1303" s="1091">
        <f t="shared" si="257"/>
        <v>37.5</v>
      </c>
      <c r="AD1303" s="1092">
        <f t="shared" si="257"/>
        <v>47.462686567164184</v>
      </c>
      <c r="AE1303" s="4533"/>
    </row>
    <row r="1304" spans="1:31" customFormat="1" ht="42" customHeight="1">
      <c r="A1304" s="1886"/>
      <c r="B1304" s="1886"/>
      <c r="C1304" s="1089">
        <v>3</v>
      </c>
      <c r="D1304" s="1089" t="s">
        <v>107</v>
      </c>
      <c r="E1304" s="1089" t="s">
        <v>66</v>
      </c>
      <c r="F1304" s="1089" t="s">
        <v>65</v>
      </c>
      <c r="G1304" s="1089" t="s">
        <v>201</v>
      </c>
      <c r="H1304" s="1089"/>
      <c r="I1304" s="1090" t="s">
        <v>1453</v>
      </c>
      <c r="J1304" s="1093" t="s">
        <v>1454</v>
      </c>
      <c r="K1304" s="1886">
        <v>72</v>
      </c>
      <c r="L1304" s="1886">
        <f>45000000+50000000+60000000+75000000+80000000+85000000</f>
        <v>395000000</v>
      </c>
      <c r="M1304" s="1098">
        <v>24</v>
      </c>
      <c r="N1304" s="1886">
        <f>47230000+37000000</f>
        <v>84230000</v>
      </c>
      <c r="O1304" s="1098">
        <v>12</v>
      </c>
      <c r="P1304" s="1886">
        <f>[10]Sheet1!$D$45</f>
        <v>9000000</v>
      </c>
      <c r="Q1304" s="1098">
        <v>3</v>
      </c>
      <c r="R1304" s="1886">
        <f>[10]Sheet1!$E$45</f>
        <v>9000000</v>
      </c>
      <c r="S1304" s="1886">
        <f>T1304/P1304*100</f>
        <v>0</v>
      </c>
      <c r="T1304" s="1886">
        <v>0</v>
      </c>
      <c r="U1304" s="1886">
        <f>V1304/P1304*100</f>
        <v>0</v>
      </c>
      <c r="V1304" s="1886">
        <v>0</v>
      </c>
      <c r="W1304" s="1886">
        <f>X1304/P1304*100</f>
        <v>0</v>
      </c>
      <c r="X1304" s="1886">
        <v>0</v>
      </c>
      <c r="Y1304" s="1886">
        <f t="shared" si="253"/>
        <v>3</v>
      </c>
      <c r="Z1304" s="1886">
        <f t="shared" si="254"/>
        <v>9000000</v>
      </c>
      <c r="AA1304" s="1886">
        <f t="shared" si="255"/>
        <v>27</v>
      </c>
      <c r="AB1304" s="1091">
        <f t="shared" si="256"/>
        <v>93230000</v>
      </c>
      <c r="AC1304" s="1091">
        <f t="shared" si="257"/>
        <v>37.5</v>
      </c>
      <c r="AD1304" s="1092">
        <f t="shared" si="257"/>
        <v>23.60253164556962</v>
      </c>
      <c r="AE1304" s="4533"/>
    </row>
    <row r="1305" spans="1:31" customFormat="1" ht="42" customHeight="1">
      <c r="A1305" s="1886"/>
      <c r="B1305" s="1886"/>
      <c r="C1305" s="1089">
        <v>3</v>
      </c>
      <c r="D1305" s="1089" t="s">
        <v>107</v>
      </c>
      <c r="E1305" s="1089" t="s">
        <v>66</v>
      </c>
      <c r="F1305" s="1089" t="s">
        <v>65</v>
      </c>
      <c r="G1305" s="1089"/>
      <c r="H1305" s="1089"/>
      <c r="I1305" s="1090" t="s">
        <v>1455</v>
      </c>
      <c r="J1305" s="1093" t="s">
        <v>1456</v>
      </c>
      <c r="K1305" s="1886">
        <v>72</v>
      </c>
      <c r="L1305" s="1886">
        <f>73000000+77000000+80000000+84000000+85000000+88000000</f>
        <v>487000000</v>
      </c>
      <c r="M1305" s="1886">
        <v>0</v>
      </c>
      <c r="N1305" s="1886">
        <v>0</v>
      </c>
      <c r="O1305" s="1886">
        <v>0</v>
      </c>
      <c r="P1305" s="1886">
        <v>0</v>
      </c>
      <c r="Q1305" s="1886">
        <v>0</v>
      </c>
      <c r="R1305" s="1886">
        <v>0</v>
      </c>
      <c r="S1305" s="1886">
        <v>0</v>
      </c>
      <c r="T1305" s="1886">
        <v>0</v>
      </c>
      <c r="U1305" s="1886">
        <v>0</v>
      </c>
      <c r="V1305" s="1886">
        <v>0</v>
      </c>
      <c r="W1305" s="1886">
        <v>0</v>
      </c>
      <c r="X1305" s="1886">
        <v>0</v>
      </c>
      <c r="Y1305" s="1886">
        <f t="shared" si="253"/>
        <v>0</v>
      </c>
      <c r="Z1305" s="1886">
        <f t="shared" si="254"/>
        <v>0</v>
      </c>
      <c r="AA1305" s="1886">
        <f t="shared" si="255"/>
        <v>0</v>
      </c>
      <c r="AB1305" s="1091">
        <f t="shared" si="256"/>
        <v>0</v>
      </c>
      <c r="AC1305" s="1091">
        <f t="shared" si="257"/>
        <v>0</v>
      </c>
      <c r="AD1305" s="1091">
        <f>(AB1305/6)*100%</f>
        <v>0</v>
      </c>
      <c r="AE1305" s="4533"/>
    </row>
    <row r="1306" spans="1:31" customFormat="1" ht="33.75" customHeight="1">
      <c r="A1306" s="1886"/>
      <c r="B1306" s="1886"/>
      <c r="C1306" s="1089">
        <v>3</v>
      </c>
      <c r="D1306" s="1089" t="s">
        <v>107</v>
      </c>
      <c r="E1306" s="1089" t="s">
        <v>66</v>
      </c>
      <c r="F1306" s="1089" t="s">
        <v>65</v>
      </c>
      <c r="G1306" s="1089">
        <v>22</v>
      </c>
      <c r="H1306" s="1089"/>
      <c r="I1306" s="1090" t="s">
        <v>1457</v>
      </c>
      <c r="J1306" s="1099" t="s">
        <v>1458</v>
      </c>
      <c r="K1306" s="1886">
        <v>72</v>
      </c>
      <c r="L1306" s="1886">
        <f>90000000+100000000+110000000+125000000+130000000+135000000</f>
        <v>690000000</v>
      </c>
      <c r="M1306" s="1098">
        <v>24</v>
      </c>
      <c r="N1306" s="1886">
        <f>19965000+50000000</f>
        <v>69965000</v>
      </c>
      <c r="O1306" s="1098">
        <v>12</v>
      </c>
      <c r="P1306" s="1886">
        <f>[10]Sheet1!$D$48</f>
        <v>40000000</v>
      </c>
      <c r="Q1306" s="1886">
        <f>R1306/P1306*100</f>
        <v>0</v>
      </c>
      <c r="R1306" s="1886">
        <f>[10]Sheet1!$E$48</f>
        <v>0</v>
      </c>
      <c r="S1306" s="1886">
        <f>T1306/P1306*100</f>
        <v>0</v>
      </c>
      <c r="T1306" s="1886">
        <v>0</v>
      </c>
      <c r="U1306" s="1886">
        <f>V1306/P1306*100</f>
        <v>0</v>
      </c>
      <c r="V1306" s="1886">
        <v>0</v>
      </c>
      <c r="W1306" s="1886">
        <f>X1306/P1306*100</f>
        <v>0</v>
      </c>
      <c r="X1306" s="1886">
        <v>0</v>
      </c>
      <c r="Y1306" s="1886">
        <f t="shared" si="253"/>
        <v>0</v>
      </c>
      <c r="Z1306" s="1886">
        <f t="shared" si="254"/>
        <v>0</v>
      </c>
      <c r="AA1306" s="1886">
        <f t="shared" si="255"/>
        <v>24</v>
      </c>
      <c r="AB1306" s="1091">
        <f t="shared" si="256"/>
        <v>69965000</v>
      </c>
      <c r="AC1306" s="1091">
        <f t="shared" si="257"/>
        <v>33.333333333333329</v>
      </c>
      <c r="AD1306" s="1092">
        <f>(AB1306/L1306)*100</f>
        <v>10.139855072463769</v>
      </c>
      <c r="AE1306" s="4533"/>
    </row>
    <row r="1307" spans="1:31" customFormat="1" ht="38.25">
      <c r="A1307" s="1886"/>
      <c r="B1307" s="1886"/>
      <c r="C1307" s="1089">
        <v>3</v>
      </c>
      <c r="D1307" s="1089" t="s">
        <v>107</v>
      </c>
      <c r="E1307" s="1089" t="s">
        <v>66</v>
      </c>
      <c r="F1307" s="1089" t="s">
        <v>65</v>
      </c>
      <c r="G1307" s="1089">
        <v>24</v>
      </c>
      <c r="H1307" s="1089"/>
      <c r="I1307" s="1090" t="s">
        <v>1459</v>
      </c>
      <c r="J1307" s="1093" t="s">
        <v>1460</v>
      </c>
      <c r="K1307" s="1886">
        <v>72</v>
      </c>
      <c r="L1307" s="1886">
        <f>170000000+180000000+190000000+200000000+210000000+220000000</f>
        <v>1170000000</v>
      </c>
      <c r="M1307" s="1886">
        <v>24</v>
      </c>
      <c r="N1307" s="1886">
        <f>144681100+147653000</f>
        <v>292334100</v>
      </c>
      <c r="O1307" s="1886">
        <v>12</v>
      </c>
      <c r="P1307" s="1886">
        <f>[10]Sheet1!$D$51</f>
        <v>225742000</v>
      </c>
      <c r="Q1307" s="1886">
        <v>3</v>
      </c>
      <c r="R1307" s="1886">
        <f>[10]Sheet1!$E$51</f>
        <v>37440500</v>
      </c>
      <c r="S1307" s="1886">
        <f>T1307/P1307*100</f>
        <v>0</v>
      </c>
      <c r="T1307" s="1886">
        <v>0</v>
      </c>
      <c r="U1307" s="1886">
        <v>0</v>
      </c>
      <c r="V1307" s="1886">
        <v>0</v>
      </c>
      <c r="W1307" s="1886">
        <f>X1307/P1307*100</f>
        <v>0</v>
      </c>
      <c r="X1307" s="1886">
        <v>0</v>
      </c>
      <c r="Y1307" s="1886">
        <f t="shared" si="253"/>
        <v>3</v>
      </c>
      <c r="Z1307" s="1886">
        <f t="shared" si="254"/>
        <v>37440500</v>
      </c>
      <c r="AA1307" s="1886">
        <f t="shared" si="255"/>
        <v>27</v>
      </c>
      <c r="AB1307" s="1091">
        <f t="shared" si="256"/>
        <v>329774600</v>
      </c>
      <c r="AC1307" s="1091">
        <f t="shared" si="257"/>
        <v>37.5</v>
      </c>
      <c r="AD1307" s="1092">
        <f>(AB1307/L1307)*100</f>
        <v>28.185863247863246</v>
      </c>
      <c r="AE1307" s="4533"/>
    </row>
    <row r="1308" spans="1:31" customFormat="1" ht="63.75">
      <c r="A1308" s="1886"/>
      <c r="B1308" s="1886"/>
      <c r="C1308" s="1089">
        <v>3</v>
      </c>
      <c r="D1308" s="1089" t="s">
        <v>107</v>
      </c>
      <c r="E1308" s="1089" t="s">
        <v>66</v>
      </c>
      <c r="F1308" s="1089" t="s">
        <v>65</v>
      </c>
      <c r="G1308" s="1089"/>
      <c r="H1308" s="1089"/>
      <c r="I1308" s="1090" t="s">
        <v>1461</v>
      </c>
      <c r="J1308" s="1093" t="s">
        <v>1462</v>
      </c>
      <c r="K1308" s="1886">
        <v>72</v>
      </c>
      <c r="L1308" s="1886">
        <f>100000000+105000000+110000000+125000000+135000000+145000000</f>
        <v>720000000</v>
      </c>
      <c r="M1308" s="1886">
        <v>0</v>
      </c>
      <c r="N1308" s="1886">
        <v>0</v>
      </c>
      <c r="O1308" s="1886">
        <v>0</v>
      </c>
      <c r="P1308" s="1886">
        <v>0</v>
      </c>
      <c r="Q1308" s="1886">
        <v>0</v>
      </c>
      <c r="R1308" s="1886">
        <v>0</v>
      </c>
      <c r="S1308" s="1886">
        <v>0</v>
      </c>
      <c r="T1308" s="1886">
        <v>0</v>
      </c>
      <c r="U1308" s="1886">
        <v>0</v>
      </c>
      <c r="V1308" s="1886">
        <v>0</v>
      </c>
      <c r="W1308" s="1886">
        <v>0</v>
      </c>
      <c r="X1308" s="1886">
        <v>0</v>
      </c>
      <c r="Y1308" s="1886">
        <f t="shared" si="253"/>
        <v>0</v>
      </c>
      <c r="Z1308" s="1886">
        <f t="shared" si="254"/>
        <v>0</v>
      </c>
      <c r="AA1308" s="1886">
        <f t="shared" si="255"/>
        <v>0</v>
      </c>
      <c r="AB1308" s="1091">
        <f t="shared" si="256"/>
        <v>0</v>
      </c>
      <c r="AC1308" s="1091">
        <f t="shared" si="257"/>
        <v>0</v>
      </c>
      <c r="AD1308" s="1091">
        <f>(AB1308/6)*100%</f>
        <v>0</v>
      </c>
      <c r="AE1308" s="4533"/>
    </row>
    <row r="1309" spans="1:31" customFormat="1" ht="25.5">
      <c r="A1309" s="1886"/>
      <c r="B1309" s="1886"/>
      <c r="C1309" s="1089">
        <v>3</v>
      </c>
      <c r="D1309" s="1089" t="s">
        <v>107</v>
      </c>
      <c r="E1309" s="1089" t="s">
        <v>66</v>
      </c>
      <c r="F1309" s="1089" t="s">
        <v>65</v>
      </c>
      <c r="G1309" s="1089"/>
      <c r="H1309" s="1089"/>
      <c r="I1309" s="1090" t="s">
        <v>1463</v>
      </c>
      <c r="J1309" s="1093" t="s">
        <v>1464</v>
      </c>
      <c r="K1309" s="1886">
        <v>72</v>
      </c>
      <c r="L1309" s="1886">
        <f>450000000+450000000+450000000+500000000+500000000+550000000</f>
        <v>2900000000</v>
      </c>
      <c r="M1309" s="1886">
        <v>0</v>
      </c>
      <c r="N1309" s="1886">
        <v>0</v>
      </c>
      <c r="O1309" s="1886">
        <v>0</v>
      </c>
      <c r="P1309" s="1886">
        <v>0</v>
      </c>
      <c r="Q1309" s="1886">
        <v>0</v>
      </c>
      <c r="R1309" s="1886">
        <v>0</v>
      </c>
      <c r="S1309" s="1886">
        <v>0</v>
      </c>
      <c r="T1309" s="1886">
        <v>0</v>
      </c>
      <c r="U1309" s="1886">
        <v>0</v>
      </c>
      <c r="V1309" s="1886">
        <v>0</v>
      </c>
      <c r="W1309" s="1886">
        <v>0</v>
      </c>
      <c r="X1309" s="1886">
        <v>0</v>
      </c>
      <c r="Y1309" s="1886">
        <f t="shared" si="253"/>
        <v>0</v>
      </c>
      <c r="Z1309" s="1886">
        <f t="shared" si="254"/>
        <v>0</v>
      </c>
      <c r="AA1309" s="1886">
        <f t="shared" si="255"/>
        <v>0</v>
      </c>
      <c r="AB1309" s="1091">
        <f t="shared" si="256"/>
        <v>0</v>
      </c>
      <c r="AC1309" s="1091">
        <f t="shared" si="257"/>
        <v>0</v>
      </c>
      <c r="AD1309" s="1091">
        <f>(AB1309/6)*100%</f>
        <v>0</v>
      </c>
      <c r="AE1309" s="4533"/>
    </row>
    <row r="1310" spans="1:31" customFormat="1" ht="51">
      <c r="A1310" s="1886"/>
      <c r="B1310" s="1886"/>
      <c r="C1310" s="1089">
        <v>3</v>
      </c>
      <c r="D1310" s="1089" t="s">
        <v>107</v>
      </c>
      <c r="E1310" s="1089" t="s">
        <v>66</v>
      </c>
      <c r="F1310" s="1089" t="s">
        <v>65</v>
      </c>
      <c r="G1310" s="1089"/>
      <c r="H1310" s="1089"/>
      <c r="I1310" s="1090" t="s">
        <v>1465</v>
      </c>
      <c r="J1310" s="1093" t="s">
        <v>1466</v>
      </c>
      <c r="K1310" s="1886">
        <v>72</v>
      </c>
      <c r="L1310" s="1886">
        <f>80000000+9000000+100000000+130000000+130000000+130000000</f>
        <v>579000000</v>
      </c>
      <c r="M1310" s="1886">
        <v>0</v>
      </c>
      <c r="N1310" s="1886">
        <v>0</v>
      </c>
      <c r="O1310" s="1886">
        <v>0</v>
      </c>
      <c r="P1310" s="1886">
        <v>0</v>
      </c>
      <c r="Q1310" s="1886">
        <v>0</v>
      </c>
      <c r="R1310" s="1886">
        <v>0</v>
      </c>
      <c r="S1310" s="1886">
        <v>0</v>
      </c>
      <c r="T1310" s="1886">
        <v>0</v>
      </c>
      <c r="U1310" s="1886">
        <v>0</v>
      </c>
      <c r="V1310" s="1886">
        <v>0</v>
      </c>
      <c r="W1310" s="1886">
        <v>0</v>
      </c>
      <c r="X1310" s="1886">
        <v>0</v>
      </c>
      <c r="Y1310" s="1886">
        <f t="shared" si="253"/>
        <v>0</v>
      </c>
      <c r="Z1310" s="1886">
        <f t="shared" si="254"/>
        <v>0</v>
      </c>
      <c r="AA1310" s="1886">
        <f t="shared" si="255"/>
        <v>0</v>
      </c>
      <c r="AB1310" s="1091">
        <f t="shared" si="256"/>
        <v>0</v>
      </c>
      <c r="AC1310" s="1091">
        <f t="shared" si="257"/>
        <v>0</v>
      </c>
      <c r="AD1310" s="1091">
        <f>(AB1310/6)*100%</f>
        <v>0</v>
      </c>
      <c r="AE1310" s="4533"/>
    </row>
    <row r="1311" spans="1:31" customFormat="1" ht="81.75" customHeight="1">
      <c r="A1311" s="1081"/>
      <c r="B1311" s="1081"/>
      <c r="C1311" s="1084"/>
      <c r="D1311" s="1094"/>
      <c r="E1311" s="1094"/>
      <c r="F1311" s="1095"/>
      <c r="G1311" s="1084"/>
      <c r="H1311" s="1084"/>
      <c r="I1311" s="1084" t="s">
        <v>1467</v>
      </c>
      <c r="J1311" s="1085" t="s">
        <v>1468</v>
      </c>
      <c r="K1311" s="1100">
        <f>(K1312+K1313)/2</f>
        <v>72</v>
      </c>
      <c r="L1311" s="1097">
        <f>L1312+L1313</f>
        <v>641500000</v>
      </c>
      <c r="M1311" s="1100">
        <f>(M1312+M1313)/2</f>
        <v>6</v>
      </c>
      <c r="N1311" s="1091">
        <f>N1312</f>
        <v>24570000</v>
      </c>
      <c r="O1311" s="1100">
        <f>(O1312+O1313)/2</f>
        <v>0</v>
      </c>
      <c r="P1311" s="1886">
        <f>P1312</f>
        <v>0</v>
      </c>
      <c r="Q1311" s="1100">
        <f>(Q1312+Q1313)/2</f>
        <v>0</v>
      </c>
      <c r="R1311" s="1886">
        <f>R1312</f>
        <v>0</v>
      </c>
      <c r="S1311" s="1100">
        <f>(S1312+S1313)/2</f>
        <v>0</v>
      </c>
      <c r="T1311" s="1886">
        <f>T1312</f>
        <v>0</v>
      </c>
      <c r="U1311" s="1100">
        <f>(U1312+U1313)/2</f>
        <v>0</v>
      </c>
      <c r="V1311" s="1886">
        <f>V1312</f>
        <v>0</v>
      </c>
      <c r="W1311" s="1100">
        <f>(W1312+W1313)/2</f>
        <v>0</v>
      </c>
      <c r="X1311" s="1091">
        <f>X1312</f>
        <v>0</v>
      </c>
      <c r="Y1311" s="1100">
        <f>(Y1312+Y1313)/2</f>
        <v>0</v>
      </c>
      <c r="Z1311" s="1091">
        <v>0</v>
      </c>
      <c r="AA1311" s="1100">
        <f>(AA1312+AA1313)/2</f>
        <v>6</v>
      </c>
      <c r="AB1311" s="1091">
        <f t="shared" si="256"/>
        <v>24570000</v>
      </c>
      <c r="AC1311" s="1100">
        <v>0</v>
      </c>
      <c r="AD1311" s="1092">
        <f>(AB1311/L1311)*100</f>
        <v>3.8300857365549494</v>
      </c>
      <c r="AE1311" s="4533"/>
    </row>
    <row r="1312" spans="1:31" customFormat="1" ht="45" customHeight="1">
      <c r="A1312" s="1091"/>
      <c r="B1312" s="1091"/>
      <c r="C1312" s="1089"/>
      <c r="D1312" s="1089"/>
      <c r="E1312" s="1089"/>
      <c r="F1312" s="1101"/>
      <c r="G1312" s="1101"/>
      <c r="H1312" s="1101"/>
      <c r="I1312" s="1101" t="s">
        <v>1469</v>
      </c>
      <c r="J1312" s="1091" t="s">
        <v>1470</v>
      </c>
      <c r="K1312" s="1091">
        <v>72</v>
      </c>
      <c r="L1312" s="1886">
        <f>40000000+40000000+40000000+41000000+42000000+43000000</f>
        <v>246000000</v>
      </c>
      <c r="M1312" s="1091">
        <v>12</v>
      </c>
      <c r="N1312" s="1886">
        <v>24570000</v>
      </c>
      <c r="O1312" s="1886">
        <v>0</v>
      </c>
      <c r="P1312" s="1886">
        <v>0</v>
      </c>
      <c r="Q1312" s="1091">
        <v>0</v>
      </c>
      <c r="R1312" s="1091">
        <f>'[11]Maret 17 '!$H$70</f>
        <v>0</v>
      </c>
      <c r="S1312" s="1886">
        <v>0</v>
      </c>
      <c r="T1312" s="1091">
        <v>0</v>
      </c>
      <c r="U1312" s="1886">
        <v>0</v>
      </c>
      <c r="V1312" s="1091">
        <v>0</v>
      </c>
      <c r="W1312" s="1091">
        <v>0</v>
      </c>
      <c r="X1312" s="1091">
        <v>0</v>
      </c>
      <c r="Y1312" s="1886">
        <f>Q1312+S1312+U1312+W1312</f>
        <v>0</v>
      </c>
      <c r="Z1312" s="1091">
        <v>0</v>
      </c>
      <c r="AA1312" s="1886">
        <f>+Y1312+M1312</f>
        <v>12</v>
      </c>
      <c r="AB1312" s="1091">
        <f t="shared" si="256"/>
        <v>24570000</v>
      </c>
      <c r="AC1312" s="1091">
        <f>(AA1312/K1312)*100</f>
        <v>16.666666666666664</v>
      </c>
      <c r="AD1312" s="1092">
        <f>(AB1312/L1312)*100</f>
        <v>9.9878048780487809</v>
      </c>
      <c r="AE1312" s="4533"/>
    </row>
    <row r="1313" spans="1:41" customFormat="1" ht="33.75" customHeight="1">
      <c r="A1313" s="1091"/>
      <c r="B1313" s="1091"/>
      <c r="C1313" s="1089"/>
      <c r="D1313" s="1089"/>
      <c r="E1313" s="1089"/>
      <c r="F1313" s="1101"/>
      <c r="G1313" s="1101"/>
      <c r="H1313" s="1101"/>
      <c r="I1313" s="1101" t="s">
        <v>1471</v>
      </c>
      <c r="J1313" s="1091" t="s">
        <v>1472</v>
      </c>
      <c r="K1313" s="1091">
        <v>72</v>
      </c>
      <c r="L1313" s="1886">
        <f>60000000+62500000+65000000+65500000+70000000+72500000</f>
        <v>395500000</v>
      </c>
      <c r="M1313" s="1091">
        <v>0</v>
      </c>
      <c r="N1313" s="1886">
        <v>0</v>
      </c>
      <c r="O1313" s="1886">
        <v>0</v>
      </c>
      <c r="P1313" s="1886">
        <v>0</v>
      </c>
      <c r="Q1313" s="1091">
        <v>0</v>
      </c>
      <c r="R1313" s="1091">
        <v>0</v>
      </c>
      <c r="S1313" s="1886">
        <v>0</v>
      </c>
      <c r="T1313" s="1091">
        <v>0</v>
      </c>
      <c r="U1313" s="1886">
        <v>0</v>
      </c>
      <c r="V1313" s="1091">
        <v>0</v>
      </c>
      <c r="W1313" s="1091">
        <v>0</v>
      </c>
      <c r="X1313" s="1091"/>
      <c r="Y1313" s="1886">
        <f>Q1313+S1313+U1313+W1313</f>
        <v>0</v>
      </c>
      <c r="Z1313" s="1091"/>
      <c r="AA1313" s="1886">
        <f>+Y1313+M1313</f>
        <v>0</v>
      </c>
      <c r="AB1313" s="1091"/>
      <c r="AC1313" s="1091">
        <f>(AA1313/K1313)*100</f>
        <v>0</v>
      </c>
      <c r="AD1313" s="1091"/>
      <c r="AE1313" s="4533"/>
    </row>
    <row r="1314" spans="1:41" customFormat="1" ht="12" customHeight="1">
      <c r="A1314" s="1886"/>
      <c r="B1314" s="1886"/>
      <c r="C1314" s="1090"/>
      <c r="D1314" s="1090"/>
      <c r="E1314" s="1090"/>
      <c r="F1314" s="1090"/>
      <c r="G1314" s="1090"/>
      <c r="H1314" s="1090"/>
      <c r="I1314" s="1090"/>
      <c r="J1314" s="1886"/>
      <c r="K1314" s="1886"/>
      <c r="L1314" s="1886"/>
      <c r="M1314" s="1886"/>
      <c r="N1314" s="1886"/>
      <c r="O1314" s="1886"/>
      <c r="P1314" s="1886"/>
      <c r="Q1314" s="1886"/>
      <c r="R1314" s="1886"/>
      <c r="S1314" s="1886"/>
      <c r="T1314" s="1886"/>
      <c r="U1314" s="1886"/>
      <c r="V1314" s="1886"/>
      <c r="W1314" s="1886"/>
      <c r="X1314" s="1886"/>
      <c r="Y1314" s="1886">
        <f>Q1314+S1314+U1314+W1314</f>
        <v>0</v>
      </c>
      <c r="Z1314" s="1886"/>
      <c r="AA1314" s="1886">
        <f>+Y1314+M1314</f>
        <v>0</v>
      </c>
      <c r="AB1314" s="1091">
        <f t="shared" si="256"/>
        <v>0</v>
      </c>
      <c r="AC1314" s="1091">
        <f>(AA1314/6)*100%</f>
        <v>0</v>
      </c>
      <c r="AD1314" s="1091">
        <f>(AB1314/6)*100%</f>
        <v>0</v>
      </c>
      <c r="AE1314" s="4533"/>
    </row>
    <row r="1315" spans="1:41" customFormat="1" ht="81" customHeight="1">
      <c r="A1315" s="1081"/>
      <c r="B1315" s="1081"/>
      <c r="C1315" s="1084"/>
      <c r="D1315" s="1094" t="s">
        <v>107</v>
      </c>
      <c r="E1315" s="1094" t="s">
        <v>66</v>
      </c>
      <c r="F1315" s="1095" t="s">
        <v>228</v>
      </c>
      <c r="G1315" s="1084"/>
      <c r="H1315" s="1084"/>
      <c r="I1315" s="1084" t="s">
        <v>1473</v>
      </c>
      <c r="J1315" s="1085" t="s">
        <v>1468</v>
      </c>
      <c r="K1315" s="1096">
        <v>72</v>
      </c>
      <c r="L1315" s="1097">
        <f>L1316</f>
        <v>297000000</v>
      </c>
      <c r="M1315" s="1093">
        <v>30</v>
      </c>
      <c r="N1315" s="1091">
        <f>N1316</f>
        <v>82599900</v>
      </c>
      <c r="O1315" s="1102" t="s">
        <v>228</v>
      </c>
      <c r="P1315" s="1886">
        <f>P1316</f>
        <v>0</v>
      </c>
      <c r="Q1315" s="1091">
        <v>0</v>
      </c>
      <c r="R1315" s="1886">
        <f>R1316</f>
        <v>0</v>
      </c>
      <c r="S1315" s="1886">
        <v>0</v>
      </c>
      <c r="T1315" s="1886">
        <f>T1316</f>
        <v>0</v>
      </c>
      <c r="U1315" s="1886">
        <v>0</v>
      </c>
      <c r="V1315" s="1886">
        <f>V1316</f>
        <v>0</v>
      </c>
      <c r="W1315" s="1091">
        <v>0</v>
      </c>
      <c r="X1315" s="1091">
        <f>X1316</f>
        <v>0</v>
      </c>
      <c r="Y1315" s="1886">
        <f>Q1315+S1315+U1315+W1315</f>
        <v>0</v>
      </c>
      <c r="Z1315" s="1091">
        <v>0</v>
      </c>
      <c r="AA1315" s="1886">
        <f>+Y1315+M1315</f>
        <v>30</v>
      </c>
      <c r="AB1315" s="1091">
        <f t="shared" si="256"/>
        <v>82599900</v>
      </c>
      <c r="AC1315" s="1091">
        <f>(AA1315/K1315)*100</f>
        <v>41.666666666666671</v>
      </c>
      <c r="AD1315" s="1092">
        <f>(AB1315/L1315)*100</f>
        <v>27.811414141414144</v>
      </c>
      <c r="AE1315" s="4533"/>
      <c r="AF1315" s="1103"/>
      <c r="AG1315" s="1103"/>
      <c r="AH1315" s="1103"/>
      <c r="AI1315" s="1103"/>
      <c r="AJ1315" s="1103"/>
      <c r="AK1315" s="1103"/>
      <c r="AL1315" s="1103"/>
      <c r="AM1315" s="1103"/>
      <c r="AN1315" s="1103"/>
      <c r="AO1315" s="1103"/>
    </row>
    <row r="1316" spans="1:41" customFormat="1" ht="45.75" customHeight="1">
      <c r="A1316" s="1091"/>
      <c r="B1316" s="1091"/>
      <c r="C1316" s="1089">
        <v>3</v>
      </c>
      <c r="D1316" s="1089" t="s">
        <v>107</v>
      </c>
      <c r="E1316" s="1089" t="s">
        <v>66</v>
      </c>
      <c r="F1316" s="1101"/>
      <c r="G1316" s="1101" t="s">
        <v>228</v>
      </c>
      <c r="H1316" s="1101"/>
      <c r="I1316" s="1101" t="s">
        <v>1224</v>
      </c>
      <c r="J1316" s="1091" t="s">
        <v>1474</v>
      </c>
      <c r="K1316" s="1091">
        <v>72</v>
      </c>
      <c r="L1316" s="1886">
        <f>47000000+50000000+50000000+50000000+50000000+50000000</f>
        <v>297000000</v>
      </c>
      <c r="M1316" s="1091">
        <v>24</v>
      </c>
      <c r="N1316" s="1886">
        <f>48994700+33605200</f>
        <v>82599900</v>
      </c>
      <c r="O1316" s="1886">
        <v>0</v>
      </c>
      <c r="P1316" s="1886">
        <v>0</v>
      </c>
      <c r="Q1316" s="1091">
        <v>0</v>
      </c>
      <c r="R1316" s="1091">
        <f>'[11]Maret 17 '!$H$70</f>
        <v>0</v>
      </c>
      <c r="S1316" s="1886">
        <v>0</v>
      </c>
      <c r="T1316" s="1091">
        <v>0</v>
      </c>
      <c r="U1316" s="1886">
        <v>0</v>
      </c>
      <c r="V1316" s="1091">
        <v>0</v>
      </c>
      <c r="W1316" s="1091">
        <v>0</v>
      </c>
      <c r="X1316" s="1091">
        <v>0</v>
      </c>
      <c r="Y1316" s="1886">
        <f>Q1316+S1316+U1316+W1316</f>
        <v>0</v>
      </c>
      <c r="Z1316" s="1091">
        <v>0</v>
      </c>
      <c r="AA1316" s="1886">
        <f>+Y1316+M1316</f>
        <v>24</v>
      </c>
      <c r="AB1316" s="1091">
        <f t="shared" si="256"/>
        <v>82599900</v>
      </c>
      <c r="AC1316" s="1091">
        <f>(AA1316/K1316)*100</f>
        <v>33.333333333333329</v>
      </c>
      <c r="AD1316" s="1092">
        <f>(AB1316/L1316)*100</f>
        <v>27.811414141414144</v>
      </c>
      <c r="AE1316" s="4533"/>
      <c r="AF1316" s="1103"/>
      <c r="AG1316" s="1103"/>
      <c r="AH1316" s="1103"/>
      <c r="AI1316" s="1103"/>
      <c r="AJ1316" s="1103"/>
      <c r="AK1316" s="1103"/>
      <c r="AL1316" s="1103"/>
      <c r="AM1316" s="1103"/>
      <c r="AN1316" s="1103"/>
      <c r="AO1316" s="1103"/>
    </row>
    <row r="1317" spans="1:41" customFormat="1" ht="83.25" customHeight="1">
      <c r="A1317" s="1086"/>
      <c r="B1317" s="1086"/>
      <c r="C1317" s="1094">
        <v>3</v>
      </c>
      <c r="D1317" s="1094" t="s">
        <v>107</v>
      </c>
      <c r="E1317" s="1094" t="s">
        <v>66</v>
      </c>
      <c r="F1317" s="1094">
        <v>20</v>
      </c>
      <c r="G1317" s="1095"/>
      <c r="H1317" s="1095"/>
      <c r="I1317" s="1086" t="s">
        <v>1475</v>
      </c>
      <c r="J1317" s="1081" t="s">
        <v>1476</v>
      </c>
      <c r="K1317" s="1097">
        <f>SUM(K1318:K1323)/6</f>
        <v>3499</v>
      </c>
      <c r="L1317" s="1097">
        <f>SUM(L1318:L1334)</f>
        <v>24617500000</v>
      </c>
      <c r="M1317" s="1097">
        <f>SUM(M1318:M1323)/6</f>
        <v>700</v>
      </c>
      <c r="N1317" s="1086">
        <f>SUM(N1318:N1328)</f>
        <v>3878403300</v>
      </c>
      <c r="O1317" s="1097">
        <f>SUM(O1318:O1323)/6</f>
        <v>540.83333333333337</v>
      </c>
      <c r="P1317" s="1086">
        <f>SUM(P1318:P1328)</f>
        <v>2228250939</v>
      </c>
      <c r="Q1317" s="1097">
        <f>SUM(Q1318:Q1323)/6</f>
        <v>70.833333333333329</v>
      </c>
      <c r="R1317" s="1086">
        <f>SUM(R1318:R1328)</f>
        <v>521970350</v>
      </c>
      <c r="S1317" s="1097">
        <f>SUM(S1318:S1323)/6</f>
        <v>0</v>
      </c>
      <c r="T1317" s="1086">
        <f>SUM(T1318:T1328)</f>
        <v>0</v>
      </c>
      <c r="U1317" s="1097">
        <f>SUM(U1318:U1323)/6</f>
        <v>0</v>
      </c>
      <c r="V1317" s="1086">
        <f>SUM(V1318:V1328)</f>
        <v>0</v>
      </c>
      <c r="W1317" s="1097">
        <f>SUM(W1318:W1323)/6</f>
        <v>0</v>
      </c>
      <c r="X1317" s="1086">
        <f>SUM(X1318:X1328)</f>
        <v>0</v>
      </c>
      <c r="Y1317" s="1097">
        <f>SUM(Y1318:Y1323)/6</f>
        <v>70.833333333333329</v>
      </c>
      <c r="Z1317" s="1086">
        <f t="shared" ref="Z1317:Z1328" si="258">+R1317+T1317+V1317+X1317</f>
        <v>521970350</v>
      </c>
      <c r="AA1317" s="1097">
        <f>SUM(AA1318:AA1323)/6</f>
        <v>770.83333333333337</v>
      </c>
      <c r="AB1317" s="1081">
        <f t="shared" si="256"/>
        <v>4400373650</v>
      </c>
      <c r="AC1317" s="1097">
        <f>SUM(AC1318:AC1323)/6</f>
        <v>15.397906634563938</v>
      </c>
      <c r="AD1317" s="1092">
        <f>(AB1317/L1317)*100</f>
        <v>17.874981821874684</v>
      </c>
      <c r="AE1317" s="4533"/>
    </row>
    <row r="1318" spans="1:41" customFormat="1" ht="38.25">
      <c r="A1318" s="1886"/>
      <c r="B1318" s="1886"/>
      <c r="C1318" s="1089">
        <v>3</v>
      </c>
      <c r="D1318" s="1089" t="s">
        <v>107</v>
      </c>
      <c r="E1318" s="1089" t="s">
        <v>66</v>
      </c>
      <c r="F1318" s="1089">
        <v>20</v>
      </c>
      <c r="G1318" s="1089" t="s">
        <v>66</v>
      </c>
      <c r="H1318" s="1089"/>
      <c r="I1318" s="1886" t="s">
        <v>1477</v>
      </c>
      <c r="J1318" s="1091" t="s">
        <v>1478</v>
      </c>
      <c r="K1318" s="1886">
        <v>1424</v>
      </c>
      <c r="L1318" s="1886">
        <f>1400000000+1500000000+1600000000+1650000000+1700000000+1900000000</f>
        <v>9750000000</v>
      </c>
      <c r="M1318" s="1886">
        <v>256</v>
      </c>
      <c r="N1318" s="1886">
        <f>889835750+954842450</f>
        <v>1844678200</v>
      </c>
      <c r="O1318" s="1886">
        <v>200</v>
      </c>
      <c r="P1318" s="1886">
        <f>[10]Sheet1!$D$57</f>
        <v>1051610535</v>
      </c>
      <c r="Q1318" s="1886">
        <v>60</v>
      </c>
      <c r="R1318" s="1886">
        <f>[10]Sheet1!$E$57</f>
        <v>265681000</v>
      </c>
      <c r="S1318" s="1886">
        <f t="shared" ref="S1318:S1328" si="259">T1318/P1318*100</f>
        <v>0</v>
      </c>
      <c r="T1318" s="1886">
        <v>0</v>
      </c>
      <c r="U1318" s="1886">
        <f>V1318/P1318*100</f>
        <v>0</v>
      </c>
      <c r="V1318" s="1886">
        <v>0</v>
      </c>
      <c r="W1318" s="1086">
        <f t="shared" ref="W1318:W1328" si="260">X1318/P1318*100</f>
        <v>0</v>
      </c>
      <c r="X1318" s="1886">
        <v>0</v>
      </c>
      <c r="Y1318" s="1886">
        <f t="shared" ref="Y1318:Y1334" si="261">Q1318+S1318+U1318+W1318</f>
        <v>60</v>
      </c>
      <c r="Z1318" s="1886">
        <f t="shared" si="258"/>
        <v>265681000</v>
      </c>
      <c r="AA1318" s="1886">
        <f t="shared" ref="AA1318:AA1334" si="262">+Y1318+M1318</f>
        <v>316</v>
      </c>
      <c r="AB1318" s="1091">
        <f t="shared" si="256"/>
        <v>2110359200</v>
      </c>
      <c r="AC1318" s="1091">
        <f t="shared" ref="AC1318:AC1334" si="263">(AA1318/K1318)*100</f>
        <v>22.191011235955056</v>
      </c>
      <c r="AD1318" s="1092">
        <f>(AB1318/L1318)*100</f>
        <v>21.644709743589743</v>
      </c>
      <c r="AE1318" s="4533"/>
    </row>
    <row r="1319" spans="1:41" customFormat="1" ht="63.75">
      <c r="A1319" s="1886"/>
      <c r="B1319" s="1886"/>
      <c r="C1319" s="1089">
        <v>3</v>
      </c>
      <c r="D1319" s="1089" t="s">
        <v>107</v>
      </c>
      <c r="E1319" s="1089" t="s">
        <v>66</v>
      </c>
      <c r="F1319" s="1089">
        <v>20</v>
      </c>
      <c r="G1319" s="1089" t="s">
        <v>65</v>
      </c>
      <c r="H1319" s="1089"/>
      <c r="I1319" s="1886" t="s">
        <v>1479</v>
      </c>
      <c r="J1319" s="1091" t="s">
        <v>1480</v>
      </c>
      <c r="K1319" s="1886">
        <v>280</v>
      </c>
      <c r="L1319" s="1886">
        <v>650000000</v>
      </c>
      <c r="M1319" s="1886">
        <v>63</v>
      </c>
      <c r="N1319" s="1886">
        <f>512517500+421693850</f>
        <v>934211350</v>
      </c>
      <c r="O1319" s="1886">
        <v>45</v>
      </c>
      <c r="P1319" s="1886">
        <f>[10]Sheet1!$D$60</f>
        <v>632026454</v>
      </c>
      <c r="Q1319" s="1886">
        <v>10</v>
      </c>
      <c r="R1319" s="1886">
        <f>[10]Sheet1!$E$60</f>
        <v>169913350</v>
      </c>
      <c r="S1319" s="1886">
        <f t="shared" si="259"/>
        <v>0</v>
      </c>
      <c r="T1319" s="1886">
        <v>0</v>
      </c>
      <c r="U1319" s="1886">
        <f>V1319/P1319*100</f>
        <v>0</v>
      </c>
      <c r="V1319" s="1886">
        <v>0</v>
      </c>
      <c r="W1319" s="1086">
        <f t="shared" si="260"/>
        <v>0</v>
      </c>
      <c r="X1319" s="1886">
        <v>0</v>
      </c>
      <c r="Y1319" s="1886">
        <f t="shared" si="261"/>
        <v>10</v>
      </c>
      <c r="Z1319" s="1886">
        <f t="shared" si="258"/>
        <v>169913350</v>
      </c>
      <c r="AA1319" s="1886">
        <f t="shared" si="262"/>
        <v>73</v>
      </c>
      <c r="AB1319" s="1091">
        <f t="shared" si="256"/>
        <v>1104124700</v>
      </c>
      <c r="AC1319" s="1091">
        <f t="shared" si="263"/>
        <v>26.071428571428573</v>
      </c>
      <c r="AD1319" s="1092">
        <f>(AB1319/L1319)*100</f>
        <v>169.86533846153847</v>
      </c>
      <c r="AE1319" s="4533"/>
    </row>
    <row r="1320" spans="1:41" customFormat="1" ht="38.25">
      <c r="A1320" s="1886"/>
      <c r="B1320" s="1886"/>
      <c r="C1320" s="1089">
        <v>3</v>
      </c>
      <c r="D1320" s="1089" t="s">
        <v>107</v>
      </c>
      <c r="E1320" s="1089" t="s">
        <v>66</v>
      </c>
      <c r="F1320" s="1089">
        <v>20</v>
      </c>
      <c r="G1320" s="1089" t="s">
        <v>161</v>
      </c>
      <c r="H1320" s="1089"/>
      <c r="I1320" s="1886" t="s">
        <v>1481</v>
      </c>
      <c r="J1320" s="1886" t="s">
        <v>1482</v>
      </c>
      <c r="K1320" s="1886">
        <v>9600</v>
      </c>
      <c r="L1320" s="1886">
        <f>45000000+50000000+55000000+55500000+56000000+60000000</f>
        <v>321500000</v>
      </c>
      <c r="M1320" s="1886">
        <v>2279</v>
      </c>
      <c r="N1320" s="1886">
        <f>23985000+43662770</f>
        <v>67647770</v>
      </c>
      <c r="O1320" s="1886">
        <v>1500</v>
      </c>
      <c r="P1320" s="1886">
        <f>[10]Sheet1!$D$63</f>
        <v>24345000</v>
      </c>
      <c r="Q1320" s="1886">
        <v>55</v>
      </c>
      <c r="R1320" s="1886">
        <f>[10]Sheet1!$E$63</f>
        <v>900000</v>
      </c>
      <c r="S1320" s="1886">
        <f t="shared" si="259"/>
        <v>0</v>
      </c>
      <c r="T1320" s="1886">
        <v>0</v>
      </c>
      <c r="U1320" s="1886">
        <f>V1320/P1320*100</f>
        <v>0</v>
      </c>
      <c r="V1320" s="1886">
        <v>0</v>
      </c>
      <c r="W1320" s="1086">
        <f t="shared" si="260"/>
        <v>0</v>
      </c>
      <c r="X1320" s="1886">
        <v>0</v>
      </c>
      <c r="Y1320" s="1886">
        <f t="shared" si="261"/>
        <v>55</v>
      </c>
      <c r="Z1320" s="1886">
        <f t="shared" si="258"/>
        <v>900000</v>
      </c>
      <c r="AA1320" s="1886">
        <f t="shared" si="262"/>
        <v>2334</v>
      </c>
      <c r="AB1320" s="1091">
        <f t="shared" si="256"/>
        <v>68547770</v>
      </c>
      <c r="AC1320" s="1091">
        <f t="shared" si="263"/>
        <v>24.3125</v>
      </c>
      <c r="AD1320" s="1092">
        <f>(AB1320/L1320)*100</f>
        <v>21.321234836702953</v>
      </c>
      <c r="AE1320" s="4533"/>
    </row>
    <row r="1321" spans="1:41" customFormat="1" ht="51">
      <c r="A1321" s="1886"/>
      <c r="B1321" s="1886"/>
      <c r="C1321" s="1089">
        <v>3</v>
      </c>
      <c r="D1321" s="1089" t="s">
        <v>107</v>
      </c>
      <c r="E1321" s="1089" t="s">
        <v>66</v>
      </c>
      <c r="F1321" s="1089">
        <v>20</v>
      </c>
      <c r="G1321" s="1089" t="s">
        <v>197</v>
      </c>
      <c r="H1321" s="1089"/>
      <c r="I1321" s="1886" t="s">
        <v>1483</v>
      </c>
      <c r="J1321" s="1886" t="s">
        <v>1484</v>
      </c>
      <c r="K1321" s="1886">
        <v>9600</v>
      </c>
      <c r="L1321" s="1886">
        <f>1350000000+1400000000+1500000000+1550000000+1600000000+1700000000</f>
        <v>9100000000</v>
      </c>
      <c r="M1321" s="1886">
        <v>1602</v>
      </c>
      <c r="N1321" s="1886">
        <f>357728600+338694000</f>
        <v>696422600</v>
      </c>
      <c r="O1321" s="1886">
        <v>1500</v>
      </c>
      <c r="P1321" s="1886">
        <f>[10]Sheet1!$D$67</f>
        <v>458379450</v>
      </c>
      <c r="Q1321" s="1886">
        <v>300</v>
      </c>
      <c r="R1321" s="1886">
        <f>[10]Sheet1!$E$67</f>
        <v>85476000</v>
      </c>
      <c r="S1321" s="1886">
        <f t="shared" si="259"/>
        <v>0</v>
      </c>
      <c r="T1321" s="1886">
        <v>0</v>
      </c>
      <c r="U1321" s="1886">
        <f>V1321/P1321*100</f>
        <v>0</v>
      </c>
      <c r="V1321" s="1886">
        <v>0</v>
      </c>
      <c r="W1321" s="1086">
        <f t="shared" si="260"/>
        <v>0</v>
      </c>
      <c r="X1321" s="1886">
        <v>0</v>
      </c>
      <c r="Y1321" s="1886">
        <f t="shared" si="261"/>
        <v>300</v>
      </c>
      <c r="Z1321" s="1886">
        <f t="shared" si="258"/>
        <v>85476000</v>
      </c>
      <c r="AA1321" s="1886">
        <f t="shared" si="262"/>
        <v>1902</v>
      </c>
      <c r="AB1321" s="1091">
        <f t="shared" si="256"/>
        <v>781898600</v>
      </c>
      <c r="AC1321" s="1091">
        <f t="shared" si="263"/>
        <v>19.8125</v>
      </c>
      <c r="AD1321" s="1092">
        <f>(AB1321/L1321)*100</f>
        <v>8.5922923076923077</v>
      </c>
      <c r="AE1321" s="4533"/>
    </row>
    <row r="1322" spans="1:41" customFormat="1" ht="51">
      <c r="A1322" s="1886"/>
      <c r="B1322" s="1886"/>
      <c r="C1322" s="1089"/>
      <c r="D1322" s="1089"/>
      <c r="E1322" s="1089"/>
      <c r="F1322" s="1089"/>
      <c r="G1322" s="1089"/>
      <c r="H1322" s="1089"/>
      <c r="I1322" s="1886" t="s">
        <v>1485</v>
      </c>
      <c r="J1322" s="1886" t="s">
        <v>1486</v>
      </c>
      <c r="K1322" s="1886">
        <v>45</v>
      </c>
      <c r="L1322" s="1886">
        <f>40000000+50000000+60000000+62500000+70000000+80000000</f>
        <v>362500000</v>
      </c>
      <c r="M1322" s="1886">
        <v>0</v>
      </c>
      <c r="N1322" s="1886">
        <v>0</v>
      </c>
      <c r="O1322" s="1886">
        <v>0</v>
      </c>
      <c r="P1322" s="1886">
        <v>0</v>
      </c>
      <c r="Q1322" s="1886">
        <v>0</v>
      </c>
      <c r="R1322" s="1886">
        <v>0</v>
      </c>
      <c r="S1322" s="1886">
        <v>0</v>
      </c>
      <c r="T1322" s="1886">
        <v>0</v>
      </c>
      <c r="U1322" s="1886">
        <v>0</v>
      </c>
      <c r="V1322" s="1886">
        <v>0</v>
      </c>
      <c r="W1322" s="1086">
        <v>0</v>
      </c>
      <c r="X1322" s="1886"/>
      <c r="Y1322" s="1886">
        <f t="shared" si="261"/>
        <v>0</v>
      </c>
      <c r="Z1322" s="1886"/>
      <c r="AA1322" s="1886">
        <f t="shared" si="262"/>
        <v>0</v>
      </c>
      <c r="AB1322" s="1091"/>
      <c r="AC1322" s="1091">
        <f t="shared" si="263"/>
        <v>0</v>
      </c>
      <c r="AD1322" s="1091"/>
      <c r="AE1322" s="4533"/>
    </row>
    <row r="1323" spans="1:41" customFormat="1" ht="61.5" customHeight="1">
      <c r="A1323" s="1886"/>
      <c r="B1323" s="1886"/>
      <c r="C1323" s="1089"/>
      <c r="D1323" s="1089"/>
      <c r="E1323" s="1089"/>
      <c r="F1323" s="1089"/>
      <c r="G1323" s="1089"/>
      <c r="H1323" s="1089"/>
      <c r="I1323" s="1886" t="s">
        <v>1487</v>
      </c>
      <c r="J1323" s="1886" t="s">
        <v>1488</v>
      </c>
      <c r="K1323" s="1886">
        <v>45</v>
      </c>
      <c r="L1323" s="1886">
        <f>40000000+50000000+60000000+65000000+70000000+80000000</f>
        <v>365000000</v>
      </c>
      <c r="M1323" s="1886">
        <v>0</v>
      </c>
      <c r="N1323" s="1886">
        <v>0</v>
      </c>
      <c r="O1323" s="1886">
        <v>0</v>
      </c>
      <c r="P1323" s="1886">
        <v>0</v>
      </c>
      <c r="Q1323" s="1886">
        <v>0</v>
      </c>
      <c r="R1323" s="1886">
        <v>0</v>
      </c>
      <c r="S1323" s="1886">
        <v>0</v>
      </c>
      <c r="T1323" s="1886">
        <v>0</v>
      </c>
      <c r="U1323" s="1886">
        <v>0</v>
      </c>
      <c r="V1323" s="1886">
        <v>0</v>
      </c>
      <c r="W1323" s="1086">
        <v>0</v>
      </c>
      <c r="X1323" s="1886"/>
      <c r="Y1323" s="1886">
        <f t="shared" si="261"/>
        <v>0</v>
      </c>
      <c r="Z1323" s="1886"/>
      <c r="AA1323" s="1886">
        <f t="shared" si="262"/>
        <v>0</v>
      </c>
      <c r="AB1323" s="1091"/>
      <c r="AC1323" s="1091">
        <f t="shared" si="263"/>
        <v>0</v>
      </c>
      <c r="AD1323" s="1091"/>
      <c r="AE1323" s="4533"/>
    </row>
    <row r="1324" spans="1:41" customFormat="1" ht="61.5" customHeight="1">
      <c r="A1324" s="1081">
        <v>2</v>
      </c>
      <c r="B1324" s="1081" t="s">
        <v>1489</v>
      </c>
      <c r="C1324" s="1089"/>
      <c r="D1324" s="1089"/>
      <c r="E1324" s="1089"/>
      <c r="F1324" s="1089"/>
      <c r="G1324" s="1089"/>
      <c r="H1324" s="1089"/>
      <c r="I1324" s="1886" t="s">
        <v>1490</v>
      </c>
      <c r="J1324" s="1886" t="s">
        <v>1491</v>
      </c>
      <c r="K1324" s="1886">
        <v>45</v>
      </c>
      <c r="L1324" s="1886">
        <f>90000000+100000000+110000000+111000000+120000000+135000000</f>
        <v>666000000</v>
      </c>
      <c r="M1324" s="1886">
        <v>42</v>
      </c>
      <c r="N1324" s="1886">
        <v>59563500</v>
      </c>
      <c r="O1324" s="1886">
        <v>0</v>
      </c>
      <c r="P1324" s="1886">
        <v>0</v>
      </c>
      <c r="Q1324" s="1886">
        <v>0</v>
      </c>
      <c r="R1324" s="1886">
        <v>0</v>
      </c>
      <c r="S1324" s="1886">
        <v>0</v>
      </c>
      <c r="T1324" s="1886">
        <v>0</v>
      </c>
      <c r="U1324" s="1886">
        <v>0</v>
      </c>
      <c r="V1324" s="1886">
        <v>0</v>
      </c>
      <c r="W1324" s="1086">
        <v>0</v>
      </c>
      <c r="X1324" s="1886">
        <v>0</v>
      </c>
      <c r="Y1324" s="1886">
        <f t="shared" si="261"/>
        <v>0</v>
      </c>
      <c r="Z1324" s="1886">
        <v>0</v>
      </c>
      <c r="AA1324" s="1886">
        <f t="shared" si="262"/>
        <v>42</v>
      </c>
      <c r="AB1324" s="1091">
        <f>+N1324+Z1324</f>
        <v>59563500</v>
      </c>
      <c r="AC1324" s="1091">
        <f t="shared" si="263"/>
        <v>93.333333333333329</v>
      </c>
      <c r="AD1324" s="1092">
        <f>(AB1324/L1324)*100</f>
        <v>8.9434684684684687</v>
      </c>
      <c r="AE1324" s="4533"/>
    </row>
    <row r="1325" spans="1:41" customFormat="1" ht="61.5" customHeight="1">
      <c r="A1325" s="1886"/>
      <c r="B1325" s="1886"/>
      <c r="C1325" s="1089"/>
      <c r="D1325" s="1089"/>
      <c r="E1325" s="1089"/>
      <c r="F1325" s="1089"/>
      <c r="G1325" s="1089"/>
      <c r="H1325" s="1089"/>
      <c r="I1325" s="1886" t="s">
        <v>1492</v>
      </c>
      <c r="J1325" s="1886" t="s">
        <v>1493</v>
      </c>
      <c r="K1325" s="1886">
        <v>45</v>
      </c>
      <c r="L1325" s="1886">
        <f>40000000+50000000+60000000+65000000+70000000+75000000</f>
        <v>360000000</v>
      </c>
      <c r="M1325" s="1886">
        <v>0</v>
      </c>
      <c r="N1325" s="1886">
        <v>0</v>
      </c>
      <c r="O1325" s="1886">
        <v>0</v>
      </c>
      <c r="P1325" s="1886">
        <v>0</v>
      </c>
      <c r="Q1325" s="1886">
        <v>0</v>
      </c>
      <c r="R1325" s="1886">
        <v>0</v>
      </c>
      <c r="S1325" s="1886">
        <v>0</v>
      </c>
      <c r="T1325" s="1886">
        <v>0</v>
      </c>
      <c r="U1325" s="1886">
        <v>0</v>
      </c>
      <c r="V1325" s="1886">
        <v>0</v>
      </c>
      <c r="W1325" s="1086">
        <v>0</v>
      </c>
      <c r="X1325" s="1886">
        <v>0</v>
      </c>
      <c r="Y1325" s="1886">
        <f t="shared" si="261"/>
        <v>0</v>
      </c>
      <c r="Z1325" s="1886"/>
      <c r="AA1325" s="1886">
        <f t="shared" si="262"/>
        <v>0</v>
      </c>
      <c r="AB1325" s="1091"/>
      <c r="AC1325" s="1091">
        <f t="shared" si="263"/>
        <v>0</v>
      </c>
      <c r="AD1325" s="1091"/>
      <c r="AE1325" s="4533"/>
    </row>
    <row r="1326" spans="1:41" customFormat="1" ht="25.5">
      <c r="A1326" s="1886"/>
      <c r="B1326" s="1886"/>
      <c r="C1326" s="1089">
        <v>3</v>
      </c>
      <c r="D1326" s="1089" t="s">
        <v>107</v>
      </c>
      <c r="E1326" s="1089" t="s">
        <v>66</v>
      </c>
      <c r="F1326" s="1089">
        <v>20</v>
      </c>
      <c r="G1326" s="1089" t="s">
        <v>155</v>
      </c>
      <c r="H1326" s="1089"/>
      <c r="I1326" s="1886" t="s">
        <v>1494</v>
      </c>
      <c r="J1326" s="1886" t="s">
        <v>1495</v>
      </c>
      <c r="K1326" s="1886">
        <v>6</v>
      </c>
      <c r="L1326" s="1886">
        <f>35000000+40000000+45000000+45500000+65000000+70000000</f>
        <v>300500000</v>
      </c>
      <c r="M1326" s="1886">
        <v>1</v>
      </c>
      <c r="N1326" s="1886">
        <f>65905200+31088400</f>
        <v>96993600</v>
      </c>
      <c r="O1326" s="1886">
        <v>1</v>
      </c>
      <c r="P1326" s="1886">
        <f>[10]Sheet1!$D$70</f>
        <v>16986500</v>
      </c>
      <c r="Q1326" s="1886">
        <f>R1326/P1326*100</f>
        <v>0</v>
      </c>
      <c r="R1326" s="1886">
        <f>[10]Sheet1!$E$70</f>
        <v>0</v>
      </c>
      <c r="S1326" s="1886">
        <f>T1326/P1326*100</f>
        <v>0</v>
      </c>
      <c r="T1326" s="1886">
        <v>0</v>
      </c>
      <c r="U1326" s="1886">
        <f>V1326/P1326*100</f>
        <v>0</v>
      </c>
      <c r="V1326" s="1886">
        <v>0</v>
      </c>
      <c r="W1326" s="1086">
        <f>X1326/P1326*100</f>
        <v>0</v>
      </c>
      <c r="X1326" s="1886">
        <v>0</v>
      </c>
      <c r="Y1326" s="1886">
        <f t="shared" si="261"/>
        <v>0</v>
      </c>
      <c r="Z1326" s="1886">
        <f t="shared" si="258"/>
        <v>0</v>
      </c>
      <c r="AA1326" s="1886">
        <f t="shared" si="262"/>
        <v>1</v>
      </c>
      <c r="AB1326" s="1091">
        <f t="shared" si="256"/>
        <v>96993600</v>
      </c>
      <c r="AC1326" s="1091">
        <f t="shared" si="263"/>
        <v>16.666666666666664</v>
      </c>
      <c r="AD1326" s="1092">
        <f>(AB1326/L1326)*100</f>
        <v>32.277404326123126</v>
      </c>
      <c r="AE1326" s="4533"/>
    </row>
    <row r="1327" spans="1:41" customFormat="1" ht="51">
      <c r="A1327" s="1886"/>
      <c r="B1327" s="1886"/>
      <c r="C1327" s="1089">
        <v>3</v>
      </c>
      <c r="D1327" s="1089" t="s">
        <v>107</v>
      </c>
      <c r="E1327" s="1089" t="s">
        <v>66</v>
      </c>
      <c r="F1327" s="1089">
        <v>20</v>
      </c>
      <c r="G1327" s="1089" t="s">
        <v>167</v>
      </c>
      <c r="H1327" s="1089"/>
      <c r="I1327" s="1886" t="s">
        <v>1496</v>
      </c>
      <c r="J1327" s="1886" t="s">
        <v>1497</v>
      </c>
      <c r="K1327" s="1886">
        <v>45</v>
      </c>
      <c r="L1327" s="1886">
        <f>40000000+42000000+47500000+48000000+60000000+70000000</f>
        <v>307500000</v>
      </c>
      <c r="M1327" s="1886">
        <v>45</v>
      </c>
      <c r="N1327" s="1886">
        <f>40045950+32538280</f>
        <v>72584230</v>
      </c>
      <c r="O1327" s="1886">
        <v>45</v>
      </c>
      <c r="P1327" s="1886">
        <f>[10]Sheet1!$D$73</f>
        <v>23362500</v>
      </c>
      <c r="Q1327" s="1886">
        <f>R1327/P1327*100</f>
        <v>0</v>
      </c>
      <c r="R1327" s="1886">
        <f>[10]Sheet1!$E$73</f>
        <v>0</v>
      </c>
      <c r="S1327" s="1886">
        <f t="shared" si="259"/>
        <v>0</v>
      </c>
      <c r="T1327" s="1886">
        <v>0</v>
      </c>
      <c r="U1327" s="1886">
        <f>V1327/P1327*100</f>
        <v>0</v>
      </c>
      <c r="V1327" s="1886">
        <v>0</v>
      </c>
      <c r="W1327" s="1086">
        <f t="shared" si="260"/>
        <v>0</v>
      </c>
      <c r="X1327" s="1886">
        <v>0</v>
      </c>
      <c r="Y1327" s="1886">
        <f t="shared" si="261"/>
        <v>0</v>
      </c>
      <c r="Z1327" s="1886">
        <f t="shared" si="258"/>
        <v>0</v>
      </c>
      <c r="AA1327" s="1886">
        <f t="shared" si="262"/>
        <v>45</v>
      </c>
      <c r="AB1327" s="1091">
        <f t="shared" si="256"/>
        <v>72584230</v>
      </c>
      <c r="AC1327" s="1091">
        <f t="shared" si="263"/>
        <v>100</v>
      </c>
      <c r="AD1327" s="1092">
        <f>(AB1327/L1327)*100</f>
        <v>23.604627642276423</v>
      </c>
      <c r="AE1327" s="4533"/>
    </row>
    <row r="1328" spans="1:41" customFormat="1" ht="63" customHeight="1">
      <c r="A1328" s="1886"/>
      <c r="B1328" s="1886"/>
      <c r="C1328" s="1089">
        <v>3</v>
      </c>
      <c r="D1328" s="1089" t="s">
        <v>107</v>
      </c>
      <c r="E1328" s="1089" t="s">
        <v>66</v>
      </c>
      <c r="F1328" s="1089">
        <v>20</v>
      </c>
      <c r="G1328" s="1089" t="s">
        <v>163</v>
      </c>
      <c r="H1328" s="1089"/>
      <c r="I1328" s="1886" t="s">
        <v>1498</v>
      </c>
      <c r="J1328" s="1886" t="s">
        <v>1499</v>
      </c>
      <c r="K1328" s="1886">
        <v>45</v>
      </c>
      <c r="L1328" s="1886">
        <f>75000000+80000000+90000000+95000000+100000000+110000000</f>
        <v>550000000</v>
      </c>
      <c r="M1328" s="1886">
        <v>45</v>
      </c>
      <c r="N1328" s="1886">
        <f>51833500+54468550</f>
        <v>106302050</v>
      </c>
      <c r="O1328" s="1886">
        <v>45</v>
      </c>
      <c r="P1328" s="1886">
        <f>[10]Sheet1!$D$76</f>
        <v>21540500</v>
      </c>
      <c r="Q1328" s="1886">
        <f>R1328/P1328*100</f>
        <v>0</v>
      </c>
      <c r="R1328" s="1886">
        <f>[10]Sheet1!$E$76</f>
        <v>0</v>
      </c>
      <c r="S1328" s="1886">
        <f t="shared" si="259"/>
        <v>0</v>
      </c>
      <c r="T1328" s="1886">
        <f>'[11]juni 17'!$H$99</f>
        <v>0</v>
      </c>
      <c r="U1328" s="1886">
        <f>V1328/P1328*100</f>
        <v>0</v>
      </c>
      <c r="V1328" s="1886">
        <v>0</v>
      </c>
      <c r="W1328" s="1086">
        <f t="shared" si="260"/>
        <v>0</v>
      </c>
      <c r="X1328" s="1886">
        <v>0</v>
      </c>
      <c r="Y1328" s="1886">
        <f t="shared" si="261"/>
        <v>0</v>
      </c>
      <c r="Z1328" s="1886">
        <f t="shared" si="258"/>
        <v>0</v>
      </c>
      <c r="AA1328" s="1886">
        <f t="shared" si="262"/>
        <v>45</v>
      </c>
      <c r="AB1328" s="1091">
        <f t="shared" si="256"/>
        <v>106302050</v>
      </c>
      <c r="AC1328" s="1091">
        <f t="shared" si="263"/>
        <v>100</v>
      </c>
      <c r="AD1328" s="1092">
        <f>(AB1328/L1328)*100</f>
        <v>19.327645454545454</v>
      </c>
      <c r="AE1328" s="4533"/>
    </row>
    <row r="1329" spans="1:62" customFormat="1" ht="51">
      <c r="A1329" s="1886"/>
      <c r="B1329" s="1886"/>
      <c r="C1329" s="1089"/>
      <c r="D1329" s="1089"/>
      <c r="E1329" s="1089"/>
      <c r="F1329" s="1089"/>
      <c r="G1329" s="1089"/>
      <c r="H1329" s="1089"/>
      <c r="I1329" s="1886" t="s">
        <v>1500</v>
      </c>
      <c r="J1329" s="1886" t="s">
        <v>1501</v>
      </c>
      <c r="K1329" s="1886">
        <v>45</v>
      </c>
      <c r="L1329" s="1886">
        <f>35000000+40000000+45000000+45500000+65000000+70000000</f>
        <v>300500000</v>
      </c>
      <c r="M1329" s="1886">
        <v>0</v>
      </c>
      <c r="N1329" s="1886">
        <v>0</v>
      </c>
      <c r="O1329" s="1886">
        <v>0</v>
      </c>
      <c r="P1329" s="1886">
        <v>0</v>
      </c>
      <c r="Q1329" s="1886">
        <v>0</v>
      </c>
      <c r="R1329" s="1886">
        <v>0</v>
      </c>
      <c r="S1329" s="1886">
        <v>0</v>
      </c>
      <c r="T1329" s="1886">
        <v>0</v>
      </c>
      <c r="U1329" s="1886">
        <v>0</v>
      </c>
      <c r="V1329" s="1886">
        <v>0</v>
      </c>
      <c r="W1329" s="1086"/>
      <c r="X1329" s="1886"/>
      <c r="Y1329" s="1886">
        <f t="shared" si="261"/>
        <v>0</v>
      </c>
      <c r="Z1329" s="1886"/>
      <c r="AA1329" s="1886">
        <f t="shared" si="262"/>
        <v>0</v>
      </c>
      <c r="AB1329" s="1091"/>
      <c r="AC1329" s="1091">
        <f t="shared" si="263"/>
        <v>0</v>
      </c>
      <c r="AD1329" s="1091"/>
      <c r="AE1329" s="4533"/>
    </row>
    <row r="1330" spans="1:62" customFormat="1" ht="33.75" customHeight="1">
      <c r="A1330" s="1886"/>
      <c r="B1330" s="1886"/>
      <c r="C1330" s="1089"/>
      <c r="D1330" s="1089"/>
      <c r="E1330" s="1089"/>
      <c r="F1330" s="1089"/>
      <c r="G1330" s="1089"/>
      <c r="H1330" s="1089"/>
      <c r="I1330" s="1886" t="s">
        <v>1502</v>
      </c>
      <c r="J1330" s="1886" t="s">
        <v>1503</v>
      </c>
      <c r="K1330" s="1886">
        <v>240</v>
      </c>
      <c r="L1330" s="1886">
        <f>35000000+40000000+45000000+45500000+65000000+70000000</f>
        <v>300500000</v>
      </c>
      <c r="M1330" s="1886">
        <v>0</v>
      </c>
      <c r="N1330" s="1886">
        <v>0</v>
      </c>
      <c r="O1330" s="1886">
        <v>0</v>
      </c>
      <c r="P1330" s="1886">
        <v>0</v>
      </c>
      <c r="Q1330" s="1886">
        <v>0</v>
      </c>
      <c r="R1330" s="1886">
        <v>0</v>
      </c>
      <c r="S1330" s="1886">
        <v>0</v>
      </c>
      <c r="T1330" s="1886">
        <v>0</v>
      </c>
      <c r="U1330" s="1886">
        <v>0</v>
      </c>
      <c r="V1330" s="1886">
        <v>0</v>
      </c>
      <c r="W1330" s="1086"/>
      <c r="X1330" s="1886"/>
      <c r="Y1330" s="1886">
        <f t="shared" si="261"/>
        <v>0</v>
      </c>
      <c r="Z1330" s="1886"/>
      <c r="AA1330" s="1886">
        <f t="shared" si="262"/>
        <v>0</v>
      </c>
      <c r="AB1330" s="1091"/>
      <c r="AC1330" s="1091">
        <f t="shared" si="263"/>
        <v>0</v>
      </c>
      <c r="AD1330" s="1091"/>
      <c r="AE1330" s="4533"/>
    </row>
    <row r="1331" spans="1:62" customFormat="1" ht="55.5" customHeight="1">
      <c r="A1331" s="1886"/>
      <c r="B1331" s="1886"/>
      <c r="C1331" s="1089"/>
      <c r="D1331" s="1089"/>
      <c r="E1331" s="1089"/>
      <c r="F1331" s="1089"/>
      <c r="G1331" s="1089"/>
      <c r="H1331" s="1089"/>
      <c r="I1331" s="1886" t="s">
        <v>1504</v>
      </c>
      <c r="J1331" s="1886" t="s">
        <v>1505</v>
      </c>
      <c r="K1331" s="1886">
        <v>6</v>
      </c>
      <c r="L1331" s="1886">
        <f>30000000+36000000+40000000+42500000+50000000+60000000</f>
        <v>258500000</v>
      </c>
      <c r="M1331" s="1886">
        <v>0</v>
      </c>
      <c r="N1331" s="1886">
        <v>0</v>
      </c>
      <c r="O1331" s="1886">
        <v>0</v>
      </c>
      <c r="P1331" s="1886">
        <v>0</v>
      </c>
      <c r="Q1331" s="1886">
        <v>0</v>
      </c>
      <c r="R1331" s="1886">
        <v>0</v>
      </c>
      <c r="S1331" s="1886">
        <v>0</v>
      </c>
      <c r="T1331" s="1886">
        <v>0</v>
      </c>
      <c r="U1331" s="1886">
        <v>0</v>
      </c>
      <c r="V1331" s="1886">
        <v>0</v>
      </c>
      <c r="W1331" s="1086"/>
      <c r="X1331" s="1886"/>
      <c r="Y1331" s="1886">
        <f t="shared" si="261"/>
        <v>0</v>
      </c>
      <c r="Z1331" s="1886"/>
      <c r="AA1331" s="1886">
        <f t="shared" si="262"/>
        <v>0</v>
      </c>
      <c r="AB1331" s="1091"/>
      <c r="AC1331" s="1091">
        <f t="shared" si="263"/>
        <v>0</v>
      </c>
      <c r="AD1331" s="1091"/>
      <c r="AE1331" s="4533"/>
    </row>
    <row r="1332" spans="1:62" customFormat="1" ht="55.5" customHeight="1">
      <c r="A1332" s="1886"/>
      <c r="B1332" s="1886"/>
      <c r="C1332" s="1089"/>
      <c r="D1332" s="1089"/>
      <c r="E1332" s="1089"/>
      <c r="F1332" s="1089"/>
      <c r="G1332" s="1089"/>
      <c r="H1332" s="1089"/>
      <c r="I1332" s="1886" t="s">
        <v>1506</v>
      </c>
      <c r="J1332" s="1886" t="s">
        <v>1507</v>
      </c>
      <c r="K1332" s="1886">
        <v>45</v>
      </c>
      <c r="L1332" s="1886">
        <f>40000000+50000000+60000000+65000000+70000000+80000000</f>
        <v>365000000</v>
      </c>
      <c r="M1332" s="1886">
        <v>0</v>
      </c>
      <c r="N1332" s="1886">
        <v>0</v>
      </c>
      <c r="O1332" s="1886">
        <v>0</v>
      </c>
      <c r="P1332" s="1886">
        <v>0</v>
      </c>
      <c r="Q1332" s="1886">
        <v>0</v>
      </c>
      <c r="R1332" s="1886">
        <v>0</v>
      </c>
      <c r="S1332" s="1886">
        <v>0</v>
      </c>
      <c r="T1332" s="1886">
        <v>0</v>
      </c>
      <c r="U1332" s="1886"/>
      <c r="V1332" s="1886"/>
      <c r="W1332" s="1086"/>
      <c r="X1332" s="1886"/>
      <c r="Y1332" s="1886">
        <f t="shared" si="261"/>
        <v>0</v>
      </c>
      <c r="Z1332" s="1886"/>
      <c r="AA1332" s="1886">
        <f t="shared" si="262"/>
        <v>0</v>
      </c>
      <c r="AB1332" s="1091"/>
      <c r="AC1332" s="1091">
        <f t="shared" si="263"/>
        <v>0</v>
      </c>
      <c r="AD1332" s="1091"/>
      <c r="AE1332" s="4533"/>
    </row>
    <row r="1333" spans="1:62" customFormat="1" ht="25.5">
      <c r="A1333" s="1886"/>
      <c r="B1333" s="1886"/>
      <c r="C1333" s="1089">
        <v>3</v>
      </c>
      <c r="D1333" s="1089" t="s">
        <v>107</v>
      </c>
      <c r="E1333" s="1089" t="s">
        <v>66</v>
      </c>
      <c r="F1333" s="1089">
        <v>20</v>
      </c>
      <c r="G1333" s="1089"/>
      <c r="H1333" s="1089"/>
      <c r="I1333" s="1886" t="s">
        <v>1508</v>
      </c>
      <c r="J1333" s="1886" t="s">
        <v>1509</v>
      </c>
      <c r="K1333" s="1886">
        <v>6</v>
      </c>
      <c r="L1333" s="1886">
        <f>40000000+45000000+50000000+60000000+65000000+70000000</f>
        <v>330000000</v>
      </c>
      <c r="M1333" s="1886">
        <v>2</v>
      </c>
      <c r="N1333" s="1886">
        <v>37431700</v>
      </c>
      <c r="O1333" s="1886">
        <v>0</v>
      </c>
      <c r="P1333" s="1886">
        <v>0</v>
      </c>
      <c r="Q1333" s="1886">
        <v>0</v>
      </c>
      <c r="R1333" s="1886">
        <v>0</v>
      </c>
      <c r="S1333" s="1886">
        <v>0</v>
      </c>
      <c r="T1333" s="1886">
        <v>0</v>
      </c>
      <c r="U1333" s="1886">
        <v>0</v>
      </c>
      <c r="V1333" s="1886">
        <v>0</v>
      </c>
      <c r="W1333" s="1086">
        <v>0</v>
      </c>
      <c r="X1333" s="1886">
        <v>0</v>
      </c>
      <c r="Y1333" s="1886">
        <f t="shared" si="261"/>
        <v>0</v>
      </c>
      <c r="Z1333" s="1886">
        <v>0</v>
      </c>
      <c r="AA1333" s="1886">
        <f t="shared" si="262"/>
        <v>2</v>
      </c>
      <c r="AB1333" s="1091">
        <f>+N1333+Z1333</f>
        <v>37431700</v>
      </c>
      <c r="AC1333" s="1091">
        <f t="shared" si="263"/>
        <v>33.333333333333329</v>
      </c>
      <c r="AD1333" s="1092">
        <f>(AB1333/L1333)*100</f>
        <v>11.342939393939394</v>
      </c>
      <c r="AE1333" s="4533"/>
    </row>
    <row r="1334" spans="1:62" customFormat="1" ht="38.25">
      <c r="A1334" s="1886"/>
      <c r="B1334" s="1886"/>
      <c r="C1334" s="1089"/>
      <c r="D1334" s="1089"/>
      <c r="E1334" s="1089"/>
      <c r="F1334" s="1089"/>
      <c r="G1334" s="1089"/>
      <c r="H1334" s="1089"/>
      <c r="I1334" s="1886" t="s">
        <v>1510</v>
      </c>
      <c r="J1334" s="1886" t="s">
        <v>1511</v>
      </c>
      <c r="K1334" s="1886">
        <v>45</v>
      </c>
      <c r="L1334" s="1886">
        <f>40000000+45000000+50000000+60000000+65000000+70000000</f>
        <v>330000000</v>
      </c>
      <c r="M1334" s="1886">
        <v>0</v>
      </c>
      <c r="N1334" s="1886">
        <v>0</v>
      </c>
      <c r="O1334" s="1886">
        <v>0</v>
      </c>
      <c r="P1334" s="1886">
        <v>0</v>
      </c>
      <c r="Q1334" s="1886">
        <v>0</v>
      </c>
      <c r="R1334" s="1886">
        <v>0</v>
      </c>
      <c r="S1334" s="1886"/>
      <c r="T1334" s="1886"/>
      <c r="U1334" s="1886"/>
      <c r="V1334" s="1886"/>
      <c r="W1334" s="1086"/>
      <c r="X1334" s="1886"/>
      <c r="Y1334" s="1886">
        <f t="shared" si="261"/>
        <v>0</v>
      </c>
      <c r="Z1334" s="1886"/>
      <c r="AA1334" s="1886">
        <f t="shared" si="262"/>
        <v>0</v>
      </c>
      <c r="AB1334" s="1091"/>
      <c r="AC1334" s="1091">
        <f t="shared" si="263"/>
        <v>0</v>
      </c>
      <c r="AD1334" s="1091"/>
      <c r="AE1334" s="4533"/>
    </row>
    <row r="1335" spans="1:62" customFormat="1" ht="15">
      <c r="A1335" s="1886"/>
      <c r="B1335" s="1886"/>
      <c r="C1335" s="1090"/>
      <c r="D1335" s="1089"/>
      <c r="E1335" s="1089"/>
      <c r="F1335" s="1090"/>
      <c r="G1335" s="1089"/>
      <c r="H1335" s="1089"/>
      <c r="I1335" s="1886"/>
      <c r="J1335" s="1886"/>
      <c r="K1335" s="1886"/>
      <c r="L1335" s="1886"/>
      <c r="M1335" s="1886"/>
      <c r="N1335" s="1886"/>
      <c r="O1335" s="1886"/>
      <c r="P1335" s="1886"/>
      <c r="Q1335" s="1886"/>
      <c r="R1335" s="1886"/>
      <c r="S1335" s="1886"/>
      <c r="T1335" s="1886"/>
      <c r="U1335" s="1886"/>
      <c r="V1335" s="1886"/>
      <c r="W1335" s="1886"/>
      <c r="X1335" s="1886"/>
      <c r="Y1335" s="1886"/>
      <c r="Z1335" s="1086"/>
      <c r="AA1335" s="1886"/>
      <c r="AB1335" s="1081"/>
      <c r="AC1335" s="1081"/>
      <c r="AD1335" s="1081"/>
      <c r="AE1335" s="4533"/>
    </row>
    <row r="1336" spans="1:62" customFormat="1" ht="91.5" customHeight="1">
      <c r="A1336" s="1086"/>
      <c r="B1336" s="1086"/>
      <c r="C1336" s="1094">
        <v>3</v>
      </c>
      <c r="D1336" s="1094" t="s">
        <v>107</v>
      </c>
      <c r="E1336" s="1094" t="s">
        <v>66</v>
      </c>
      <c r="F1336" s="1094">
        <v>21</v>
      </c>
      <c r="G1336" s="1095"/>
      <c r="H1336" s="1095"/>
      <c r="I1336" s="1086" t="s">
        <v>1512</v>
      </c>
      <c r="J1336" s="1096"/>
      <c r="K1336" s="1097">
        <f>(K1337+K1338)/2</f>
        <v>42</v>
      </c>
      <c r="L1336" s="1097">
        <f>SUM(L1337:L1338)</f>
        <v>2160000000</v>
      </c>
      <c r="M1336" s="1097">
        <f>(M1337+M1338)/2</f>
        <v>14</v>
      </c>
      <c r="N1336" s="1086">
        <f>N1337+N1338</f>
        <v>505735350</v>
      </c>
      <c r="O1336" s="1097">
        <f>(O1337+O1338)/2</f>
        <v>7</v>
      </c>
      <c r="P1336" s="1086">
        <f>SUM(P1337:P1338)</f>
        <v>228549000</v>
      </c>
      <c r="Q1336" s="1097">
        <f>(Q1337+Q1338)/2</f>
        <v>2</v>
      </c>
      <c r="R1336" s="1086">
        <f>SUM(R1337:R1339)</f>
        <v>46313051</v>
      </c>
      <c r="S1336" s="1086">
        <f>T1336/P1336*100</f>
        <v>0</v>
      </c>
      <c r="T1336" s="1086">
        <f>SUM(T1337:T1339)</f>
        <v>0</v>
      </c>
      <c r="U1336" s="1086">
        <f>V1336/P1336*100</f>
        <v>0</v>
      </c>
      <c r="V1336" s="1086">
        <f>SUM(V1337:V1339)</f>
        <v>0</v>
      </c>
      <c r="W1336" s="1086">
        <f>X1336/P1336*100</f>
        <v>0</v>
      </c>
      <c r="X1336" s="1086">
        <f>SUM(X1337:X1338)</f>
        <v>0</v>
      </c>
      <c r="Y1336" s="1086">
        <f>Q1336+S1336+U1336+W1336</f>
        <v>2</v>
      </c>
      <c r="Z1336" s="1086">
        <f>+R1336+T1336+V1336+X1336</f>
        <v>46313051</v>
      </c>
      <c r="AA1336" s="1086">
        <f>+Y1336+M1336</f>
        <v>16</v>
      </c>
      <c r="AB1336" s="1081">
        <f>+N1336+Z1336</f>
        <v>552048401</v>
      </c>
      <c r="AC1336" s="1081">
        <f>(AC1337+AC1338)/2</f>
        <v>36.111111111111114</v>
      </c>
      <c r="AD1336" s="1087">
        <f t="shared" ref="AC1336:AD1338" si="264">(AB1336/L1336)*100</f>
        <v>25.557796342592592</v>
      </c>
      <c r="AE1336" s="4533"/>
    </row>
    <row r="1337" spans="1:62" customFormat="1" ht="61.5" customHeight="1">
      <c r="A1337" s="1886"/>
      <c r="B1337" s="1886"/>
      <c r="C1337" s="1089">
        <v>3</v>
      </c>
      <c r="D1337" s="1089" t="s">
        <v>107</v>
      </c>
      <c r="E1337" s="1089" t="s">
        <v>66</v>
      </c>
      <c r="F1337" s="1089">
        <v>21</v>
      </c>
      <c r="G1337" s="1089" t="s">
        <v>66</v>
      </c>
      <c r="H1337" s="1089"/>
      <c r="I1337" s="1104" t="s">
        <v>1513</v>
      </c>
      <c r="J1337" s="1091" t="s">
        <v>1514</v>
      </c>
      <c r="K1337" s="1886">
        <v>72</v>
      </c>
      <c r="L1337" s="1886">
        <f>225000000+250000000+275000000+300000000+325000000+350000000</f>
        <v>1725000000</v>
      </c>
      <c r="M1337" s="1886">
        <v>24</v>
      </c>
      <c r="N1337" s="1886">
        <f>228743500+217239850</f>
        <v>445983350</v>
      </c>
      <c r="O1337" s="1886">
        <v>12</v>
      </c>
      <c r="P1337" s="1886">
        <f>[10]Sheet1!$D$81</f>
        <v>199785000</v>
      </c>
      <c r="Q1337" s="1886">
        <v>4</v>
      </c>
      <c r="R1337" s="1886">
        <f>[10]Sheet1!$E$81</f>
        <v>46313051</v>
      </c>
      <c r="S1337" s="1886">
        <f>T1337/P1337*100</f>
        <v>0</v>
      </c>
      <c r="T1337" s="1886">
        <v>0</v>
      </c>
      <c r="U1337" s="1886">
        <f>V1337/P1337*100</f>
        <v>0</v>
      </c>
      <c r="V1337" s="1886">
        <v>0</v>
      </c>
      <c r="W1337" s="1886">
        <f>X1337/P1337*100</f>
        <v>0</v>
      </c>
      <c r="X1337" s="1886">
        <v>0</v>
      </c>
      <c r="Y1337" s="1886">
        <f>Q1337+S1337+U1337+W1337</f>
        <v>4</v>
      </c>
      <c r="Z1337" s="1886">
        <f>+R1337+T1337+V1337+X1337</f>
        <v>46313051</v>
      </c>
      <c r="AA1337" s="1886">
        <f>+Y1337+M1337</f>
        <v>28</v>
      </c>
      <c r="AB1337" s="1091">
        <f>+N1337+Z1337</f>
        <v>492296401</v>
      </c>
      <c r="AC1337" s="1091">
        <f t="shared" si="264"/>
        <v>38.888888888888893</v>
      </c>
      <c r="AD1337" s="1092">
        <f t="shared" si="264"/>
        <v>28.538921797101452</v>
      </c>
      <c r="AE1337" s="4533"/>
    </row>
    <row r="1338" spans="1:62" customFormat="1" ht="53.25" customHeight="1">
      <c r="A1338" s="1886"/>
      <c r="B1338" s="1886"/>
      <c r="C1338" s="1089">
        <v>3</v>
      </c>
      <c r="D1338" s="1089" t="s">
        <v>107</v>
      </c>
      <c r="E1338" s="1089" t="s">
        <v>66</v>
      </c>
      <c r="F1338" s="1089">
        <v>21</v>
      </c>
      <c r="G1338" s="1089" t="s">
        <v>196</v>
      </c>
      <c r="H1338" s="1089"/>
      <c r="I1338" s="1104" t="s">
        <v>1515</v>
      </c>
      <c r="J1338" s="1091" t="s">
        <v>1516</v>
      </c>
      <c r="K1338" s="1886">
        <v>12</v>
      </c>
      <c r="L1338" s="1886">
        <f>60000000+65000000+70000000+75000000+80000000+85000000</f>
        <v>435000000</v>
      </c>
      <c r="M1338" s="1886">
        <v>4</v>
      </c>
      <c r="N1338" s="1886">
        <f>34704000+25048000</f>
        <v>59752000</v>
      </c>
      <c r="O1338" s="1886">
        <v>2</v>
      </c>
      <c r="P1338" s="1886">
        <f>[10]Sheet1!$D$84</f>
        <v>28764000</v>
      </c>
      <c r="Q1338" s="1886">
        <f>R1338/P1338*100</f>
        <v>0</v>
      </c>
      <c r="R1338" s="1886">
        <f>[10]Sheet1!$E$84</f>
        <v>0</v>
      </c>
      <c r="S1338" s="1886">
        <f>T1338/P1338*100</f>
        <v>0</v>
      </c>
      <c r="T1338" s="1886">
        <f>'[11]juni 17'!$H$112</f>
        <v>0</v>
      </c>
      <c r="U1338" s="1886">
        <f>V1338/P1338*100</f>
        <v>0</v>
      </c>
      <c r="V1338" s="1886">
        <f>'[11]Sept 17'!$H$116</f>
        <v>0</v>
      </c>
      <c r="W1338" s="1886">
        <f>X1338/P1338*100</f>
        <v>0</v>
      </c>
      <c r="X1338" s="1886">
        <v>0</v>
      </c>
      <c r="Y1338" s="1886">
        <f>Q1338+S1338+U1338+W1338</f>
        <v>0</v>
      </c>
      <c r="Z1338" s="1886">
        <f>+R1338+T1338+V1338+X1338</f>
        <v>0</v>
      </c>
      <c r="AA1338" s="1886">
        <f>+Y1338+M1338</f>
        <v>4</v>
      </c>
      <c r="AB1338" s="1091">
        <f>+N1338+Z1338</f>
        <v>59752000</v>
      </c>
      <c r="AC1338" s="1091">
        <f t="shared" si="264"/>
        <v>33.333333333333329</v>
      </c>
      <c r="AD1338" s="1092">
        <f t="shared" si="264"/>
        <v>13.736091954022989</v>
      </c>
      <c r="AE1338" s="4534"/>
    </row>
    <row r="1339" spans="1:62" customFormat="1" ht="15" customHeight="1">
      <c r="A1339" s="1886"/>
      <c r="B1339" s="1886"/>
      <c r="C1339" s="1089"/>
      <c r="D1339" s="1089"/>
      <c r="E1339" s="1089"/>
      <c r="F1339" s="1089"/>
      <c r="G1339" s="1089"/>
      <c r="H1339" s="1089"/>
      <c r="I1339" s="1104"/>
      <c r="J1339" s="1104"/>
      <c r="K1339" s="1886"/>
      <c r="L1339" s="1886"/>
      <c r="M1339" s="1886"/>
      <c r="N1339" s="1886"/>
      <c r="O1339" s="1886"/>
      <c r="P1339" s="1886"/>
      <c r="Q1339" s="1886"/>
      <c r="R1339" s="1886"/>
      <c r="S1339" s="1886"/>
      <c r="T1339" s="1886"/>
      <c r="U1339" s="1886"/>
      <c r="V1339" s="1886"/>
      <c r="W1339" s="1886"/>
      <c r="X1339" s="1886"/>
      <c r="Y1339" s="1886"/>
      <c r="Z1339" s="1886"/>
      <c r="AA1339" s="1886"/>
      <c r="AB1339" s="1091"/>
      <c r="AC1339" s="1091" t="s">
        <v>228</v>
      </c>
      <c r="AD1339" s="1091"/>
      <c r="AE1339" s="1105"/>
      <c r="AG1339" s="4280" t="s">
        <v>89</v>
      </c>
      <c r="AH1339" s="4280"/>
      <c r="AI1339" s="4535"/>
      <c r="AJ1339" s="4535"/>
      <c r="AK1339" s="4535"/>
      <c r="AL1339" s="4535"/>
      <c r="AM1339" s="4535"/>
      <c r="AN1339" s="4535"/>
      <c r="AO1339" s="4535"/>
      <c r="AP1339" s="4535"/>
      <c r="AQ1339" s="4535"/>
      <c r="AR1339" s="4535"/>
      <c r="AS1339" s="4535"/>
      <c r="AT1339" s="4535"/>
      <c r="AU1339" s="4535"/>
      <c r="AV1339" s="4535"/>
      <c r="AW1339" s="4535"/>
      <c r="AX1339" s="4535"/>
      <c r="AY1339" s="4535"/>
      <c r="AZ1339" s="4535"/>
      <c r="BA1339" s="4535"/>
      <c r="BB1339" s="4535"/>
      <c r="BC1339" s="4535"/>
      <c r="BD1339" s="4535"/>
      <c r="BE1339" s="4535"/>
      <c r="BF1339" s="4535"/>
      <c r="BG1339" s="4535"/>
      <c r="BH1339" s="20">
        <f>AVERAGE(AD1319:AD1350)</f>
        <v>48.15897767950451</v>
      </c>
      <c r="BI1339" s="20">
        <f>BG1340/AU1340*100</f>
        <v>260.71428571428572</v>
      </c>
      <c r="BJ1339" s="981"/>
    </row>
    <row r="1340" spans="1:62" customFormat="1" ht="15" customHeight="1">
      <c r="A1340" s="4244" t="s">
        <v>89</v>
      </c>
      <c r="B1340" s="4244"/>
      <c r="C1340" s="4245"/>
      <c r="D1340" s="4245"/>
      <c r="E1340" s="4245"/>
      <c r="F1340" s="4245"/>
      <c r="G1340" s="4245"/>
      <c r="H1340" s="4245"/>
      <c r="I1340" s="4245"/>
      <c r="J1340" s="4245"/>
      <c r="K1340" s="4245"/>
      <c r="L1340" s="4245"/>
      <c r="M1340" s="4245"/>
      <c r="N1340" s="4245"/>
      <c r="O1340" s="4245"/>
      <c r="P1340" s="4245"/>
      <c r="Q1340" s="4245"/>
      <c r="R1340" s="4245"/>
      <c r="S1340" s="4245"/>
      <c r="T1340" s="4245"/>
      <c r="U1340" s="4245"/>
      <c r="V1340" s="4245"/>
      <c r="W1340" s="4245"/>
      <c r="X1340" s="4245"/>
      <c r="Y1340" s="4245"/>
      <c r="Z1340" s="4245"/>
      <c r="AA1340" s="4245"/>
      <c r="AB1340" s="4245"/>
      <c r="AC1340" s="1106">
        <f>AVERAGE(AC1336+AC1317+AC1302+AC1288)</f>
        <v>103.7659621901195</v>
      </c>
      <c r="AD1340" s="1107">
        <f>AB1342/P1342*100</f>
        <v>214.79997116905039</v>
      </c>
      <c r="AE1340" s="1108"/>
      <c r="AG1340" s="4536" t="s">
        <v>100</v>
      </c>
      <c r="AH1340" s="4536"/>
      <c r="AI1340" s="4536"/>
      <c r="AJ1340" s="4536"/>
      <c r="AK1340" s="4536"/>
      <c r="AL1340" s="4536"/>
      <c r="AM1340" s="4536"/>
      <c r="AN1340" s="4536"/>
      <c r="AO1340" s="4536"/>
      <c r="AP1340" s="4536"/>
      <c r="AQ1340" s="4536"/>
      <c r="AR1340" s="4536"/>
      <c r="AS1340" s="4536"/>
      <c r="AT1340" s="4536"/>
      <c r="AU1340" s="30">
        <f>Q1319+Q1330+Q1335+Q1347</f>
        <v>10</v>
      </c>
      <c r="AV1340" s="4537"/>
      <c r="AW1340" s="4537"/>
      <c r="AX1340" s="4537"/>
      <c r="AY1340" s="4537"/>
      <c r="AZ1340" s="4537"/>
      <c r="BA1340" s="4537"/>
      <c r="BB1340" s="4537"/>
      <c r="BC1340" s="4537"/>
      <c r="BD1340" s="4537"/>
      <c r="BE1340" s="4537"/>
      <c r="BF1340" s="4537"/>
      <c r="BG1340" s="30">
        <f>AC1347+AC1335+AC1330+AC1319</f>
        <v>26.071428571428573</v>
      </c>
      <c r="BH1340" s="1109"/>
      <c r="BI1340" s="1109"/>
      <c r="BJ1340" s="1109"/>
    </row>
    <row r="1341" spans="1:62" customFormat="1" ht="15" customHeight="1">
      <c r="A1341" s="4244" t="s">
        <v>90</v>
      </c>
      <c r="B1341" s="4244"/>
      <c r="C1341" s="4245"/>
      <c r="D1341" s="4245"/>
      <c r="E1341" s="4245"/>
      <c r="F1341" s="4245"/>
      <c r="G1341" s="4245"/>
      <c r="H1341" s="4245"/>
      <c r="I1341" s="4245"/>
      <c r="J1341" s="4245"/>
      <c r="K1341" s="4245"/>
      <c r="L1341" s="4245"/>
      <c r="M1341" s="4245"/>
      <c r="N1341" s="4245"/>
      <c r="O1341" s="4245"/>
      <c r="P1341" s="4245"/>
      <c r="Q1341" s="4245"/>
      <c r="R1341" s="4245"/>
      <c r="S1341" s="4245"/>
      <c r="T1341" s="4245"/>
      <c r="U1341" s="4245"/>
      <c r="V1341" s="4245"/>
      <c r="W1341" s="4245"/>
      <c r="X1341" s="4245"/>
      <c r="Y1341" s="4245"/>
      <c r="Z1341" s="4245"/>
      <c r="AA1341" s="4245"/>
      <c r="AB1341" s="4245"/>
      <c r="AC1341" s="1110" t="str">
        <f>IF(AC1340&gt;=45,"ST",IF(AC1340&gt;=38,"T",IF(AC1340&gt;=32,"S",IF(AC1340&gt;=25,"R","SR"))))</f>
        <v>ST</v>
      </c>
      <c r="AD1341" s="1111" t="str">
        <f>IF(AD1340&gt;=45,"ST",IF(AD1340&gt;=38,"T",IF(AD1340&gt;=32,"S",IF(AD1340&gt;=25,"R","SR"))))</f>
        <v>ST</v>
      </c>
      <c r="AE1341" s="1108"/>
    </row>
    <row r="1342" spans="1:62" customFormat="1" ht="15" customHeight="1">
      <c r="A1342" s="4529" t="s">
        <v>100</v>
      </c>
      <c r="B1342" s="4529"/>
      <c r="C1342" s="4529"/>
      <c r="D1342" s="4529"/>
      <c r="E1342" s="4529"/>
      <c r="F1342" s="4529"/>
      <c r="G1342" s="4529"/>
      <c r="H1342" s="4529"/>
      <c r="I1342" s="4529"/>
      <c r="J1342" s="4529"/>
      <c r="K1342" s="4529"/>
      <c r="L1342" s="4529"/>
      <c r="M1342" s="4529"/>
      <c r="N1342" s="4529"/>
      <c r="O1342" s="4529"/>
      <c r="P1342" s="1112">
        <f>+P1336+P1317+P1315+P1311+P1302+P1288</f>
        <v>3246219817</v>
      </c>
      <c r="Q1342" s="4519"/>
      <c r="R1342" s="4519"/>
      <c r="S1342" s="4519"/>
      <c r="T1342" s="4519"/>
      <c r="U1342" s="4519"/>
      <c r="V1342" s="4519"/>
      <c r="W1342" s="4519"/>
      <c r="X1342" s="4519"/>
      <c r="Y1342" s="4519"/>
      <c r="Z1342" s="4519"/>
      <c r="AA1342" s="4519"/>
      <c r="AB1342" s="1112">
        <f>+AB1336+AB1317+AB1315+AB1311+AB1302+AB1288</f>
        <v>6972879231</v>
      </c>
      <c r="AC1342" s="1113"/>
      <c r="AD1342" s="1113"/>
      <c r="AE1342" s="1113"/>
    </row>
    <row r="1343" spans="1:62" customFormat="1" ht="15">
      <c r="A1343" s="4530" t="s">
        <v>1517</v>
      </c>
      <c r="B1343" s="4530"/>
      <c r="C1343" s="4530"/>
      <c r="D1343" s="4530"/>
      <c r="E1343" s="4530"/>
      <c r="F1343" s="4530"/>
      <c r="G1343" s="4530"/>
      <c r="H1343" s="4530"/>
      <c r="I1343" s="4530"/>
      <c r="J1343" s="4530"/>
      <c r="K1343" s="4530"/>
      <c r="L1343" s="4530"/>
      <c r="M1343" s="4530"/>
      <c r="N1343" s="4530"/>
      <c r="O1343" s="4530"/>
      <c r="P1343" s="4530"/>
      <c r="Q1343" s="4530"/>
      <c r="R1343" s="4530"/>
      <c r="S1343" s="4530"/>
      <c r="T1343" s="4530"/>
      <c r="U1343" s="4530"/>
      <c r="V1343" s="4530"/>
      <c r="W1343" s="4530"/>
      <c r="X1343" s="4530"/>
      <c r="Y1343" s="4530"/>
      <c r="Z1343" s="4530"/>
      <c r="AA1343" s="4530"/>
      <c r="AB1343" s="4530"/>
      <c r="AC1343" s="4530"/>
      <c r="AD1343" s="4530"/>
      <c r="AE1343" s="4530"/>
    </row>
    <row r="1344" spans="1:62" customFormat="1" ht="15">
      <c r="A1344" s="4530" t="s">
        <v>1518</v>
      </c>
      <c r="B1344" s="4530"/>
      <c r="C1344" s="4530"/>
      <c r="D1344" s="4530"/>
      <c r="E1344" s="4530"/>
      <c r="F1344" s="4530"/>
      <c r="G1344" s="4530"/>
      <c r="H1344" s="4530"/>
      <c r="I1344" s="4530"/>
      <c r="J1344" s="4530"/>
      <c r="K1344" s="4530"/>
      <c r="L1344" s="4530"/>
      <c r="M1344" s="4530"/>
      <c r="N1344" s="4530"/>
      <c r="O1344" s="4530"/>
      <c r="P1344" s="4530"/>
      <c r="Q1344" s="4530"/>
      <c r="R1344" s="4530"/>
      <c r="S1344" s="4530"/>
      <c r="T1344" s="4530"/>
      <c r="U1344" s="4530"/>
      <c r="V1344" s="4530"/>
      <c r="W1344" s="4530"/>
      <c r="X1344" s="4530"/>
      <c r="Y1344" s="4530"/>
      <c r="Z1344" s="4530"/>
      <c r="AA1344" s="4530"/>
      <c r="AB1344" s="4530"/>
      <c r="AC1344" s="4530"/>
      <c r="AD1344" s="4530"/>
      <c r="AE1344" s="4530"/>
    </row>
    <row r="1345" spans="1:31" customFormat="1" ht="15">
      <c r="A1345" s="4531" t="s">
        <v>1519</v>
      </c>
      <c r="B1345" s="4531"/>
      <c r="C1345" s="4531"/>
      <c r="D1345" s="4531"/>
      <c r="E1345" s="4531"/>
      <c r="F1345" s="4531"/>
      <c r="G1345" s="4531"/>
      <c r="H1345" s="4531"/>
      <c r="I1345" s="4531"/>
      <c r="J1345" s="4531"/>
      <c r="K1345" s="4531"/>
      <c r="L1345" s="4531"/>
      <c r="M1345" s="4531"/>
      <c r="N1345" s="4531"/>
      <c r="O1345" s="4531"/>
      <c r="P1345" s="4531"/>
      <c r="Q1345" s="4531"/>
      <c r="R1345" s="4531"/>
      <c r="S1345" s="4531"/>
      <c r="T1345" s="4531"/>
      <c r="U1345" s="4531"/>
      <c r="V1345" s="4531"/>
      <c r="W1345" s="4531"/>
      <c r="X1345" s="4531"/>
      <c r="Y1345" s="4531"/>
      <c r="Z1345" s="4531"/>
      <c r="AA1345" s="4531"/>
      <c r="AB1345" s="4531"/>
      <c r="AC1345" s="4531"/>
      <c r="AD1345" s="4531"/>
      <c r="AE1345" s="4531"/>
    </row>
    <row r="1346" spans="1:31" ht="58.5" customHeight="1">
      <c r="A1346" s="64"/>
      <c r="B1346" s="755"/>
      <c r="C1346" s="64"/>
      <c r="D1346" s="64"/>
      <c r="E1346" s="64"/>
      <c r="F1346" s="64"/>
      <c r="G1346" s="64"/>
      <c r="H1346" s="64"/>
      <c r="I1346" s="754"/>
      <c r="J1346" s="756"/>
      <c r="K1346" s="64"/>
      <c r="L1346" s="64"/>
      <c r="M1346" s="64"/>
      <c r="N1346" s="64"/>
      <c r="O1346" s="64"/>
      <c r="P1346" s="64"/>
      <c r="Q1346" s="64"/>
      <c r="R1346" s="64"/>
      <c r="S1346" s="64"/>
      <c r="T1346" s="64"/>
      <c r="U1346" s="64"/>
      <c r="V1346" s="64"/>
      <c r="W1346" s="64"/>
      <c r="X1346" s="64"/>
      <c r="Y1346" s="729"/>
      <c r="Z1346" s="64"/>
      <c r="AA1346" s="64"/>
      <c r="AB1346" s="64"/>
      <c r="AC1346" s="64"/>
      <c r="AD1346" s="64"/>
      <c r="AE1346" s="64"/>
    </row>
    <row r="1347" spans="1:31" s="69" customFormat="1" ht="24.75" customHeight="1">
      <c r="A1347" s="67">
        <v>32</v>
      </c>
      <c r="B1347" s="1080"/>
      <c r="C1347" s="67"/>
      <c r="D1347" s="67"/>
      <c r="E1347" s="67"/>
      <c r="F1347" s="67"/>
      <c r="G1347" s="67"/>
      <c r="H1347" s="67"/>
      <c r="I1347" s="68" t="s">
        <v>219</v>
      </c>
      <c r="J1347" s="67"/>
      <c r="K1347" s="67"/>
      <c r="L1347" s="67"/>
      <c r="M1347" s="67"/>
      <c r="N1347" s="67"/>
      <c r="O1347" s="67"/>
      <c r="P1347" s="67"/>
      <c r="Q1347" s="67"/>
      <c r="R1347" s="67"/>
      <c r="S1347" s="67"/>
      <c r="T1347" s="67"/>
      <c r="U1347" s="67"/>
      <c r="V1347" s="67"/>
      <c r="W1347" s="67"/>
      <c r="X1347" s="67"/>
      <c r="Y1347" s="366"/>
      <c r="Z1347" s="67"/>
      <c r="AA1347" s="67"/>
      <c r="AB1347" s="67"/>
      <c r="AC1347" s="67"/>
      <c r="AD1347" s="67"/>
      <c r="AE1347" s="67"/>
    </row>
    <row r="1348" spans="1:31" ht="18" customHeight="1">
      <c r="A1348" s="64"/>
      <c r="B1348" s="64"/>
      <c r="C1348" s="64"/>
      <c r="D1348" s="64"/>
      <c r="E1348" s="64"/>
      <c r="F1348" s="64"/>
      <c r="G1348" s="64"/>
      <c r="H1348" s="64"/>
      <c r="I1348" s="64"/>
      <c r="J1348" s="64"/>
      <c r="K1348" s="64"/>
      <c r="L1348" s="64"/>
      <c r="M1348" s="64"/>
      <c r="N1348" s="64"/>
      <c r="O1348" s="64"/>
      <c r="P1348" s="64"/>
      <c r="Q1348" s="64"/>
      <c r="R1348" s="64"/>
      <c r="S1348" s="64"/>
      <c r="T1348" s="64"/>
      <c r="U1348" s="64"/>
      <c r="V1348" s="64"/>
      <c r="W1348" s="64"/>
      <c r="X1348" s="64"/>
      <c r="Y1348" s="729"/>
      <c r="Z1348" s="64"/>
      <c r="AA1348" s="64"/>
      <c r="AB1348" s="64"/>
      <c r="AC1348" s="64"/>
      <c r="AD1348" s="64"/>
      <c r="AE1348" s="64"/>
    </row>
    <row r="1349" spans="1:31" s="69" customFormat="1" ht="24.75" customHeight="1">
      <c r="A1349" s="67">
        <v>33</v>
      </c>
      <c r="B1349" s="67"/>
      <c r="C1349" s="67"/>
      <c r="D1349" s="67"/>
      <c r="E1349" s="67"/>
      <c r="F1349" s="67"/>
      <c r="G1349" s="67"/>
      <c r="H1349" s="67"/>
      <c r="I1349" s="68" t="s">
        <v>220</v>
      </c>
      <c r="J1349" s="67"/>
      <c r="K1349" s="67"/>
      <c r="L1349" s="67"/>
      <c r="M1349" s="67"/>
      <c r="N1349" s="67"/>
      <c r="O1349" s="67"/>
      <c r="P1349" s="67"/>
      <c r="Q1349" s="67"/>
      <c r="R1349" s="67"/>
      <c r="S1349" s="67"/>
      <c r="T1349" s="67"/>
      <c r="U1349" s="67"/>
      <c r="V1349" s="67"/>
      <c r="W1349" s="67"/>
      <c r="X1349" s="67"/>
      <c r="Y1349" s="366"/>
      <c r="Z1349" s="67"/>
      <c r="AA1349" s="67"/>
      <c r="AB1349" s="67"/>
      <c r="AC1349" s="67"/>
      <c r="AD1349" s="67"/>
      <c r="AE1349" s="67"/>
    </row>
    <row r="1350" spans="1:31" ht="22.5" customHeight="1">
      <c r="A1350" s="4554" t="s">
        <v>222</v>
      </c>
      <c r="B1350" s="4555"/>
      <c r="C1350" s="4555"/>
      <c r="D1350" s="4555"/>
      <c r="E1350" s="4555"/>
      <c r="F1350" s="4555"/>
      <c r="G1350" s="4555"/>
      <c r="H1350" s="4555"/>
      <c r="I1350" s="4555"/>
      <c r="J1350" s="4555"/>
      <c r="K1350" s="4555"/>
      <c r="L1350" s="4555"/>
      <c r="M1350" s="4555"/>
      <c r="N1350" s="4555"/>
      <c r="O1350" s="4555"/>
      <c r="P1350" s="4555"/>
      <c r="Q1350" s="4555"/>
      <c r="R1350" s="4555"/>
      <c r="S1350" s="4555"/>
      <c r="T1350" s="4555"/>
      <c r="U1350" s="4555"/>
      <c r="V1350" s="4555"/>
      <c r="W1350" s="4555"/>
      <c r="X1350" s="4555"/>
      <c r="Y1350" s="4555"/>
      <c r="Z1350" s="4555"/>
      <c r="AA1350" s="4555"/>
      <c r="AB1350" s="4555"/>
      <c r="AC1350" s="4555"/>
      <c r="AD1350" s="4555"/>
      <c r="AE1350" s="4556"/>
    </row>
    <row r="1351" spans="1:31" s="616" customFormat="1" ht="81.75" customHeight="1">
      <c r="A1351" s="2191" t="s">
        <v>66</v>
      </c>
      <c r="B1351" s="2262" t="s">
        <v>2821</v>
      </c>
      <c r="C1351" s="2191">
        <v>3</v>
      </c>
      <c r="D1351" s="2191" t="s">
        <v>107</v>
      </c>
      <c r="E1351" s="2191" t="s">
        <v>196</v>
      </c>
      <c r="F1351" s="2191" t="s">
        <v>66</v>
      </c>
      <c r="G1351" s="2191"/>
      <c r="H1351" s="2191"/>
      <c r="I1351" s="2192" t="s">
        <v>221</v>
      </c>
      <c r="J1351" s="1374"/>
      <c r="K1351" s="2193"/>
      <c r="L1351" s="2194">
        <f>L1352+L1353+L1354+L1355+L1356+L1357+L1358+L1359+L1360+L1361+L1362</f>
        <v>9596926960</v>
      </c>
      <c r="M1351" s="2195"/>
      <c r="N1351" s="2196">
        <f>N1352+N1353+N1354+N1355+N1356+N1357+N1358+N1359+N1360+N1361+N1362+N1363</f>
        <v>2241606193</v>
      </c>
      <c r="O1351" s="2197"/>
      <c r="P1351" s="2198">
        <f>P1352+P1353+P1354+P1355+P1356+P1357+P1358+P1359+P1360+P1361+P1362</f>
        <v>1529446675</v>
      </c>
      <c r="Q1351" s="2195"/>
      <c r="R1351" s="2199">
        <f>R1352+R1353+R1354+R1355+R1356+R1357+R1358+R1359+R1360+R1361+R1362+R1363</f>
        <v>161531792</v>
      </c>
      <c r="S1351" s="2199"/>
      <c r="T1351" s="2199"/>
      <c r="U1351" s="2199"/>
      <c r="V1351" s="2199"/>
      <c r="W1351" s="2199"/>
      <c r="X1351" s="2199"/>
      <c r="Y1351" s="2195"/>
      <c r="Z1351" s="2200">
        <f>R1351</f>
        <v>161531792</v>
      </c>
      <c r="AA1351" s="2201"/>
      <c r="AB1351" s="2200">
        <f>AB1352+AB1353+AB1354+AB1355+AB1356+AB1357+AB1358+AB1359+AB1360+AB1361+AB1362+AB1363</f>
        <v>2403137985</v>
      </c>
      <c r="AC1351" s="2202"/>
      <c r="AD1351" s="2203"/>
      <c r="AE1351" s="2203"/>
    </row>
    <row r="1352" spans="1:31" s="385" customFormat="1" ht="60.75" customHeight="1">
      <c r="A1352" s="1781"/>
      <c r="B1352" s="2192"/>
      <c r="C1352" s="2191">
        <v>3</v>
      </c>
      <c r="D1352" s="2191" t="s">
        <v>107</v>
      </c>
      <c r="E1352" s="2191" t="s">
        <v>196</v>
      </c>
      <c r="F1352" s="2191" t="s">
        <v>66</v>
      </c>
      <c r="G1352" s="1781" t="s">
        <v>65</v>
      </c>
      <c r="H1352" s="1781"/>
      <c r="I1352" s="1762" t="s">
        <v>1521</v>
      </c>
      <c r="J1352" s="1385" t="s">
        <v>2822</v>
      </c>
      <c r="K1352" s="2205">
        <v>72</v>
      </c>
      <c r="L1352" s="2186">
        <v>1032900000</v>
      </c>
      <c r="M1352" s="2205">
        <v>24</v>
      </c>
      <c r="N1352" s="2208">
        <v>287896053</v>
      </c>
      <c r="O1352" s="2205">
        <v>12</v>
      </c>
      <c r="P1352" s="2186">
        <v>167400000</v>
      </c>
      <c r="Q1352" s="2205">
        <v>3</v>
      </c>
      <c r="R1352" s="2186">
        <v>42712654</v>
      </c>
      <c r="S1352" s="2186">
        <v>0</v>
      </c>
      <c r="T1352" s="2186">
        <v>0</v>
      </c>
      <c r="U1352" s="2186">
        <v>0</v>
      </c>
      <c r="V1352" s="2186">
        <v>0</v>
      </c>
      <c r="W1352" s="2186">
        <v>0</v>
      </c>
      <c r="X1352" s="2186">
        <v>0</v>
      </c>
      <c r="Y1352" s="2205">
        <f>Q1352</f>
        <v>3</v>
      </c>
      <c r="Z1352" s="2186">
        <f>R1352</f>
        <v>42712654</v>
      </c>
      <c r="AA1352" s="2205">
        <f t="shared" ref="AA1352:AB1363" si="265">M1352+Y1352</f>
        <v>27</v>
      </c>
      <c r="AB1352" s="2209">
        <f t="shared" si="265"/>
        <v>330608707</v>
      </c>
      <c r="AC1352" s="2210">
        <f t="shared" ref="AC1352:AD1362" si="266">AA1352/K1352*100%</f>
        <v>0.375</v>
      </c>
      <c r="AD1352" s="2210">
        <f t="shared" si="266"/>
        <v>0.32007813631522897</v>
      </c>
      <c r="AE1352" s="2207" t="s">
        <v>222</v>
      </c>
    </row>
    <row r="1353" spans="1:31" s="385" customFormat="1" ht="78" customHeight="1">
      <c r="A1353" s="1781"/>
      <c r="B1353" s="2211"/>
      <c r="C1353" s="2191">
        <v>3</v>
      </c>
      <c r="D1353" s="2191" t="s">
        <v>107</v>
      </c>
      <c r="E1353" s="2191" t="s">
        <v>196</v>
      </c>
      <c r="F1353" s="2191" t="s">
        <v>66</v>
      </c>
      <c r="G1353" s="1781" t="s">
        <v>198</v>
      </c>
      <c r="H1353" s="1781"/>
      <c r="I1353" s="1762" t="s">
        <v>1287</v>
      </c>
      <c r="J1353" s="1385" t="s">
        <v>2823</v>
      </c>
      <c r="K1353" s="2204">
        <v>72</v>
      </c>
      <c r="L1353" s="2186">
        <v>4152757712</v>
      </c>
      <c r="M1353" s="2205">
        <v>24</v>
      </c>
      <c r="N1353" s="2208">
        <v>461759940</v>
      </c>
      <c r="O1353" s="2205">
        <v>12</v>
      </c>
      <c r="P1353" s="2186">
        <v>841996200</v>
      </c>
      <c r="Q1353" s="2205">
        <v>3</v>
      </c>
      <c r="R1353" s="2186">
        <v>30434566</v>
      </c>
      <c r="S1353" s="2186">
        <v>0</v>
      </c>
      <c r="T1353" s="2186">
        <v>0</v>
      </c>
      <c r="U1353" s="2186">
        <v>0</v>
      </c>
      <c r="V1353" s="2186">
        <v>0</v>
      </c>
      <c r="W1353" s="2186">
        <v>0</v>
      </c>
      <c r="X1353" s="2186">
        <v>0</v>
      </c>
      <c r="Y1353" s="2205">
        <v>3</v>
      </c>
      <c r="Z1353" s="2186">
        <f t="shared" ref="Z1353:Z1429" si="267">R1353</f>
        <v>30434566</v>
      </c>
      <c r="AA1353" s="2205">
        <f t="shared" si="265"/>
        <v>27</v>
      </c>
      <c r="AB1353" s="2209">
        <f t="shared" si="265"/>
        <v>492194506</v>
      </c>
      <c r="AC1353" s="2210">
        <f t="shared" si="266"/>
        <v>0.375</v>
      </c>
      <c r="AD1353" s="2210">
        <f t="shared" si="266"/>
        <v>0.11852232664037492</v>
      </c>
      <c r="AE1353" s="2207" t="s">
        <v>222</v>
      </c>
    </row>
    <row r="1354" spans="1:31" s="385" customFormat="1" ht="56.25" customHeight="1">
      <c r="A1354" s="1781"/>
      <c r="B1354" s="2211"/>
      <c r="C1354" s="2191">
        <v>3</v>
      </c>
      <c r="D1354" s="2191" t="s">
        <v>107</v>
      </c>
      <c r="E1354" s="2191" t="s">
        <v>196</v>
      </c>
      <c r="F1354" s="2191" t="s">
        <v>66</v>
      </c>
      <c r="G1354" s="1781" t="s">
        <v>93</v>
      </c>
      <c r="H1354" s="1781"/>
      <c r="I1354" s="1762" t="s">
        <v>149</v>
      </c>
      <c r="J1354" s="1385" t="s">
        <v>2824</v>
      </c>
      <c r="K1354" s="2204">
        <v>72</v>
      </c>
      <c r="L1354" s="2186">
        <v>957500000</v>
      </c>
      <c r="M1354" s="2205">
        <v>24</v>
      </c>
      <c r="N1354" s="2208">
        <v>287010570</v>
      </c>
      <c r="O1354" s="2205">
        <v>12</v>
      </c>
      <c r="P1354" s="2186">
        <v>152250000</v>
      </c>
      <c r="Q1354" s="2205">
        <v>3</v>
      </c>
      <c r="R1354" s="2186">
        <v>0</v>
      </c>
      <c r="S1354" s="2186">
        <v>0</v>
      </c>
      <c r="T1354" s="2186">
        <v>0</v>
      </c>
      <c r="U1354" s="2186">
        <v>0</v>
      </c>
      <c r="V1354" s="2186">
        <v>0</v>
      </c>
      <c r="W1354" s="2186">
        <v>0</v>
      </c>
      <c r="X1354" s="2186">
        <v>0</v>
      </c>
      <c r="Y1354" s="2205">
        <f>Q1354</f>
        <v>3</v>
      </c>
      <c r="Z1354" s="2186">
        <f t="shared" si="267"/>
        <v>0</v>
      </c>
      <c r="AA1354" s="2205">
        <f t="shared" si="265"/>
        <v>27</v>
      </c>
      <c r="AB1354" s="2209">
        <f t="shared" si="265"/>
        <v>287010570</v>
      </c>
      <c r="AC1354" s="2210">
        <f t="shared" si="266"/>
        <v>0.375</v>
      </c>
      <c r="AD1354" s="2210">
        <f t="shared" si="266"/>
        <v>0.29974994255874676</v>
      </c>
      <c r="AE1354" s="2207" t="s">
        <v>222</v>
      </c>
    </row>
    <row r="1355" spans="1:31" s="385" customFormat="1" ht="57.75" customHeight="1">
      <c r="A1355" s="1781"/>
      <c r="B1355" s="2211"/>
      <c r="C1355" s="2191">
        <v>3</v>
      </c>
      <c r="D1355" s="2191" t="s">
        <v>107</v>
      </c>
      <c r="E1355" s="2191" t="s">
        <v>196</v>
      </c>
      <c r="F1355" s="2191" t="s">
        <v>66</v>
      </c>
      <c r="G1355" s="1523">
        <v>10</v>
      </c>
      <c r="H1355" s="1523"/>
      <c r="I1355" s="1762" t="s">
        <v>1529</v>
      </c>
      <c r="J1355" s="1385" t="s">
        <v>2825</v>
      </c>
      <c r="K1355" s="2204">
        <v>72</v>
      </c>
      <c r="L1355" s="2186">
        <v>320908386</v>
      </c>
      <c r="M1355" s="2205">
        <v>24</v>
      </c>
      <c r="N1355" s="2186">
        <v>109499082</v>
      </c>
      <c r="O1355" s="2205">
        <v>12</v>
      </c>
      <c r="P1355" s="2186">
        <v>31898768</v>
      </c>
      <c r="Q1355" s="2205">
        <v>3</v>
      </c>
      <c r="R1355" s="2186">
        <v>1695300</v>
      </c>
      <c r="S1355" s="2186">
        <v>0</v>
      </c>
      <c r="T1355" s="2186">
        <v>0</v>
      </c>
      <c r="U1355" s="2186">
        <v>0</v>
      </c>
      <c r="V1355" s="2186">
        <v>0</v>
      </c>
      <c r="W1355" s="2186">
        <v>0</v>
      </c>
      <c r="X1355" s="2186">
        <v>0</v>
      </c>
      <c r="Y1355" s="2205">
        <f t="shared" ref="Y1355:Y1429" si="268">Q1355</f>
        <v>3</v>
      </c>
      <c r="Z1355" s="2186">
        <f t="shared" si="267"/>
        <v>1695300</v>
      </c>
      <c r="AA1355" s="2205">
        <f t="shared" si="265"/>
        <v>27</v>
      </c>
      <c r="AB1355" s="2209">
        <f t="shared" si="265"/>
        <v>111194382</v>
      </c>
      <c r="AC1355" s="2210">
        <f t="shared" si="266"/>
        <v>0.375</v>
      </c>
      <c r="AD1355" s="2210">
        <f t="shared" si="266"/>
        <v>0.34649883534050119</v>
      </c>
      <c r="AE1355" s="2207" t="s">
        <v>222</v>
      </c>
    </row>
    <row r="1356" spans="1:31" s="385" customFormat="1" ht="64.5" customHeight="1">
      <c r="A1356" s="1781"/>
      <c r="B1356" s="2211"/>
      <c r="C1356" s="2191">
        <v>3</v>
      </c>
      <c r="D1356" s="2191" t="s">
        <v>107</v>
      </c>
      <c r="E1356" s="2191" t="s">
        <v>196</v>
      </c>
      <c r="F1356" s="2191" t="s">
        <v>66</v>
      </c>
      <c r="G1356" s="1523">
        <v>11</v>
      </c>
      <c r="H1356" s="1523"/>
      <c r="I1356" s="1762" t="s">
        <v>2826</v>
      </c>
      <c r="J1356" s="1385" t="s">
        <v>2827</v>
      </c>
      <c r="K1356" s="2204">
        <v>72</v>
      </c>
      <c r="L1356" s="2186">
        <v>243141229</v>
      </c>
      <c r="M1356" s="2205">
        <v>24</v>
      </c>
      <c r="N1356" s="2186">
        <v>79200836</v>
      </c>
      <c r="O1356" s="2205">
        <v>12</v>
      </c>
      <c r="P1356" s="2186">
        <v>34130530</v>
      </c>
      <c r="Q1356" s="2205">
        <v>3</v>
      </c>
      <c r="R1356" s="2186">
        <v>2475000</v>
      </c>
      <c r="S1356" s="2186">
        <v>0</v>
      </c>
      <c r="T1356" s="2186">
        <v>0</v>
      </c>
      <c r="U1356" s="2186">
        <v>0</v>
      </c>
      <c r="V1356" s="2186">
        <v>0</v>
      </c>
      <c r="W1356" s="2186">
        <v>0</v>
      </c>
      <c r="X1356" s="2186">
        <v>0</v>
      </c>
      <c r="Y1356" s="2205">
        <f t="shared" si="268"/>
        <v>3</v>
      </c>
      <c r="Z1356" s="2186">
        <f t="shared" si="267"/>
        <v>2475000</v>
      </c>
      <c r="AA1356" s="2205">
        <f t="shared" si="265"/>
        <v>27</v>
      </c>
      <c r="AB1356" s="2209">
        <f t="shared" si="265"/>
        <v>81675836</v>
      </c>
      <c r="AC1356" s="2210">
        <f t="shared" si="266"/>
        <v>0.375</v>
      </c>
      <c r="AD1356" s="2210">
        <f t="shared" si="266"/>
        <v>0.33591931872648384</v>
      </c>
      <c r="AE1356" s="2207" t="s">
        <v>222</v>
      </c>
    </row>
    <row r="1357" spans="1:31" s="385" customFormat="1" ht="65.25" customHeight="1">
      <c r="A1357" s="1781"/>
      <c r="B1357" s="2211"/>
      <c r="C1357" s="2191">
        <v>3</v>
      </c>
      <c r="D1357" s="2191" t="s">
        <v>107</v>
      </c>
      <c r="E1357" s="2191" t="s">
        <v>196</v>
      </c>
      <c r="F1357" s="2191" t="s">
        <v>66</v>
      </c>
      <c r="G1357" s="1523">
        <v>12</v>
      </c>
      <c r="H1357" s="1523"/>
      <c r="I1357" s="1762" t="s">
        <v>2828</v>
      </c>
      <c r="J1357" s="1385" t="s">
        <v>2829</v>
      </c>
      <c r="K1357" s="2204">
        <v>72</v>
      </c>
      <c r="L1357" s="2186">
        <v>131754000</v>
      </c>
      <c r="M1357" s="2205">
        <v>24</v>
      </c>
      <c r="N1357" s="2186">
        <v>26495020</v>
      </c>
      <c r="O1357" s="2205">
        <v>12</v>
      </c>
      <c r="P1357" s="2186">
        <v>14850000</v>
      </c>
      <c r="Q1357" s="2205">
        <v>3</v>
      </c>
      <c r="R1357" s="2186">
        <v>7451000</v>
      </c>
      <c r="S1357" s="2186">
        <v>0</v>
      </c>
      <c r="T1357" s="2186">
        <v>0</v>
      </c>
      <c r="U1357" s="2186">
        <v>0</v>
      </c>
      <c r="V1357" s="2186">
        <v>0</v>
      </c>
      <c r="W1357" s="2186">
        <v>0</v>
      </c>
      <c r="X1357" s="2186">
        <v>0</v>
      </c>
      <c r="Y1357" s="2205">
        <v>3</v>
      </c>
      <c r="Z1357" s="2186">
        <f t="shared" si="267"/>
        <v>7451000</v>
      </c>
      <c r="AA1357" s="2205">
        <f t="shared" si="265"/>
        <v>27</v>
      </c>
      <c r="AB1357" s="2209">
        <f t="shared" si="265"/>
        <v>33946020</v>
      </c>
      <c r="AC1357" s="2210">
        <f t="shared" si="266"/>
        <v>0.375</v>
      </c>
      <c r="AD1357" s="2210">
        <f t="shared" si="266"/>
        <v>0.25764697845985701</v>
      </c>
      <c r="AE1357" s="2207" t="s">
        <v>222</v>
      </c>
    </row>
    <row r="1358" spans="1:31" s="385" customFormat="1" ht="59.25" customHeight="1">
      <c r="A1358" s="1781"/>
      <c r="B1358" s="2211"/>
      <c r="C1358" s="2191">
        <v>3</v>
      </c>
      <c r="D1358" s="2191" t="s">
        <v>107</v>
      </c>
      <c r="E1358" s="2191" t="s">
        <v>196</v>
      </c>
      <c r="F1358" s="2191" t="s">
        <v>66</v>
      </c>
      <c r="G1358" s="1523">
        <v>15</v>
      </c>
      <c r="H1358" s="1523"/>
      <c r="I1358" s="1762" t="s">
        <v>2830</v>
      </c>
      <c r="J1358" s="1385" t="s">
        <v>2831</v>
      </c>
      <c r="K1358" s="2204">
        <v>72</v>
      </c>
      <c r="L1358" s="2186">
        <v>123740000</v>
      </c>
      <c r="M1358" s="2205">
        <v>24</v>
      </c>
      <c r="N1358" s="2186">
        <v>14390000</v>
      </c>
      <c r="O1358" s="2205">
        <v>12</v>
      </c>
      <c r="P1358" s="2186">
        <v>13900000</v>
      </c>
      <c r="Q1358" s="2205">
        <v>3</v>
      </c>
      <c r="R1358" s="2186">
        <v>680000</v>
      </c>
      <c r="S1358" s="2186">
        <v>0</v>
      </c>
      <c r="T1358" s="2186">
        <v>0</v>
      </c>
      <c r="U1358" s="2186">
        <v>0</v>
      </c>
      <c r="V1358" s="2186">
        <v>0</v>
      </c>
      <c r="W1358" s="2186">
        <v>0</v>
      </c>
      <c r="X1358" s="2186">
        <v>0</v>
      </c>
      <c r="Y1358" s="2205">
        <f t="shared" si="268"/>
        <v>3</v>
      </c>
      <c r="Z1358" s="2186">
        <f t="shared" si="267"/>
        <v>680000</v>
      </c>
      <c r="AA1358" s="2205">
        <f t="shared" si="265"/>
        <v>27</v>
      </c>
      <c r="AB1358" s="2209">
        <f t="shared" si="265"/>
        <v>15070000</v>
      </c>
      <c r="AC1358" s="2210">
        <f t="shared" si="266"/>
        <v>0.375</v>
      </c>
      <c r="AD1358" s="2210">
        <f t="shared" si="266"/>
        <v>0.12178761920155164</v>
      </c>
      <c r="AE1358" s="2207" t="s">
        <v>222</v>
      </c>
    </row>
    <row r="1359" spans="1:31" s="385" customFormat="1" ht="57" customHeight="1">
      <c r="A1359" s="1781"/>
      <c r="B1359" s="2211"/>
      <c r="C1359" s="2191">
        <v>3</v>
      </c>
      <c r="D1359" s="2191" t="s">
        <v>107</v>
      </c>
      <c r="E1359" s="2191" t="s">
        <v>196</v>
      </c>
      <c r="F1359" s="2191" t="s">
        <v>66</v>
      </c>
      <c r="G1359" s="1523">
        <v>17</v>
      </c>
      <c r="H1359" s="1523"/>
      <c r="I1359" s="1762" t="s">
        <v>223</v>
      </c>
      <c r="J1359" s="1385" t="s">
        <v>2832</v>
      </c>
      <c r="K1359" s="2204">
        <v>72</v>
      </c>
      <c r="L1359" s="2186">
        <v>408485000</v>
      </c>
      <c r="M1359" s="2205">
        <v>24</v>
      </c>
      <c r="N1359" s="2186">
        <v>126600450</v>
      </c>
      <c r="O1359" s="2205">
        <v>12</v>
      </c>
      <c r="P1359" s="2186">
        <v>63475000</v>
      </c>
      <c r="Q1359" s="2205">
        <v>3</v>
      </c>
      <c r="R1359" s="2186">
        <v>8565200</v>
      </c>
      <c r="S1359" s="2186">
        <v>0</v>
      </c>
      <c r="T1359" s="2186">
        <v>0</v>
      </c>
      <c r="U1359" s="2186">
        <v>0</v>
      </c>
      <c r="V1359" s="2186">
        <v>0</v>
      </c>
      <c r="W1359" s="2186">
        <v>0</v>
      </c>
      <c r="X1359" s="2186">
        <v>0</v>
      </c>
      <c r="Y1359" s="2205">
        <f t="shared" si="268"/>
        <v>3</v>
      </c>
      <c r="Z1359" s="2186">
        <f t="shared" si="267"/>
        <v>8565200</v>
      </c>
      <c r="AA1359" s="2205">
        <f t="shared" si="265"/>
        <v>27</v>
      </c>
      <c r="AB1359" s="2209">
        <f t="shared" si="265"/>
        <v>135165650</v>
      </c>
      <c r="AC1359" s="2210">
        <f t="shared" si="266"/>
        <v>0.375</v>
      </c>
      <c r="AD1359" s="2210">
        <f t="shared" si="266"/>
        <v>0.33089501450481656</v>
      </c>
      <c r="AE1359" s="2207" t="s">
        <v>222</v>
      </c>
    </row>
    <row r="1360" spans="1:31" s="385" customFormat="1" ht="57.75" customHeight="1">
      <c r="A1360" s="1781"/>
      <c r="B1360" s="2211"/>
      <c r="C1360" s="2191">
        <v>3</v>
      </c>
      <c r="D1360" s="2191" t="s">
        <v>107</v>
      </c>
      <c r="E1360" s="2191" t="s">
        <v>196</v>
      </c>
      <c r="F1360" s="2191" t="s">
        <v>66</v>
      </c>
      <c r="G1360" s="1523">
        <v>18</v>
      </c>
      <c r="H1360" s="1523"/>
      <c r="I1360" s="1762" t="s">
        <v>2833</v>
      </c>
      <c r="J1360" s="1385" t="s">
        <v>2834</v>
      </c>
      <c r="K1360" s="2204">
        <v>72</v>
      </c>
      <c r="L1360" s="2186">
        <v>1329898900</v>
      </c>
      <c r="M1360" s="2205">
        <v>24</v>
      </c>
      <c r="N1360" s="2186">
        <v>572719419</v>
      </c>
      <c r="O1360" s="2205">
        <v>12</v>
      </c>
      <c r="P1360" s="2186">
        <v>126594700</v>
      </c>
      <c r="Q1360" s="2205">
        <v>3</v>
      </c>
      <c r="R1360" s="2186">
        <v>48368792</v>
      </c>
      <c r="S1360" s="2186">
        <v>0</v>
      </c>
      <c r="T1360" s="2186">
        <v>0</v>
      </c>
      <c r="U1360" s="2186">
        <v>0</v>
      </c>
      <c r="V1360" s="2186">
        <v>0</v>
      </c>
      <c r="W1360" s="2186">
        <v>0</v>
      </c>
      <c r="X1360" s="2186">
        <v>0</v>
      </c>
      <c r="Y1360" s="2205">
        <f t="shared" si="268"/>
        <v>3</v>
      </c>
      <c r="Z1360" s="2186">
        <f t="shared" si="267"/>
        <v>48368792</v>
      </c>
      <c r="AA1360" s="2205">
        <f t="shared" si="265"/>
        <v>27</v>
      </c>
      <c r="AB1360" s="2209">
        <f t="shared" si="265"/>
        <v>621088211</v>
      </c>
      <c r="AC1360" s="2210">
        <f t="shared" si="266"/>
        <v>0.375</v>
      </c>
      <c r="AD1360" s="2210">
        <f t="shared" si="266"/>
        <v>0.46701911776902738</v>
      </c>
      <c r="AE1360" s="2207" t="s">
        <v>222</v>
      </c>
    </row>
    <row r="1361" spans="1:31" s="385" customFormat="1" ht="63" customHeight="1">
      <c r="A1361" s="1781"/>
      <c r="B1361" s="2211"/>
      <c r="C1361" s="2191">
        <v>3</v>
      </c>
      <c r="D1361" s="2191" t="s">
        <v>107</v>
      </c>
      <c r="E1361" s="2191" t="s">
        <v>196</v>
      </c>
      <c r="F1361" s="2191" t="s">
        <v>66</v>
      </c>
      <c r="G1361" s="1523">
        <v>20</v>
      </c>
      <c r="H1361" s="1523"/>
      <c r="I1361" s="1762" t="s">
        <v>2835</v>
      </c>
      <c r="J1361" s="1385" t="s">
        <v>2836</v>
      </c>
      <c r="K1361" s="2204">
        <v>72</v>
      </c>
      <c r="L1361" s="2186">
        <v>313189600</v>
      </c>
      <c r="M1361" s="2205">
        <v>24</v>
      </c>
      <c r="N1361" s="2186">
        <v>134588874</v>
      </c>
      <c r="O1361" s="2205">
        <v>12</v>
      </c>
      <c r="P1361" s="2186">
        <v>47300000</v>
      </c>
      <c r="Q1361" s="2205">
        <v>3</v>
      </c>
      <c r="R1361" s="2186">
        <v>14347000</v>
      </c>
      <c r="S1361" s="2186">
        <v>0</v>
      </c>
      <c r="T1361" s="2186">
        <v>0</v>
      </c>
      <c r="U1361" s="2186">
        <v>0</v>
      </c>
      <c r="V1361" s="2186">
        <v>0</v>
      </c>
      <c r="W1361" s="2186">
        <v>0</v>
      </c>
      <c r="X1361" s="2186">
        <v>0</v>
      </c>
      <c r="Y1361" s="2205">
        <f t="shared" si="268"/>
        <v>3</v>
      </c>
      <c r="Z1361" s="2186">
        <f t="shared" si="267"/>
        <v>14347000</v>
      </c>
      <c r="AA1361" s="2205">
        <f t="shared" si="265"/>
        <v>27</v>
      </c>
      <c r="AB1361" s="2209">
        <f t="shared" si="265"/>
        <v>148935874</v>
      </c>
      <c r="AC1361" s="2210">
        <f t="shared" si="266"/>
        <v>0.375</v>
      </c>
      <c r="AD1361" s="2210">
        <f t="shared" si="266"/>
        <v>0.47554540125214884</v>
      </c>
      <c r="AE1361" s="2207" t="s">
        <v>222</v>
      </c>
    </row>
    <row r="1362" spans="1:31" s="385" customFormat="1" ht="78.75" customHeight="1">
      <c r="A1362" s="1781"/>
      <c r="B1362" s="2211"/>
      <c r="C1362" s="2191">
        <v>3</v>
      </c>
      <c r="D1362" s="2191" t="s">
        <v>107</v>
      </c>
      <c r="E1362" s="2191" t="s">
        <v>196</v>
      </c>
      <c r="F1362" s="2191" t="s">
        <v>66</v>
      </c>
      <c r="G1362" s="1523">
        <v>22</v>
      </c>
      <c r="H1362" s="1523"/>
      <c r="I1362" s="1762" t="s">
        <v>168</v>
      </c>
      <c r="J1362" s="1385" t="s">
        <v>2837</v>
      </c>
      <c r="K1362" s="2204">
        <v>72</v>
      </c>
      <c r="L1362" s="2186">
        <v>582652133</v>
      </c>
      <c r="M1362" s="2205">
        <v>24</v>
      </c>
      <c r="N1362" s="2186">
        <v>120861449</v>
      </c>
      <c r="O1362" s="2205">
        <v>12</v>
      </c>
      <c r="P1362" s="2186">
        <v>35651477</v>
      </c>
      <c r="Q1362" s="2205">
        <v>3</v>
      </c>
      <c r="R1362" s="2186">
        <v>4802280</v>
      </c>
      <c r="S1362" s="2186">
        <v>0</v>
      </c>
      <c r="T1362" s="2186">
        <v>0</v>
      </c>
      <c r="U1362" s="2186">
        <v>0</v>
      </c>
      <c r="V1362" s="2186">
        <v>0</v>
      </c>
      <c r="W1362" s="2186">
        <v>0</v>
      </c>
      <c r="X1362" s="2186">
        <v>0</v>
      </c>
      <c r="Y1362" s="2205">
        <f t="shared" si="268"/>
        <v>3</v>
      </c>
      <c r="Z1362" s="2186">
        <f t="shared" si="267"/>
        <v>4802280</v>
      </c>
      <c r="AA1362" s="2205">
        <f t="shared" si="265"/>
        <v>27</v>
      </c>
      <c r="AB1362" s="2209">
        <f t="shared" si="265"/>
        <v>125663729</v>
      </c>
      <c r="AC1362" s="2210">
        <f t="shared" si="266"/>
        <v>0.375</v>
      </c>
      <c r="AD1362" s="2210">
        <f t="shared" si="266"/>
        <v>0.21567539511607692</v>
      </c>
      <c r="AE1362" s="2207" t="s">
        <v>222</v>
      </c>
    </row>
    <row r="1363" spans="1:31" s="385" customFormat="1" ht="55.5" customHeight="1">
      <c r="A1363" s="1781"/>
      <c r="B1363" s="2211"/>
      <c r="C1363" s="2191"/>
      <c r="D1363" s="2191"/>
      <c r="E1363" s="2191"/>
      <c r="F1363" s="2191"/>
      <c r="G1363" s="1523"/>
      <c r="H1363" s="1523"/>
      <c r="I1363" s="1762" t="s">
        <v>2838</v>
      </c>
      <c r="J1363" s="1385" t="s">
        <v>2839</v>
      </c>
      <c r="K1363" s="2204"/>
      <c r="L1363" s="2186"/>
      <c r="M1363" s="2205">
        <v>1</v>
      </c>
      <c r="N1363" s="2186">
        <v>20584500</v>
      </c>
      <c r="O1363" s="2205">
        <v>1</v>
      </c>
      <c r="P1363" s="2186">
        <v>0</v>
      </c>
      <c r="Q1363" s="2205">
        <v>0</v>
      </c>
      <c r="R1363" s="2186">
        <v>0</v>
      </c>
      <c r="S1363" s="2186">
        <v>0</v>
      </c>
      <c r="T1363" s="2186">
        <v>0</v>
      </c>
      <c r="U1363" s="2186">
        <v>0</v>
      </c>
      <c r="V1363" s="2186">
        <v>0</v>
      </c>
      <c r="W1363" s="2186">
        <v>0</v>
      </c>
      <c r="X1363" s="2186">
        <v>0</v>
      </c>
      <c r="Y1363" s="2205">
        <f t="shared" si="268"/>
        <v>0</v>
      </c>
      <c r="Z1363" s="2186">
        <f t="shared" si="267"/>
        <v>0</v>
      </c>
      <c r="AA1363" s="2205">
        <f t="shared" si="265"/>
        <v>1</v>
      </c>
      <c r="AB1363" s="2209">
        <f t="shared" si="265"/>
        <v>20584500</v>
      </c>
      <c r="AC1363" s="2210"/>
      <c r="AD1363" s="2210"/>
      <c r="AE1363" s="2207" t="s">
        <v>222</v>
      </c>
    </row>
    <row r="1364" spans="1:31" s="616" customFormat="1" ht="51.75" customHeight="1">
      <c r="A1364" s="2191" t="s">
        <v>65</v>
      </c>
      <c r="B1364" s="1374" t="s">
        <v>2840</v>
      </c>
      <c r="C1364" s="2191">
        <v>3</v>
      </c>
      <c r="D1364" s="2191" t="s">
        <v>107</v>
      </c>
      <c r="E1364" s="2191" t="s">
        <v>196</v>
      </c>
      <c r="F1364" s="2191" t="s">
        <v>65</v>
      </c>
      <c r="G1364" s="1374"/>
      <c r="H1364" s="1374"/>
      <c r="I1364" s="2212"/>
      <c r="J1364" s="233"/>
      <c r="K1364" s="2213"/>
      <c r="L1364" s="2198">
        <f>L1366+L1367+L1368+L1369+L1370+L1371+L1372</f>
        <v>17905015886</v>
      </c>
      <c r="M1364" s="2195"/>
      <c r="N1364" s="2200">
        <f>N1366+N1367+N1368+N1369+N1370+N1371+N1372</f>
        <v>5698867511</v>
      </c>
      <c r="O1364" s="2214"/>
      <c r="P1364" s="2198">
        <f>P1366+P1367+P1368+P1369+P1370+P1371+P1372</f>
        <v>1824490750</v>
      </c>
      <c r="Q1364" s="2214"/>
      <c r="R1364" s="2198">
        <f>R1366+R1367+R1368+R1369+R1370+R1371+R1372</f>
        <v>220256402</v>
      </c>
      <c r="S1364" s="2198"/>
      <c r="T1364" s="2198"/>
      <c r="U1364" s="2198"/>
      <c r="V1364" s="2198"/>
      <c r="W1364" s="2198"/>
      <c r="X1364" s="2198"/>
      <c r="Y1364" s="2195"/>
      <c r="Z1364" s="2199">
        <f>R1364</f>
        <v>220256402</v>
      </c>
      <c r="AA1364" s="2215"/>
      <c r="AB1364" s="2200">
        <f>AB1366+AB1367+AB1368+AB1369+AB1370+AB1371+AB1372</f>
        <v>5919123913</v>
      </c>
      <c r="AC1364" s="2202"/>
      <c r="AD1364" s="2216"/>
      <c r="AE1364" s="2203"/>
    </row>
    <row r="1365" spans="1:31" s="385" customFormat="1">
      <c r="A1365" s="384"/>
      <c r="B1365" s="384"/>
      <c r="C1365" s="384"/>
      <c r="D1365" s="384"/>
      <c r="E1365" s="384"/>
      <c r="F1365" s="384"/>
      <c r="G1365" s="384"/>
      <c r="H1365" s="384"/>
      <c r="I1365" s="384"/>
      <c r="J1365" s="741"/>
      <c r="K1365" s="2217"/>
      <c r="L1365" s="2218"/>
      <c r="M1365" s="2219"/>
      <c r="N1365" s="2220"/>
      <c r="O1365" s="2221"/>
      <c r="P1365" s="2218"/>
      <c r="Q1365" s="2221"/>
      <c r="R1365" s="2218"/>
      <c r="S1365" s="2218"/>
      <c r="T1365" s="2218"/>
      <c r="U1365" s="2218"/>
      <c r="V1365" s="2218"/>
      <c r="W1365" s="2218"/>
      <c r="X1365" s="2218"/>
      <c r="Y1365" s="2219"/>
      <c r="Z1365" s="1257"/>
      <c r="AA1365" s="1254"/>
      <c r="AB1365" s="1267"/>
      <c r="AC1365" s="2222"/>
      <c r="AD1365" s="1995"/>
      <c r="AE1365" s="390"/>
    </row>
    <row r="1366" spans="1:31" s="385" customFormat="1" ht="57.75" customHeight="1">
      <c r="A1366" s="1385"/>
      <c r="B1366" s="1385"/>
      <c r="C1366" s="2191">
        <v>3</v>
      </c>
      <c r="D1366" s="2191" t="s">
        <v>107</v>
      </c>
      <c r="E1366" s="2191" t="s">
        <v>196</v>
      </c>
      <c r="F1366" s="2191" t="s">
        <v>65</v>
      </c>
      <c r="G1366" s="1781" t="s">
        <v>161</v>
      </c>
      <c r="H1366" s="1781"/>
      <c r="I1366" s="1762" t="s">
        <v>1421</v>
      </c>
      <c r="J1366" s="233" t="s">
        <v>2841</v>
      </c>
      <c r="K1366" s="2204">
        <v>35</v>
      </c>
      <c r="L1366" s="2186">
        <v>13655656840</v>
      </c>
      <c r="M1366" s="2205">
        <v>17</v>
      </c>
      <c r="N1366" s="2186">
        <v>4540713960</v>
      </c>
      <c r="O1366" s="2205">
        <v>3</v>
      </c>
      <c r="P1366" s="2186">
        <v>1400330000</v>
      </c>
      <c r="Q1366" s="2205">
        <v>0</v>
      </c>
      <c r="R1366" s="2186">
        <v>132407889</v>
      </c>
      <c r="S1366" s="2186">
        <v>0</v>
      </c>
      <c r="T1366" s="2186">
        <v>0</v>
      </c>
      <c r="U1366" s="2186">
        <v>0</v>
      </c>
      <c r="V1366" s="2186">
        <v>0</v>
      </c>
      <c r="W1366" s="2186">
        <v>0</v>
      </c>
      <c r="X1366" s="2186">
        <v>0</v>
      </c>
      <c r="Y1366" s="2205">
        <f t="shared" si="268"/>
        <v>0</v>
      </c>
      <c r="Z1366" s="2186">
        <f>R1366</f>
        <v>132407889</v>
      </c>
      <c r="AA1366" s="2205">
        <f t="shared" ref="AA1366:AB1373" si="269">M1366+Y1366</f>
        <v>17</v>
      </c>
      <c r="AB1366" s="2209">
        <f t="shared" si="269"/>
        <v>4673121849</v>
      </c>
      <c r="AC1366" s="2210">
        <f t="shared" ref="AC1366:AD1372" si="270">AA1366/K1366*100%</f>
        <v>0.48571428571428571</v>
      </c>
      <c r="AD1366" s="2210">
        <f t="shared" si="270"/>
        <v>0.34221142957485157</v>
      </c>
      <c r="AE1366" s="2207" t="s">
        <v>222</v>
      </c>
    </row>
    <row r="1367" spans="1:31" s="385" customFormat="1" ht="57.75" customHeight="1">
      <c r="A1367" s="1385"/>
      <c r="B1367" s="1385"/>
      <c r="C1367" s="2191">
        <v>3</v>
      </c>
      <c r="D1367" s="2191" t="s">
        <v>107</v>
      </c>
      <c r="E1367" s="2191" t="s">
        <v>196</v>
      </c>
      <c r="F1367" s="2191" t="s">
        <v>65</v>
      </c>
      <c r="G1367" s="1781" t="s">
        <v>198</v>
      </c>
      <c r="H1367" s="1781"/>
      <c r="I1367" s="1762" t="s">
        <v>2842</v>
      </c>
      <c r="J1367" s="233" t="s">
        <v>2843</v>
      </c>
      <c r="K1367" s="2204">
        <v>25</v>
      </c>
      <c r="L1367" s="2186">
        <v>448000000</v>
      </c>
      <c r="M1367" s="2205">
        <v>3</v>
      </c>
      <c r="N1367" s="2186">
        <v>128838700</v>
      </c>
      <c r="O1367" s="2205">
        <v>0</v>
      </c>
      <c r="P1367" s="2186">
        <v>0</v>
      </c>
      <c r="Q1367" s="2205">
        <v>0</v>
      </c>
      <c r="R1367" s="2186">
        <v>0</v>
      </c>
      <c r="S1367" s="2186">
        <v>0</v>
      </c>
      <c r="T1367" s="2186">
        <v>0</v>
      </c>
      <c r="U1367" s="2186">
        <v>0</v>
      </c>
      <c r="V1367" s="2186">
        <v>0</v>
      </c>
      <c r="W1367" s="2186">
        <v>0</v>
      </c>
      <c r="X1367" s="2186">
        <v>0</v>
      </c>
      <c r="Y1367" s="2205">
        <f>Q1367</f>
        <v>0</v>
      </c>
      <c r="Z1367" s="2186">
        <f>R1367</f>
        <v>0</v>
      </c>
      <c r="AA1367" s="2205">
        <f t="shared" si="269"/>
        <v>3</v>
      </c>
      <c r="AB1367" s="2209">
        <f t="shared" si="269"/>
        <v>128838700</v>
      </c>
      <c r="AC1367" s="2210">
        <f t="shared" si="270"/>
        <v>0.12</v>
      </c>
      <c r="AD1367" s="2210">
        <f t="shared" si="270"/>
        <v>0.28758638392857144</v>
      </c>
      <c r="AE1367" s="2207" t="s">
        <v>222</v>
      </c>
    </row>
    <row r="1368" spans="1:31" s="385" customFormat="1" ht="57.75" customHeight="1">
      <c r="A1368" s="1385"/>
      <c r="B1368" s="1385"/>
      <c r="C1368" s="2191">
        <v>3</v>
      </c>
      <c r="D1368" s="2191" t="s">
        <v>107</v>
      </c>
      <c r="E1368" s="2191" t="s">
        <v>196</v>
      </c>
      <c r="F1368" s="2191" t="s">
        <v>65</v>
      </c>
      <c r="G1368" s="1781" t="s">
        <v>201</v>
      </c>
      <c r="H1368" s="1781"/>
      <c r="I1368" s="1762" t="s">
        <v>2844</v>
      </c>
      <c r="J1368" s="233" t="s">
        <v>2845</v>
      </c>
      <c r="K1368" s="2204">
        <v>33</v>
      </c>
      <c r="L1368" s="2186">
        <v>225043296</v>
      </c>
      <c r="M1368" s="2205">
        <v>7</v>
      </c>
      <c r="N1368" s="2186">
        <v>210539500</v>
      </c>
      <c r="O1368" s="2205">
        <v>0</v>
      </c>
      <c r="P1368" s="2186">
        <v>0</v>
      </c>
      <c r="Q1368" s="2205">
        <v>0</v>
      </c>
      <c r="R1368" s="2186">
        <v>0</v>
      </c>
      <c r="S1368" s="2186">
        <v>0</v>
      </c>
      <c r="T1368" s="2186">
        <v>0</v>
      </c>
      <c r="U1368" s="2186">
        <v>0</v>
      </c>
      <c r="V1368" s="2186">
        <v>0</v>
      </c>
      <c r="W1368" s="2186">
        <v>0</v>
      </c>
      <c r="X1368" s="2186">
        <v>0</v>
      </c>
      <c r="Y1368" s="2205">
        <f>Q1368</f>
        <v>0</v>
      </c>
      <c r="Z1368" s="2186">
        <f>R1368</f>
        <v>0</v>
      </c>
      <c r="AA1368" s="2205">
        <f t="shared" si="269"/>
        <v>7</v>
      </c>
      <c r="AB1368" s="2209">
        <f t="shared" si="269"/>
        <v>210539500</v>
      </c>
      <c r="AC1368" s="2210">
        <f t="shared" si="270"/>
        <v>0.21212121212121213</v>
      </c>
      <c r="AD1368" s="2210">
        <f t="shared" si="270"/>
        <v>0.93555108613410998</v>
      </c>
      <c r="AE1368" s="2207" t="s">
        <v>222</v>
      </c>
    </row>
    <row r="1369" spans="1:31" s="385" customFormat="1" ht="57.75" customHeight="1">
      <c r="A1369" s="1385"/>
      <c r="B1369" s="1385"/>
      <c r="C1369" s="2191">
        <v>3</v>
      </c>
      <c r="D1369" s="2191" t="s">
        <v>107</v>
      </c>
      <c r="E1369" s="2191" t="s">
        <v>196</v>
      </c>
      <c r="F1369" s="2191" t="s">
        <v>65</v>
      </c>
      <c r="G1369" s="1781" t="s">
        <v>202</v>
      </c>
      <c r="H1369" s="1781"/>
      <c r="I1369" s="1762" t="s">
        <v>938</v>
      </c>
      <c r="J1369" s="233"/>
      <c r="K1369" s="2204">
        <v>50</v>
      </c>
      <c r="L1369" s="2186">
        <v>159000000</v>
      </c>
      <c r="M1369" s="2205">
        <v>8</v>
      </c>
      <c r="N1369" s="2186">
        <v>22930000</v>
      </c>
      <c r="O1369" s="2205">
        <v>0</v>
      </c>
      <c r="P1369" s="2186">
        <v>0</v>
      </c>
      <c r="Q1369" s="2205">
        <v>0</v>
      </c>
      <c r="R1369" s="2186">
        <v>0</v>
      </c>
      <c r="S1369" s="2186">
        <v>0</v>
      </c>
      <c r="T1369" s="2186">
        <v>0</v>
      </c>
      <c r="U1369" s="2186">
        <v>0</v>
      </c>
      <c r="V1369" s="2186">
        <v>0</v>
      </c>
      <c r="W1369" s="2186">
        <v>0</v>
      </c>
      <c r="X1369" s="2186">
        <v>0</v>
      </c>
      <c r="Y1369" s="2205">
        <v>0</v>
      </c>
      <c r="Z1369" s="2186">
        <v>0</v>
      </c>
      <c r="AA1369" s="2205">
        <f t="shared" si="269"/>
        <v>8</v>
      </c>
      <c r="AB1369" s="2209">
        <f t="shared" si="269"/>
        <v>22930000</v>
      </c>
      <c r="AC1369" s="2210">
        <f t="shared" si="270"/>
        <v>0.16</v>
      </c>
      <c r="AD1369" s="2210">
        <f t="shared" si="270"/>
        <v>0.14421383647798741</v>
      </c>
      <c r="AE1369" s="2207" t="s">
        <v>222</v>
      </c>
    </row>
    <row r="1370" spans="1:31" s="385" customFormat="1" ht="60.75" customHeight="1">
      <c r="A1370" s="1385"/>
      <c r="B1370" s="1385"/>
      <c r="C1370" s="2191">
        <v>3</v>
      </c>
      <c r="D1370" s="2191" t="s">
        <v>107</v>
      </c>
      <c r="E1370" s="2191" t="s">
        <v>196</v>
      </c>
      <c r="F1370" s="2191" t="s">
        <v>65</v>
      </c>
      <c r="G1370" s="1380">
        <v>22</v>
      </c>
      <c r="H1370" s="1380"/>
      <c r="I1370" s="1762" t="s">
        <v>2846</v>
      </c>
      <c r="J1370" s="1385" t="s">
        <v>2847</v>
      </c>
      <c r="K1370" s="2204">
        <v>6</v>
      </c>
      <c r="L1370" s="2186">
        <v>1244800000</v>
      </c>
      <c r="M1370" s="2205">
        <v>2</v>
      </c>
      <c r="N1370" s="2186">
        <v>484921280</v>
      </c>
      <c r="O1370" s="2205">
        <v>1</v>
      </c>
      <c r="P1370" s="2186">
        <v>185400000</v>
      </c>
      <c r="Q1370" s="2205">
        <v>0</v>
      </c>
      <c r="R1370" s="2186">
        <v>35947000</v>
      </c>
      <c r="S1370" s="2186">
        <v>0</v>
      </c>
      <c r="T1370" s="2186">
        <v>0</v>
      </c>
      <c r="U1370" s="2186">
        <v>0</v>
      </c>
      <c r="V1370" s="2186">
        <v>0</v>
      </c>
      <c r="W1370" s="2186">
        <v>0</v>
      </c>
      <c r="X1370" s="2186">
        <v>0</v>
      </c>
      <c r="Y1370" s="2205">
        <f t="shared" si="268"/>
        <v>0</v>
      </c>
      <c r="Z1370" s="2186">
        <f t="shared" si="267"/>
        <v>35947000</v>
      </c>
      <c r="AA1370" s="2205">
        <f t="shared" si="269"/>
        <v>2</v>
      </c>
      <c r="AB1370" s="2209">
        <f t="shared" si="269"/>
        <v>520868280</v>
      </c>
      <c r="AC1370" s="2210">
        <f t="shared" si="270"/>
        <v>0.33333333333333331</v>
      </c>
      <c r="AD1370" s="2210">
        <f t="shared" si="270"/>
        <v>0.41843531491002572</v>
      </c>
      <c r="AE1370" s="2207" t="s">
        <v>222</v>
      </c>
    </row>
    <row r="1371" spans="1:31" s="385" customFormat="1" ht="81" customHeight="1">
      <c r="A1371" s="1385"/>
      <c r="B1371" s="1385"/>
      <c r="C1371" s="2191">
        <v>3</v>
      </c>
      <c r="D1371" s="2191" t="s">
        <v>107</v>
      </c>
      <c r="E1371" s="2191" t="s">
        <v>196</v>
      </c>
      <c r="F1371" s="2191" t="s">
        <v>65</v>
      </c>
      <c r="G1371" s="1380">
        <v>24</v>
      </c>
      <c r="H1371" s="1380"/>
      <c r="I1371" s="1762" t="s">
        <v>224</v>
      </c>
      <c r="J1371" s="1385" t="s">
        <v>2848</v>
      </c>
      <c r="K1371" s="2204">
        <v>72</v>
      </c>
      <c r="L1371" s="2186">
        <v>1402115750</v>
      </c>
      <c r="M1371" s="2205">
        <v>24</v>
      </c>
      <c r="N1371" s="2186">
        <v>263493151</v>
      </c>
      <c r="O1371" s="2205">
        <v>12</v>
      </c>
      <c r="P1371" s="2186">
        <v>203760750</v>
      </c>
      <c r="Q1371" s="2205">
        <v>3</v>
      </c>
      <c r="R1371" s="2186">
        <v>36781786</v>
      </c>
      <c r="S1371" s="2186">
        <v>0</v>
      </c>
      <c r="T1371" s="2186">
        <v>0</v>
      </c>
      <c r="U1371" s="2186">
        <v>0</v>
      </c>
      <c r="V1371" s="2186">
        <v>0</v>
      </c>
      <c r="W1371" s="2186">
        <v>0</v>
      </c>
      <c r="X1371" s="2186">
        <v>0</v>
      </c>
      <c r="Y1371" s="2205">
        <f t="shared" si="268"/>
        <v>3</v>
      </c>
      <c r="Z1371" s="2186">
        <f t="shared" si="267"/>
        <v>36781786</v>
      </c>
      <c r="AA1371" s="2205">
        <f t="shared" si="269"/>
        <v>27</v>
      </c>
      <c r="AB1371" s="2209">
        <f t="shared" si="269"/>
        <v>300274937</v>
      </c>
      <c r="AC1371" s="2210">
        <f t="shared" si="270"/>
        <v>0.375</v>
      </c>
      <c r="AD1371" s="2210">
        <f t="shared" si="270"/>
        <v>0.21415845089822291</v>
      </c>
      <c r="AE1371" s="2207" t="s">
        <v>222</v>
      </c>
    </row>
    <row r="1372" spans="1:31" s="385" customFormat="1" ht="56.25" customHeight="1">
      <c r="A1372" s="1385"/>
      <c r="B1372" s="1385"/>
      <c r="C1372" s="2191">
        <v>3</v>
      </c>
      <c r="D1372" s="2191" t="s">
        <v>107</v>
      </c>
      <c r="E1372" s="2191" t="s">
        <v>196</v>
      </c>
      <c r="F1372" s="2191" t="s">
        <v>65</v>
      </c>
      <c r="G1372" s="1380">
        <v>26</v>
      </c>
      <c r="H1372" s="1380"/>
      <c r="I1372" s="1762" t="s">
        <v>225</v>
      </c>
      <c r="J1372" s="1385" t="s">
        <v>2849</v>
      </c>
      <c r="K1372" s="2204">
        <v>72</v>
      </c>
      <c r="L1372" s="2186">
        <v>770400000</v>
      </c>
      <c r="M1372" s="2205">
        <v>24</v>
      </c>
      <c r="N1372" s="2186">
        <v>47430920</v>
      </c>
      <c r="O1372" s="2205">
        <v>12</v>
      </c>
      <c r="P1372" s="2186">
        <v>35000000</v>
      </c>
      <c r="Q1372" s="2205">
        <v>3</v>
      </c>
      <c r="R1372" s="2186">
        <v>15119727</v>
      </c>
      <c r="S1372" s="2186">
        <v>0</v>
      </c>
      <c r="T1372" s="2186">
        <v>0</v>
      </c>
      <c r="U1372" s="2186">
        <v>0</v>
      </c>
      <c r="V1372" s="2186">
        <v>0</v>
      </c>
      <c r="W1372" s="2186">
        <v>0</v>
      </c>
      <c r="X1372" s="2186">
        <v>0</v>
      </c>
      <c r="Y1372" s="2205">
        <f t="shared" si="268"/>
        <v>3</v>
      </c>
      <c r="Z1372" s="2186">
        <f t="shared" si="267"/>
        <v>15119727</v>
      </c>
      <c r="AA1372" s="2205">
        <f t="shared" si="269"/>
        <v>27</v>
      </c>
      <c r="AB1372" s="2209">
        <f t="shared" si="269"/>
        <v>62550647</v>
      </c>
      <c r="AC1372" s="2210">
        <f t="shared" si="270"/>
        <v>0.375</v>
      </c>
      <c r="AD1372" s="2210">
        <f t="shared" si="270"/>
        <v>8.1192428608515055E-2</v>
      </c>
      <c r="AE1372" s="2207" t="s">
        <v>222</v>
      </c>
    </row>
    <row r="1373" spans="1:31" s="385" customFormat="1" ht="0.75" customHeight="1">
      <c r="A1373" s="1385"/>
      <c r="B1373" s="1385"/>
      <c r="C1373" s="1385"/>
      <c r="D1373" s="1781"/>
      <c r="E1373" s="1781"/>
      <c r="F1373" s="1781"/>
      <c r="G1373" s="1385"/>
      <c r="H1373" s="1385"/>
      <c r="I1373" s="1762"/>
      <c r="J1373" s="1385"/>
      <c r="K1373" s="2204"/>
      <c r="L1373" s="2186"/>
      <c r="M1373" s="2205"/>
      <c r="N1373" s="2186"/>
      <c r="O1373" s="2205">
        <v>1</v>
      </c>
      <c r="P1373" s="2186"/>
      <c r="Q1373" s="2205"/>
      <c r="R1373" s="2186"/>
      <c r="S1373" s="2186">
        <v>0</v>
      </c>
      <c r="T1373" s="2186">
        <v>0</v>
      </c>
      <c r="U1373" s="2186">
        <v>0</v>
      </c>
      <c r="V1373" s="2186">
        <v>0</v>
      </c>
      <c r="W1373" s="2186">
        <v>0</v>
      </c>
      <c r="X1373" s="2186">
        <v>0</v>
      </c>
      <c r="Y1373" s="2205">
        <f t="shared" si="268"/>
        <v>0</v>
      </c>
      <c r="Z1373" s="2186">
        <f t="shared" si="267"/>
        <v>0</v>
      </c>
      <c r="AA1373" s="2215">
        <f t="shared" si="269"/>
        <v>0</v>
      </c>
      <c r="AB1373" s="2209">
        <f t="shared" si="269"/>
        <v>0</v>
      </c>
      <c r="AC1373" s="2206"/>
      <c r="AD1373" s="2216"/>
      <c r="AE1373" s="2207" t="s">
        <v>2850</v>
      </c>
    </row>
    <row r="1374" spans="1:31" s="385" customFormat="1">
      <c r="A1374" s="1385"/>
      <c r="B1374" s="1385"/>
      <c r="C1374" s="1385"/>
      <c r="D1374" s="1385"/>
      <c r="E1374" s="1385"/>
      <c r="F1374" s="1385"/>
      <c r="G1374" s="1385"/>
      <c r="H1374" s="1385"/>
      <c r="I1374" s="1762"/>
      <c r="J1374" s="1385"/>
      <c r="K1374" s="2204"/>
      <c r="L1374" s="2186"/>
      <c r="M1374" s="2205"/>
      <c r="N1374" s="2186"/>
      <c r="O1374" s="2205"/>
      <c r="P1374" s="2186"/>
      <c r="Q1374" s="2205"/>
      <c r="R1374" s="2186"/>
      <c r="S1374" s="2186"/>
      <c r="T1374" s="2186"/>
      <c r="U1374" s="2186"/>
      <c r="V1374" s="2186"/>
      <c r="W1374" s="2186"/>
      <c r="X1374" s="2186"/>
      <c r="Y1374" s="2205"/>
      <c r="Z1374" s="2186">
        <f t="shared" si="267"/>
        <v>0</v>
      </c>
      <c r="AA1374" s="2215"/>
      <c r="AB1374" s="2209">
        <f>N1374+Z1374</f>
        <v>0</v>
      </c>
      <c r="AC1374" s="2206"/>
      <c r="AD1374" s="2216"/>
      <c r="AE1374" s="2207"/>
    </row>
    <row r="1375" spans="1:31" s="621" customFormat="1" ht="65.25" customHeight="1">
      <c r="A1375" s="2191" t="s">
        <v>196</v>
      </c>
      <c r="B1375" s="4557" t="s">
        <v>2851</v>
      </c>
      <c r="C1375" s="2191">
        <v>3</v>
      </c>
      <c r="D1375" s="2191" t="s">
        <v>107</v>
      </c>
      <c r="E1375" s="2191" t="s">
        <v>196</v>
      </c>
      <c r="F1375" s="2191" t="s">
        <v>161</v>
      </c>
      <c r="G1375" s="1374"/>
      <c r="H1375" s="1374"/>
      <c r="I1375" s="286" t="s">
        <v>226</v>
      </c>
      <c r="J1375" s="1374"/>
      <c r="K1375" s="2201"/>
      <c r="L1375" s="2199">
        <f>L1377</f>
        <v>521910000</v>
      </c>
      <c r="M1375" s="2195"/>
      <c r="N1375" s="2199">
        <f>N1377</f>
        <v>194406925</v>
      </c>
      <c r="O1375" s="2205"/>
      <c r="P1375" s="2186">
        <f>SUM(P1377)</f>
        <v>0</v>
      </c>
      <c r="Q1375" s="2205"/>
      <c r="R1375" s="2186"/>
      <c r="S1375" s="2186"/>
      <c r="T1375" s="2186"/>
      <c r="U1375" s="2186"/>
      <c r="V1375" s="2186"/>
      <c r="W1375" s="2186"/>
      <c r="X1375" s="2186"/>
      <c r="Y1375" s="2205"/>
      <c r="Z1375" s="2186">
        <f t="shared" si="267"/>
        <v>0</v>
      </c>
      <c r="AA1375" s="2215"/>
      <c r="AB1375" s="2200">
        <f>AB1377</f>
        <v>194406925</v>
      </c>
      <c r="AC1375" s="2202"/>
      <c r="AD1375" s="2216"/>
      <c r="AE1375" s="2203"/>
    </row>
    <row r="1376" spans="1:31" s="497" customFormat="1" ht="20.25" customHeight="1">
      <c r="A1376" s="1385"/>
      <c r="B1376" s="4558"/>
      <c r="C1376" s="1385"/>
      <c r="D1376" s="1385"/>
      <c r="E1376" s="1385"/>
      <c r="F1376" s="1385"/>
      <c r="G1376" s="1385"/>
      <c r="H1376" s="1385"/>
      <c r="I1376" s="233"/>
      <c r="J1376" s="1385"/>
      <c r="K1376" s="2204"/>
      <c r="L1376" s="2186"/>
      <c r="M1376" s="2205"/>
      <c r="N1376" s="2186"/>
      <c r="O1376" s="2205"/>
      <c r="P1376" s="2186"/>
      <c r="Q1376" s="2205"/>
      <c r="R1376" s="2186"/>
      <c r="S1376" s="2186"/>
      <c r="T1376" s="2186"/>
      <c r="U1376" s="2186"/>
      <c r="V1376" s="2186"/>
      <c r="W1376" s="2186"/>
      <c r="X1376" s="2186"/>
      <c r="Y1376" s="2205"/>
      <c r="Z1376" s="2186">
        <f t="shared" si="267"/>
        <v>0</v>
      </c>
      <c r="AA1376" s="2215"/>
      <c r="AB1376" s="2209">
        <f>N1376+Z1376</f>
        <v>0</v>
      </c>
      <c r="AC1376" s="2206"/>
      <c r="AD1376" s="2216"/>
      <c r="AE1376" s="2207"/>
    </row>
    <row r="1377" spans="1:31" s="497" customFormat="1" ht="46.5" customHeight="1">
      <c r="A1377" s="1385"/>
      <c r="B1377" s="1385"/>
      <c r="C1377" s="2191">
        <v>3</v>
      </c>
      <c r="D1377" s="2191" t="s">
        <v>107</v>
      </c>
      <c r="E1377" s="2191" t="s">
        <v>196</v>
      </c>
      <c r="F1377" s="2191" t="s">
        <v>161</v>
      </c>
      <c r="G1377" s="1781" t="s">
        <v>66</v>
      </c>
      <c r="H1377" s="1781"/>
      <c r="I1377" s="233" t="s">
        <v>209</v>
      </c>
      <c r="J1377" s="1385" t="s">
        <v>2852</v>
      </c>
      <c r="K1377" s="2204">
        <v>71</v>
      </c>
      <c r="L1377" s="2186">
        <v>521910000</v>
      </c>
      <c r="M1377" s="2205">
        <v>16</v>
      </c>
      <c r="N1377" s="2186">
        <v>194406925</v>
      </c>
      <c r="O1377" s="2205">
        <v>0</v>
      </c>
      <c r="P1377" s="2186">
        <v>0</v>
      </c>
      <c r="Q1377" s="2205">
        <v>0</v>
      </c>
      <c r="R1377" s="2186">
        <v>0</v>
      </c>
      <c r="S1377" s="2186">
        <v>0</v>
      </c>
      <c r="T1377" s="2186">
        <v>0</v>
      </c>
      <c r="U1377" s="2186">
        <v>0</v>
      </c>
      <c r="V1377" s="2186">
        <v>0</v>
      </c>
      <c r="W1377" s="2186">
        <v>0</v>
      </c>
      <c r="X1377" s="2186">
        <v>0</v>
      </c>
      <c r="Y1377" s="2205">
        <f t="shared" si="268"/>
        <v>0</v>
      </c>
      <c r="Z1377" s="2186">
        <f t="shared" si="267"/>
        <v>0</v>
      </c>
      <c r="AA1377" s="2205">
        <f>M1377+Y1377</f>
        <v>16</v>
      </c>
      <c r="AB1377" s="2209">
        <f>N1377+Z1377</f>
        <v>194406925</v>
      </c>
      <c r="AC1377" s="2210">
        <f>AA1377/K1377*100%</f>
        <v>0.22535211267605634</v>
      </c>
      <c r="AD1377" s="2210">
        <f>AB1377/L1377*100%</f>
        <v>0.37249128202180454</v>
      </c>
      <c r="AE1377" s="2207" t="s">
        <v>222</v>
      </c>
    </row>
    <row r="1378" spans="1:31" s="621" customFormat="1" ht="62.25" customHeight="1">
      <c r="A1378" s="2191" t="s">
        <v>95</v>
      </c>
      <c r="B1378" s="1374" t="s">
        <v>2853</v>
      </c>
      <c r="C1378" s="2191">
        <v>3</v>
      </c>
      <c r="D1378" s="2191" t="s">
        <v>107</v>
      </c>
      <c r="E1378" s="2191" t="s">
        <v>196</v>
      </c>
      <c r="F1378" s="2191" t="s">
        <v>197</v>
      </c>
      <c r="G1378" s="1374"/>
      <c r="H1378" s="1374"/>
      <c r="I1378" s="286" t="s">
        <v>227</v>
      </c>
      <c r="J1378" s="1374" t="s">
        <v>2854</v>
      </c>
      <c r="K1378" s="2223">
        <v>0.9</v>
      </c>
      <c r="L1378" s="2224">
        <v>1659385.22</v>
      </c>
      <c r="M1378" s="2225">
        <v>0.9</v>
      </c>
      <c r="N1378" s="2226">
        <v>502046.87</v>
      </c>
      <c r="O1378" s="2223">
        <v>0.9</v>
      </c>
      <c r="P1378" s="2226">
        <v>275085.58</v>
      </c>
      <c r="Q1378" s="2195"/>
      <c r="R1378" s="2199"/>
      <c r="S1378" s="2199"/>
      <c r="T1378" s="2199"/>
      <c r="U1378" s="2199"/>
      <c r="V1378" s="2199"/>
      <c r="W1378" s="2199"/>
      <c r="X1378" s="2199"/>
      <c r="Y1378" s="2195">
        <f t="shared" si="268"/>
        <v>0</v>
      </c>
      <c r="Z1378" s="2199">
        <f t="shared" si="267"/>
        <v>0</v>
      </c>
      <c r="AA1378" s="2223"/>
      <c r="AB1378" s="2200"/>
      <c r="AC1378" s="2202"/>
      <c r="AD1378" s="2227"/>
      <c r="AE1378" s="2207"/>
    </row>
    <row r="1379" spans="1:31" s="497" customFormat="1" ht="59.25" customHeight="1">
      <c r="A1379" s="1385"/>
      <c r="B1379" s="1385"/>
      <c r="C1379" s="2191">
        <v>3</v>
      </c>
      <c r="D1379" s="2191" t="s">
        <v>107</v>
      </c>
      <c r="E1379" s="2191" t="s">
        <v>196</v>
      </c>
      <c r="F1379" s="2191" t="s">
        <v>197</v>
      </c>
      <c r="G1379" s="1781" t="s">
        <v>66</v>
      </c>
      <c r="H1379" s="1781"/>
      <c r="I1379" s="273" t="s">
        <v>2855</v>
      </c>
      <c r="J1379" s="1385" t="s">
        <v>2856</v>
      </c>
      <c r="K1379" s="2204">
        <v>1320</v>
      </c>
      <c r="L1379" s="2186">
        <v>719742336</v>
      </c>
      <c r="M1379" s="2205">
        <v>440</v>
      </c>
      <c r="N1379" s="2186">
        <v>192438303</v>
      </c>
      <c r="O1379" s="2205">
        <v>220</v>
      </c>
      <c r="P1379" s="2186">
        <v>95000000</v>
      </c>
      <c r="Q1379" s="2205">
        <v>0</v>
      </c>
      <c r="R1379" s="2186">
        <v>0</v>
      </c>
      <c r="S1379" s="2186">
        <v>0</v>
      </c>
      <c r="T1379" s="2186">
        <v>0</v>
      </c>
      <c r="U1379" s="2186">
        <v>0</v>
      </c>
      <c r="V1379" s="2186">
        <v>0</v>
      </c>
      <c r="W1379" s="2186">
        <v>0</v>
      </c>
      <c r="X1379" s="2186">
        <v>0</v>
      </c>
      <c r="Y1379" s="2205">
        <f t="shared" si="268"/>
        <v>0</v>
      </c>
      <c r="Z1379" s="2186">
        <f t="shared" si="267"/>
        <v>0</v>
      </c>
      <c r="AA1379" s="2205">
        <f t="shared" ref="AA1379:AB1381" si="271">M1379+Y1379</f>
        <v>440</v>
      </c>
      <c r="AB1379" s="2209">
        <f t="shared" si="271"/>
        <v>192438303</v>
      </c>
      <c r="AC1379" s="2210">
        <f t="shared" ref="AC1379:AD1381" si="272">AA1379/K1379*100%</f>
        <v>0.33333333333333331</v>
      </c>
      <c r="AD1379" s="2210">
        <f t="shared" si="272"/>
        <v>0.26737110403909881</v>
      </c>
      <c r="AE1379" s="2207" t="s">
        <v>222</v>
      </c>
    </row>
    <row r="1380" spans="1:31" s="497" customFormat="1" ht="58.5" customHeight="1">
      <c r="A1380" s="1385"/>
      <c r="B1380" s="1385"/>
      <c r="C1380" s="2191">
        <v>3</v>
      </c>
      <c r="D1380" s="2191" t="s">
        <v>107</v>
      </c>
      <c r="E1380" s="2191" t="s">
        <v>196</v>
      </c>
      <c r="F1380" s="2191" t="s">
        <v>197</v>
      </c>
      <c r="G1380" s="1781" t="s">
        <v>65</v>
      </c>
      <c r="H1380" s="1781"/>
      <c r="I1380" s="273" t="s">
        <v>2857</v>
      </c>
      <c r="J1380" s="1385" t="s">
        <v>2858</v>
      </c>
      <c r="K1380" s="2204">
        <v>1080</v>
      </c>
      <c r="L1380" s="2186">
        <v>452640035</v>
      </c>
      <c r="M1380" s="2205">
        <v>440</v>
      </c>
      <c r="N1380" s="2186">
        <v>115508498</v>
      </c>
      <c r="O1380" s="2205">
        <v>160</v>
      </c>
      <c r="P1380" s="2186">
        <v>58165001</v>
      </c>
      <c r="Q1380" s="2205">
        <v>0</v>
      </c>
      <c r="R1380" s="2186">
        <v>0</v>
      </c>
      <c r="S1380" s="2186">
        <v>0</v>
      </c>
      <c r="T1380" s="2186">
        <v>0</v>
      </c>
      <c r="U1380" s="2186">
        <v>0</v>
      </c>
      <c r="V1380" s="2186">
        <v>0</v>
      </c>
      <c r="W1380" s="2186">
        <v>0</v>
      </c>
      <c r="X1380" s="2186">
        <v>0</v>
      </c>
      <c r="Y1380" s="2205">
        <f t="shared" si="268"/>
        <v>0</v>
      </c>
      <c r="Z1380" s="2186">
        <f t="shared" si="267"/>
        <v>0</v>
      </c>
      <c r="AA1380" s="2205">
        <f t="shared" si="271"/>
        <v>440</v>
      </c>
      <c r="AB1380" s="2209">
        <f t="shared" si="271"/>
        <v>115508498</v>
      </c>
      <c r="AC1380" s="2210">
        <f t="shared" si="272"/>
        <v>0.40740740740740738</v>
      </c>
      <c r="AD1380" s="2210">
        <f t="shared" si="272"/>
        <v>0.25518842583157719</v>
      </c>
      <c r="AE1380" s="2207" t="s">
        <v>222</v>
      </c>
    </row>
    <row r="1381" spans="1:31" s="497" customFormat="1" ht="54.75" customHeight="1">
      <c r="A1381" s="1385"/>
      <c r="B1381" s="1385"/>
      <c r="C1381" s="2191">
        <v>3</v>
      </c>
      <c r="D1381" s="2191" t="s">
        <v>107</v>
      </c>
      <c r="E1381" s="2191" t="s">
        <v>196</v>
      </c>
      <c r="F1381" s="2191" t="s">
        <v>197</v>
      </c>
      <c r="G1381" s="1781" t="s">
        <v>95</v>
      </c>
      <c r="H1381" s="1781"/>
      <c r="I1381" s="233" t="s">
        <v>2859</v>
      </c>
      <c r="J1381" s="1385" t="s">
        <v>2860</v>
      </c>
      <c r="K1381" s="2204">
        <v>540</v>
      </c>
      <c r="L1381" s="2186">
        <v>654113870</v>
      </c>
      <c r="M1381" s="2205">
        <v>180</v>
      </c>
      <c r="N1381" s="2186">
        <v>180085263</v>
      </c>
      <c r="O1381" s="2205">
        <v>90</v>
      </c>
      <c r="P1381" s="2186">
        <v>121765625</v>
      </c>
      <c r="Q1381" s="2205">
        <v>0</v>
      </c>
      <c r="R1381" s="2186">
        <v>1409463</v>
      </c>
      <c r="S1381" s="2186">
        <v>0</v>
      </c>
      <c r="T1381" s="2186">
        <v>0</v>
      </c>
      <c r="U1381" s="2186">
        <v>0</v>
      </c>
      <c r="V1381" s="2186">
        <v>0</v>
      </c>
      <c r="W1381" s="2186">
        <v>0</v>
      </c>
      <c r="X1381" s="2186">
        <v>0</v>
      </c>
      <c r="Y1381" s="2205">
        <f t="shared" si="268"/>
        <v>0</v>
      </c>
      <c r="Z1381" s="2186">
        <f t="shared" si="267"/>
        <v>1409463</v>
      </c>
      <c r="AA1381" s="2205">
        <f t="shared" si="271"/>
        <v>180</v>
      </c>
      <c r="AB1381" s="2209">
        <f t="shared" si="271"/>
        <v>181494726</v>
      </c>
      <c r="AC1381" s="2210">
        <f t="shared" si="272"/>
        <v>0.33333333333333331</v>
      </c>
      <c r="AD1381" s="2210">
        <f t="shared" si="272"/>
        <v>0.2774665609827231</v>
      </c>
      <c r="AE1381" s="2207" t="s">
        <v>222</v>
      </c>
    </row>
    <row r="1382" spans="1:31" s="497" customFormat="1">
      <c r="A1382" s="384"/>
      <c r="B1382" s="384"/>
      <c r="C1382" s="384"/>
      <c r="D1382" s="384"/>
      <c r="E1382" s="384"/>
      <c r="F1382" s="384"/>
      <c r="G1382" s="384"/>
      <c r="H1382" s="384"/>
      <c r="I1382" s="2228"/>
      <c r="J1382" s="384"/>
      <c r="K1382" s="2220"/>
      <c r="L1382" s="1257"/>
      <c r="M1382" s="2219"/>
      <c r="N1382" s="1257"/>
      <c r="O1382" s="2219"/>
      <c r="P1382" s="1257"/>
      <c r="Q1382" s="2219"/>
      <c r="R1382" s="1257"/>
      <c r="S1382" s="1257"/>
      <c r="T1382" s="1257"/>
      <c r="U1382" s="1257"/>
      <c r="V1382" s="1257"/>
      <c r="W1382" s="1257"/>
      <c r="X1382" s="1257"/>
      <c r="Y1382" s="2219"/>
      <c r="Z1382" s="1257"/>
      <c r="AA1382" s="1254"/>
      <c r="AB1382" s="1267"/>
      <c r="AC1382" s="2222"/>
      <c r="AD1382" s="1995"/>
      <c r="AE1382" s="390"/>
    </row>
    <row r="1383" spans="1:31" s="621" customFormat="1" ht="59.25" customHeight="1">
      <c r="A1383" s="1236" t="s">
        <v>161</v>
      </c>
      <c r="B1383" s="383" t="s">
        <v>2861</v>
      </c>
      <c r="C1383" s="1236">
        <v>3</v>
      </c>
      <c r="D1383" s="1236" t="s">
        <v>107</v>
      </c>
      <c r="E1383" s="1236" t="s">
        <v>196</v>
      </c>
      <c r="F1383" s="1236">
        <v>16</v>
      </c>
      <c r="G1383" s="383"/>
      <c r="H1383" s="383"/>
      <c r="I1383" s="344" t="s">
        <v>2862</v>
      </c>
      <c r="J1383" s="383" t="s">
        <v>2863</v>
      </c>
      <c r="K1383" s="1198"/>
      <c r="L1383" s="2229">
        <f>L1385</f>
        <v>2135174560</v>
      </c>
      <c r="M1383" s="2230"/>
      <c r="N1383" s="2231">
        <f>N1385</f>
        <v>506606705</v>
      </c>
      <c r="O1383" s="2219"/>
      <c r="P1383" s="1257">
        <f>P1385</f>
        <v>0</v>
      </c>
      <c r="Q1383" s="2219"/>
      <c r="R1383" s="1257"/>
      <c r="S1383" s="1257"/>
      <c r="T1383" s="1257"/>
      <c r="U1383" s="1257"/>
      <c r="V1383" s="1257"/>
      <c r="W1383" s="1257"/>
      <c r="X1383" s="1257"/>
      <c r="Y1383" s="2219"/>
      <c r="Z1383" s="1257"/>
      <c r="AA1383" s="1254"/>
      <c r="AB1383" s="1267"/>
      <c r="AC1383" s="2232"/>
      <c r="AD1383" s="1995"/>
      <c r="AE1383" s="753"/>
    </row>
    <row r="1384" spans="1:31" s="497" customFormat="1">
      <c r="A1384" s="384"/>
      <c r="B1384" s="384"/>
      <c r="C1384" s="384"/>
      <c r="D1384" s="384"/>
      <c r="E1384" s="384"/>
      <c r="F1384" s="384"/>
      <c r="G1384" s="384"/>
      <c r="H1384" s="384"/>
      <c r="I1384" s="741"/>
      <c r="J1384" s="384"/>
      <c r="K1384" s="2220"/>
      <c r="L1384" s="1257"/>
      <c r="M1384" s="2219"/>
      <c r="N1384" s="1257"/>
      <c r="O1384" s="2219"/>
      <c r="P1384" s="1257"/>
      <c r="Q1384" s="2219"/>
      <c r="R1384" s="1257"/>
      <c r="S1384" s="1257"/>
      <c r="T1384" s="1257"/>
      <c r="U1384" s="1257"/>
      <c r="V1384" s="1257"/>
      <c r="W1384" s="1257"/>
      <c r="X1384" s="1257"/>
      <c r="Y1384" s="2219"/>
      <c r="Z1384" s="1257"/>
      <c r="AA1384" s="1254"/>
      <c r="AB1384" s="1267"/>
      <c r="AC1384" s="2222"/>
      <c r="AD1384" s="1995"/>
      <c r="AE1384" s="390"/>
    </row>
    <row r="1385" spans="1:31" s="2233" customFormat="1" ht="56.25" customHeight="1">
      <c r="A1385" s="1385"/>
      <c r="B1385" s="1385"/>
      <c r="C1385" s="2191">
        <v>3</v>
      </c>
      <c r="D1385" s="2191" t="s">
        <v>107</v>
      </c>
      <c r="E1385" s="2191" t="s">
        <v>196</v>
      </c>
      <c r="F1385" s="2191">
        <v>16</v>
      </c>
      <c r="G1385" s="1781" t="s">
        <v>95</v>
      </c>
      <c r="H1385" s="1781"/>
      <c r="I1385" s="233" t="s">
        <v>2864</v>
      </c>
      <c r="J1385" s="1385" t="s">
        <v>2865</v>
      </c>
      <c r="K1385" s="2205">
        <v>600</v>
      </c>
      <c r="L1385" s="2186">
        <v>2135174560</v>
      </c>
      <c r="M1385" s="2205">
        <v>200</v>
      </c>
      <c r="N1385" s="2186">
        <v>506606705</v>
      </c>
      <c r="O1385" s="2205">
        <v>0</v>
      </c>
      <c r="P1385" s="2186">
        <v>0</v>
      </c>
      <c r="Q1385" s="2205">
        <v>0</v>
      </c>
      <c r="R1385" s="2186">
        <v>0</v>
      </c>
      <c r="S1385" s="2186">
        <v>0</v>
      </c>
      <c r="T1385" s="2186">
        <v>0</v>
      </c>
      <c r="U1385" s="2186">
        <v>0</v>
      </c>
      <c r="V1385" s="2186">
        <v>0</v>
      </c>
      <c r="W1385" s="2186">
        <v>0</v>
      </c>
      <c r="X1385" s="2186">
        <v>0</v>
      </c>
      <c r="Y1385" s="2205">
        <f t="shared" si="268"/>
        <v>0</v>
      </c>
      <c r="Z1385" s="2186">
        <f t="shared" si="267"/>
        <v>0</v>
      </c>
      <c r="AA1385" s="2215">
        <f>M1385+Y1385</f>
        <v>200</v>
      </c>
      <c r="AB1385" s="2209">
        <f>N1385+Z1385</f>
        <v>506606705</v>
      </c>
      <c r="AC1385" s="2210">
        <f>AA1385/K1385*100%</f>
        <v>0.33333333333333331</v>
      </c>
      <c r="AD1385" s="2210">
        <f>AB1385/L1385*100%</f>
        <v>0.23726711365463252</v>
      </c>
      <c r="AE1385" s="2207" t="s">
        <v>222</v>
      </c>
    </row>
    <row r="1386" spans="1:31" s="497" customFormat="1">
      <c r="A1386" s="384"/>
      <c r="B1386" s="384"/>
      <c r="C1386" s="384"/>
      <c r="D1386" s="384"/>
      <c r="E1386" s="384"/>
      <c r="F1386" s="384"/>
      <c r="G1386" s="384"/>
      <c r="H1386" s="384"/>
      <c r="I1386" s="741"/>
      <c r="J1386" s="384"/>
      <c r="K1386" s="2220"/>
      <c r="L1386" s="1257"/>
      <c r="M1386" s="2219"/>
      <c r="N1386" s="1257"/>
      <c r="O1386" s="2219"/>
      <c r="P1386" s="1257"/>
      <c r="Q1386" s="2219"/>
      <c r="R1386" s="1257"/>
      <c r="S1386" s="1257"/>
      <c r="T1386" s="1257"/>
      <c r="U1386" s="1257"/>
      <c r="V1386" s="1257"/>
      <c r="W1386" s="1257"/>
      <c r="X1386" s="1257"/>
      <c r="Y1386" s="2219"/>
      <c r="Z1386" s="1257"/>
      <c r="AA1386" s="1254"/>
      <c r="AB1386" s="1267"/>
      <c r="AC1386" s="2222"/>
      <c r="AD1386" s="1995"/>
      <c r="AE1386" s="390"/>
    </row>
    <row r="1387" spans="1:31" s="621" customFormat="1" ht="61.5" customHeight="1">
      <c r="A1387" s="1236" t="s">
        <v>197</v>
      </c>
      <c r="B1387" s="383" t="s">
        <v>2866</v>
      </c>
      <c r="C1387" s="1236">
        <v>3</v>
      </c>
      <c r="D1387" s="1236" t="s">
        <v>107</v>
      </c>
      <c r="E1387" s="1236" t="s">
        <v>196</v>
      </c>
      <c r="F1387" s="1236">
        <v>15</v>
      </c>
      <c r="G1387" s="383"/>
      <c r="H1387" s="383"/>
      <c r="I1387" s="344" t="s">
        <v>2867</v>
      </c>
      <c r="J1387" s="383" t="s">
        <v>2868</v>
      </c>
      <c r="K1387" s="1198"/>
      <c r="L1387" s="1211">
        <f>L1389</f>
        <v>116000000</v>
      </c>
      <c r="M1387" s="383"/>
      <c r="N1387" s="2231">
        <f>N1389</f>
        <v>14802291</v>
      </c>
      <c r="O1387" s="2219"/>
      <c r="P1387" s="2231">
        <f>P1389</f>
        <v>16000000</v>
      </c>
      <c r="Q1387" s="2219"/>
      <c r="R1387" s="1257"/>
      <c r="S1387" s="1257"/>
      <c r="T1387" s="1257"/>
      <c r="U1387" s="1257"/>
      <c r="V1387" s="1257"/>
      <c r="W1387" s="1257"/>
      <c r="X1387" s="1257"/>
      <c r="Y1387" s="2219"/>
      <c r="Z1387" s="1257"/>
      <c r="AA1387" s="1254"/>
      <c r="AB1387" s="1267"/>
      <c r="AC1387" s="2232"/>
      <c r="AD1387" s="1995"/>
      <c r="AE1387" s="753"/>
    </row>
    <row r="1388" spans="1:31" s="497" customFormat="1">
      <c r="A1388" s="384"/>
      <c r="B1388" s="384"/>
      <c r="C1388" s="384"/>
      <c r="D1388" s="384"/>
      <c r="E1388" s="384"/>
      <c r="F1388" s="384"/>
      <c r="G1388" s="384"/>
      <c r="H1388" s="384"/>
      <c r="I1388" s="741"/>
      <c r="J1388" s="384"/>
      <c r="K1388" s="2220"/>
      <c r="L1388" s="1257"/>
      <c r="M1388" s="2219"/>
      <c r="N1388" s="1257"/>
      <c r="O1388" s="2219"/>
      <c r="P1388" s="1257"/>
      <c r="Q1388" s="2219"/>
      <c r="R1388" s="1257"/>
      <c r="S1388" s="1257"/>
      <c r="T1388" s="1257"/>
      <c r="U1388" s="1257"/>
      <c r="V1388" s="1257"/>
      <c r="W1388" s="1257"/>
      <c r="X1388" s="1257"/>
      <c r="Y1388" s="2219"/>
      <c r="Z1388" s="1257"/>
      <c r="AA1388" s="1254"/>
      <c r="AB1388" s="1267"/>
      <c r="AC1388" s="2222"/>
      <c r="AD1388" s="1995"/>
      <c r="AE1388" s="390"/>
    </row>
    <row r="1389" spans="1:31" s="2233" customFormat="1" ht="57" customHeight="1">
      <c r="A1389" s="1385"/>
      <c r="B1389" s="1385"/>
      <c r="C1389" s="2191">
        <v>3</v>
      </c>
      <c r="D1389" s="2191" t="s">
        <v>107</v>
      </c>
      <c r="E1389" s="2191" t="s">
        <v>196</v>
      </c>
      <c r="F1389" s="2191">
        <v>15</v>
      </c>
      <c r="G1389" s="1385">
        <v>10</v>
      </c>
      <c r="H1389" s="1385"/>
      <c r="I1389" s="4559" t="s">
        <v>2869</v>
      </c>
      <c r="J1389" s="4302" t="s">
        <v>2870</v>
      </c>
      <c r="K1389" s="2205">
        <v>500</v>
      </c>
      <c r="L1389" s="2186">
        <v>116000000</v>
      </c>
      <c r="M1389" s="2205">
        <v>100</v>
      </c>
      <c r="N1389" s="2186">
        <v>14802291</v>
      </c>
      <c r="O1389" s="2215">
        <v>1</v>
      </c>
      <c r="P1389" s="2186">
        <v>16000000</v>
      </c>
      <c r="Q1389" s="2205">
        <v>25</v>
      </c>
      <c r="R1389" s="2186">
        <v>0</v>
      </c>
      <c r="S1389" s="2186">
        <v>0</v>
      </c>
      <c r="T1389" s="2186">
        <v>0</v>
      </c>
      <c r="U1389" s="2186">
        <v>0</v>
      </c>
      <c r="V1389" s="2186">
        <v>0</v>
      </c>
      <c r="W1389" s="2186">
        <v>0</v>
      </c>
      <c r="X1389" s="2186">
        <v>0</v>
      </c>
      <c r="Y1389" s="2215">
        <v>0.25</v>
      </c>
      <c r="Z1389" s="2186">
        <v>0</v>
      </c>
      <c r="AA1389" s="2215">
        <f>M1389+Y1389</f>
        <v>100.25</v>
      </c>
      <c r="AB1389" s="2209">
        <f>N1389+Z1389</f>
        <v>14802291</v>
      </c>
      <c r="AC1389" s="2210">
        <f>AA1389/K1389*100%</f>
        <v>0.20050000000000001</v>
      </c>
      <c r="AD1389" s="2210">
        <f>AB1389/L1389*100%</f>
        <v>0.12760595689655171</v>
      </c>
      <c r="AE1389" s="2207" t="s">
        <v>222</v>
      </c>
    </row>
    <row r="1390" spans="1:31" s="497" customFormat="1" ht="28.5" customHeight="1">
      <c r="A1390" s="384"/>
      <c r="B1390" s="384"/>
      <c r="C1390" s="384"/>
      <c r="D1390" s="384"/>
      <c r="E1390" s="384"/>
      <c r="F1390" s="384"/>
      <c r="G1390" s="384"/>
      <c r="H1390" s="384"/>
      <c r="I1390" s="4559"/>
      <c r="J1390" s="4302"/>
      <c r="K1390" s="2220"/>
      <c r="L1390" s="1257"/>
      <c r="M1390" s="2219"/>
      <c r="N1390" s="1257"/>
      <c r="O1390" s="2219"/>
      <c r="P1390" s="1257"/>
      <c r="Q1390" s="2219"/>
      <c r="R1390" s="1257"/>
      <c r="S1390" s="1257"/>
      <c r="T1390" s="1257"/>
      <c r="U1390" s="1257"/>
      <c r="V1390" s="1257"/>
      <c r="W1390" s="1257"/>
      <c r="X1390" s="1257"/>
      <c r="Y1390" s="2219"/>
      <c r="Z1390" s="1257"/>
      <c r="AA1390" s="1254"/>
      <c r="AB1390" s="1267"/>
      <c r="AC1390" s="2222"/>
      <c r="AD1390" s="1995"/>
      <c r="AE1390" s="390"/>
    </row>
    <row r="1391" spans="1:31" s="621" customFormat="1" ht="93" customHeight="1">
      <c r="A1391" s="1236" t="s">
        <v>198</v>
      </c>
      <c r="B1391" s="383" t="s">
        <v>2871</v>
      </c>
      <c r="C1391" s="1236">
        <v>3</v>
      </c>
      <c r="D1391" s="1236" t="s">
        <v>107</v>
      </c>
      <c r="E1391" s="1236" t="s">
        <v>196</v>
      </c>
      <c r="F1391" s="1236">
        <v>20</v>
      </c>
      <c r="G1391" s="383"/>
      <c r="H1391" s="383"/>
      <c r="I1391" s="344" t="s">
        <v>2872</v>
      </c>
      <c r="J1391" s="383" t="s">
        <v>2873</v>
      </c>
      <c r="K1391" s="1198"/>
      <c r="L1391" s="1255">
        <f>L1393</f>
        <v>838611213</v>
      </c>
      <c r="M1391" s="383"/>
      <c r="N1391" s="2231">
        <f>N1393</f>
        <v>257419968</v>
      </c>
      <c r="O1391" s="2219"/>
      <c r="P1391" s="2231">
        <f>P1393</f>
        <v>118893022</v>
      </c>
      <c r="Q1391" s="2219"/>
      <c r="R1391" s="1257"/>
      <c r="S1391" s="1257"/>
      <c r="T1391" s="1257"/>
      <c r="U1391" s="1257"/>
      <c r="V1391" s="1257"/>
      <c r="W1391" s="1257"/>
      <c r="X1391" s="1257"/>
      <c r="Y1391" s="2219"/>
      <c r="Z1391" s="1257"/>
      <c r="AA1391" s="1254"/>
      <c r="AB1391" s="1267"/>
      <c r="AC1391" s="2232"/>
      <c r="AD1391" s="1995"/>
      <c r="AE1391" s="753"/>
    </row>
    <row r="1392" spans="1:31" s="497" customFormat="1">
      <c r="A1392" s="384"/>
      <c r="B1392" s="384"/>
      <c r="C1392" s="384"/>
      <c r="D1392" s="384"/>
      <c r="E1392" s="384"/>
      <c r="F1392" s="384"/>
      <c r="G1392" s="384"/>
      <c r="H1392" s="384"/>
      <c r="I1392" s="741"/>
      <c r="J1392" s="384"/>
      <c r="K1392" s="2220"/>
      <c r="L1392" s="1257"/>
      <c r="M1392" s="2219"/>
      <c r="N1392" s="1257"/>
      <c r="O1392" s="2219"/>
      <c r="P1392" s="1257"/>
      <c r="Q1392" s="2219"/>
      <c r="R1392" s="1257"/>
      <c r="S1392" s="1257"/>
      <c r="T1392" s="1257"/>
      <c r="U1392" s="1257"/>
      <c r="V1392" s="1257"/>
      <c r="W1392" s="1257"/>
      <c r="X1392" s="1257"/>
      <c r="Y1392" s="2219"/>
      <c r="Z1392" s="1257"/>
      <c r="AA1392" s="1254"/>
      <c r="AB1392" s="1267"/>
      <c r="AC1392" s="2222"/>
      <c r="AD1392" s="1995"/>
      <c r="AE1392" s="390"/>
    </row>
    <row r="1393" spans="1:31" s="2233" customFormat="1" ht="66" customHeight="1">
      <c r="A1393" s="1385"/>
      <c r="B1393" s="1385"/>
      <c r="C1393" s="2191">
        <v>3</v>
      </c>
      <c r="D1393" s="2191" t="s">
        <v>107</v>
      </c>
      <c r="E1393" s="2191" t="s">
        <v>196</v>
      </c>
      <c r="F1393" s="2191">
        <v>20</v>
      </c>
      <c r="G1393" s="1781">
        <v>33</v>
      </c>
      <c r="H1393" s="1781"/>
      <c r="I1393" s="2211" t="s">
        <v>2874</v>
      </c>
      <c r="J1393" s="1385" t="s">
        <v>2875</v>
      </c>
      <c r="K1393" s="2205">
        <v>600</v>
      </c>
      <c r="L1393" s="2186">
        <v>838611213</v>
      </c>
      <c r="M1393" s="2205">
        <v>200</v>
      </c>
      <c r="N1393" s="2186">
        <v>257419968</v>
      </c>
      <c r="O1393" s="2205">
        <v>100</v>
      </c>
      <c r="P1393" s="2186">
        <v>118893022</v>
      </c>
      <c r="Q1393" s="2205">
        <v>25</v>
      </c>
      <c r="R1393" s="2186">
        <v>0</v>
      </c>
      <c r="S1393" s="2186">
        <v>0</v>
      </c>
      <c r="T1393" s="2186">
        <v>0</v>
      </c>
      <c r="U1393" s="2186">
        <v>0</v>
      </c>
      <c r="V1393" s="2186">
        <v>0</v>
      </c>
      <c r="W1393" s="2186">
        <v>0</v>
      </c>
      <c r="X1393" s="2186">
        <v>0</v>
      </c>
      <c r="Y1393" s="2215">
        <f t="shared" si="268"/>
        <v>25</v>
      </c>
      <c r="Z1393" s="2186">
        <f t="shared" si="267"/>
        <v>0</v>
      </c>
      <c r="AA1393" s="2215">
        <f>M1393+Y1393</f>
        <v>225</v>
      </c>
      <c r="AB1393" s="2209">
        <f>N1393+Z1393</f>
        <v>257419968</v>
      </c>
      <c r="AC1393" s="2210">
        <f>AA1393/K1393*100%</f>
        <v>0.375</v>
      </c>
      <c r="AD1393" s="2210">
        <f>AB1393/L1393*100%</f>
        <v>0.30695984505039048</v>
      </c>
      <c r="AE1393" s="2207" t="s">
        <v>222</v>
      </c>
    </row>
    <row r="1394" spans="1:31" s="497" customFormat="1">
      <c r="A1394" s="384"/>
      <c r="B1394" s="384"/>
      <c r="C1394" s="384"/>
      <c r="D1394" s="384"/>
      <c r="E1394" s="384"/>
      <c r="F1394" s="384"/>
      <c r="G1394" s="384"/>
      <c r="H1394" s="384"/>
      <c r="I1394" s="1200"/>
      <c r="J1394" s="384"/>
      <c r="K1394" s="2220"/>
      <c r="L1394" s="1257"/>
      <c r="M1394" s="2219"/>
      <c r="N1394" s="1257"/>
      <c r="O1394" s="2219"/>
      <c r="P1394" s="1257"/>
      <c r="Q1394" s="2219"/>
      <c r="R1394" s="1257"/>
      <c r="S1394" s="1257"/>
      <c r="T1394" s="1257"/>
      <c r="U1394" s="1257"/>
      <c r="V1394" s="1257"/>
      <c r="W1394" s="1257"/>
      <c r="X1394" s="1257"/>
      <c r="Y1394" s="2219"/>
      <c r="Z1394" s="1257"/>
      <c r="AA1394" s="1254"/>
      <c r="AB1394" s="1267"/>
      <c r="AC1394" s="2222"/>
      <c r="AD1394" s="1995"/>
      <c r="AE1394" s="390"/>
    </row>
    <row r="1395" spans="1:31" s="497" customFormat="1">
      <c r="A1395" s="384"/>
      <c r="B1395" s="384"/>
      <c r="C1395" s="384"/>
      <c r="D1395" s="384"/>
      <c r="E1395" s="384"/>
      <c r="F1395" s="384"/>
      <c r="G1395" s="384"/>
      <c r="H1395" s="384"/>
      <c r="I1395" s="1248"/>
      <c r="J1395" s="384"/>
      <c r="K1395" s="2220"/>
      <c r="L1395" s="1257"/>
      <c r="M1395" s="2219"/>
      <c r="N1395" s="1257"/>
      <c r="O1395" s="2219"/>
      <c r="P1395" s="1257"/>
      <c r="Q1395" s="2219"/>
      <c r="R1395" s="1257"/>
      <c r="S1395" s="1257"/>
      <c r="T1395" s="1257"/>
      <c r="U1395" s="1257"/>
      <c r="V1395" s="1257"/>
      <c r="W1395" s="1257"/>
      <c r="X1395" s="1257"/>
      <c r="Y1395" s="2219"/>
      <c r="Z1395" s="1257"/>
      <c r="AA1395" s="1254"/>
      <c r="AB1395" s="1267"/>
      <c r="AC1395" s="2222"/>
      <c r="AD1395" s="1995"/>
      <c r="AE1395" s="390"/>
    </row>
    <row r="1396" spans="1:31" s="621" customFormat="1" ht="60.75" customHeight="1">
      <c r="A1396" s="2191" t="s">
        <v>93</v>
      </c>
      <c r="B1396" s="4551" t="s">
        <v>2876</v>
      </c>
      <c r="C1396" s="2191">
        <v>3</v>
      </c>
      <c r="D1396" s="2191" t="s">
        <v>107</v>
      </c>
      <c r="E1396" s="2191" t="s">
        <v>196</v>
      </c>
      <c r="F1396" s="2191">
        <v>17</v>
      </c>
      <c r="G1396" s="1374"/>
      <c r="H1396" s="1374"/>
      <c r="I1396" s="2192" t="s">
        <v>2704</v>
      </c>
      <c r="J1396" s="2234" t="s">
        <v>2877</v>
      </c>
      <c r="K1396" s="2235">
        <v>4</v>
      </c>
      <c r="L1396" s="2236"/>
      <c r="M1396" s="2237">
        <v>4</v>
      </c>
      <c r="N1396" s="2199"/>
      <c r="O1396" s="2237">
        <v>4</v>
      </c>
      <c r="P1396" s="2238"/>
      <c r="Q1396" s="2239"/>
      <c r="R1396" s="2186"/>
      <c r="S1396" s="2186"/>
      <c r="T1396" s="2186"/>
      <c r="U1396" s="2186"/>
      <c r="V1396" s="2186"/>
      <c r="W1396" s="2186"/>
      <c r="X1396" s="2186"/>
      <c r="Y1396" s="2205"/>
      <c r="Z1396" s="2186"/>
      <c r="AA1396" s="2215"/>
      <c r="AB1396" s="2209"/>
      <c r="AC1396" s="2202"/>
      <c r="AD1396" s="2216"/>
      <c r="AE1396" s="2203"/>
    </row>
    <row r="1397" spans="1:31" s="621" customFormat="1" ht="69.75" customHeight="1">
      <c r="A1397" s="1374"/>
      <c r="B1397" s="4551"/>
      <c r="C1397" s="2191"/>
      <c r="D1397" s="2191"/>
      <c r="E1397" s="2191"/>
      <c r="F1397" s="2191"/>
      <c r="G1397" s="1374"/>
      <c r="H1397" s="1374"/>
      <c r="I1397" s="2212"/>
      <c r="J1397" s="2234" t="s">
        <v>2878</v>
      </c>
      <c r="K1397" s="2240">
        <v>0.75</v>
      </c>
      <c r="L1397" s="2236"/>
      <c r="M1397" s="2240">
        <v>0.75</v>
      </c>
      <c r="N1397" s="2199"/>
      <c r="O1397" s="2240">
        <v>0.75</v>
      </c>
      <c r="P1397" s="2238"/>
      <c r="Q1397" s="2239"/>
      <c r="R1397" s="2186"/>
      <c r="S1397" s="2186"/>
      <c r="T1397" s="2186"/>
      <c r="U1397" s="2186"/>
      <c r="V1397" s="2186"/>
      <c r="W1397" s="2186"/>
      <c r="X1397" s="2186"/>
      <c r="Y1397" s="2205"/>
      <c r="Z1397" s="2186"/>
      <c r="AA1397" s="2215"/>
      <c r="AB1397" s="2209"/>
      <c r="AC1397" s="2202"/>
      <c r="AD1397" s="2216"/>
      <c r="AE1397" s="2203"/>
    </row>
    <row r="1398" spans="1:31" s="621" customFormat="1" ht="69.75" customHeight="1">
      <c r="A1398" s="1374"/>
      <c r="B1398" s="2234"/>
      <c r="C1398" s="2191"/>
      <c r="D1398" s="2191"/>
      <c r="E1398" s="2191"/>
      <c r="F1398" s="2191"/>
      <c r="G1398" s="1374"/>
      <c r="H1398" s="1374"/>
      <c r="I1398" s="2212"/>
      <c r="J1398" s="2187" t="s">
        <v>2879</v>
      </c>
      <c r="K1398" s="2240">
        <v>1</v>
      </c>
      <c r="L1398" s="2236"/>
      <c r="M1398" s="2240">
        <v>1</v>
      </c>
      <c r="N1398" s="2199"/>
      <c r="O1398" s="2240">
        <v>1</v>
      </c>
      <c r="P1398" s="2238"/>
      <c r="Q1398" s="2239"/>
      <c r="R1398" s="2186"/>
      <c r="S1398" s="2186"/>
      <c r="T1398" s="2186"/>
      <c r="U1398" s="2186"/>
      <c r="V1398" s="2186"/>
      <c r="W1398" s="2186"/>
      <c r="X1398" s="2186"/>
      <c r="Y1398" s="2205"/>
      <c r="Z1398" s="2186"/>
      <c r="AA1398" s="2215"/>
      <c r="AB1398" s="2209"/>
      <c r="AC1398" s="2202"/>
      <c r="AD1398" s="2216"/>
      <c r="AE1398" s="2203"/>
    </row>
    <row r="1399" spans="1:31" s="621" customFormat="1" ht="58.5" customHeight="1">
      <c r="A1399" s="1374"/>
      <c r="B1399" s="1374"/>
      <c r="C1399" s="2191">
        <v>3</v>
      </c>
      <c r="D1399" s="2191" t="s">
        <v>107</v>
      </c>
      <c r="E1399" s="2191" t="s">
        <v>196</v>
      </c>
      <c r="F1399" s="2191">
        <v>17</v>
      </c>
      <c r="G1399" s="2191" t="s">
        <v>65</v>
      </c>
      <c r="H1399" s="2191"/>
      <c r="I1399" s="1762" t="s">
        <v>2880</v>
      </c>
      <c r="J1399" s="1380" t="s">
        <v>2881</v>
      </c>
      <c r="K1399" s="2241">
        <v>790</v>
      </c>
      <c r="L1399" s="2242">
        <v>486666048</v>
      </c>
      <c r="M1399" s="2205">
        <v>230</v>
      </c>
      <c r="N1399" s="2186">
        <v>160014900</v>
      </c>
      <c r="O1399" s="2205">
        <v>0</v>
      </c>
      <c r="P1399" s="2186">
        <v>0</v>
      </c>
      <c r="Q1399" s="2239">
        <v>0</v>
      </c>
      <c r="R1399" s="2186">
        <v>0</v>
      </c>
      <c r="S1399" s="2186">
        <v>0</v>
      </c>
      <c r="T1399" s="2186">
        <v>0</v>
      </c>
      <c r="U1399" s="2186">
        <v>0</v>
      </c>
      <c r="V1399" s="2186">
        <v>0</v>
      </c>
      <c r="W1399" s="2186">
        <v>0</v>
      </c>
      <c r="X1399" s="2186">
        <v>0</v>
      </c>
      <c r="Y1399" s="2205">
        <f t="shared" si="268"/>
        <v>0</v>
      </c>
      <c r="Z1399" s="2186">
        <f t="shared" si="267"/>
        <v>0</v>
      </c>
      <c r="AA1399" s="2205">
        <f t="shared" ref="AA1399:AB1436" si="273">M1399+Y1399</f>
        <v>230</v>
      </c>
      <c r="AB1399" s="2209">
        <f t="shared" si="273"/>
        <v>160014900</v>
      </c>
      <c r="AC1399" s="2210">
        <f t="shared" ref="AC1399:AD1436" si="274">AA1399/K1399*100%</f>
        <v>0.29113924050632911</v>
      </c>
      <c r="AD1399" s="2210">
        <f t="shared" si="274"/>
        <v>0.32879815770505527</v>
      </c>
      <c r="AE1399" s="2207" t="s">
        <v>222</v>
      </c>
    </row>
    <row r="1400" spans="1:31" s="621" customFormat="1" ht="61.5" customHeight="1">
      <c r="A1400" s="1374"/>
      <c r="B1400" s="1374"/>
      <c r="C1400" s="2191">
        <v>3</v>
      </c>
      <c r="D1400" s="2191" t="s">
        <v>107</v>
      </c>
      <c r="E1400" s="2191" t="s">
        <v>196</v>
      </c>
      <c r="F1400" s="2191">
        <v>17</v>
      </c>
      <c r="G1400" s="2191" t="s">
        <v>197</v>
      </c>
      <c r="H1400" s="2191"/>
      <c r="I1400" s="1762" t="s">
        <v>2882</v>
      </c>
      <c r="J1400" s="1380" t="s">
        <v>2883</v>
      </c>
      <c r="K1400" s="2243">
        <v>600</v>
      </c>
      <c r="L1400" s="2242">
        <v>1221430489</v>
      </c>
      <c r="M1400" s="2205">
        <v>200</v>
      </c>
      <c r="N1400" s="2186">
        <v>357334505</v>
      </c>
      <c r="O1400" s="2205">
        <v>100</v>
      </c>
      <c r="P1400" s="2186">
        <v>196890457</v>
      </c>
      <c r="Q1400" s="2244">
        <v>0</v>
      </c>
      <c r="R1400" s="2186">
        <v>42616407</v>
      </c>
      <c r="S1400" s="2186">
        <v>0</v>
      </c>
      <c r="T1400" s="2186">
        <v>0</v>
      </c>
      <c r="U1400" s="2186">
        <v>0</v>
      </c>
      <c r="V1400" s="2186">
        <v>0</v>
      </c>
      <c r="W1400" s="2186">
        <v>0</v>
      </c>
      <c r="X1400" s="2186">
        <v>0</v>
      </c>
      <c r="Y1400" s="2205">
        <f t="shared" si="268"/>
        <v>0</v>
      </c>
      <c r="Z1400" s="2186">
        <f t="shared" si="267"/>
        <v>42616407</v>
      </c>
      <c r="AA1400" s="2205">
        <f t="shared" si="273"/>
        <v>200</v>
      </c>
      <c r="AB1400" s="2209">
        <f t="shared" si="273"/>
        <v>399950912</v>
      </c>
      <c r="AC1400" s="2210">
        <f t="shared" si="274"/>
        <v>0.33333333333333331</v>
      </c>
      <c r="AD1400" s="2210">
        <f t="shared" si="274"/>
        <v>0.32744467704211699</v>
      </c>
      <c r="AE1400" s="2207" t="s">
        <v>222</v>
      </c>
    </row>
    <row r="1401" spans="1:31" s="621" customFormat="1" ht="57.75" customHeight="1">
      <c r="A1401" s="1374"/>
      <c r="B1401" s="1374"/>
      <c r="C1401" s="2191">
        <v>3</v>
      </c>
      <c r="D1401" s="2191" t="s">
        <v>107</v>
      </c>
      <c r="E1401" s="2191" t="s">
        <v>196</v>
      </c>
      <c r="F1401" s="2191">
        <v>17</v>
      </c>
      <c r="G1401" s="2191" t="s">
        <v>198</v>
      </c>
      <c r="H1401" s="2191"/>
      <c r="I1401" s="1762" t="s">
        <v>2884</v>
      </c>
      <c r="J1401" s="1380" t="s">
        <v>2885</v>
      </c>
      <c r="K1401" s="2243">
        <v>600</v>
      </c>
      <c r="L1401" s="2242">
        <v>1058850607</v>
      </c>
      <c r="M1401" s="2205">
        <v>200</v>
      </c>
      <c r="N1401" s="2186">
        <v>281189370</v>
      </c>
      <c r="O1401" s="2205">
        <v>100</v>
      </c>
      <c r="P1401" s="2186">
        <v>167936775</v>
      </c>
      <c r="Q1401" s="2245">
        <v>0</v>
      </c>
      <c r="R1401" s="2186">
        <v>46548395</v>
      </c>
      <c r="S1401" s="2186">
        <v>0</v>
      </c>
      <c r="T1401" s="2186">
        <v>0</v>
      </c>
      <c r="U1401" s="2186">
        <v>0</v>
      </c>
      <c r="V1401" s="2186">
        <v>0</v>
      </c>
      <c r="W1401" s="2186">
        <v>0</v>
      </c>
      <c r="X1401" s="2186">
        <v>0</v>
      </c>
      <c r="Y1401" s="2205">
        <f>Q1401</f>
        <v>0</v>
      </c>
      <c r="Z1401" s="2186">
        <f t="shared" si="267"/>
        <v>46548395</v>
      </c>
      <c r="AA1401" s="2205">
        <f t="shared" si="273"/>
        <v>200</v>
      </c>
      <c r="AB1401" s="2209">
        <f t="shared" si="273"/>
        <v>327737765</v>
      </c>
      <c r="AC1401" s="2210">
        <f t="shared" si="274"/>
        <v>0.33333333333333331</v>
      </c>
      <c r="AD1401" s="2210">
        <f t="shared" si="274"/>
        <v>0.30952219589179497</v>
      </c>
      <c r="AE1401" s="2207" t="s">
        <v>222</v>
      </c>
    </row>
    <row r="1402" spans="1:31" s="621" customFormat="1" ht="57" customHeight="1">
      <c r="A1402" s="1374"/>
      <c r="B1402" s="1374"/>
      <c r="C1402" s="2191">
        <v>3</v>
      </c>
      <c r="D1402" s="2191" t="s">
        <v>107</v>
      </c>
      <c r="E1402" s="2191" t="s">
        <v>196</v>
      </c>
      <c r="F1402" s="2191">
        <v>17</v>
      </c>
      <c r="G1402" s="2191" t="s">
        <v>93</v>
      </c>
      <c r="H1402" s="2191"/>
      <c r="I1402" s="1762" t="s">
        <v>2886</v>
      </c>
      <c r="J1402" s="1380" t="s">
        <v>2887</v>
      </c>
      <c r="K1402" s="2243">
        <v>600</v>
      </c>
      <c r="L1402" s="2242">
        <v>1711872584</v>
      </c>
      <c r="M1402" s="2205">
        <v>200</v>
      </c>
      <c r="N1402" s="2186">
        <v>284256381</v>
      </c>
      <c r="O1402" s="2205">
        <v>100</v>
      </c>
      <c r="P1402" s="2186">
        <v>153557528</v>
      </c>
      <c r="Q1402" s="2245">
        <v>0</v>
      </c>
      <c r="R1402" s="2186">
        <v>0</v>
      </c>
      <c r="S1402" s="2186">
        <v>0</v>
      </c>
      <c r="T1402" s="2186">
        <v>0</v>
      </c>
      <c r="U1402" s="2186">
        <v>0</v>
      </c>
      <c r="V1402" s="2186">
        <v>0</v>
      </c>
      <c r="W1402" s="2186">
        <v>0</v>
      </c>
      <c r="X1402" s="2186">
        <v>0</v>
      </c>
      <c r="Y1402" s="2205">
        <f>Q1402</f>
        <v>0</v>
      </c>
      <c r="Z1402" s="2186">
        <f t="shared" si="267"/>
        <v>0</v>
      </c>
      <c r="AA1402" s="2205">
        <f t="shared" si="273"/>
        <v>200</v>
      </c>
      <c r="AB1402" s="2209">
        <f t="shared" si="273"/>
        <v>284256381</v>
      </c>
      <c r="AC1402" s="2210">
        <f t="shared" si="274"/>
        <v>0.33333333333333331</v>
      </c>
      <c r="AD1402" s="2210">
        <f t="shared" si="274"/>
        <v>0.16604996403166886</v>
      </c>
      <c r="AE1402" s="2207" t="s">
        <v>222</v>
      </c>
    </row>
    <row r="1403" spans="1:31" s="621" customFormat="1" ht="65.25" customHeight="1">
      <c r="A1403" s="1374"/>
      <c r="B1403" s="1374"/>
      <c r="C1403" s="2191">
        <v>3</v>
      </c>
      <c r="D1403" s="2191" t="s">
        <v>107</v>
      </c>
      <c r="E1403" s="2191" t="s">
        <v>196</v>
      </c>
      <c r="F1403" s="2191">
        <v>17</v>
      </c>
      <c r="G1403" s="2191" t="s">
        <v>201</v>
      </c>
      <c r="H1403" s="2191"/>
      <c r="I1403" s="1762" t="s">
        <v>2888</v>
      </c>
      <c r="J1403" s="1380" t="s">
        <v>2889</v>
      </c>
      <c r="K1403" s="2243">
        <v>600</v>
      </c>
      <c r="L1403" s="2242">
        <v>1071506464</v>
      </c>
      <c r="M1403" s="2205">
        <v>200</v>
      </c>
      <c r="N1403" s="2186">
        <v>280639120</v>
      </c>
      <c r="O1403" s="2205">
        <v>100</v>
      </c>
      <c r="P1403" s="2186">
        <v>151435488</v>
      </c>
      <c r="Q1403" s="2245">
        <v>0</v>
      </c>
      <c r="R1403" s="2186">
        <v>0</v>
      </c>
      <c r="S1403" s="2186">
        <v>0</v>
      </c>
      <c r="T1403" s="2186">
        <v>0</v>
      </c>
      <c r="U1403" s="2186">
        <v>0</v>
      </c>
      <c r="V1403" s="2186">
        <v>0</v>
      </c>
      <c r="W1403" s="2186">
        <v>0</v>
      </c>
      <c r="X1403" s="2186">
        <v>0</v>
      </c>
      <c r="Y1403" s="2205">
        <f t="shared" si="268"/>
        <v>0</v>
      </c>
      <c r="Z1403" s="2186">
        <f t="shared" si="267"/>
        <v>0</v>
      </c>
      <c r="AA1403" s="2205">
        <f t="shared" si="273"/>
        <v>200</v>
      </c>
      <c r="AB1403" s="2209">
        <f t="shared" si="273"/>
        <v>280639120</v>
      </c>
      <c r="AC1403" s="2210">
        <f t="shared" si="274"/>
        <v>0.33333333333333331</v>
      </c>
      <c r="AD1403" s="2210">
        <f t="shared" si="274"/>
        <v>0.26191080448768994</v>
      </c>
      <c r="AE1403" s="2207" t="s">
        <v>222</v>
      </c>
    </row>
    <row r="1404" spans="1:31" s="621" customFormat="1" ht="76.5" customHeight="1">
      <c r="A1404" s="1374"/>
      <c r="B1404" s="1374"/>
      <c r="C1404" s="2191">
        <v>3</v>
      </c>
      <c r="D1404" s="2191" t="s">
        <v>107</v>
      </c>
      <c r="E1404" s="2191" t="s">
        <v>196</v>
      </c>
      <c r="F1404" s="2191">
        <v>17</v>
      </c>
      <c r="G1404" s="1374">
        <v>10</v>
      </c>
      <c r="H1404" s="1374"/>
      <c r="I1404" s="1762" t="s">
        <v>2890</v>
      </c>
      <c r="J1404" s="1380" t="s">
        <v>2891</v>
      </c>
      <c r="K1404" s="2243">
        <v>540</v>
      </c>
      <c r="L1404" s="2242">
        <v>850803806</v>
      </c>
      <c r="M1404" s="2205">
        <v>180</v>
      </c>
      <c r="N1404" s="2186">
        <v>204884903</v>
      </c>
      <c r="O1404" s="2205">
        <v>90</v>
      </c>
      <c r="P1404" s="2186">
        <v>110112302</v>
      </c>
      <c r="Q1404" s="2245">
        <v>0</v>
      </c>
      <c r="R1404" s="2186">
        <v>7112966</v>
      </c>
      <c r="S1404" s="2186">
        <v>0</v>
      </c>
      <c r="T1404" s="2186">
        <v>0</v>
      </c>
      <c r="U1404" s="2186">
        <v>0</v>
      </c>
      <c r="V1404" s="2186">
        <v>0</v>
      </c>
      <c r="W1404" s="2186">
        <v>0</v>
      </c>
      <c r="X1404" s="2186">
        <v>0</v>
      </c>
      <c r="Y1404" s="2205">
        <f t="shared" si="268"/>
        <v>0</v>
      </c>
      <c r="Z1404" s="2186">
        <f t="shared" si="267"/>
        <v>7112966</v>
      </c>
      <c r="AA1404" s="2205">
        <f t="shared" si="273"/>
        <v>180</v>
      </c>
      <c r="AB1404" s="2209">
        <f t="shared" si="273"/>
        <v>211997869</v>
      </c>
      <c r="AC1404" s="2210">
        <f t="shared" si="274"/>
        <v>0.33333333333333331</v>
      </c>
      <c r="AD1404" s="2210">
        <f t="shared" si="274"/>
        <v>0.24917362558201814</v>
      </c>
      <c r="AE1404" s="2207" t="s">
        <v>222</v>
      </c>
    </row>
    <row r="1405" spans="1:31" s="621" customFormat="1" ht="83.25" customHeight="1">
      <c r="A1405" s="1374"/>
      <c r="B1405" s="1374"/>
      <c r="C1405" s="2191">
        <v>3</v>
      </c>
      <c r="D1405" s="2191" t="s">
        <v>107</v>
      </c>
      <c r="E1405" s="2191" t="s">
        <v>196</v>
      </c>
      <c r="F1405" s="2191">
        <v>17</v>
      </c>
      <c r="G1405" s="1374">
        <v>11</v>
      </c>
      <c r="H1405" s="1374"/>
      <c r="I1405" s="1762" t="s">
        <v>2892</v>
      </c>
      <c r="J1405" s="1380" t="s">
        <v>2891</v>
      </c>
      <c r="K1405" s="2243">
        <v>540</v>
      </c>
      <c r="L1405" s="2242">
        <v>841680012</v>
      </c>
      <c r="M1405" s="2205">
        <v>180</v>
      </c>
      <c r="N1405" s="2186">
        <v>194962670</v>
      </c>
      <c r="O1405" s="2205">
        <v>90</v>
      </c>
      <c r="P1405" s="2186">
        <v>113935421</v>
      </c>
      <c r="Q1405" s="2245">
        <v>0</v>
      </c>
      <c r="R1405" s="2186">
        <v>7139115</v>
      </c>
      <c r="S1405" s="2186">
        <v>0</v>
      </c>
      <c r="T1405" s="2186">
        <v>0</v>
      </c>
      <c r="U1405" s="2186">
        <v>0</v>
      </c>
      <c r="V1405" s="2186">
        <v>0</v>
      </c>
      <c r="W1405" s="2186">
        <v>0</v>
      </c>
      <c r="X1405" s="2186">
        <v>0</v>
      </c>
      <c r="Y1405" s="2205">
        <f t="shared" si="268"/>
        <v>0</v>
      </c>
      <c r="Z1405" s="2186">
        <f t="shared" si="267"/>
        <v>7139115</v>
      </c>
      <c r="AA1405" s="2205">
        <f t="shared" si="273"/>
        <v>180</v>
      </c>
      <c r="AB1405" s="2209">
        <f t="shared" si="273"/>
        <v>202101785</v>
      </c>
      <c r="AC1405" s="2210">
        <f t="shared" si="274"/>
        <v>0.33333333333333331</v>
      </c>
      <c r="AD1405" s="2210">
        <f t="shared" si="274"/>
        <v>0.24011712541416511</v>
      </c>
      <c r="AE1405" s="2207" t="s">
        <v>222</v>
      </c>
    </row>
    <row r="1406" spans="1:31" s="621" customFormat="1" ht="54" customHeight="1">
      <c r="A1406" s="1374"/>
      <c r="B1406" s="1374"/>
      <c r="C1406" s="2191">
        <v>3</v>
      </c>
      <c r="D1406" s="2191" t="s">
        <v>107</v>
      </c>
      <c r="E1406" s="2191" t="s">
        <v>196</v>
      </c>
      <c r="F1406" s="2191">
        <v>17</v>
      </c>
      <c r="G1406" s="1374">
        <v>20</v>
      </c>
      <c r="H1406" s="1374"/>
      <c r="I1406" s="1762" t="s">
        <v>2893</v>
      </c>
      <c r="J1406" s="1380" t="s">
        <v>2894</v>
      </c>
      <c r="K1406" s="2243">
        <v>3096</v>
      </c>
      <c r="L1406" s="2242">
        <v>818642648</v>
      </c>
      <c r="M1406" s="2205">
        <v>1032</v>
      </c>
      <c r="N1406" s="2186">
        <v>239956202</v>
      </c>
      <c r="O1406" s="2205">
        <v>516</v>
      </c>
      <c r="P1406" s="2186">
        <v>96454216</v>
      </c>
      <c r="Q1406" s="2245">
        <v>0</v>
      </c>
      <c r="R1406" s="2186">
        <v>12512102</v>
      </c>
      <c r="S1406" s="2186">
        <v>0</v>
      </c>
      <c r="T1406" s="2186">
        <v>0</v>
      </c>
      <c r="U1406" s="2186">
        <v>0</v>
      </c>
      <c r="V1406" s="2186">
        <v>0</v>
      </c>
      <c r="W1406" s="2186">
        <v>0</v>
      </c>
      <c r="X1406" s="2186">
        <v>0</v>
      </c>
      <c r="Y1406" s="2205">
        <f t="shared" si="268"/>
        <v>0</v>
      </c>
      <c r="Z1406" s="2186">
        <f t="shared" si="267"/>
        <v>12512102</v>
      </c>
      <c r="AA1406" s="2205">
        <f t="shared" si="273"/>
        <v>1032</v>
      </c>
      <c r="AB1406" s="2209">
        <f t="shared" si="273"/>
        <v>252468304</v>
      </c>
      <c r="AC1406" s="2210">
        <f t="shared" si="274"/>
        <v>0.33333333333333331</v>
      </c>
      <c r="AD1406" s="2210">
        <f t="shared" si="274"/>
        <v>0.3083986701850891</v>
      </c>
      <c r="AE1406" s="2207" t="s">
        <v>222</v>
      </c>
    </row>
    <row r="1407" spans="1:31" s="621" customFormat="1" ht="63.75" customHeight="1">
      <c r="A1407" s="1374"/>
      <c r="B1407" s="1374"/>
      <c r="C1407" s="2191">
        <v>3</v>
      </c>
      <c r="D1407" s="2191" t="s">
        <v>107</v>
      </c>
      <c r="E1407" s="2191" t="s">
        <v>196</v>
      </c>
      <c r="F1407" s="2191">
        <v>17</v>
      </c>
      <c r="G1407" s="1374">
        <v>22</v>
      </c>
      <c r="H1407" s="1374"/>
      <c r="I1407" s="1762" t="s">
        <v>2895</v>
      </c>
      <c r="J1407" s="1380" t="s">
        <v>2896</v>
      </c>
      <c r="K1407" s="2243">
        <v>72</v>
      </c>
      <c r="L1407" s="2242">
        <v>492608279</v>
      </c>
      <c r="M1407" s="2205">
        <v>24</v>
      </c>
      <c r="N1407" s="2186">
        <v>138133012</v>
      </c>
      <c r="O1407" s="2205">
        <v>12</v>
      </c>
      <c r="P1407" s="2186">
        <v>50177192</v>
      </c>
      <c r="Q1407" s="2245">
        <v>3</v>
      </c>
      <c r="R1407" s="2186">
        <v>10391975</v>
      </c>
      <c r="S1407" s="2186">
        <v>0</v>
      </c>
      <c r="T1407" s="2186">
        <v>0</v>
      </c>
      <c r="U1407" s="2186">
        <v>0</v>
      </c>
      <c r="V1407" s="2186">
        <v>0</v>
      </c>
      <c r="W1407" s="2186">
        <v>0</v>
      </c>
      <c r="X1407" s="2186">
        <v>0</v>
      </c>
      <c r="Y1407" s="2205">
        <f t="shared" si="268"/>
        <v>3</v>
      </c>
      <c r="Z1407" s="2186">
        <f t="shared" si="267"/>
        <v>10391975</v>
      </c>
      <c r="AA1407" s="2205">
        <f t="shared" si="273"/>
        <v>27</v>
      </c>
      <c r="AB1407" s="2209">
        <f t="shared" si="273"/>
        <v>148524987</v>
      </c>
      <c r="AC1407" s="2210">
        <f t="shared" si="274"/>
        <v>0.375</v>
      </c>
      <c r="AD1407" s="2210">
        <f t="shared" si="274"/>
        <v>0.3015072895273041</v>
      </c>
      <c r="AE1407" s="2207" t="s">
        <v>222</v>
      </c>
    </row>
    <row r="1408" spans="1:31" s="621" customFormat="1" ht="60" customHeight="1">
      <c r="A1408" s="1374"/>
      <c r="B1408" s="1374"/>
      <c r="C1408" s="2191">
        <v>3</v>
      </c>
      <c r="D1408" s="2191" t="s">
        <v>107</v>
      </c>
      <c r="E1408" s="2191" t="s">
        <v>196</v>
      </c>
      <c r="F1408" s="2191">
        <v>17</v>
      </c>
      <c r="G1408" s="1374">
        <v>28</v>
      </c>
      <c r="H1408" s="1374"/>
      <c r="I1408" s="1762" t="s">
        <v>2897</v>
      </c>
      <c r="J1408" s="1380" t="s">
        <v>2898</v>
      </c>
      <c r="K1408" s="2243">
        <v>3096</v>
      </c>
      <c r="L1408" s="2242">
        <v>690444044</v>
      </c>
      <c r="M1408" s="2205">
        <v>1032</v>
      </c>
      <c r="N1408" s="2186">
        <v>185302575</v>
      </c>
      <c r="O1408" s="2205">
        <v>516</v>
      </c>
      <c r="P1408" s="2186">
        <v>81031348</v>
      </c>
      <c r="Q1408" s="2245">
        <v>0</v>
      </c>
      <c r="R1408" s="2186">
        <v>0</v>
      </c>
      <c r="S1408" s="2186">
        <v>0</v>
      </c>
      <c r="T1408" s="2186">
        <v>0</v>
      </c>
      <c r="U1408" s="2186">
        <v>0</v>
      </c>
      <c r="V1408" s="2186">
        <v>0</v>
      </c>
      <c r="W1408" s="2186">
        <v>0</v>
      </c>
      <c r="X1408" s="2186">
        <v>0</v>
      </c>
      <c r="Y1408" s="2205">
        <f t="shared" si="268"/>
        <v>0</v>
      </c>
      <c r="Z1408" s="2186">
        <f t="shared" si="267"/>
        <v>0</v>
      </c>
      <c r="AA1408" s="2205">
        <f t="shared" si="273"/>
        <v>1032</v>
      </c>
      <c r="AB1408" s="2209">
        <f t="shared" si="273"/>
        <v>185302575</v>
      </c>
      <c r="AC1408" s="2210">
        <f t="shared" si="274"/>
        <v>0.33333333333333331</v>
      </c>
      <c r="AD1408" s="2210">
        <f t="shared" si="274"/>
        <v>0.26838174159121286</v>
      </c>
      <c r="AE1408" s="2207" t="s">
        <v>222</v>
      </c>
    </row>
    <row r="1409" spans="1:31" s="621" customFormat="1" ht="57.75" customHeight="1">
      <c r="A1409" s="1374"/>
      <c r="B1409" s="1374"/>
      <c r="C1409" s="2191">
        <v>3</v>
      </c>
      <c r="D1409" s="2191" t="s">
        <v>107</v>
      </c>
      <c r="E1409" s="2191" t="s">
        <v>196</v>
      </c>
      <c r="F1409" s="2191">
        <v>17</v>
      </c>
      <c r="G1409" s="1374">
        <v>29</v>
      </c>
      <c r="H1409" s="1374"/>
      <c r="I1409" s="1762" t="s">
        <v>2899</v>
      </c>
      <c r="J1409" s="273" t="s">
        <v>2900</v>
      </c>
      <c r="K1409" s="2243">
        <v>72</v>
      </c>
      <c r="L1409" s="2242">
        <v>2509900114</v>
      </c>
      <c r="M1409" s="2205">
        <v>24</v>
      </c>
      <c r="N1409" s="2246">
        <v>1009262760</v>
      </c>
      <c r="O1409" s="2205">
        <v>12</v>
      </c>
      <c r="P1409" s="2246">
        <v>403648070</v>
      </c>
      <c r="Q1409" s="2247">
        <v>3</v>
      </c>
      <c r="R1409" s="2246">
        <v>30030517</v>
      </c>
      <c r="S1409" s="2186">
        <v>0</v>
      </c>
      <c r="T1409" s="2186">
        <v>0</v>
      </c>
      <c r="U1409" s="2186">
        <v>0</v>
      </c>
      <c r="V1409" s="2186">
        <v>0</v>
      </c>
      <c r="W1409" s="2186">
        <v>0</v>
      </c>
      <c r="X1409" s="2186">
        <v>0</v>
      </c>
      <c r="Y1409" s="2205">
        <f t="shared" si="268"/>
        <v>3</v>
      </c>
      <c r="Z1409" s="2186">
        <f t="shared" si="267"/>
        <v>30030517</v>
      </c>
      <c r="AA1409" s="2205">
        <f t="shared" si="273"/>
        <v>27</v>
      </c>
      <c r="AB1409" s="2209">
        <f t="shared" si="273"/>
        <v>1039293277</v>
      </c>
      <c r="AC1409" s="2210">
        <f t="shared" si="274"/>
        <v>0.375</v>
      </c>
      <c r="AD1409" s="2210">
        <f t="shared" si="274"/>
        <v>0.41407754484049558</v>
      </c>
      <c r="AE1409" s="2207" t="s">
        <v>222</v>
      </c>
    </row>
    <row r="1410" spans="1:31" s="621" customFormat="1" ht="57.75" customHeight="1">
      <c r="A1410" s="1374"/>
      <c r="B1410" s="1374"/>
      <c r="C1410" s="2191">
        <v>1</v>
      </c>
      <c r="D1410" s="2191" t="s">
        <v>376</v>
      </c>
      <c r="E1410" s="2191" t="s">
        <v>178</v>
      </c>
      <c r="F1410" s="2191" t="s">
        <v>448</v>
      </c>
      <c r="G1410" s="2191" t="s">
        <v>373</v>
      </c>
      <c r="H1410" s="2191"/>
      <c r="I1410" s="1762" t="s">
        <v>2901</v>
      </c>
      <c r="J1410" s="273" t="s">
        <v>2902</v>
      </c>
      <c r="K1410" s="2243">
        <v>100</v>
      </c>
      <c r="L1410" s="2246">
        <v>47299000</v>
      </c>
      <c r="M1410" s="2205">
        <v>100</v>
      </c>
      <c r="N1410" s="2246">
        <v>45646000</v>
      </c>
      <c r="O1410" s="2205">
        <v>0</v>
      </c>
      <c r="P1410" s="2246">
        <v>0</v>
      </c>
      <c r="Q1410" s="2247">
        <v>0</v>
      </c>
      <c r="R1410" s="2246">
        <v>0</v>
      </c>
      <c r="S1410" s="2186">
        <v>0</v>
      </c>
      <c r="T1410" s="2186">
        <v>0</v>
      </c>
      <c r="U1410" s="2186">
        <v>0</v>
      </c>
      <c r="V1410" s="2186">
        <v>0</v>
      </c>
      <c r="W1410" s="2186">
        <v>0</v>
      </c>
      <c r="X1410" s="2186">
        <v>0</v>
      </c>
      <c r="Y1410" s="2205">
        <f t="shared" si="268"/>
        <v>0</v>
      </c>
      <c r="Z1410" s="2186">
        <f t="shared" si="267"/>
        <v>0</v>
      </c>
      <c r="AA1410" s="2205">
        <f t="shared" si="273"/>
        <v>100</v>
      </c>
      <c r="AB1410" s="2209">
        <f t="shared" si="273"/>
        <v>45646000</v>
      </c>
      <c r="AC1410" s="2210">
        <f t="shared" si="274"/>
        <v>1</v>
      </c>
      <c r="AD1410" s="2210">
        <f t="shared" si="274"/>
        <v>0.96505211526670753</v>
      </c>
      <c r="AE1410" s="2207" t="s">
        <v>222</v>
      </c>
    </row>
    <row r="1411" spans="1:31" s="621" customFormat="1" ht="57.75" customHeight="1">
      <c r="A1411" s="1374"/>
      <c r="B1411" s="1374"/>
      <c r="C1411" s="2191">
        <v>1</v>
      </c>
      <c r="D1411" s="2191" t="s">
        <v>376</v>
      </c>
      <c r="E1411" s="2191" t="s">
        <v>178</v>
      </c>
      <c r="F1411" s="2191" t="s">
        <v>448</v>
      </c>
      <c r="G1411" s="2191" t="s">
        <v>399</v>
      </c>
      <c r="H1411" s="2191"/>
      <c r="I1411" s="1762" t="s">
        <v>2903</v>
      </c>
      <c r="J1411" s="273" t="s">
        <v>2902</v>
      </c>
      <c r="K1411" s="2243">
        <v>100</v>
      </c>
      <c r="L1411" s="2246">
        <v>13152000</v>
      </c>
      <c r="M1411" s="2205">
        <v>100</v>
      </c>
      <c r="N1411" s="2246">
        <v>13100000</v>
      </c>
      <c r="O1411" s="2205">
        <v>0</v>
      </c>
      <c r="P1411" s="2246">
        <v>0</v>
      </c>
      <c r="Q1411" s="2247">
        <v>0</v>
      </c>
      <c r="R1411" s="2246">
        <v>0</v>
      </c>
      <c r="S1411" s="2186">
        <v>0</v>
      </c>
      <c r="T1411" s="2186">
        <v>0</v>
      </c>
      <c r="U1411" s="2186">
        <v>0</v>
      </c>
      <c r="V1411" s="2186">
        <v>0</v>
      </c>
      <c r="W1411" s="2186">
        <v>0</v>
      </c>
      <c r="X1411" s="2186">
        <v>0</v>
      </c>
      <c r="Y1411" s="2205">
        <f t="shared" si="268"/>
        <v>0</v>
      </c>
      <c r="Z1411" s="2186">
        <f t="shared" si="267"/>
        <v>0</v>
      </c>
      <c r="AA1411" s="2205">
        <f t="shared" si="273"/>
        <v>100</v>
      </c>
      <c r="AB1411" s="2209">
        <f t="shared" si="273"/>
        <v>13100000</v>
      </c>
      <c r="AC1411" s="2210">
        <f t="shared" si="274"/>
        <v>1</v>
      </c>
      <c r="AD1411" s="2210">
        <f t="shared" si="274"/>
        <v>0.99604622871046233</v>
      </c>
      <c r="AE1411" s="2207" t="s">
        <v>222</v>
      </c>
    </row>
    <row r="1412" spans="1:31" s="621" customFormat="1" ht="57.75" customHeight="1">
      <c r="A1412" s="1374"/>
      <c r="B1412" s="1374"/>
      <c r="C1412" s="2191">
        <v>1</v>
      </c>
      <c r="D1412" s="2191" t="s">
        <v>376</v>
      </c>
      <c r="E1412" s="2191" t="s">
        <v>178</v>
      </c>
      <c r="F1412" s="2191" t="s">
        <v>448</v>
      </c>
      <c r="G1412" s="2191" t="s">
        <v>1148</v>
      </c>
      <c r="H1412" s="2191"/>
      <c r="I1412" s="1762" t="s">
        <v>2904</v>
      </c>
      <c r="J1412" s="273" t="s">
        <v>2905</v>
      </c>
      <c r="K1412" s="2243">
        <v>12</v>
      </c>
      <c r="L1412" s="2246">
        <v>23771632</v>
      </c>
      <c r="M1412" s="2205">
        <v>12</v>
      </c>
      <c r="N1412" s="2246">
        <v>9653500</v>
      </c>
      <c r="O1412" s="2205">
        <v>0</v>
      </c>
      <c r="P1412" s="2246">
        <v>0</v>
      </c>
      <c r="Q1412" s="2247">
        <v>0</v>
      </c>
      <c r="R1412" s="2246">
        <v>0</v>
      </c>
      <c r="S1412" s="2186">
        <v>0</v>
      </c>
      <c r="T1412" s="2186">
        <v>0</v>
      </c>
      <c r="U1412" s="2186">
        <v>0</v>
      </c>
      <c r="V1412" s="2186">
        <v>0</v>
      </c>
      <c r="W1412" s="2186">
        <v>0</v>
      </c>
      <c r="X1412" s="2186">
        <v>0</v>
      </c>
      <c r="Y1412" s="2205">
        <f t="shared" si="268"/>
        <v>0</v>
      </c>
      <c r="Z1412" s="2186">
        <f t="shared" si="267"/>
        <v>0</v>
      </c>
      <c r="AA1412" s="2205">
        <f t="shared" si="273"/>
        <v>12</v>
      </c>
      <c r="AB1412" s="2209">
        <f t="shared" si="273"/>
        <v>9653500</v>
      </c>
      <c r="AC1412" s="2210">
        <f t="shared" si="274"/>
        <v>1</v>
      </c>
      <c r="AD1412" s="2210">
        <f t="shared" si="274"/>
        <v>0.40609327958635738</v>
      </c>
      <c r="AE1412" s="2207" t="s">
        <v>222</v>
      </c>
    </row>
    <row r="1413" spans="1:31" s="621" customFormat="1" ht="57.75" customHeight="1">
      <c r="A1413" s="1374"/>
      <c r="B1413" s="1374"/>
      <c r="C1413" s="2191">
        <v>1</v>
      </c>
      <c r="D1413" s="2191" t="s">
        <v>376</v>
      </c>
      <c r="E1413" s="2191" t="s">
        <v>178</v>
      </c>
      <c r="F1413" s="2191" t="s">
        <v>448</v>
      </c>
      <c r="G1413" s="2191" t="s">
        <v>2906</v>
      </c>
      <c r="H1413" s="2191"/>
      <c r="I1413" s="1762" t="s">
        <v>2907</v>
      </c>
      <c r="J1413" s="273" t="s">
        <v>2908</v>
      </c>
      <c r="K1413" s="2243">
        <v>100</v>
      </c>
      <c r="L1413" s="2242">
        <v>359198216</v>
      </c>
      <c r="M1413" s="2205">
        <v>100</v>
      </c>
      <c r="N1413" s="2246">
        <v>291708850</v>
      </c>
      <c r="O1413" s="2205">
        <v>0</v>
      </c>
      <c r="P1413" s="2246">
        <v>0</v>
      </c>
      <c r="Q1413" s="2247">
        <v>0</v>
      </c>
      <c r="R1413" s="2246">
        <v>0</v>
      </c>
      <c r="S1413" s="2186">
        <v>0</v>
      </c>
      <c r="T1413" s="2186">
        <v>0</v>
      </c>
      <c r="U1413" s="2186">
        <v>0</v>
      </c>
      <c r="V1413" s="2186">
        <v>0</v>
      </c>
      <c r="W1413" s="2186">
        <v>0</v>
      </c>
      <c r="X1413" s="2186">
        <v>0</v>
      </c>
      <c r="Y1413" s="2205">
        <f t="shared" si="268"/>
        <v>0</v>
      </c>
      <c r="Z1413" s="2186">
        <f t="shared" si="267"/>
        <v>0</v>
      </c>
      <c r="AA1413" s="2205">
        <f t="shared" si="273"/>
        <v>100</v>
      </c>
      <c r="AB1413" s="2209">
        <f t="shared" si="273"/>
        <v>291708850</v>
      </c>
      <c r="AC1413" s="2210">
        <f t="shared" si="274"/>
        <v>1</v>
      </c>
      <c r="AD1413" s="2210">
        <f t="shared" si="274"/>
        <v>0.81211107685456874</v>
      </c>
      <c r="AE1413" s="2207" t="s">
        <v>222</v>
      </c>
    </row>
    <row r="1414" spans="1:31" s="621" customFormat="1" ht="57.75" customHeight="1">
      <c r="A1414" s="1374"/>
      <c r="B1414" s="1374"/>
      <c r="C1414" s="2191">
        <v>1</v>
      </c>
      <c r="D1414" s="2191" t="s">
        <v>376</v>
      </c>
      <c r="E1414" s="2191" t="s">
        <v>178</v>
      </c>
      <c r="F1414" s="2191" t="s">
        <v>448</v>
      </c>
      <c r="G1414" s="2191" t="s">
        <v>1097</v>
      </c>
      <c r="H1414" s="2191"/>
      <c r="I1414" s="1762" t="s">
        <v>2909</v>
      </c>
      <c r="J1414" s="273" t="s">
        <v>2905</v>
      </c>
      <c r="K1414" s="2243">
        <v>12</v>
      </c>
      <c r="L1414" s="2242">
        <v>80000000</v>
      </c>
      <c r="M1414" s="2205">
        <v>12</v>
      </c>
      <c r="N1414" s="2246">
        <v>83060800</v>
      </c>
      <c r="O1414" s="2205">
        <v>0</v>
      </c>
      <c r="P1414" s="2246">
        <v>0</v>
      </c>
      <c r="Q1414" s="2247">
        <v>0</v>
      </c>
      <c r="R1414" s="2246">
        <v>0</v>
      </c>
      <c r="S1414" s="2186">
        <v>0</v>
      </c>
      <c r="T1414" s="2186">
        <v>0</v>
      </c>
      <c r="U1414" s="2186">
        <v>0</v>
      </c>
      <c r="V1414" s="2186">
        <v>0</v>
      </c>
      <c r="W1414" s="2186">
        <v>0</v>
      </c>
      <c r="X1414" s="2186">
        <v>0</v>
      </c>
      <c r="Y1414" s="2205">
        <f t="shared" si="268"/>
        <v>0</v>
      </c>
      <c r="Z1414" s="2186">
        <f t="shared" si="267"/>
        <v>0</v>
      </c>
      <c r="AA1414" s="2205">
        <f t="shared" si="273"/>
        <v>12</v>
      </c>
      <c r="AB1414" s="2209">
        <f t="shared" si="273"/>
        <v>83060800</v>
      </c>
      <c r="AC1414" s="2210">
        <f t="shared" si="274"/>
        <v>1</v>
      </c>
      <c r="AD1414" s="2210">
        <f t="shared" si="274"/>
        <v>1.03826</v>
      </c>
      <c r="AE1414" s="2207" t="s">
        <v>222</v>
      </c>
    </row>
    <row r="1415" spans="1:31" s="621" customFormat="1" ht="57.75" customHeight="1">
      <c r="A1415" s="1374"/>
      <c r="B1415" s="1374"/>
      <c r="C1415" s="2191">
        <v>1</v>
      </c>
      <c r="D1415" s="2191" t="s">
        <v>376</v>
      </c>
      <c r="E1415" s="2191" t="s">
        <v>178</v>
      </c>
      <c r="F1415" s="2191" t="s">
        <v>448</v>
      </c>
      <c r="G1415" s="2191" t="s">
        <v>485</v>
      </c>
      <c r="H1415" s="2191"/>
      <c r="I1415" s="1762" t="s">
        <v>993</v>
      </c>
      <c r="J1415" s="273" t="s">
        <v>2908</v>
      </c>
      <c r="K1415" s="2243">
        <v>100</v>
      </c>
      <c r="L1415" s="2242">
        <v>86901852</v>
      </c>
      <c r="M1415" s="2205">
        <v>100</v>
      </c>
      <c r="N1415" s="2246">
        <v>80615650</v>
      </c>
      <c r="O1415" s="2205">
        <v>0</v>
      </c>
      <c r="P1415" s="2246">
        <v>0</v>
      </c>
      <c r="Q1415" s="2247">
        <v>0</v>
      </c>
      <c r="R1415" s="2246">
        <v>0</v>
      </c>
      <c r="S1415" s="2186">
        <v>0</v>
      </c>
      <c r="T1415" s="2186">
        <v>0</v>
      </c>
      <c r="U1415" s="2186">
        <v>0</v>
      </c>
      <c r="V1415" s="2186">
        <v>0</v>
      </c>
      <c r="W1415" s="2186">
        <v>0</v>
      </c>
      <c r="X1415" s="2186">
        <v>0</v>
      </c>
      <c r="Y1415" s="2205">
        <f t="shared" si="268"/>
        <v>0</v>
      </c>
      <c r="Z1415" s="2186">
        <f t="shared" si="267"/>
        <v>0</v>
      </c>
      <c r="AA1415" s="2205">
        <f t="shared" si="273"/>
        <v>100</v>
      </c>
      <c r="AB1415" s="2209">
        <f t="shared" si="273"/>
        <v>80615650</v>
      </c>
      <c r="AC1415" s="2210">
        <f t="shared" si="274"/>
        <v>1</v>
      </c>
      <c r="AD1415" s="2210">
        <f t="shared" si="274"/>
        <v>0.92766319870835434</v>
      </c>
      <c r="AE1415" s="2207" t="s">
        <v>222</v>
      </c>
    </row>
    <row r="1416" spans="1:31" s="621" customFormat="1" ht="57.75" customHeight="1">
      <c r="A1416" s="1374"/>
      <c r="B1416" s="1374"/>
      <c r="C1416" s="2191">
        <v>1</v>
      </c>
      <c r="D1416" s="2191" t="s">
        <v>376</v>
      </c>
      <c r="E1416" s="2191" t="s">
        <v>178</v>
      </c>
      <c r="F1416" s="2191" t="s">
        <v>448</v>
      </c>
      <c r="G1416" s="2191" t="s">
        <v>2910</v>
      </c>
      <c r="H1416" s="2191"/>
      <c r="I1416" s="1762" t="s">
        <v>2911</v>
      </c>
      <c r="J1416" s="273" t="s">
        <v>2908</v>
      </c>
      <c r="K1416" s="2243">
        <v>100</v>
      </c>
      <c r="L1416" s="2242">
        <v>141722224</v>
      </c>
      <c r="M1416" s="2205">
        <v>100</v>
      </c>
      <c r="N1416" s="2246">
        <v>135099100</v>
      </c>
      <c r="O1416" s="2205">
        <v>0</v>
      </c>
      <c r="P1416" s="2246">
        <v>0</v>
      </c>
      <c r="Q1416" s="2247">
        <v>0</v>
      </c>
      <c r="R1416" s="2246">
        <v>0</v>
      </c>
      <c r="S1416" s="2186">
        <v>0</v>
      </c>
      <c r="T1416" s="2186">
        <v>0</v>
      </c>
      <c r="U1416" s="2186">
        <v>0</v>
      </c>
      <c r="V1416" s="2186">
        <v>0</v>
      </c>
      <c r="W1416" s="2186">
        <v>0</v>
      </c>
      <c r="X1416" s="2186">
        <v>0</v>
      </c>
      <c r="Y1416" s="2205">
        <f t="shared" si="268"/>
        <v>0</v>
      </c>
      <c r="Z1416" s="2186">
        <f t="shared" si="267"/>
        <v>0</v>
      </c>
      <c r="AA1416" s="2205">
        <f t="shared" si="273"/>
        <v>100</v>
      </c>
      <c r="AB1416" s="2209">
        <f t="shared" si="273"/>
        <v>135099100</v>
      </c>
      <c r="AC1416" s="2210">
        <f t="shared" si="274"/>
        <v>1</v>
      </c>
      <c r="AD1416" s="2210">
        <f t="shared" si="274"/>
        <v>0.95326686377713066</v>
      </c>
      <c r="AE1416" s="2207" t="s">
        <v>222</v>
      </c>
    </row>
    <row r="1417" spans="1:31" s="621" customFormat="1" ht="57.75" customHeight="1">
      <c r="A1417" s="1374"/>
      <c r="B1417" s="1374"/>
      <c r="C1417" s="2191">
        <v>1</v>
      </c>
      <c r="D1417" s="2191" t="s">
        <v>376</v>
      </c>
      <c r="E1417" s="2191" t="s">
        <v>178</v>
      </c>
      <c r="F1417" s="2191" t="s">
        <v>448</v>
      </c>
      <c r="G1417" s="2191" t="s">
        <v>491</v>
      </c>
      <c r="H1417" s="2191"/>
      <c r="I1417" s="1762" t="s">
        <v>2912</v>
      </c>
      <c r="J1417" s="273" t="s">
        <v>2908</v>
      </c>
      <c r="K1417" s="2243">
        <v>100</v>
      </c>
      <c r="L1417" s="2242">
        <v>61817408</v>
      </c>
      <c r="M1417" s="2205">
        <v>100</v>
      </c>
      <c r="N1417" s="2246">
        <v>36499000</v>
      </c>
      <c r="O1417" s="2205">
        <v>0</v>
      </c>
      <c r="P1417" s="2246">
        <v>0</v>
      </c>
      <c r="Q1417" s="2247">
        <v>0</v>
      </c>
      <c r="R1417" s="2246">
        <v>0</v>
      </c>
      <c r="S1417" s="2186">
        <v>0</v>
      </c>
      <c r="T1417" s="2186">
        <v>0</v>
      </c>
      <c r="U1417" s="2186">
        <v>0</v>
      </c>
      <c r="V1417" s="2186">
        <v>0</v>
      </c>
      <c r="W1417" s="2186">
        <v>0</v>
      </c>
      <c r="X1417" s="2186">
        <v>0</v>
      </c>
      <c r="Y1417" s="2205">
        <f t="shared" si="268"/>
        <v>0</v>
      </c>
      <c r="Z1417" s="2186">
        <f t="shared" si="267"/>
        <v>0</v>
      </c>
      <c r="AA1417" s="2205">
        <f t="shared" si="273"/>
        <v>100</v>
      </c>
      <c r="AB1417" s="2209">
        <f t="shared" si="273"/>
        <v>36499000</v>
      </c>
      <c r="AC1417" s="2210">
        <f t="shared" si="274"/>
        <v>1</v>
      </c>
      <c r="AD1417" s="2210">
        <f t="shared" si="274"/>
        <v>0.59043239082428045</v>
      </c>
      <c r="AE1417" s="2207" t="s">
        <v>222</v>
      </c>
    </row>
    <row r="1418" spans="1:31" s="621" customFormat="1" ht="56.25" customHeight="1">
      <c r="A1418" s="1374"/>
      <c r="B1418" s="1374"/>
      <c r="C1418" s="2191">
        <v>3</v>
      </c>
      <c r="D1418" s="2191" t="s">
        <v>107</v>
      </c>
      <c r="E1418" s="2191" t="s">
        <v>196</v>
      </c>
      <c r="F1418" s="2191">
        <v>17</v>
      </c>
      <c r="G1418" s="1374">
        <v>41</v>
      </c>
      <c r="H1418" s="1374"/>
      <c r="I1418" s="1762" t="s">
        <v>2913</v>
      </c>
      <c r="J1418" s="273" t="s">
        <v>2914</v>
      </c>
      <c r="K1418" s="2243">
        <v>72</v>
      </c>
      <c r="L1418" s="2242">
        <v>561795159</v>
      </c>
      <c r="M1418" s="2205">
        <v>24</v>
      </c>
      <c r="N1418" s="2246">
        <v>176112919</v>
      </c>
      <c r="O1418" s="2205">
        <v>12</v>
      </c>
      <c r="P1418" s="2246">
        <v>92062955</v>
      </c>
      <c r="Q1418" s="2247">
        <v>3</v>
      </c>
      <c r="R1418" s="2246">
        <v>30030517</v>
      </c>
      <c r="S1418" s="2186">
        <v>0</v>
      </c>
      <c r="T1418" s="2186">
        <v>0</v>
      </c>
      <c r="U1418" s="2186">
        <v>0</v>
      </c>
      <c r="V1418" s="2186">
        <v>0</v>
      </c>
      <c r="W1418" s="2186">
        <v>0</v>
      </c>
      <c r="X1418" s="2186">
        <v>0</v>
      </c>
      <c r="Y1418" s="2205">
        <f t="shared" si="268"/>
        <v>3</v>
      </c>
      <c r="Z1418" s="2186">
        <f t="shared" si="267"/>
        <v>30030517</v>
      </c>
      <c r="AA1418" s="2205">
        <f t="shared" si="273"/>
        <v>27</v>
      </c>
      <c r="AB1418" s="2209">
        <f t="shared" si="273"/>
        <v>206143436</v>
      </c>
      <c r="AC1418" s="2210">
        <f t="shared" si="274"/>
        <v>0.375</v>
      </c>
      <c r="AD1418" s="2210">
        <f t="shared" si="274"/>
        <v>0.36693701022083747</v>
      </c>
      <c r="AE1418" s="2207" t="s">
        <v>222</v>
      </c>
    </row>
    <row r="1419" spans="1:31" s="621" customFormat="1" ht="56.25" customHeight="1">
      <c r="A1419" s="1374"/>
      <c r="B1419" s="1374"/>
      <c r="C1419" s="2191">
        <v>1</v>
      </c>
      <c r="D1419" s="2191" t="s">
        <v>376</v>
      </c>
      <c r="E1419" s="2191" t="s">
        <v>178</v>
      </c>
      <c r="F1419" s="2191" t="s">
        <v>448</v>
      </c>
      <c r="G1419" s="2191" t="s">
        <v>2915</v>
      </c>
      <c r="H1419" s="2191"/>
      <c r="I1419" s="1762" t="s">
        <v>995</v>
      </c>
      <c r="J1419" s="273" t="s">
        <v>2905</v>
      </c>
      <c r="K1419" s="2243">
        <v>12</v>
      </c>
      <c r="L1419" s="2242">
        <v>84710952</v>
      </c>
      <c r="M1419" s="2248">
        <v>12</v>
      </c>
      <c r="N1419" s="2246">
        <v>84860750</v>
      </c>
      <c r="O1419" s="2205">
        <v>0</v>
      </c>
      <c r="P1419" s="2246">
        <v>0</v>
      </c>
      <c r="Q1419" s="2247">
        <v>0</v>
      </c>
      <c r="R1419" s="2246">
        <v>0</v>
      </c>
      <c r="S1419" s="2186">
        <v>0</v>
      </c>
      <c r="T1419" s="2186">
        <v>0</v>
      </c>
      <c r="U1419" s="2186">
        <v>0</v>
      </c>
      <c r="V1419" s="2186">
        <v>0</v>
      </c>
      <c r="W1419" s="2186">
        <v>0</v>
      </c>
      <c r="X1419" s="2186">
        <v>0</v>
      </c>
      <c r="Y1419" s="2205">
        <f t="shared" si="268"/>
        <v>0</v>
      </c>
      <c r="Z1419" s="2186">
        <f t="shared" si="267"/>
        <v>0</v>
      </c>
      <c r="AA1419" s="2205">
        <f t="shared" si="273"/>
        <v>12</v>
      </c>
      <c r="AB1419" s="2209">
        <f t="shared" si="273"/>
        <v>84860750</v>
      </c>
      <c r="AC1419" s="2210">
        <f t="shared" si="274"/>
        <v>1</v>
      </c>
      <c r="AD1419" s="2210">
        <f t="shared" si="274"/>
        <v>1.001768342775796</v>
      </c>
      <c r="AE1419" s="2207" t="s">
        <v>222</v>
      </c>
    </row>
    <row r="1420" spans="1:31" s="621" customFormat="1" ht="56.25" customHeight="1">
      <c r="A1420" s="1374"/>
      <c r="B1420" s="1374"/>
      <c r="C1420" s="2191">
        <v>1</v>
      </c>
      <c r="D1420" s="2191" t="s">
        <v>376</v>
      </c>
      <c r="E1420" s="2191" t="s">
        <v>178</v>
      </c>
      <c r="F1420" s="2191" t="s">
        <v>448</v>
      </c>
      <c r="G1420" s="2191" t="s">
        <v>2916</v>
      </c>
      <c r="H1420" s="2191"/>
      <c r="I1420" s="1762" t="s">
        <v>2917</v>
      </c>
      <c r="J1420" s="273" t="s">
        <v>2908</v>
      </c>
      <c r="K1420" s="2243">
        <v>100</v>
      </c>
      <c r="L1420" s="2242">
        <v>65844972</v>
      </c>
      <c r="M1420" s="2248">
        <v>100</v>
      </c>
      <c r="N1420" s="2246">
        <v>79707477</v>
      </c>
      <c r="O1420" s="2205">
        <v>0</v>
      </c>
      <c r="P1420" s="2246">
        <v>0</v>
      </c>
      <c r="Q1420" s="2247">
        <v>0</v>
      </c>
      <c r="R1420" s="2246">
        <v>0</v>
      </c>
      <c r="S1420" s="2186">
        <v>0</v>
      </c>
      <c r="T1420" s="2186">
        <v>0</v>
      </c>
      <c r="U1420" s="2186">
        <v>0</v>
      </c>
      <c r="V1420" s="2186">
        <v>0</v>
      </c>
      <c r="W1420" s="2186">
        <v>0</v>
      </c>
      <c r="X1420" s="2186">
        <v>0</v>
      </c>
      <c r="Y1420" s="2205">
        <f t="shared" si="268"/>
        <v>0</v>
      </c>
      <c r="Z1420" s="2186">
        <f t="shared" si="267"/>
        <v>0</v>
      </c>
      <c r="AA1420" s="2205">
        <f t="shared" si="273"/>
        <v>100</v>
      </c>
      <c r="AB1420" s="2209">
        <f t="shared" si="273"/>
        <v>79707477</v>
      </c>
      <c r="AC1420" s="2210">
        <f t="shared" si="274"/>
        <v>1</v>
      </c>
      <c r="AD1420" s="2210">
        <f t="shared" si="274"/>
        <v>1.2105324761927152</v>
      </c>
      <c r="AE1420" s="2207" t="s">
        <v>222</v>
      </c>
    </row>
    <row r="1421" spans="1:31" s="621" customFormat="1" ht="64.5" customHeight="1">
      <c r="A1421" s="1374"/>
      <c r="B1421" s="1374"/>
      <c r="C1421" s="2191">
        <v>1</v>
      </c>
      <c r="D1421" s="2191" t="s">
        <v>376</v>
      </c>
      <c r="E1421" s="2191" t="s">
        <v>178</v>
      </c>
      <c r="F1421" s="2191" t="s">
        <v>448</v>
      </c>
      <c r="G1421" s="2191" t="s">
        <v>2918</v>
      </c>
      <c r="H1421" s="2191"/>
      <c r="I1421" s="1762" t="s">
        <v>2919</v>
      </c>
      <c r="J1421" s="273" t="s">
        <v>2908</v>
      </c>
      <c r="K1421" s="2243">
        <v>100</v>
      </c>
      <c r="L1421" s="2242">
        <v>82511148</v>
      </c>
      <c r="M1421" s="2248">
        <v>100</v>
      </c>
      <c r="N1421" s="2246">
        <v>89687750</v>
      </c>
      <c r="O1421" s="2205">
        <v>0</v>
      </c>
      <c r="P1421" s="2246">
        <v>0</v>
      </c>
      <c r="Q1421" s="2247">
        <v>0</v>
      </c>
      <c r="R1421" s="2246">
        <v>0</v>
      </c>
      <c r="S1421" s="2186">
        <v>0</v>
      </c>
      <c r="T1421" s="2186">
        <v>0</v>
      </c>
      <c r="U1421" s="2186">
        <v>0</v>
      </c>
      <c r="V1421" s="2186">
        <v>0</v>
      </c>
      <c r="W1421" s="2186">
        <v>0</v>
      </c>
      <c r="X1421" s="2186">
        <v>0</v>
      </c>
      <c r="Y1421" s="2205">
        <f t="shared" si="268"/>
        <v>0</v>
      </c>
      <c r="Z1421" s="2186">
        <f t="shared" si="267"/>
        <v>0</v>
      </c>
      <c r="AA1421" s="2205">
        <f t="shared" si="273"/>
        <v>100</v>
      </c>
      <c r="AB1421" s="2209">
        <f t="shared" si="273"/>
        <v>89687750</v>
      </c>
      <c r="AC1421" s="2210">
        <f t="shared" si="274"/>
        <v>1</v>
      </c>
      <c r="AD1421" s="2210">
        <f t="shared" si="274"/>
        <v>1.0869773621377805</v>
      </c>
      <c r="AE1421" s="2207" t="s">
        <v>222</v>
      </c>
    </row>
    <row r="1422" spans="1:31" s="621" customFormat="1" ht="56.25" customHeight="1">
      <c r="A1422" s="1374"/>
      <c r="B1422" s="1374"/>
      <c r="C1422" s="2191">
        <v>1</v>
      </c>
      <c r="D1422" s="2191" t="s">
        <v>376</v>
      </c>
      <c r="E1422" s="2191" t="s">
        <v>178</v>
      </c>
      <c r="F1422" s="2191" t="s">
        <v>448</v>
      </c>
      <c r="G1422" s="2191" t="s">
        <v>2803</v>
      </c>
      <c r="H1422" s="2191"/>
      <c r="I1422" s="1762" t="s">
        <v>2920</v>
      </c>
      <c r="J1422" s="273" t="s">
        <v>2905</v>
      </c>
      <c r="K1422" s="2243">
        <v>12</v>
      </c>
      <c r="L1422" s="2242">
        <v>117117672</v>
      </c>
      <c r="M1422" s="2248">
        <v>12</v>
      </c>
      <c r="N1422" s="2246">
        <v>114775450</v>
      </c>
      <c r="O1422" s="2205">
        <v>0</v>
      </c>
      <c r="P1422" s="2246">
        <v>0</v>
      </c>
      <c r="Q1422" s="2247">
        <v>0</v>
      </c>
      <c r="R1422" s="2246">
        <v>0</v>
      </c>
      <c r="S1422" s="2186">
        <v>0</v>
      </c>
      <c r="T1422" s="2186">
        <v>0</v>
      </c>
      <c r="U1422" s="2186">
        <v>0</v>
      </c>
      <c r="V1422" s="2186">
        <v>0</v>
      </c>
      <c r="W1422" s="2186">
        <v>0</v>
      </c>
      <c r="X1422" s="2186">
        <v>0</v>
      </c>
      <c r="Y1422" s="2205">
        <f t="shared" si="268"/>
        <v>0</v>
      </c>
      <c r="Z1422" s="2186">
        <f t="shared" si="267"/>
        <v>0</v>
      </c>
      <c r="AA1422" s="2205">
        <f t="shared" si="273"/>
        <v>12</v>
      </c>
      <c r="AB1422" s="2209">
        <f t="shared" si="273"/>
        <v>114775450</v>
      </c>
      <c r="AC1422" s="2210">
        <f t="shared" si="274"/>
        <v>1</v>
      </c>
      <c r="AD1422" s="2210">
        <f t="shared" si="274"/>
        <v>0.98000112229006742</v>
      </c>
      <c r="AE1422" s="2207" t="s">
        <v>222</v>
      </c>
    </row>
    <row r="1423" spans="1:31" s="621" customFormat="1" ht="56.25" customHeight="1">
      <c r="A1423" s="1374"/>
      <c r="B1423" s="1374"/>
      <c r="C1423" s="2191">
        <v>1</v>
      </c>
      <c r="D1423" s="2191" t="s">
        <v>376</v>
      </c>
      <c r="E1423" s="2191" t="s">
        <v>178</v>
      </c>
      <c r="F1423" s="2191" t="s">
        <v>448</v>
      </c>
      <c r="G1423" s="2191" t="s">
        <v>324</v>
      </c>
      <c r="H1423" s="2191"/>
      <c r="I1423" s="1762" t="s">
        <v>2921</v>
      </c>
      <c r="J1423" s="273" t="s">
        <v>2908</v>
      </c>
      <c r="K1423" s="2243">
        <v>100</v>
      </c>
      <c r="L1423" s="2242">
        <v>149682220</v>
      </c>
      <c r="M1423" s="2248">
        <v>100</v>
      </c>
      <c r="N1423" s="2246">
        <v>108563650</v>
      </c>
      <c r="O1423" s="2205">
        <v>0</v>
      </c>
      <c r="P1423" s="2246">
        <v>0</v>
      </c>
      <c r="Q1423" s="2247">
        <v>0</v>
      </c>
      <c r="R1423" s="2246">
        <v>0</v>
      </c>
      <c r="S1423" s="2186">
        <v>0</v>
      </c>
      <c r="T1423" s="2186">
        <v>0</v>
      </c>
      <c r="U1423" s="2186">
        <v>0</v>
      </c>
      <c r="V1423" s="2186">
        <v>0</v>
      </c>
      <c r="W1423" s="2186">
        <v>0</v>
      </c>
      <c r="X1423" s="2186">
        <v>0</v>
      </c>
      <c r="Y1423" s="2205">
        <f t="shared" si="268"/>
        <v>0</v>
      </c>
      <c r="Z1423" s="2186">
        <f t="shared" si="267"/>
        <v>0</v>
      </c>
      <c r="AA1423" s="2205">
        <f t="shared" si="273"/>
        <v>100</v>
      </c>
      <c r="AB1423" s="2209">
        <f t="shared" si="273"/>
        <v>108563650</v>
      </c>
      <c r="AC1423" s="2210">
        <f t="shared" si="274"/>
        <v>1</v>
      </c>
      <c r="AD1423" s="2210">
        <f t="shared" si="274"/>
        <v>0.72529422666232501</v>
      </c>
      <c r="AE1423" s="2207" t="s">
        <v>222</v>
      </c>
    </row>
    <row r="1424" spans="1:31" s="621" customFormat="1" ht="56.25" customHeight="1">
      <c r="A1424" s="1374"/>
      <c r="B1424" s="1374"/>
      <c r="C1424" s="2191">
        <v>1</v>
      </c>
      <c r="D1424" s="2191" t="s">
        <v>376</v>
      </c>
      <c r="E1424" s="2191" t="s">
        <v>178</v>
      </c>
      <c r="F1424" s="2191" t="s">
        <v>448</v>
      </c>
      <c r="G1424" s="2191" t="s">
        <v>2922</v>
      </c>
      <c r="H1424" s="2191"/>
      <c r="I1424" s="1762" t="s">
        <v>2923</v>
      </c>
      <c r="J1424" s="273" t="s">
        <v>2908</v>
      </c>
      <c r="K1424" s="2243">
        <v>100</v>
      </c>
      <c r="L1424" s="2242">
        <v>102573888</v>
      </c>
      <c r="M1424" s="2248">
        <v>100</v>
      </c>
      <c r="N1424" s="2246">
        <v>62946300</v>
      </c>
      <c r="O1424" s="2205">
        <v>0</v>
      </c>
      <c r="P1424" s="2246">
        <v>0</v>
      </c>
      <c r="Q1424" s="2247">
        <v>0</v>
      </c>
      <c r="R1424" s="2246">
        <v>0</v>
      </c>
      <c r="S1424" s="2186">
        <v>0</v>
      </c>
      <c r="T1424" s="2186">
        <v>0</v>
      </c>
      <c r="U1424" s="2186">
        <v>0</v>
      </c>
      <c r="V1424" s="2186">
        <v>0</v>
      </c>
      <c r="W1424" s="2186">
        <v>0</v>
      </c>
      <c r="X1424" s="2186">
        <v>0</v>
      </c>
      <c r="Y1424" s="2205">
        <f t="shared" si="268"/>
        <v>0</v>
      </c>
      <c r="Z1424" s="2186">
        <f t="shared" si="267"/>
        <v>0</v>
      </c>
      <c r="AA1424" s="2205">
        <f t="shared" si="273"/>
        <v>100</v>
      </c>
      <c r="AB1424" s="2209">
        <f t="shared" si="273"/>
        <v>62946300</v>
      </c>
      <c r="AC1424" s="2210">
        <f t="shared" si="274"/>
        <v>1</v>
      </c>
      <c r="AD1424" s="2210">
        <f t="shared" si="274"/>
        <v>0.61366787617526986</v>
      </c>
      <c r="AE1424" s="2207" t="s">
        <v>222</v>
      </c>
    </row>
    <row r="1425" spans="1:31" s="621" customFormat="1" ht="56.25" customHeight="1">
      <c r="A1425" s="1374"/>
      <c r="B1425" s="1374"/>
      <c r="C1425" s="2191">
        <v>1</v>
      </c>
      <c r="D1425" s="2191" t="s">
        <v>376</v>
      </c>
      <c r="E1425" s="2191" t="s">
        <v>178</v>
      </c>
      <c r="F1425" s="2191" t="s">
        <v>448</v>
      </c>
      <c r="G1425" s="2191" t="s">
        <v>327</v>
      </c>
      <c r="H1425" s="2191"/>
      <c r="I1425" s="1762" t="s">
        <v>2924</v>
      </c>
      <c r="J1425" s="273" t="s">
        <v>2908</v>
      </c>
      <c r="K1425" s="2243">
        <v>100</v>
      </c>
      <c r="L1425" s="2242">
        <v>23999160</v>
      </c>
      <c r="M1425" s="2248">
        <v>100</v>
      </c>
      <c r="N1425" s="2246">
        <v>12346000</v>
      </c>
      <c r="O1425" s="2205">
        <v>0</v>
      </c>
      <c r="P1425" s="2246">
        <v>0</v>
      </c>
      <c r="Q1425" s="2247">
        <v>0</v>
      </c>
      <c r="R1425" s="2246">
        <v>0</v>
      </c>
      <c r="S1425" s="2186">
        <v>0</v>
      </c>
      <c r="T1425" s="2186">
        <v>0</v>
      </c>
      <c r="U1425" s="2186">
        <v>0</v>
      </c>
      <c r="V1425" s="2186">
        <v>0</v>
      </c>
      <c r="W1425" s="2186">
        <v>0</v>
      </c>
      <c r="X1425" s="2186">
        <v>0</v>
      </c>
      <c r="Y1425" s="2205">
        <f t="shared" si="268"/>
        <v>0</v>
      </c>
      <c r="Z1425" s="2186">
        <f t="shared" si="267"/>
        <v>0</v>
      </c>
      <c r="AA1425" s="2205">
        <f t="shared" si="273"/>
        <v>100</v>
      </c>
      <c r="AB1425" s="2209">
        <f t="shared" si="273"/>
        <v>12346000</v>
      </c>
      <c r="AC1425" s="2210">
        <f t="shared" si="274"/>
        <v>1</v>
      </c>
      <c r="AD1425" s="2210">
        <f t="shared" si="274"/>
        <v>0.51443467188018244</v>
      </c>
      <c r="AE1425" s="2207" t="s">
        <v>222</v>
      </c>
    </row>
    <row r="1426" spans="1:31" s="621" customFormat="1" ht="59.25" customHeight="1">
      <c r="A1426" s="1374"/>
      <c r="B1426" s="1374"/>
      <c r="C1426" s="2191">
        <v>3</v>
      </c>
      <c r="D1426" s="2191" t="s">
        <v>107</v>
      </c>
      <c r="E1426" s="2191" t="s">
        <v>196</v>
      </c>
      <c r="F1426" s="2191">
        <v>17</v>
      </c>
      <c r="G1426" s="1374">
        <v>42</v>
      </c>
      <c r="H1426" s="1374"/>
      <c r="I1426" s="1762" t="s">
        <v>2925</v>
      </c>
      <c r="J1426" s="273" t="s">
        <v>2926</v>
      </c>
      <c r="K1426" s="2243">
        <v>500</v>
      </c>
      <c r="L1426" s="2242">
        <v>276426716</v>
      </c>
      <c r="M1426" s="2205">
        <v>100</v>
      </c>
      <c r="N1426" s="2246">
        <v>48522501</v>
      </c>
      <c r="O1426" s="2205">
        <v>100</v>
      </c>
      <c r="P1426" s="2246">
        <v>51428705</v>
      </c>
      <c r="Q1426" s="2247">
        <v>25</v>
      </c>
      <c r="R1426" s="2246">
        <v>12988724</v>
      </c>
      <c r="S1426" s="2186">
        <v>0</v>
      </c>
      <c r="T1426" s="2186">
        <v>0</v>
      </c>
      <c r="U1426" s="2186">
        <v>0</v>
      </c>
      <c r="V1426" s="2186">
        <v>0</v>
      </c>
      <c r="W1426" s="2186">
        <v>0</v>
      </c>
      <c r="X1426" s="2186">
        <v>0</v>
      </c>
      <c r="Y1426" s="2205">
        <f t="shared" si="268"/>
        <v>25</v>
      </c>
      <c r="Z1426" s="2186">
        <f t="shared" si="267"/>
        <v>12988724</v>
      </c>
      <c r="AA1426" s="2205">
        <f t="shared" si="273"/>
        <v>125</v>
      </c>
      <c r="AB1426" s="2209">
        <f t="shared" si="273"/>
        <v>61511225</v>
      </c>
      <c r="AC1426" s="2210">
        <f t="shared" si="274"/>
        <v>0.25</v>
      </c>
      <c r="AD1426" s="2210">
        <f t="shared" si="274"/>
        <v>0.22252272099488388</v>
      </c>
      <c r="AE1426" s="2207" t="s">
        <v>222</v>
      </c>
    </row>
    <row r="1427" spans="1:31" s="621" customFormat="1" ht="73.5" customHeight="1">
      <c r="A1427" s="1374"/>
      <c r="B1427" s="1374"/>
      <c r="C1427" s="2191">
        <v>3</v>
      </c>
      <c r="D1427" s="2191" t="s">
        <v>107</v>
      </c>
      <c r="E1427" s="2191" t="s">
        <v>196</v>
      </c>
      <c r="F1427" s="2191">
        <v>17</v>
      </c>
      <c r="G1427" s="1374">
        <v>57</v>
      </c>
      <c r="H1427" s="1374"/>
      <c r="I1427" s="1762" t="s">
        <v>2927</v>
      </c>
      <c r="J1427" s="273" t="s">
        <v>2928</v>
      </c>
      <c r="K1427" s="2243">
        <v>60</v>
      </c>
      <c r="L1427" s="2242">
        <v>350420624</v>
      </c>
      <c r="M1427" s="2205">
        <v>12</v>
      </c>
      <c r="N1427" s="2246">
        <v>46428710</v>
      </c>
      <c r="O1427" s="2205">
        <v>0</v>
      </c>
      <c r="P1427" s="2246">
        <v>0</v>
      </c>
      <c r="Q1427" s="2247">
        <v>0</v>
      </c>
      <c r="R1427" s="2246">
        <v>0</v>
      </c>
      <c r="S1427" s="2186">
        <v>0</v>
      </c>
      <c r="T1427" s="2186">
        <v>0</v>
      </c>
      <c r="U1427" s="2186">
        <v>0</v>
      </c>
      <c r="V1427" s="2186">
        <v>0</v>
      </c>
      <c r="W1427" s="2186">
        <v>0</v>
      </c>
      <c r="X1427" s="2186">
        <v>0</v>
      </c>
      <c r="Y1427" s="2205">
        <f t="shared" si="268"/>
        <v>0</v>
      </c>
      <c r="Z1427" s="2186">
        <f t="shared" si="267"/>
        <v>0</v>
      </c>
      <c r="AA1427" s="2205">
        <f t="shared" si="273"/>
        <v>12</v>
      </c>
      <c r="AB1427" s="2209">
        <f t="shared" si="273"/>
        <v>46428710</v>
      </c>
      <c r="AC1427" s="2210">
        <f t="shared" si="274"/>
        <v>0.2</v>
      </c>
      <c r="AD1427" s="2210">
        <f t="shared" si="274"/>
        <v>0.13249422785115525</v>
      </c>
      <c r="AE1427" s="2207" t="s">
        <v>222</v>
      </c>
    </row>
    <row r="1428" spans="1:31" s="621" customFormat="1" ht="60" customHeight="1">
      <c r="A1428" s="1374"/>
      <c r="B1428" s="1374"/>
      <c r="C1428" s="2191">
        <v>3</v>
      </c>
      <c r="D1428" s="2191" t="s">
        <v>107</v>
      </c>
      <c r="E1428" s="2191" t="s">
        <v>196</v>
      </c>
      <c r="F1428" s="2191">
        <v>17</v>
      </c>
      <c r="G1428" s="1374">
        <v>43</v>
      </c>
      <c r="H1428" s="1374"/>
      <c r="I1428" s="1762" t="s">
        <v>2929</v>
      </c>
      <c r="J1428" s="273" t="s">
        <v>2930</v>
      </c>
      <c r="K1428" s="2243">
        <v>3930</v>
      </c>
      <c r="L1428" s="2242">
        <v>1090793320</v>
      </c>
      <c r="M1428" s="2205">
        <v>1698</v>
      </c>
      <c r="N1428" s="2246">
        <v>826624769</v>
      </c>
      <c r="O1428" s="2205">
        <v>0</v>
      </c>
      <c r="P1428" s="2246">
        <v>0</v>
      </c>
      <c r="Q1428" s="2249">
        <v>0</v>
      </c>
      <c r="R1428" s="2246">
        <v>0</v>
      </c>
      <c r="S1428" s="2186">
        <v>0</v>
      </c>
      <c r="T1428" s="2186">
        <v>0</v>
      </c>
      <c r="U1428" s="2186">
        <v>0</v>
      </c>
      <c r="V1428" s="2186">
        <v>0</v>
      </c>
      <c r="W1428" s="2186">
        <v>0</v>
      </c>
      <c r="X1428" s="2186">
        <v>0</v>
      </c>
      <c r="Y1428" s="2205">
        <f t="shared" si="268"/>
        <v>0</v>
      </c>
      <c r="Z1428" s="2186">
        <f t="shared" si="267"/>
        <v>0</v>
      </c>
      <c r="AA1428" s="2205">
        <f t="shared" si="273"/>
        <v>1698</v>
      </c>
      <c r="AB1428" s="2209">
        <f t="shared" si="273"/>
        <v>826624769</v>
      </c>
      <c r="AC1428" s="2210">
        <f t="shared" si="274"/>
        <v>0.43206106870229005</v>
      </c>
      <c r="AD1428" s="2210">
        <f t="shared" si="274"/>
        <v>0.75781979394593291</v>
      </c>
      <c r="AE1428" s="2207" t="s">
        <v>222</v>
      </c>
    </row>
    <row r="1429" spans="1:31" s="621" customFormat="1" ht="71.25" customHeight="1">
      <c r="A1429" s="1374"/>
      <c r="B1429" s="1374"/>
      <c r="C1429" s="2191">
        <v>3</v>
      </c>
      <c r="D1429" s="2191" t="s">
        <v>107</v>
      </c>
      <c r="E1429" s="2191" t="s">
        <v>196</v>
      </c>
      <c r="F1429" s="2191">
        <v>17</v>
      </c>
      <c r="G1429" s="1374">
        <v>57</v>
      </c>
      <c r="H1429" s="1374"/>
      <c r="I1429" s="1762" t="s">
        <v>2931</v>
      </c>
      <c r="J1429" s="273" t="s">
        <v>2932</v>
      </c>
      <c r="K1429" s="2243">
        <v>48</v>
      </c>
      <c r="L1429" s="2242">
        <v>219592389</v>
      </c>
      <c r="M1429" s="2205">
        <v>0</v>
      </c>
      <c r="N1429" s="2250">
        <v>0</v>
      </c>
      <c r="O1429" s="2205">
        <v>12</v>
      </c>
      <c r="P1429" s="2246">
        <v>39592389</v>
      </c>
      <c r="Q1429" s="2249">
        <v>3</v>
      </c>
      <c r="R1429" s="2246">
        <v>1102000</v>
      </c>
      <c r="S1429" s="2186">
        <v>0</v>
      </c>
      <c r="T1429" s="2186">
        <v>0</v>
      </c>
      <c r="U1429" s="2186">
        <v>0</v>
      </c>
      <c r="V1429" s="2186">
        <v>0</v>
      </c>
      <c r="W1429" s="2186">
        <v>0</v>
      </c>
      <c r="X1429" s="2186">
        <v>0</v>
      </c>
      <c r="Y1429" s="2205">
        <f t="shared" si="268"/>
        <v>3</v>
      </c>
      <c r="Z1429" s="2186">
        <f t="shared" si="267"/>
        <v>1102000</v>
      </c>
      <c r="AA1429" s="2205">
        <f t="shared" si="273"/>
        <v>3</v>
      </c>
      <c r="AB1429" s="2209">
        <f t="shared" si="273"/>
        <v>1102000</v>
      </c>
      <c r="AC1429" s="2210">
        <f t="shared" si="274"/>
        <v>6.25E-2</v>
      </c>
      <c r="AD1429" s="2210">
        <f t="shared" si="274"/>
        <v>5.0183888659274074E-3</v>
      </c>
      <c r="AE1429" s="2207" t="s">
        <v>222</v>
      </c>
    </row>
    <row r="1430" spans="1:31" s="497" customFormat="1" ht="57" customHeight="1">
      <c r="A1430" s="1385"/>
      <c r="B1430" s="1385"/>
      <c r="C1430" s="2191">
        <v>3</v>
      </c>
      <c r="D1430" s="2191" t="s">
        <v>107</v>
      </c>
      <c r="E1430" s="2191" t="s">
        <v>196</v>
      </c>
      <c r="F1430" s="1374">
        <v>17</v>
      </c>
      <c r="G1430" s="1781">
        <v>75</v>
      </c>
      <c r="H1430" s="1781"/>
      <c r="I1430" s="2211" t="s">
        <v>2933</v>
      </c>
      <c r="J1430" s="1541" t="s">
        <v>2934</v>
      </c>
      <c r="K1430" s="2243">
        <v>2400</v>
      </c>
      <c r="L1430" s="2242">
        <v>922792510</v>
      </c>
      <c r="M1430" s="2251">
        <v>0</v>
      </c>
      <c r="N1430" s="2246">
        <v>0</v>
      </c>
      <c r="O1430" s="2205">
        <v>600</v>
      </c>
      <c r="P1430" s="2246">
        <v>205792510</v>
      </c>
      <c r="Q1430" s="2251">
        <v>0</v>
      </c>
      <c r="R1430" s="2246">
        <v>14022463</v>
      </c>
      <c r="S1430" s="2186">
        <v>0</v>
      </c>
      <c r="T1430" s="2186">
        <v>0</v>
      </c>
      <c r="U1430" s="2186">
        <v>0</v>
      </c>
      <c r="V1430" s="2186">
        <v>0</v>
      </c>
      <c r="W1430" s="2186">
        <v>0</v>
      </c>
      <c r="X1430" s="2186">
        <v>0</v>
      </c>
      <c r="Y1430" s="2205">
        <f t="shared" ref="Y1430:Z1450" si="275">Q1430</f>
        <v>0</v>
      </c>
      <c r="Z1430" s="2186">
        <f t="shared" si="275"/>
        <v>14022463</v>
      </c>
      <c r="AA1430" s="2205">
        <f t="shared" si="273"/>
        <v>0</v>
      </c>
      <c r="AB1430" s="2209">
        <f t="shared" si="273"/>
        <v>14022463</v>
      </c>
      <c r="AC1430" s="2210">
        <f t="shared" si="274"/>
        <v>0</v>
      </c>
      <c r="AD1430" s="2210">
        <f t="shared" si="274"/>
        <v>1.5195683588719202E-2</v>
      </c>
      <c r="AE1430" s="2207" t="s">
        <v>222</v>
      </c>
    </row>
    <row r="1431" spans="1:31" s="497" customFormat="1" ht="57" customHeight="1">
      <c r="A1431" s="1385"/>
      <c r="B1431" s="1385"/>
      <c r="C1431" s="2191">
        <v>3</v>
      </c>
      <c r="D1431" s="2191" t="s">
        <v>107</v>
      </c>
      <c r="E1431" s="2191" t="s">
        <v>196</v>
      </c>
      <c r="F1431" s="1374">
        <v>17</v>
      </c>
      <c r="G1431" s="1781">
        <v>79</v>
      </c>
      <c r="H1431" s="1781"/>
      <c r="I1431" s="2211" t="s">
        <v>2935</v>
      </c>
      <c r="J1431" s="1541" t="s">
        <v>2908</v>
      </c>
      <c r="K1431" s="2243">
        <v>400</v>
      </c>
      <c r="L1431" s="2242">
        <v>663466849</v>
      </c>
      <c r="M1431" s="2251">
        <v>0</v>
      </c>
      <c r="N1431" s="2246">
        <v>0</v>
      </c>
      <c r="O1431" s="2205">
        <v>100</v>
      </c>
      <c r="P1431" s="2246">
        <v>153466849</v>
      </c>
      <c r="Q1431" s="2251">
        <v>25</v>
      </c>
      <c r="R1431" s="2246">
        <v>0</v>
      </c>
      <c r="S1431" s="2186">
        <v>0</v>
      </c>
      <c r="T1431" s="2186">
        <v>0</v>
      </c>
      <c r="U1431" s="2186">
        <v>0</v>
      </c>
      <c r="V1431" s="2186">
        <v>0</v>
      </c>
      <c r="W1431" s="2186">
        <v>0</v>
      </c>
      <c r="X1431" s="2186">
        <v>0</v>
      </c>
      <c r="Y1431" s="2205">
        <f t="shared" si="275"/>
        <v>25</v>
      </c>
      <c r="Z1431" s="2186">
        <f t="shared" si="275"/>
        <v>0</v>
      </c>
      <c r="AA1431" s="2205">
        <f t="shared" si="273"/>
        <v>25</v>
      </c>
      <c r="AB1431" s="2209">
        <f t="shared" si="273"/>
        <v>0</v>
      </c>
      <c r="AC1431" s="2210">
        <f t="shared" si="274"/>
        <v>6.25E-2</v>
      </c>
      <c r="AD1431" s="2210">
        <f t="shared" si="274"/>
        <v>0</v>
      </c>
      <c r="AE1431" s="2207" t="s">
        <v>222</v>
      </c>
    </row>
    <row r="1432" spans="1:31" s="497" customFormat="1" ht="57" customHeight="1">
      <c r="A1432" s="1385"/>
      <c r="B1432" s="1385"/>
      <c r="C1432" s="2191">
        <v>3</v>
      </c>
      <c r="D1432" s="2191" t="s">
        <v>107</v>
      </c>
      <c r="E1432" s="2191" t="s">
        <v>196</v>
      </c>
      <c r="F1432" s="1374">
        <v>17</v>
      </c>
      <c r="G1432" s="1781">
        <v>80</v>
      </c>
      <c r="H1432" s="1781"/>
      <c r="I1432" s="2211" t="s">
        <v>2936</v>
      </c>
      <c r="J1432" s="1541" t="s">
        <v>2937</v>
      </c>
      <c r="K1432" s="2243">
        <v>180</v>
      </c>
      <c r="L1432" s="2242">
        <v>319077313</v>
      </c>
      <c r="M1432" s="2251">
        <v>0</v>
      </c>
      <c r="N1432" s="2246">
        <v>0</v>
      </c>
      <c r="O1432" s="2205">
        <v>45</v>
      </c>
      <c r="P1432" s="2246">
        <v>96077313</v>
      </c>
      <c r="Q1432" s="2251">
        <v>0</v>
      </c>
      <c r="R1432" s="2246">
        <v>12627500</v>
      </c>
      <c r="S1432" s="2186">
        <v>0</v>
      </c>
      <c r="T1432" s="2186">
        <v>0</v>
      </c>
      <c r="U1432" s="2186">
        <v>0</v>
      </c>
      <c r="V1432" s="2186">
        <v>0</v>
      </c>
      <c r="W1432" s="2186">
        <v>0</v>
      </c>
      <c r="X1432" s="2186">
        <v>0</v>
      </c>
      <c r="Y1432" s="2205">
        <f t="shared" si="275"/>
        <v>0</v>
      </c>
      <c r="Z1432" s="2186">
        <f t="shared" si="275"/>
        <v>12627500</v>
      </c>
      <c r="AA1432" s="2205">
        <f t="shared" si="273"/>
        <v>0</v>
      </c>
      <c r="AB1432" s="2209">
        <f t="shared" si="273"/>
        <v>12627500</v>
      </c>
      <c r="AC1432" s="2210">
        <f t="shared" si="274"/>
        <v>0</v>
      </c>
      <c r="AD1432" s="2210">
        <f t="shared" si="274"/>
        <v>3.9575048069932818E-2</v>
      </c>
      <c r="AE1432" s="2207" t="s">
        <v>222</v>
      </c>
    </row>
    <row r="1433" spans="1:31" s="497" customFormat="1" ht="57" customHeight="1">
      <c r="A1433" s="1385"/>
      <c r="B1433" s="1385"/>
      <c r="C1433" s="2191">
        <v>3</v>
      </c>
      <c r="D1433" s="2191" t="s">
        <v>107</v>
      </c>
      <c r="E1433" s="2191" t="s">
        <v>196</v>
      </c>
      <c r="F1433" s="1374">
        <v>17</v>
      </c>
      <c r="G1433" s="1781">
        <v>82</v>
      </c>
      <c r="H1433" s="1781"/>
      <c r="I1433" s="2211" t="s">
        <v>2938</v>
      </c>
      <c r="J1433" s="1541" t="s">
        <v>2934</v>
      </c>
      <c r="K1433" s="2243">
        <v>360</v>
      </c>
      <c r="L1433" s="2242">
        <v>285087356</v>
      </c>
      <c r="M1433" s="2251">
        <v>0</v>
      </c>
      <c r="N1433" s="2246">
        <v>0</v>
      </c>
      <c r="O1433" s="2205">
        <v>90</v>
      </c>
      <c r="P1433" s="2246">
        <v>45087356</v>
      </c>
      <c r="Q1433" s="2251">
        <v>0</v>
      </c>
      <c r="R1433" s="2246">
        <v>0</v>
      </c>
      <c r="S1433" s="2186">
        <v>0</v>
      </c>
      <c r="T1433" s="2186">
        <v>0</v>
      </c>
      <c r="U1433" s="2186">
        <v>0</v>
      </c>
      <c r="V1433" s="2186">
        <v>0</v>
      </c>
      <c r="W1433" s="2186">
        <v>0</v>
      </c>
      <c r="X1433" s="2186">
        <v>0</v>
      </c>
      <c r="Y1433" s="2205">
        <f t="shared" si="275"/>
        <v>0</v>
      </c>
      <c r="Z1433" s="2186">
        <f t="shared" si="275"/>
        <v>0</v>
      </c>
      <c r="AA1433" s="2205">
        <f t="shared" si="273"/>
        <v>0</v>
      </c>
      <c r="AB1433" s="2209">
        <f t="shared" si="273"/>
        <v>0</v>
      </c>
      <c r="AC1433" s="2210">
        <f t="shared" si="274"/>
        <v>0</v>
      </c>
      <c r="AD1433" s="2210">
        <f t="shared" si="274"/>
        <v>0</v>
      </c>
      <c r="AE1433" s="2207" t="s">
        <v>222</v>
      </c>
    </row>
    <row r="1434" spans="1:31" s="497" customFormat="1" ht="57" customHeight="1">
      <c r="A1434" s="1385"/>
      <c r="B1434" s="1385"/>
      <c r="C1434" s="2191">
        <v>3</v>
      </c>
      <c r="D1434" s="2191" t="s">
        <v>107</v>
      </c>
      <c r="E1434" s="2191" t="s">
        <v>196</v>
      </c>
      <c r="F1434" s="1374">
        <v>17</v>
      </c>
      <c r="G1434" s="1781">
        <v>83</v>
      </c>
      <c r="H1434" s="1781"/>
      <c r="I1434" s="2211" t="s">
        <v>2939</v>
      </c>
      <c r="J1434" s="1541" t="s">
        <v>2934</v>
      </c>
      <c r="K1434" s="2243">
        <v>400</v>
      </c>
      <c r="L1434" s="2242">
        <v>405789327</v>
      </c>
      <c r="M1434" s="2251">
        <v>0</v>
      </c>
      <c r="N1434" s="2246">
        <v>0</v>
      </c>
      <c r="O1434" s="2205">
        <v>100</v>
      </c>
      <c r="P1434" s="2246">
        <v>87789327</v>
      </c>
      <c r="Q1434" s="2251">
        <v>0</v>
      </c>
      <c r="R1434" s="2246">
        <v>8379857</v>
      </c>
      <c r="S1434" s="2186">
        <v>0</v>
      </c>
      <c r="T1434" s="2186">
        <v>0</v>
      </c>
      <c r="U1434" s="2186">
        <v>0</v>
      </c>
      <c r="V1434" s="2186">
        <v>0</v>
      </c>
      <c r="W1434" s="2186">
        <v>0</v>
      </c>
      <c r="X1434" s="2186">
        <v>0</v>
      </c>
      <c r="Y1434" s="2205">
        <f t="shared" si="275"/>
        <v>0</v>
      </c>
      <c r="Z1434" s="2186">
        <f>R1434</f>
        <v>8379857</v>
      </c>
      <c r="AA1434" s="2205">
        <f t="shared" si="273"/>
        <v>0</v>
      </c>
      <c r="AB1434" s="2209">
        <f t="shared" si="273"/>
        <v>8379857</v>
      </c>
      <c r="AC1434" s="2210">
        <f t="shared" si="274"/>
        <v>0</v>
      </c>
      <c r="AD1434" s="2210">
        <f t="shared" si="274"/>
        <v>2.0650757529657747E-2</v>
      </c>
      <c r="AE1434" s="2207" t="s">
        <v>222</v>
      </c>
    </row>
    <row r="1435" spans="1:31" s="497" customFormat="1" ht="57" customHeight="1">
      <c r="A1435" s="1385"/>
      <c r="B1435" s="1385"/>
      <c r="C1435" s="2191">
        <v>3</v>
      </c>
      <c r="D1435" s="2191" t="s">
        <v>107</v>
      </c>
      <c r="E1435" s="2191" t="s">
        <v>196</v>
      </c>
      <c r="F1435" s="1374">
        <v>17</v>
      </c>
      <c r="G1435" s="1781">
        <v>84</v>
      </c>
      <c r="H1435" s="1781"/>
      <c r="I1435" s="2211" t="s">
        <v>2940</v>
      </c>
      <c r="J1435" s="1541" t="s">
        <v>2908</v>
      </c>
      <c r="K1435" s="2243">
        <v>400</v>
      </c>
      <c r="L1435" s="2242">
        <v>253998705</v>
      </c>
      <c r="M1435" s="2251">
        <v>0</v>
      </c>
      <c r="N1435" s="2246">
        <v>0</v>
      </c>
      <c r="O1435" s="2205">
        <v>100</v>
      </c>
      <c r="P1435" s="2246">
        <v>43998705</v>
      </c>
      <c r="Q1435" s="2251">
        <v>25</v>
      </c>
      <c r="R1435" s="2246">
        <v>0</v>
      </c>
      <c r="S1435" s="2186">
        <v>0</v>
      </c>
      <c r="T1435" s="2186">
        <v>0</v>
      </c>
      <c r="U1435" s="2186">
        <v>0</v>
      </c>
      <c r="V1435" s="2186">
        <v>0</v>
      </c>
      <c r="W1435" s="2186">
        <v>0</v>
      </c>
      <c r="X1435" s="2186">
        <v>0</v>
      </c>
      <c r="Y1435" s="2205">
        <f t="shared" si="275"/>
        <v>25</v>
      </c>
      <c r="Z1435" s="2186">
        <f t="shared" si="275"/>
        <v>0</v>
      </c>
      <c r="AA1435" s="2205">
        <f t="shared" si="273"/>
        <v>25</v>
      </c>
      <c r="AB1435" s="2209">
        <f t="shared" si="273"/>
        <v>0</v>
      </c>
      <c r="AC1435" s="2210">
        <f t="shared" si="274"/>
        <v>6.25E-2</v>
      </c>
      <c r="AD1435" s="2210">
        <f t="shared" si="274"/>
        <v>0</v>
      </c>
      <c r="AE1435" s="2207" t="s">
        <v>222</v>
      </c>
    </row>
    <row r="1436" spans="1:31" s="497" customFormat="1" ht="57" customHeight="1">
      <c r="A1436" s="1385"/>
      <c r="B1436" s="1385"/>
      <c r="C1436" s="2191">
        <v>3</v>
      </c>
      <c r="D1436" s="2191" t="s">
        <v>107</v>
      </c>
      <c r="E1436" s="2191" t="s">
        <v>196</v>
      </c>
      <c r="F1436" s="1374">
        <v>17</v>
      </c>
      <c r="G1436" s="1781">
        <v>86</v>
      </c>
      <c r="H1436" s="1781"/>
      <c r="I1436" s="2211" t="s">
        <v>2941</v>
      </c>
      <c r="J1436" s="1541" t="s">
        <v>2908</v>
      </c>
      <c r="K1436" s="2243">
        <v>400</v>
      </c>
      <c r="L1436" s="2242">
        <v>765235935</v>
      </c>
      <c r="M1436" s="2251">
        <v>0</v>
      </c>
      <c r="N1436" s="2246">
        <v>0</v>
      </c>
      <c r="O1436" s="2205">
        <v>1</v>
      </c>
      <c r="P1436" s="2246">
        <v>165235935</v>
      </c>
      <c r="Q1436" s="2251">
        <v>25</v>
      </c>
      <c r="R1436" s="2246">
        <v>0</v>
      </c>
      <c r="S1436" s="2186">
        <v>0</v>
      </c>
      <c r="T1436" s="2186">
        <v>0</v>
      </c>
      <c r="U1436" s="2186">
        <v>0</v>
      </c>
      <c r="V1436" s="2186">
        <v>0</v>
      </c>
      <c r="W1436" s="2186">
        <v>0</v>
      </c>
      <c r="X1436" s="2186">
        <v>0</v>
      </c>
      <c r="Y1436" s="2205">
        <f t="shared" si="275"/>
        <v>25</v>
      </c>
      <c r="Z1436" s="2186">
        <f t="shared" si="275"/>
        <v>0</v>
      </c>
      <c r="AA1436" s="2205">
        <f t="shared" si="273"/>
        <v>25</v>
      </c>
      <c r="AB1436" s="2209">
        <f t="shared" si="273"/>
        <v>0</v>
      </c>
      <c r="AC1436" s="2210">
        <f t="shared" si="274"/>
        <v>6.25E-2</v>
      </c>
      <c r="AD1436" s="2210">
        <f t="shared" si="274"/>
        <v>0</v>
      </c>
      <c r="AE1436" s="2207" t="s">
        <v>222</v>
      </c>
    </row>
    <row r="1437" spans="1:31" s="497" customFormat="1" ht="69" customHeight="1">
      <c r="A1437" s="2191" t="s">
        <v>201</v>
      </c>
      <c r="B1437" s="4551" t="s">
        <v>2942</v>
      </c>
      <c r="C1437" s="2191"/>
      <c r="D1437" s="2191"/>
      <c r="E1437" s="2191"/>
      <c r="F1437" s="1374"/>
      <c r="G1437" s="1781"/>
      <c r="H1437" s="1781"/>
      <c r="I1437" s="2192" t="s">
        <v>2943</v>
      </c>
      <c r="J1437" s="1541"/>
      <c r="K1437" s="2252">
        <v>0.9</v>
      </c>
      <c r="L1437" s="2253">
        <v>3451292.99</v>
      </c>
      <c r="M1437" s="2252">
        <v>0.9</v>
      </c>
      <c r="N1437" s="2224">
        <v>1091508.8799999999</v>
      </c>
      <c r="O1437" s="2252">
        <v>0.9</v>
      </c>
      <c r="P1437" s="2224">
        <v>580369.78</v>
      </c>
      <c r="Q1437" s="2251"/>
      <c r="R1437" s="2246"/>
      <c r="S1437" s="2246"/>
      <c r="T1437" s="2246"/>
      <c r="U1437" s="2246"/>
      <c r="V1437" s="2246"/>
      <c r="W1437" s="2246"/>
      <c r="X1437" s="2246"/>
      <c r="Y1437" s="2205"/>
      <c r="Z1437" s="2186">
        <f t="shared" si="275"/>
        <v>0</v>
      </c>
      <c r="AA1437" s="2215"/>
      <c r="AB1437" s="2209">
        <f t="shared" ref="AB1437:AB1443" si="276">N1437+Z1437</f>
        <v>1091508.8799999999</v>
      </c>
      <c r="AC1437" s="2206"/>
      <c r="AD1437" s="2216">
        <f t="shared" ref="AD1437:AD1443" si="277">AB1437/L1437*100%</f>
        <v>0.3162608573547967</v>
      </c>
      <c r="AE1437" s="2207"/>
    </row>
    <row r="1438" spans="1:31" s="497" customFormat="1" ht="57" customHeight="1">
      <c r="A1438" s="1385"/>
      <c r="B1438" s="4551"/>
      <c r="C1438" s="2191">
        <v>3</v>
      </c>
      <c r="D1438" s="2191" t="s">
        <v>107</v>
      </c>
      <c r="E1438" s="2191" t="s">
        <v>196</v>
      </c>
      <c r="F1438" s="1374">
        <v>18</v>
      </c>
      <c r="G1438" s="1781" t="s">
        <v>197</v>
      </c>
      <c r="H1438" s="1781"/>
      <c r="I1438" s="2211" t="s">
        <v>2944</v>
      </c>
      <c r="J1438" s="1541" t="s">
        <v>2945</v>
      </c>
      <c r="K1438" s="2243">
        <v>240</v>
      </c>
      <c r="L1438" s="2242">
        <v>380076292</v>
      </c>
      <c r="M1438" s="2251">
        <v>80</v>
      </c>
      <c r="N1438" s="2246">
        <v>69066135</v>
      </c>
      <c r="O1438" s="2205">
        <v>40</v>
      </c>
      <c r="P1438" s="2246">
        <v>55404764</v>
      </c>
      <c r="Q1438" s="2251">
        <v>0</v>
      </c>
      <c r="R1438" s="2246">
        <v>0</v>
      </c>
      <c r="S1438" s="2186">
        <v>0</v>
      </c>
      <c r="T1438" s="2186">
        <v>0</v>
      </c>
      <c r="U1438" s="2186">
        <v>0</v>
      </c>
      <c r="V1438" s="2186">
        <v>0</v>
      </c>
      <c r="W1438" s="2186">
        <v>0</v>
      </c>
      <c r="X1438" s="2186">
        <v>0</v>
      </c>
      <c r="Y1438" s="2205">
        <f t="shared" ref="Y1438:Y1443" si="278">Q1438</f>
        <v>0</v>
      </c>
      <c r="Z1438" s="2186">
        <f t="shared" si="275"/>
        <v>0</v>
      </c>
      <c r="AA1438" s="2205">
        <f t="shared" ref="AA1438:AA1443" si="279">M1438+Y1438</f>
        <v>80</v>
      </c>
      <c r="AB1438" s="2209">
        <f t="shared" si="276"/>
        <v>69066135</v>
      </c>
      <c r="AC1438" s="2210">
        <f t="shared" ref="AC1438:AC1443" si="280">AA1438/K1438*100%</f>
        <v>0.33333333333333331</v>
      </c>
      <c r="AD1438" s="2210">
        <f t="shared" si="277"/>
        <v>0.18171650390653674</v>
      </c>
      <c r="AE1438" s="2207" t="s">
        <v>222</v>
      </c>
    </row>
    <row r="1439" spans="1:31" s="497" customFormat="1" ht="57" customHeight="1">
      <c r="A1439" s="1385"/>
      <c r="B1439" s="1385"/>
      <c r="C1439" s="2191"/>
      <c r="D1439" s="2191"/>
      <c r="E1439" s="2191"/>
      <c r="F1439" s="1374"/>
      <c r="G1439" s="1781"/>
      <c r="H1439" s="1781"/>
      <c r="I1439" s="2211" t="s">
        <v>2946</v>
      </c>
      <c r="J1439" s="1541" t="s">
        <v>2947</v>
      </c>
      <c r="K1439" s="2243">
        <v>72</v>
      </c>
      <c r="L1439" s="2242">
        <v>316212864</v>
      </c>
      <c r="M1439" s="2251">
        <v>24</v>
      </c>
      <c r="N1439" s="2246">
        <v>157746322</v>
      </c>
      <c r="O1439" s="2205">
        <v>0</v>
      </c>
      <c r="P1439" s="2246">
        <v>0</v>
      </c>
      <c r="Q1439" s="2251">
        <v>0</v>
      </c>
      <c r="R1439" s="2246">
        <v>0</v>
      </c>
      <c r="S1439" s="2186">
        <v>0</v>
      </c>
      <c r="T1439" s="2186">
        <v>0</v>
      </c>
      <c r="U1439" s="2186">
        <v>0</v>
      </c>
      <c r="V1439" s="2186">
        <v>0</v>
      </c>
      <c r="W1439" s="2186">
        <v>0</v>
      </c>
      <c r="X1439" s="2186">
        <v>0</v>
      </c>
      <c r="Y1439" s="2205">
        <f t="shared" si="278"/>
        <v>0</v>
      </c>
      <c r="Z1439" s="2186">
        <f t="shared" si="275"/>
        <v>0</v>
      </c>
      <c r="AA1439" s="2205">
        <f t="shared" si="279"/>
        <v>24</v>
      </c>
      <c r="AB1439" s="2209">
        <f t="shared" si="276"/>
        <v>157746322</v>
      </c>
      <c r="AC1439" s="2210">
        <f t="shared" si="280"/>
        <v>0.33333333333333331</v>
      </c>
      <c r="AD1439" s="2210">
        <f t="shared" si="277"/>
        <v>0.49886117852561496</v>
      </c>
      <c r="AE1439" s="2207" t="s">
        <v>222</v>
      </c>
    </row>
    <row r="1440" spans="1:31" s="497" customFormat="1" ht="57" customHeight="1">
      <c r="A1440" s="1385"/>
      <c r="B1440" s="1385"/>
      <c r="C1440" s="2191">
        <v>3</v>
      </c>
      <c r="D1440" s="2191" t="s">
        <v>107</v>
      </c>
      <c r="E1440" s="2191" t="s">
        <v>196</v>
      </c>
      <c r="F1440" s="1374">
        <v>18</v>
      </c>
      <c r="G1440" s="1781" t="s">
        <v>201</v>
      </c>
      <c r="H1440" s="1781"/>
      <c r="I1440" s="2211" t="s">
        <v>2948</v>
      </c>
      <c r="J1440" s="1541" t="s">
        <v>2947</v>
      </c>
      <c r="K1440" s="2243">
        <v>72</v>
      </c>
      <c r="L1440" s="2242">
        <v>456134330</v>
      </c>
      <c r="M1440" s="2251">
        <v>24</v>
      </c>
      <c r="N1440" s="2246">
        <v>126849549</v>
      </c>
      <c r="O1440" s="2205">
        <v>12</v>
      </c>
      <c r="P1440" s="2246">
        <v>66420690</v>
      </c>
      <c r="Q1440" s="2251">
        <v>3</v>
      </c>
      <c r="R1440" s="2246">
        <v>16781942</v>
      </c>
      <c r="S1440" s="2186">
        <v>0</v>
      </c>
      <c r="T1440" s="2186">
        <v>0</v>
      </c>
      <c r="U1440" s="2186">
        <v>0</v>
      </c>
      <c r="V1440" s="2186">
        <v>0</v>
      </c>
      <c r="W1440" s="2186">
        <v>0</v>
      </c>
      <c r="X1440" s="2186">
        <v>0</v>
      </c>
      <c r="Y1440" s="2205">
        <f t="shared" si="278"/>
        <v>3</v>
      </c>
      <c r="Z1440" s="2186">
        <f t="shared" si="275"/>
        <v>16781942</v>
      </c>
      <c r="AA1440" s="2205">
        <f t="shared" si="279"/>
        <v>27</v>
      </c>
      <c r="AB1440" s="2209">
        <f t="shared" si="276"/>
        <v>143631491</v>
      </c>
      <c r="AC1440" s="2210">
        <f t="shared" si="280"/>
        <v>0.375</v>
      </c>
      <c r="AD1440" s="2210">
        <f t="shared" si="277"/>
        <v>0.31488857898505468</v>
      </c>
      <c r="AE1440" s="2207" t="s">
        <v>222</v>
      </c>
    </row>
    <row r="1441" spans="1:31" s="497" customFormat="1" ht="57" customHeight="1">
      <c r="A1441" s="1385"/>
      <c r="B1441" s="1385"/>
      <c r="C1441" s="2191">
        <v>1</v>
      </c>
      <c r="D1441" s="2191">
        <v>20</v>
      </c>
      <c r="E1441" s="2191">
        <v>28</v>
      </c>
      <c r="F1441" s="1374">
        <v>18</v>
      </c>
      <c r="G1441" s="1781" t="s">
        <v>417</v>
      </c>
      <c r="H1441" s="1781"/>
      <c r="I1441" s="2211" t="s">
        <v>2949</v>
      </c>
      <c r="J1441" s="1541" t="s">
        <v>2950</v>
      </c>
      <c r="K1441" s="2243">
        <v>1200</v>
      </c>
      <c r="L1441" s="2242">
        <v>962188806</v>
      </c>
      <c r="M1441" s="2251">
        <v>400</v>
      </c>
      <c r="N1441" s="2246">
        <v>165748260</v>
      </c>
      <c r="O1441" s="2205">
        <v>0</v>
      </c>
      <c r="P1441" s="2246">
        <v>0</v>
      </c>
      <c r="Q1441" s="2251">
        <v>0</v>
      </c>
      <c r="R1441" s="2246">
        <v>0</v>
      </c>
      <c r="S1441" s="2186">
        <v>0</v>
      </c>
      <c r="T1441" s="2186">
        <v>0</v>
      </c>
      <c r="U1441" s="2186">
        <v>0</v>
      </c>
      <c r="V1441" s="2186">
        <v>0</v>
      </c>
      <c r="W1441" s="2186">
        <v>0</v>
      </c>
      <c r="X1441" s="2186">
        <v>0</v>
      </c>
      <c r="Y1441" s="2205">
        <f t="shared" si="278"/>
        <v>0</v>
      </c>
      <c r="Z1441" s="2186">
        <f t="shared" si="275"/>
        <v>0</v>
      </c>
      <c r="AA1441" s="2205">
        <f t="shared" si="279"/>
        <v>400</v>
      </c>
      <c r="AB1441" s="2209">
        <f t="shared" si="276"/>
        <v>165748260</v>
      </c>
      <c r="AC1441" s="2210">
        <f t="shared" si="280"/>
        <v>0.33333333333333331</v>
      </c>
      <c r="AD1441" s="2210">
        <f t="shared" si="277"/>
        <v>0.17226167979343546</v>
      </c>
      <c r="AE1441" s="2207" t="s">
        <v>222</v>
      </c>
    </row>
    <row r="1442" spans="1:31" s="497" customFormat="1" ht="57" customHeight="1">
      <c r="A1442" s="1385"/>
      <c r="B1442" s="1385"/>
      <c r="C1442" s="2191">
        <v>3</v>
      </c>
      <c r="D1442" s="2191" t="s">
        <v>107</v>
      </c>
      <c r="E1442" s="2191" t="s">
        <v>196</v>
      </c>
      <c r="F1442" s="1374">
        <v>18</v>
      </c>
      <c r="G1442" s="1523">
        <v>12</v>
      </c>
      <c r="H1442" s="1523"/>
      <c r="I1442" s="2211" t="s">
        <v>2951</v>
      </c>
      <c r="J1442" s="1541" t="s">
        <v>2952</v>
      </c>
      <c r="K1442" s="2243">
        <v>500</v>
      </c>
      <c r="L1442" s="2242">
        <v>1059999088</v>
      </c>
      <c r="M1442" s="2251">
        <v>100</v>
      </c>
      <c r="N1442" s="2246">
        <v>174254396</v>
      </c>
      <c r="O1442" s="2205">
        <v>0</v>
      </c>
      <c r="P1442" s="2246">
        <v>0</v>
      </c>
      <c r="Q1442" s="2251">
        <v>0</v>
      </c>
      <c r="R1442" s="2246">
        <v>0</v>
      </c>
      <c r="S1442" s="2186">
        <v>0</v>
      </c>
      <c r="T1442" s="2186">
        <v>0</v>
      </c>
      <c r="U1442" s="2186">
        <v>0</v>
      </c>
      <c r="V1442" s="2186">
        <v>0</v>
      </c>
      <c r="W1442" s="2186">
        <v>0</v>
      </c>
      <c r="X1442" s="2186">
        <v>0</v>
      </c>
      <c r="Y1442" s="2205">
        <f t="shared" si="278"/>
        <v>0</v>
      </c>
      <c r="Z1442" s="2186">
        <f t="shared" si="275"/>
        <v>0</v>
      </c>
      <c r="AA1442" s="2205">
        <f t="shared" si="279"/>
        <v>100</v>
      </c>
      <c r="AB1442" s="2209">
        <f t="shared" si="276"/>
        <v>174254396</v>
      </c>
      <c r="AC1442" s="2210">
        <f t="shared" si="280"/>
        <v>0.2</v>
      </c>
      <c r="AD1442" s="2210">
        <f t="shared" si="277"/>
        <v>0.16439108106100558</v>
      </c>
      <c r="AE1442" s="2207" t="s">
        <v>222</v>
      </c>
    </row>
    <row r="1443" spans="1:31" s="497" customFormat="1" ht="57" customHeight="1">
      <c r="A1443" s="1385"/>
      <c r="B1443" s="1385"/>
      <c r="C1443" s="2191">
        <v>3</v>
      </c>
      <c r="D1443" s="2191" t="s">
        <v>107</v>
      </c>
      <c r="E1443" s="2191" t="s">
        <v>196</v>
      </c>
      <c r="F1443" s="1374">
        <v>18</v>
      </c>
      <c r="G1443" s="1523">
        <v>13</v>
      </c>
      <c r="H1443" s="1523"/>
      <c r="I1443" s="2211" t="s">
        <v>2953</v>
      </c>
      <c r="J1443" s="1541" t="s">
        <v>2908</v>
      </c>
      <c r="K1443" s="2243">
        <v>400</v>
      </c>
      <c r="L1443" s="2242">
        <v>325200802</v>
      </c>
      <c r="M1443" s="2251">
        <v>0</v>
      </c>
      <c r="N1443" s="2246">
        <v>0</v>
      </c>
      <c r="O1443" s="2205">
        <v>100</v>
      </c>
      <c r="P1443" s="2246">
        <v>55200802</v>
      </c>
      <c r="Q1443" s="2251">
        <v>25</v>
      </c>
      <c r="R1443" s="2246">
        <v>19737280</v>
      </c>
      <c r="S1443" s="2186">
        <v>0</v>
      </c>
      <c r="T1443" s="2186">
        <v>0</v>
      </c>
      <c r="U1443" s="2186">
        <v>0</v>
      </c>
      <c r="V1443" s="2186">
        <v>0</v>
      </c>
      <c r="W1443" s="2186">
        <v>0</v>
      </c>
      <c r="X1443" s="2186">
        <v>0</v>
      </c>
      <c r="Y1443" s="2205">
        <f t="shared" si="278"/>
        <v>25</v>
      </c>
      <c r="Z1443" s="2186">
        <f t="shared" si="275"/>
        <v>19737280</v>
      </c>
      <c r="AA1443" s="2205">
        <f t="shared" si="279"/>
        <v>25</v>
      </c>
      <c r="AB1443" s="2209">
        <f t="shared" si="276"/>
        <v>19737280</v>
      </c>
      <c r="AC1443" s="2210">
        <f t="shared" si="280"/>
        <v>6.25E-2</v>
      </c>
      <c r="AD1443" s="2210">
        <f t="shared" si="277"/>
        <v>6.0692593248893645E-2</v>
      </c>
      <c r="AE1443" s="2207" t="s">
        <v>222</v>
      </c>
    </row>
    <row r="1444" spans="1:31" s="497" customFormat="1">
      <c r="A1444" s="1385"/>
      <c r="B1444" s="1385"/>
      <c r="C1444" s="1385"/>
      <c r="D1444" s="1385"/>
      <c r="E1444" s="1385"/>
      <c r="F1444" s="1385"/>
      <c r="G1444" s="1385"/>
      <c r="H1444" s="1385"/>
      <c r="I1444" s="2254"/>
      <c r="J1444" s="1385"/>
      <c r="K1444" s="2204"/>
      <c r="L1444" s="2186"/>
      <c r="M1444" s="2205"/>
      <c r="N1444" s="2186"/>
      <c r="O1444" s="2205"/>
      <c r="P1444" s="2186"/>
      <c r="Q1444" s="2205"/>
      <c r="R1444" s="2186"/>
      <c r="S1444" s="2186"/>
      <c r="T1444" s="2186"/>
      <c r="U1444" s="2186"/>
      <c r="V1444" s="2186"/>
      <c r="W1444" s="2186"/>
      <c r="X1444" s="2186"/>
      <c r="Y1444" s="2205"/>
      <c r="Z1444" s="2186">
        <f t="shared" si="275"/>
        <v>0</v>
      </c>
      <c r="AA1444" s="2215"/>
      <c r="AB1444" s="2209"/>
      <c r="AC1444" s="2206"/>
      <c r="AD1444" s="2216"/>
      <c r="AE1444" s="2207"/>
    </row>
    <row r="1445" spans="1:31" s="616" customFormat="1" ht="69.75" customHeight="1">
      <c r="A1445" s="2191" t="s">
        <v>202</v>
      </c>
      <c r="B1445" s="4551" t="s">
        <v>2954</v>
      </c>
      <c r="C1445" s="1374">
        <v>3</v>
      </c>
      <c r="D1445" s="2191" t="s">
        <v>107</v>
      </c>
      <c r="E1445" s="2191" t="s">
        <v>196</v>
      </c>
      <c r="F1445" s="1374">
        <v>19</v>
      </c>
      <c r="G1445" s="1374"/>
      <c r="H1445" s="1374"/>
      <c r="I1445" s="2192" t="s">
        <v>2955</v>
      </c>
      <c r="J1445" s="2234" t="s">
        <v>2956</v>
      </c>
      <c r="K1445" s="2252">
        <v>0.9</v>
      </c>
      <c r="L1445" s="2253">
        <v>1517572.81</v>
      </c>
      <c r="M1445" s="2252">
        <v>0.9</v>
      </c>
      <c r="N1445" s="2226">
        <v>513802.82</v>
      </c>
      <c r="O1445" s="2252">
        <v>0.9</v>
      </c>
      <c r="P1445" s="2226">
        <v>247110</v>
      </c>
      <c r="Q1445" s="2251"/>
      <c r="R1445" s="2186"/>
      <c r="S1445" s="2186"/>
      <c r="T1445" s="2186"/>
      <c r="U1445" s="2186"/>
      <c r="V1445" s="2186"/>
      <c r="W1445" s="2186"/>
      <c r="X1445" s="2186"/>
      <c r="Y1445" s="2205"/>
      <c r="Z1445" s="2186">
        <f t="shared" si="275"/>
        <v>0</v>
      </c>
      <c r="AA1445" s="2215"/>
      <c r="AB1445" s="2209"/>
      <c r="AC1445" s="2202"/>
      <c r="AD1445" s="2216"/>
      <c r="AE1445" s="2204"/>
    </row>
    <row r="1446" spans="1:31" s="616" customFormat="1" ht="60" customHeight="1">
      <c r="A1446" s="1374"/>
      <c r="B1446" s="4551"/>
      <c r="C1446" s="1374">
        <v>3</v>
      </c>
      <c r="D1446" s="2191" t="s">
        <v>107</v>
      </c>
      <c r="E1446" s="2191" t="s">
        <v>196</v>
      </c>
      <c r="F1446" s="1374">
        <v>19</v>
      </c>
      <c r="G1446" s="2191" t="s">
        <v>201</v>
      </c>
      <c r="H1446" s="2191"/>
      <c r="I1446" s="1762" t="s">
        <v>2957</v>
      </c>
      <c r="J1446" s="1380" t="s">
        <v>2958</v>
      </c>
      <c r="K1446" s="2255">
        <v>1092</v>
      </c>
      <c r="L1446" s="2242">
        <v>373472746</v>
      </c>
      <c r="M1446" s="2251">
        <v>364</v>
      </c>
      <c r="N1446" s="2186">
        <v>96134892</v>
      </c>
      <c r="O1446" s="2205">
        <v>182</v>
      </c>
      <c r="P1446" s="2186">
        <v>36642282</v>
      </c>
      <c r="Q1446" s="2251">
        <v>0</v>
      </c>
      <c r="R1446" s="2186">
        <v>20014368</v>
      </c>
      <c r="S1446" s="2186">
        <v>0</v>
      </c>
      <c r="T1446" s="2186">
        <v>0</v>
      </c>
      <c r="U1446" s="2186">
        <v>0</v>
      </c>
      <c r="V1446" s="2186">
        <v>0</v>
      </c>
      <c r="W1446" s="2186">
        <v>0</v>
      </c>
      <c r="X1446" s="2186">
        <v>0</v>
      </c>
      <c r="Y1446" s="2205">
        <f t="shared" si="275"/>
        <v>0</v>
      </c>
      <c r="Z1446" s="2186">
        <f t="shared" si="275"/>
        <v>20014368</v>
      </c>
      <c r="AA1446" s="2205">
        <f t="shared" ref="AA1446:AB1449" si="281">M1446+Y1446</f>
        <v>364</v>
      </c>
      <c r="AB1446" s="2209">
        <f t="shared" si="281"/>
        <v>116149260</v>
      </c>
      <c r="AC1446" s="2210">
        <f t="shared" ref="AC1446:AD1449" si="282">AA1446/K1446*100%</f>
        <v>0.33333333333333331</v>
      </c>
      <c r="AD1446" s="2210">
        <f t="shared" si="282"/>
        <v>0.31099795431926913</v>
      </c>
      <c r="AE1446" s="2207" t="s">
        <v>222</v>
      </c>
    </row>
    <row r="1447" spans="1:31" s="497" customFormat="1" ht="60.75" customHeight="1">
      <c r="A1447" s="1385"/>
      <c r="B1447" s="1385"/>
      <c r="C1447" s="1374">
        <v>3</v>
      </c>
      <c r="D1447" s="2191" t="s">
        <v>107</v>
      </c>
      <c r="E1447" s="2191" t="s">
        <v>196</v>
      </c>
      <c r="F1447" s="1374">
        <v>19</v>
      </c>
      <c r="G1447" s="1385">
        <v>10</v>
      </c>
      <c r="H1447" s="1385"/>
      <c r="I1447" s="2211" t="s">
        <v>2959</v>
      </c>
      <c r="J1447" s="1541" t="s">
        <v>2960</v>
      </c>
      <c r="K1447" s="2243">
        <v>72</v>
      </c>
      <c r="L1447" s="2242">
        <v>351118231</v>
      </c>
      <c r="M1447" s="2205">
        <v>24</v>
      </c>
      <c r="N1447" s="2246">
        <v>199344635</v>
      </c>
      <c r="O1447" s="2205">
        <v>12</v>
      </c>
      <c r="P1447" s="2246">
        <v>42116855</v>
      </c>
      <c r="Q1447" s="2251">
        <v>3</v>
      </c>
      <c r="R1447" s="2246">
        <v>27999615</v>
      </c>
      <c r="S1447" s="2186">
        <v>0</v>
      </c>
      <c r="T1447" s="2186">
        <v>0</v>
      </c>
      <c r="U1447" s="2186">
        <v>0</v>
      </c>
      <c r="V1447" s="2186">
        <v>0</v>
      </c>
      <c r="W1447" s="2186">
        <v>0</v>
      </c>
      <c r="X1447" s="2186">
        <v>0</v>
      </c>
      <c r="Y1447" s="2205">
        <f>Q1447</f>
        <v>3</v>
      </c>
      <c r="Z1447" s="2186">
        <f t="shared" si="275"/>
        <v>27999615</v>
      </c>
      <c r="AA1447" s="2205">
        <f t="shared" si="281"/>
        <v>27</v>
      </c>
      <c r="AB1447" s="2209">
        <f t="shared" si="281"/>
        <v>227344250</v>
      </c>
      <c r="AC1447" s="2210">
        <f t="shared" si="282"/>
        <v>0.375</v>
      </c>
      <c r="AD1447" s="2210">
        <f t="shared" si="282"/>
        <v>0.64748631636845999</v>
      </c>
      <c r="AE1447" s="2207" t="s">
        <v>222</v>
      </c>
    </row>
    <row r="1448" spans="1:31" s="497" customFormat="1" ht="60.75" customHeight="1">
      <c r="A1448" s="1385"/>
      <c r="B1448" s="1385"/>
      <c r="C1448" s="1374">
        <v>3</v>
      </c>
      <c r="D1448" s="2191" t="s">
        <v>107</v>
      </c>
      <c r="E1448" s="2191" t="s">
        <v>196</v>
      </c>
      <c r="F1448" s="1374">
        <v>19</v>
      </c>
      <c r="G1448" s="1385">
        <v>16</v>
      </c>
      <c r="H1448" s="1385"/>
      <c r="I1448" s="2211" t="s">
        <v>2961</v>
      </c>
      <c r="J1448" s="1541" t="s">
        <v>2908</v>
      </c>
      <c r="K1448" s="2243">
        <v>400</v>
      </c>
      <c r="L1448" s="2242">
        <v>361033726</v>
      </c>
      <c r="M1448" s="2205">
        <v>0</v>
      </c>
      <c r="N1448" s="2246">
        <v>0</v>
      </c>
      <c r="O1448" s="2205">
        <v>100</v>
      </c>
      <c r="P1448" s="2246">
        <v>61033726</v>
      </c>
      <c r="Q1448" s="2251">
        <v>25</v>
      </c>
      <c r="R1448" s="2246">
        <v>0</v>
      </c>
      <c r="S1448" s="2186">
        <v>0</v>
      </c>
      <c r="T1448" s="2186">
        <v>0</v>
      </c>
      <c r="U1448" s="2186">
        <v>0</v>
      </c>
      <c r="V1448" s="2186">
        <v>0</v>
      </c>
      <c r="W1448" s="2186">
        <v>0</v>
      </c>
      <c r="X1448" s="2186">
        <v>0</v>
      </c>
      <c r="Y1448" s="2205">
        <f>Q1448</f>
        <v>25</v>
      </c>
      <c r="Z1448" s="2186">
        <f t="shared" si="275"/>
        <v>0</v>
      </c>
      <c r="AA1448" s="2205">
        <f t="shared" si="281"/>
        <v>25</v>
      </c>
      <c r="AB1448" s="2209">
        <f t="shared" si="281"/>
        <v>0</v>
      </c>
      <c r="AC1448" s="2210">
        <f t="shared" si="282"/>
        <v>6.25E-2</v>
      </c>
      <c r="AD1448" s="2210">
        <f t="shared" si="282"/>
        <v>0</v>
      </c>
      <c r="AE1448" s="2207" t="s">
        <v>222</v>
      </c>
    </row>
    <row r="1449" spans="1:31" s="497" customFormat="1" ht="58.5" customHeight="1">
      <c r="A1449" s="1385"/>
      <c r="B1449" s="1385"/>
      <c r="C1449" s="1374">
        <v>3</v>
      </c>
      <c r="D1449" s="2191" t="s">
        <v>107</v>
      </c>
      <c r="E1449" s="2191" t="s">
        <v>196</v>
      </c>
      <c r="F1449" s="1374">
        <v>19</v>
      </c>
      <c r="G1449" s="1385">
        <v>12</v>
      </c>
      <c r="H1449" s="1385"/>
      <c r="I1449" s="2211" t="s">
        <v>2962</v>
      </c>
      <c r="J1449" s="1541" t="s">
        <v>2963</v>
      </c>
      <c r="K1449" s="2241">
        <v>600</v>
      </c>
      <c r="L1449" s="2242">
        <v>693977112</v>
      </c>
      <c r="M1449" s="2205">
        <v>200</v>
      </c>
      <c r="N1449" s="2246">
        <v>202753812</v>
      </c>
      <c r="O1449" s="2205">
        <v>0</v>
      </c>
      <c r="P1449" s="2246">
        <v>0</v>
      </c>
      <c r="Q1449" s="2251">
        <v>0</v>
      </c>
      <c r="R1449" s="2246">
        <v>0</v>
      </c>
      <c r="S1449" s="2186">
        <v>0</v>
      </c>
      <c r="T1449" s="2186">
        <v>0</v>
      </c>
      <c r="U1449" s="2186">
        <v>0</v>
      </c>
      <c r="V1449" s="2186">
        <v>0</v>
      </c>
      <c r="W1449" s="2186">
        <v>0</v>
      </c>
      <c r="X1449" s="2186">
        <v>0</v>
      </c>
      <c r="Y1449" s="2205">
        <f t="shared" si="275"/>
        <v>0</v>
      </c>
      <c r="Z1449" s="2186">
        <f t="shared" si="275"/>
        <v>0</v>
      </c>
      <c r="AA1449" s="2205">
        <f t="shared" si="281"/>
        <v>200</v>
      </c>
      <c r="AB1449" s="2209">
        <f t="shared" si="281"/>
        <v>202753812</v>
      </c>
      <c r="AC1449" s="2210">
        <f t="shared" si="282"/>
        <v>0.33333333333333331</v>
      </c>
      <c r="AD1449" s="2210">
        <f t="shared" si="282"/>
        <v>0.29216210231440604</v>
      </c>
      <c r="AE1449" s="2207" t="s">
        <v>222</v>
      </c>
    </row>
    <row r="1450" spans="1:31" s="497" customFormat="1" ht="23.25" customHeight="1">
      <c r="A1450" s="4552" t="s">
        <v>607</v>
      </c>
      <c r="B1450" s="4552"/>
      <c r="C1450" s="2211"/>
      <c r="D1450" s="2211"/>
      <c r="E1450" s="2211"/>
      <c r="F1450" s="2211"/>
      <c r="G1450" s="2211"/>
      <c r="H1450" s="2211"/>
      <c r="I1450" s="2211"/>
      <c r="J1450" s="2211"/>
      <c r="K1450" s="2256"/>
      <c r="L1450" s="2257"/>
      <c r="M1450" s="2258"/>
      <c r="N1450" s="2259">
        <f>SUM(N1352:N1449)</f>
        <v>22949745990.570004</v>
      </c>
      <c r="O1450" s="2258"/>
      <c r="P1450" s="2260">
        <v>6491291028</v>
      </c>
      <c r="Q1450" s="2205">
        <v>0.34520000000000001</v>
      </c>
      <c r="R1450" s="2200">
        <f>SUM(R1352:R1449)</f>
        <v>923489802</v>
      </c>
      <c r="S1450" s="2200"/>
      <c r="T1450" s="2200"/>
      <c r="U1450" s="2200"/>
      <c r="V1450" s="2200"/>
      <c r="W1450" s="2200"/>
      <c r="X1450" s="2200"/>
      <c r="Y1450" s="2205">
        <f t="shared" si="275"/>
        <v>0.34520000000000001</v>
      </c>
      <c r="Z1450" s="2200">
        <f>SUM(Z1352:Z1449)</f>
        <v>923489802</v>
      </c>
      <c r="AA1450" s="2200"/>
      <c r="AB1450" s="2200">
        <f>SUM(AB1352:AB1449)</f>
        <v>23093390978.880001</v>
      </c>
      <c r="AC1450" s="2207"/>
      <c r="AD1450" s="2207"/>
      <c r="AE1450" s="1385"/>
    </row>
    <row r="1451" spans="1:31" s="497" customFormat="1" ht="30" customHeight="1">
      <c r="A1451" s="4553" t="s">
        <v>1230</v>
      </c>
      <c r="B1451" s="4553"/>
      <c r="C1451" s="4553"/>
      <c r="D1451" s="4553"/>
      <c r="E1451" s="4553"/>
      <c r="F1451" s="4553"/>
      <c r="G1451" s="4553"/>
      <c r="H1451" s="4553"/>
      <c r="I1451" s="4553"/>
      <c r="J1451" s="4553"/>
      <c r="K1451" s="4553"/>
      <c r="L1451" s="4553"/>
      <c r="M1451" s="4553"/>
      <c r="N1451" s="4553"/>
      <c r="O1451" s="4553"/>
      <c r="P1451" s="4553"/>
      <c r="Q1451" s="2205"/>
      <c r="R1451" s="2261"/>
      <c r="S1451" s="2261"/>
      <c r="T1451" s="2261"/>
      <c r="U1451" s="2261"/>
      <c r="V1451" s="2261"/>
      <c r="W1451" s="2261"/>
      <c r="X1451" s="2261"/>
      <c r="Y1451" s="2205"/>
      <c r="Z1451" s="2204"/>
      <c r="AA1451" s="2204"/>
      <c r="AB1451" s="2204"/>
      <c r="AC1451" s="2207"/>
      <c r="AD1451" s="2207"/>
      <c r="AE1451" s="1385"/>
    </row>
    <row r="1452" spans="1:31" s="497" customFormat="1" ht="30" customHeight="1">
      <c r="A1452" s="4544" t="s">
        <v>2964</v>
      </c>
      <c r="B1452" s="4544"/>
      <c r="C1452" s="4544"/>
      <c r="D1452" s="4544"/>
      <c r="E1452" s="4544"/>
      <c r="F1452" s="4544"/>
      <c r="G1452" s="4544"/>
      <c r="H1452" s="4544"/>
      <c r="I1452" s="4544"/>
      <c r="J1452" s="4544"/>
      <c r="K1452" s="4544"/>
      <c r="L1452" s="4544"/>
      <c r="M1452" s="4544"/>
      <c r="N1452" s="4544"/>
      <c r="O1452" s="4544"/>
      <c r="P1452" s="4544"/>
      <c r="Q1452" s="4544"/>
      <c r="R1452" s="4544"/>
      <c r="S1452" s="4544"/>
      <c r="T1452" s="4544"/>
      <c r="U1452" s="4544"/>
      <c r="V1452" s="4544"/>
      <c r="W1452" s="4544"/>
      <c r="X1452" s="4544"/>
      <c r="Y1452" s="4544"/>
      <c r="Z1452" s="4544"/>
      <c r="AA1452" s="4544"/>
      <c r="AB1452" s="4544"/>
      <c r="AC1452" s="4544"/>
      <c r="AD1452" s="4544"/>
      <c r="AE1452" s="4544"/>
    </row>
    <row r="1453" spans="1:31" s="497" customFormat="1" ht="30" customHeight="1">
      <c r="A1453" s="4544" t="s">
        <v>2965</v>
      </c>
      <c r="B1453" s="4544"/>
      <c r="C1453" s="4544"/>
      <c r="D1453" s="4544"/>
      <c r="E1453" s="4544"/>
      <c r="F1453" s="4544"/>
      <c r="G1453" s="4544"/>
      <c r="H1453" s="4544"/>
      <c r="I1453" s="4544"/>
      <c r="J1453" s="4544"/>
      <c r="K1453" s="4544"/>
      <c r="L1453" s="4544"/>
      <c r="M1453" s="4544"/>
      <c r="N1453" s="4544"/>
      <c r="O1453" s="4544"/>
      <c r="P1453" s="4544"/>
      <c r="Q1453" s="4544"/>
      <c r="R1453" s="4544"/>
      <c r="S1453" s="4544"/>
      <c r="T1453" s="4544"/>
      <c r="U1453" s="4544"/>
      <c r="V1453" s="4544"/>
      <c r="W1453" s="4544"/>
      <c r="X1453" s="4544"/>
      <c r="Y1453" s="4544"/>
      <c r="Z1453" s="4544"/>
      <c r="AA1453" s="4544"/>
      <c r="AB1453" s="4544"/>
      <c r="AC1453" s="4544"/>
      <c r="AD1453" s="4544"/>
      <c r="AE1453" s="4544"/>
    </row>
    <row r="1454" spans="1:31" s="497" customFormat="1" ht="30" customHeight="1">
      <c r="A1454" s="4544" t="s">
        <v>2966</v>
      </c>
      <c r="B1454" s="4544"/>
      <c r="C1454" s="4544"/>
      <c r="D1454" s="4544"/>
      <c r="E1454" s="4544"/>
      <c r="F1454" s="4544"/>
      <c r="G1454" s="4544"/>
      <c r="H1454" s="4544"/>
      <c r="I1454" s="4544"/>
      <c r="J1454" s="4544"/>
      <c r="K1454" s="4544"/>
      <c r="L1454" s="4544"/>
      <c r="M1454" s="4544"/>
      <c r="N1454" s="4544"/>
      <c r="O1454" s="4544"/>
      <c r="P1454" s="4544"/>
      <c r="Q1454" s="4544"/>
      <c r="R1454" s="4544"/>
      <c r="S1454" s="4544"/>
      <c r="T1454" s="4544"/>
      <c r="U1454" s="4544"/>
      <c r="V1454" s="4544"/>
      <c r="W1454" s="4544"/>
      <c r="X1454" s="4544"/>
      <c r="Y1454" s="4544"/>
      <c r="Z1454" s="4544"/>
      <c r="AA1454" s="4544"/>
      <c r="AB1454" s="4544"/>
      <c r="AC1454" s="4544"/>
      <c r="AD1454" s="4544"/>
      <c r="AE1454" s="4544"/>
    </row>
    <row r="1455" spans="1:31" s="497" customFormat="1" ht="30" customHeight="1">
      <c r="A1455" s="4544" t="s">
        <v>2967</v>
      </c>
      <c r="B1455" s="4544"/>
      <c r="C1455" s="4544"/>
      <c r="D1455" s="4544"/>
      <c r="E1455" s="4544"/>
      <c r="F1455" s="4544"/>
      <c r="G1455" s="4544"/>
      <c r="H1455" s="4544"/>
      <c r="I1455" s="4544"/>
      <c r="J1455" s="4544"/>
      <c r="K1455" s="4544"/>
      <c r="L1455" s="4544"/>
      <c r="M1455" s="4544"/>
      <c r="N1455" s="4544"/>
      <c r="O1455" s="4544"/>
      <c r="P1455" s="4544"/>
      <c r="Q1455" s="4544"/>
      <c r="R1455" s="4544"/>
      <c r="S1455" s="4544"/>
      <c r="T1455" s="4544"/>
      <c r="U1455" s="4544"/>
      <c r="V1455" s="4544"/>
      <c r="W1455" s="4544"/>
      <c r="X1455" s="4544"/>
      <c r="Y1455" s="4544"/>
      <c r="Z1455" s="4544"/>
      <c r="AA1455" s="4544"/>
      <c r="AB1455" s="4544"/>
      <c r="AC1455" s="4544"/>
      <c r="AD1455" s="4544"/>
      <c r="AE1455" s="4544"/>
    </row>
    <row r="1456" spans="1:31" ht="22.5" customHeight="1">
      <c r="A1456" s="2188"/>
      <c r="B1456" s="2189"/>
      <c r="C1456" s="2189"/>
      <c r="D1456" s="2189"/>
      <c r="E1456" s="2189"/>
      <c r="F1456" s="2189"/>
      <c r="G1456" s="2189"/>
      <c r="H1456" s="2189"/>
      <c r="I1456" s="2189"/>
      <c r="J1456" s="2189"/>
      <c r="K1456" s="2189"/>
      <c r="L1456" s="2189"/>
      <c r="M1456" s="2189"/>
      <c r="N1456" s="2189"/>
      <c r="O1456" s="2189"/>
      <c r="P1456" s="2189"/>
      <c r="Q1456" s="2189"/>
      <c r="R1456" s="2189"/>
      <c r="S1456" s="2189"/>
      <c r="T1456" s="2189"/>
      <c r="U1456" s="2189"/>
      <c r="V1456" s="2189"/>
      <c r="W1456" s="2189"/>
      <c r="X1456" s="2189"/>
      <c r="Y1456" s="2189"/>
      <c r="Z1456" s="2189"/>
      <c r="AA1456" s="2189"/>
      <c r="AB1456" s="2189"/>
      <c r="AC1456" s="2189"/>
      <c r="AD1456" s="2189"/>
      <c r="AE1456" s="2190"/>
    </row>
    <row r="1457" spans="1:31" ht="19.5" customHeight="1">
      <c r="A1457" s="4545" t="s">
        <v>911</v>
      </c>
      <c r="B1457" s="4546"/>
      <c r="C1457" s="4546"/>
      <c r="D1457" s="4546"/>
      <c r="E1457" s="4546"/>
      <c r="F1457" s="4546"/>
      <c r="G1457" s="4546"/>
      <c r="H1457" s="4546"/>
      <c r="I1457" s="4546"/>
      <c r="J1457" s="4546"/>
      <c r="K1457" s="4546"/>
      <c r="L1457" s="4546"/>
      <c r="M1457" s="4546"/>
      <c r="N1457" s="4546"/>
      <c r="O1457" s="4546"/>
      <c r="P1457" s="4546"/>
      <c r="Q1457" s="4546"/>
      <c r="R1457" s="4546"/>
      <c r="S1457" s="4546"/>
      <c r="T1457" s="4546"/>
      <c r="U1457" s="4546"/>
      <c r="V1457" s="4546"/>
      <c r="W1457" s="4546"/>
      <c r="X1457" s="4546"/>
      <c r="Y1457" s="4546"/>
      <c r="Z1457" s="4546"/>
      <c r="AA1457" s="4546"/>
      <c r="AB1457" s="4546"/>
      <c r="AC1457" s="4546"/>
      <c r="AD1457" s="4546"/>
      <c r="AE1457" s="4547"/>
    </row>
    <row r="1458" spans="1:31" s="145" customFormat="1" ht="68.25" customHeight="1">
      <c r="A1458" s="495">
        <v>1</v>
      </c>
      <c r="B1458" s="495"/>
      <c r="C1458" s="495">
        <v>3</v>
      </c>
      <c r="D1458" s="623" t="s">
        <v>107</v>
      </c>
      <c r="E1458" s="623" t="s">
        <v>196</v>
      </c>
      <c r="F1458" s="623" t="s">
        <v>65</v>
      </c>
      <c r="G1458" s="623" t="s">
        <v>66</v>
      </c>
      <c r="H1458" s="495"/>
      <c r="I1458" s="618" t="s">
        <v>221</v>
      </c>
      <c r="J1458" s="344" t="s">
        <v>912</v>
      </c>
      <c r="K1458" s="735">
        <v>100</v>
      </c>
      <c r="L1458" s="747">
        <f>SUM(L1459,L1460,L1461,L1462,L1463,L1464,L1465,L1466,L1467,L1468,L1469)</f>
        <v>3595385.5824200003</v>
      </c>
      <c r="M1458" s="735">
        <f t="shared" ref="M1458:M1485" si="283">N1458/L1458*100</f>
        <v>17.113134065343914</v>
      </c>
      <c r="N1458" s="747">
        <f>SUM(N1459:N1469)</f>
        <v>615283.15488558076</v>
      </c>
      <c r="O1458" s="735">
        <f>P1458/L1458*100</f>
        <v>15.895135525779619</v>
      </c>
      <c r="P1458" s="713">
        <f>SUM(P1459:P1469)</f>
        <v>571491.41099999996</v>
      </c>
      <c r="Q1458" s="735">
        <f t="shared" ref="Q1458:Q1469" si="284">R1458/P1458*100</f>
        <v>28.093231133442181</v>
      </c>
      <c r="R1458" s="748">
        <f>SUM(R1459:R1469)</f>
        <v>160550.40299999999</v>
      </c>
      <c r="S1458" s="735">
        <f>SUM(S1459:S1469)</f>
        <v>0</v>
      </c>
      <c r="T1458" s="748">
        <f t="shared" ref="T1458:AD1458" si="285">SUM(T1459:T1469)</f>
        <v>0</v>
      </c>
      <c r="U1458" s="735">
        <f t="shared" si="285"/>
        <v>0</v>
      </c>
      <c r="V1458" s="748">
        <f t="shared" si="285"/>
        <v>0</v>
      </c>
      <c r="W1458" s="735">
        <f t="shared" si="285"/>
        <v>0</v>
      </c>
      <c r="X1458" s="748">
        <f t="shared" si="285"/>
        <v>0</v>
      </c>
      <c r="Y1458" s="735">
        <f>SUM(Y1459:Y1469)/11</f>
        <v>22.723847676346939</v>
      </c>
      <c r="Z1458" s="748">
        <f t="shared" si="285"/>
        <v>160550.40299999999</v>
      </c>
      <c r="AA1458" s="640">
        <f>SUM(AA1459:AA1469)/11</f>
        <v>43.127798084389816</v>
      </c>
      <c r="AB1458" s="748">
        <f>SUM(AB1459:AB1469)</f>
        <v>775833.55788558081</v>
      </c>
      <c r="AC1458" s="752">
        <f>SUM(AC1459:AC1469)/11</f>
        <v>43.127798084389816</v>
      </c>
      <c r="AD1458" s="748">
        <f t="shared" si="285"/>
        <v>257.92861828230593</v>
      </c>
      <c r="AE1458" s="753" t="s">
        <v>913</v>
      </c>
    </row>
    <row r="1459" spans="1:31" s="63" customFormat="1" ht="38.25">
      <c r="A1459" s="59"/>
      <c r="B1459" s="4548" t="s">
        <v>914</v>
      </c>
      <c r="C1459" s="1898">
        <v>3</v>
      </c>
      <c r="D1459" s="1900" t="s">
        <v>107</v>
      </c>
      <c r="E1459" s="1905" t="s">
        <v>196</v>
      </c>
      <c r="F1459" s="1900" t="s">
        <v>65</v>
      </c>
      <c r="G1459" s="1900" t="s">
        <v>66</v>
      </c>
      <c r="H1459" s="1900" t="s">
        <v>65</v>
      </c>
      <c r="I1459" s="58" t="s">
        <v>873</v>
      </c>
      <c r="J1459" s="732" t="s">
        <v>915</v>
      </c>
      <c r="K1459" s="384">
        <v>100</v>
      </c>
      <c r="L1459" s="733">
        <f>[12]Sheet1!$T$14/1000</f>
        <v>360676.1568</v>
      </c>
      <c r="M1459" s="734">
        <f t="shared" si="283"/>
        <v>15.9185343742689</v>
      </c>
      <c r="N1459" s="749">
        <f>57414358/1000</f>
        <v>57414.358</v>
      </c>
      <c r="O1459" s="59">
        <f t="shared" ref="O1459:O1485" si="286">P1459/L1459*100</f>
        <v>14.639171180167127</v>
      </c>
      <c r="P1459" s="720">
        <f>52800000/1000</f>
        <v>52800</v>
      </c>
      <c r="Q1459" s="735">
        <f t="shared" si="284"/>
        <v>20.711937499999998</v>
      </c>
      <c r="R1459" s="736">
        <v>10935.903</v>
      </c>
      <c r="S1459" s="59"/>
      <c r="T1459" s="59"/>
      <c r="U1459" s="59"/>
      <c r="V1459" s="59"/>
      <c r="W1459" s="59"/>
      <c r="X1459" s="59"/>
      <c r="Y1459" s="59">
        <f>(Z1459/P1459)*100</f>
        <v>20.711937499999998</v>
      </c>
      <c r="Z1459" s="60">
        <f t="shared" ref="Z1459:Z1469" si="287">R1459+T1459+V1459+X1459</f>
        <v>10935.903</v>
      </c>
      <c r="AA1459" s="59">
        <f>M1459+Y1459</f>
        <v>36.630471874268899</v>
      </c>
      <c r="AB1459" s="60">
        <f>N1459+Z1459</f>
        <v>68350.260999999999</v>
      </c>
      <c r="AC1459" s="737">
        <f>(AA1459/K1459)*100</f>
        <v>36.630471874268899</v>
      </c>
      <c r="AD1459" s="62">
        <f>(AB1459/L1459)*100</f>
        <v>18.950590359623128</v>
      </c>
      <c r="AE1459" s="1895" t="str">
        <f t="shared" ref="AE1459:AE1469" si="288">AE1458</f>
        <v>Badan Pendapatan</v>
      </c>
    </row>
    <row r="1460" spans="1:31" s="475" customFormat="1" ht="63.75">
      <c r="A1460" s="384"/>
      <c r="B1460" s="4549"/>
      <c r="C1460" s="1898">
        <v>3</v>
      </c>
      <c r="D1460" s="1900" t="s">
        <v>107</v>
      </c>
      <c r="E1460" s="1905" t="s">
        <v>196</v>
      </c>
      <c r="F1460" s="1900" t="s">
        <v>65</v>
      </c>
      <c r="G1460" s="1900" t="s">
        <v>66</v>
      </c>
      <c r="H1460" s="1900" t="s">
        <v>198</v>
      </c>
      <c r="I1460" s="384" t="s">
        <v>148</v>
      </c>
      <c r="J1460" s="732" t="s">
        <v>975</v>
      </c>
      <c r="K1460" s="384">
        <v>100</v>
      </c>
      <c r="L1460" s="738">
        <f>[12]Sheet1!$T$15/1000</f>
        <v>916665.18779999996</v>
      </c>
      <c r="M1460" s="59">
        <f t="shared" si="283"/>
        <v>6.0966186560057278E-6</v>
      </c>
      <c r="N1460" s="738">
        <f>[13]Sheet1!$C$3/1000</f>
        <v>5.5885580852524736E-2</v>
      </c>
      <c r="O1460" s="59">
        <f t="shared" si="286"/>
        <v>22.958218856885011</v>
      </c>
      <c r="P1460" s="708">
        <f>210450000/1000</f>
        <v>210450</v>
      </c>
      <c r="Q1460" s="735">
        <f t="shared" si="284"/>
        <v>15.680684248039913</v>
      </c>
      <c r="R1460" s="739">
        <f>33000000/1000</f>
        <v>33000</v>
      </c>
      <c r="S1460" s="59"/>
      <c r="T1460" s="384"/>
      <c r="U1460" s="59"/>
      <c r="V1460" s="384"/>
      <c r="W1460" s="59"/>
      <c r="X1460" s="384"/>
      <c r="Y1460" s="59">
        <f t="shared" ref="Y1460:Y1469" si="289">(Z1460/P1460)*100</f>
        <v>15.680684248039913</v>
      </c>
      <c r="Z1460" s="60">
        <f t="shared" si="287"/>
        <v>33000</v>
      </c>
      <c r="AA1460" s="590">
        <f>M1460+Y1460</f>
        <v>15.680690344658569</v>
      </c>
      <c r="AB1460" s="60">
        <f t="shared" ref="AB1460:AB1469" si="290">N1460+Z1460</f>
        <v>33000.055885580856</v>
      </c>
      <c r="AC1460" s="737">
        <f t="shared" ref="AC1460:AD1469" si="291">(AA1460/K1460)*100</f>
        <v>15.680690344658569</v>
      </c>
      <c r="AD1460" s="740">
        <f t="shared" si="291"/>
        <v>3.6000119045407537</v>
      </c>
      <c r="AE1460" s="390" t="str">
        <f t="shared" si="288"/>
        <v>Badan Pendapatan</v>
      </c>
    </row>
    <row r="1461" spans="1:31" s="63" customFormat="1" ht="38.25">
      <c r="A1461" s="385"/>
      <c r="B1461" s="4549"/>
      <c r="C1461" s="1898">
        <v>3</v>
      </c>
      <c r="D1461" s="1900" t="s">
        <v>107</v>
      </c>
      <c r="E1461" s="1905" t="s">
        <v>196</v>
      </c>
      <c r="F1461" s="1900" t="s">
        <v>65</v>
      </c>
      <c r="G1461" s="1900" t="s">
        <v>66</v>
      </c>
      <c r="H1461" s="1900" t="s">
        <v>93</v>
      </c>
      <c r="I1461" s="384" t="s">
        <v>876</v>
      </c>
      <c r="J1461" s="732" t="s">
        <v>976</v>
      </c>
      <c r="K1461" s="384">
        <v>100</v>
      </c>
      <c r="L1461" s="738">
        <f>[12]Sheet1!$T$16/1000</f>
        <v>69912.848499999993</v>
      </c>
      <c r="M1461" s="59">
        <f t="shared" si="283"/>
        <v>43.059324066877352</v>
      </c>
      <c r="N1461" s="738">
        <v>30104</v>
      </c>
      <c r="O1461" s="59">
        <f t="shared" si="286"/>
        <v>6.8063311710150103</v>
      </c>
      <c r="P1461" s="708">
        <f>4758500/1000</f>
        <v>4758.5</v>
      </c>
      <c r="Q1461" s="735">
        <f t="shared" si="284"/>
        <v>21.015025743406536</v>
      </c>
      <c r="R1461" s="739">
        <v>1000</v>
      </c>
      <c r="S1461" s="59"/>
      <c r="T1461" s="384"/>
      <c r="U1461" s="59"/>
      <c r="V1461" s="384"/>
      <c r="W1461" s="59"/>
      <c r="X1461" s="384"/>
      <c r="Y1461" s="59">
        <f t="shared" si="289"/>
        <v>21.015025743406536</v>
      </c>
      <c r="Z1461" s="60">
        <f t="shared" si="287"/>
        <v>1000</v>
      </c>
      <c r="AA1461" s="590">
        <f t="shared" ref="AA1461:AA1469" si="292">M1461+Y1461</f>
        <v>64.074349810283891</v>
      </c>
      <c r="AB1461" s="60">
        <f t="shared" si="290"/>
        <v>31104</v>
      </c>
      <c r="AC1461" s="737">
        <f t="shared" si="291"/>
        <v>64.074349810283891</v>
      </c>
      <c r="AD1461" s="737">
        <f t="shared" si="291"/>
        <v>44.489676314647667</v>
      </c>
      <c r="AE1461" s="390" t="str">
        <f t="shared" si="288"/>
        <v>Badan Pendapatan</v>
      </c>
    </row>
    <row r="1462" spans="1:31" s="63" customFormat="1" ht="51">
      <c r="A1462" s="385"/>
      <c r="B1462" s="4549"/>
      <c r="C1462" s="1898">
        <v>3</v>
      </c>
      <c r="D1462" s="1900" t="s">
        <v>107</v>
      </c>
      <c r="E1462" s="1905" t="s">
        <v>196</v>
      </c>
      <c r="F1462" s="1900" t="s">
        <v>65</v>
      </c>
      <c r="G1462" s="1900" t="s">
        <v>66</v>
      </c>
      <c r="H1462" s="1898">
        <v>10</v>
      </c>
      <c r="I1462" s="384" t="s">
        <v>150</v>
      </c>
      <c r="J1462" s="732" t="s">
        <v>977</v>
      </c>
      <c r="K1462" s="384">
        <v>100</v>
      </c>
      <c r="L1462" s="738">
        <f>[12]Sheet1!$T$17/1000</f>
        <v>191141.15521999999</v>
      </c>
      <c r="M1462" s="59">
        <f t="shared" si="283"/>
        <v>22.870270899893541</v>
      </c>
      <c r="N1462" s="738">
        <v>43714.5</v>
      </c>
      <c r="O1462" s="59">
        <f t="shared" si="286"/>
        <v>14.851176852691619</v>
      </c>
      <c r="P1462" s="708">
        <f>28386711/1000</f>
        <v>28386.710999999999</v>
      </c>
      <c r="Q1462" s="735">
        <f t="shared" si="284"/>
        <v>20.608234606679162</v>
      </c>
      <c r="R1462" s="739">
        <v>5850</v>
      </c>
      <c r="S1462" s="59"/>
      <c r="T1462" s="384"/>
      <c r="U1462" s="59"/>
      <c r="V1462" s="384"/>
      <c r="W1462" s="59"/>
      <c r="X1462" s="384"/>
      <c r="Y1462" s="59">
        <f t="shared" si="289"/>
        <v>20.608234606679162</v>
      </c>
      <c r="Z1462" s="60">
        <f t="shared" si="287"/>
        <v>5850</v>
      </c>
      <c r="AA1462" s="590">
        <f t="shared" si="292"/>
        <v>43.478505506572702</v>
      </c>
      <c r="AB1462" s="60">
        <f t="shared" si="290"/>
        <v>49564.5</v>
      </c>
      <c r="AC1462" s="737">
        <f t="shared" si="291"/>
        <v>43.478505506572702</v>
      </c>
      <c r="AD1462" s="737">
        <f t="shared" si="291"/>
        <v>25.930836267549061</v>
      </c>
      <c r="AE1462" s="390" t="str">
        <f t="shared" si="288"/>
        <v>Badan Pendapatan</v>
      </c>
    </row>
    <row r="1463" spans="1:31" s="63" customFormat="1" ht="51">
      <c r="A1463" s="385"/>
      <c r="B1463" s="4549"/>
      <c r="C1463" s="1898">
        <v>3</v>
      </c>
      <c r="D1463" s="1900" t="s">
        <v>107</v>
      </c>
      <c r="E1463" s="1905" t="s">
        <v>196</v>
      </c>
      <c r="F1463" s="1900" t="s">
        <v>65</v>
      </c>
      <c r="G1463" s="1900" t="s">
        <v>66</v>
      </c>
      <c r="H1463" s="1898">
        <v>11</v>
      </c>
      <c r="I1463" s="384" t="s">
        <v>972</v>
      </c>
      <c r="J1463" s="732" t="s">
        <v>978</v>
      </c>
      <c r="K1463" s="384">
        <v>100</v>
      </c>
      <c r="L1463" s="738">
        <f>[12]Sheet1!$T$18/1000</f>
        <v>139854.01199999999</v>
      </c>
      <c r="M1463" s="59">
        <f t="shared" si="283"/>
        <v>20.503523345472566</v>
      </c>
      <c r="N1463" s="738">
        <v>28675</v>
      </c>
      <c r="O1463" s="59">
        <f t="shared" si="286"/>
        <v>17.160751884615223</v>
      </c>
      <c r="P1463" s="708">
        <f>24000000/1000</f>
        <v>24000</v>
      </c>
      <c r="Q1463" s="735">
        <f t="shared" si="284"/>
        <v>14.804583333333332</v>
      </c>
      <c r="R1463" s="739">
        <v>3553.1</v>
      </c>
      <c r="S1463" s="59"/>
      <c r="T1463" s="384"/>
      <c r="U1463" s="59"/>
      <c r="V1463" s="384"/>
      <c r="W1463" s="59"/>
      <c r="X1463" s="384"/>
      <c r="Y1463" s="59">
        <f t="shared" si="289"/>
        <v>14.804583333333332</v>
      </c>
      <c r="Z1463" s="60">
        <f t="shared" si="287"/>
        <v>3553.1</v>
      </c>
      <c r="AA1463" s="590">
        <f t="shared" si="292"/>
        <v>35.308106678805899</v>
      </c>
      <c r="AB1463" s="60">
        <f t="shared" si="290"/>
        <v>32228.1</v>
      </c>
      <c r="AC1463" s="737">
        <f t="shared" si="291"/>
        <v>35.308106678805899</v>
      </c>
      <c r="AD1463" s="737">
        <f t="shared" si="291"/>
        <v>23.044101158856993</v>
      </c>
      <c r="AE1463" s="390" t="str">
        <f t="shared" si="288"/>
        <v>Badan Pendapatan</v>
      </c>
    </row>
    <row r="1464" spans="1:31" s="63" customFormat="1" ht="51">
      <c r="A1464" s="385"/>
      <c r="B1464" s="4549"/>
      <c r="C1464" s="1898">
        <v>3</v>
      </c>
      <c r="D1464" s="1900" t="s">
        <v>107</v>
      </c>
      <c r="E1464" s="1905" t="s">
        <v>196</v>
      </c>
      <c r="F1464" s="1900" t="s">
        <v>65</v>
      </c>
      <c r="G1464" s="1900" t="s">
        <v>66</v>
      </c>
      <c r="H1464" s="1898">
        <v>12</v>
      </c>
      <c r="I1464" s="1906" t="s">
        <v>884</v>
      </c>
      <c r="J1464" s="732" t="s">
        <v>979</v>
      </c>
      <c r="K1464" s="384">
        <v>100</v>
      </c>
      <c r="L1464" s="738">
        <f>[12]Sheet1!$T$19/1000</f>
        <v>88070.025640000007</v>
      </c>
      <c r="M1464" s="59">
        <f t="shared" si="283"/>
        <v>15.229358572944774</v>
      </c>
      <c r="N1464" s="738">
        <v>13412.5</v>
      </c>
      <c r="O1464" s="59">
        <f t="shared" si="286"/>
        <v>18.371789814321666</v>
      </c>
      <c r="P1464" s="708">
        <f>16180040/1000</f>
        <v>16180.04</v>
      </c>
      <c r="Q1464" s="735">
        <f t="shared" si="284"/>
        <v>0</v>
      </c>
      <c r="R1464" s="739">
        <v>0</v>
      </c>
      <c r="S1464" s="59"/>
      <c r="T1464" s="384"/>
      <c r="U1464" s="59"/>
      <c r="V1464" s="384"/>
      <c r="W1464" s="59"/>
      <c r="X1464" s="384"/>
      <c r="Y1464" s="59">
        <f t="shared" si="289"/>
        <v>0</v>
      </c>
      <c r="Z1464" s="60">
        <f t="shared" si="287"/>
        <v>0</v>
      </c>
      <c r="AA1464" s="590">
        <f t="shared" si="292"/>
        <v>15.229358572944774</v>
      </c>
      <c r="AB1464" s="60">
        <f t="shared" si="290"/>
        <v>13412.5</v>
      </c>
      <c r="AC1464" s="737">
        <f t="shared" si="291"/>
        <v>15.229358572944774</v>
      </c>
      <c r="AD1464" s="737">
        <f t="shared" si="291"/>
        <v>15.229358572944774</v>
      </c>
      <c r="AE1464" s="390" t="str">
        <f t="shared" si="288"/>
        <v>Badan Pendapatan</v>
      </c>
    </row>
    <row r="1465" spans="1:31" s="63" customFormat="1" ht="51">
      <c r="A1465" s="385"/>
      <c r="B1465" s="4549"/>
      <c r="C1465" s="1898">
        <v>3</v>
      </c>
      <c r="D1465" s="1900" t="s">
        <v>107</v>
      </c>
      <c r="E1465" s="1905" t="s">
        <v>196</v>
      </c>
      <c r="F1465" s="1900" t="s">
        <v>65</v>
      </c>
      <c r="G1465" s="1900" t="s">
        <v>66</v>
      </c>
      <c r="H1465" s="1898">
        <v>15</v>
      </c>
      <c r="I1465" s="1906" t="s">
        <v>886</v>
      </c>
      <c r="J1465" s="732" t="s">
        <v>980</v>
      </c>
      <c r="K1465" s="384">
        <v>100</v>
      </c>
      <c r="L1465" s="738">
        <f>[12]Sheet1!$T$20/1000</f>
        <v>43400</v>
      </c>
      <c r="M1465" s="59">
        <f t="shared" si="283"/>
        <v>11.336405529953918</v>
      </c>
      <c r="N1465" s="738">
        <v>4920</v>
      </c>
      <c r="O1465" s="59">
        <f t="shared" si="286"/>
        <v>11.52073732718894</v>
      </c>
      <c r="P1465" s="708">
        <f>5000000/1000</f>
        <v>5000</v>
      </c>
      <c r="Q1465" s="735">
        <f t="shared" si="284"/>
        <v>9.6</v>
      </c>
      <c r="R1465" s="739">
        <v>480</v>
      </c>
      <c r="S1465" s="59"/>
      <c r="T1465" s="384"/>
      <c r="U1465" s="59"/>
      <c r="V1465" s="384"/>
      <c r="W1465" s="59"/>
      <c r="X1465" s="384"/>
      <c r="Y1465" s="59">
        <f t="shared" si="289"/>
        <v>9.6</v>
      </c>
      <c r="Z1465" s="60">
        <f t="shared" si="287"/>
        <v>480</v>
      </c>
      <c r="AA1465" s="590">
        <f t="shared" si="292"/>
        <v>20.936405529953916</v>
      </c>
      <c r="AB1465" s="60">
        <f t="shared" si="290"/>
        <v>5400</v>
      </c>
      <c r="AC1465" s="737">
        <f t="shared" si="291"/>
        <v>20.936405529953916</v>
      </c>
      <c r="AD1465" s="737">
        <f t="shared" si="291"/>
        <v>12.442396313364055</v>
      </c>
      <c r="AE1465" s="390" t="str">
        <f t="shared" si="288"/>
        <v>Badan Pendapatan</v>
      </c>
    </row>
    <row r="1466" spans="1:31" s="63" customFormat="1" ht="25.5">
      <c r="A1466" s="385"/>
      <c r="B1466" s="4549"/>
      <c r="C1466" s="1898">
        <v>3</v>
      </c>
      <c r="D1466" s="1900" t="s">
        <v>107</v>
      </c>
      <c r="E1466" s="1905" t="s">
        <v>196</v>
      </c>
      <c r="F1466" s="1900" t="s">
        <v>65</v>
      </c>
      <c r="G1466" s="1900" t="s">
        <v>66</v>
      </c>
      <c r="H1466" s="1898">
        <v>17</v>
      </c>
      <c r="I1466" s="1906" t="s">
        <v>223</v>
      </c>
      <c r="J1466" s="732" t="s">
        <v>981</v>
      </c>
      <c r="K1466" s="384">
        <v>100</v>
      </c>
      <c r="L1466" s="738">
        <f>[12]Sheet1!$T$21/1000</f>
        <v>332784.2</v>
      </c>
      <c r="M1466" s="59">
        <f t="shared" si="283"/>
        <v>17.319331867318219</v>
      </c>
      <c r="N1466" s="738">
        <v>57636</v>
      </c>
      <c r="O1466" s="59">
        <f t="shared" si="286"/>
        <v>13.242816215433303</v>
      </c>
      <c r="P1466" s="708">
        <f>44070000/1000</f>
        <v>44070</v>
      </c>
      <c r="Q1466" s="735">
        <f t="shared" si="284"/>
        <v>34.364420240526435</v>
      </c>
      <c r="R1466" s="739">
        <v>15144.4</v>
      </c>
      <c r="S1466" s="59"/>
      <c r="T1466" s="384"/>
      <c r="U1466" s="59"/>
      <c r="V1466" s="384"/>
      <c r="W1466" s="59"/>
      <c r="X1466" s="384"/>
      <c r="Y1466" s="59">
        <f t="shared" si="289"/>
        <v>34.364420240526435</v>
      </c>
      <c r="Z1466" s="60">
        <f t="shared" si="287"/>
        <v>15144.4</v>
      </c>
      <c r="AA1466" s="590">
        <f t="shared" si="292"/>
        <v>51.683752107844654</v>
      </c>
      <c r="AB1466" s="60">
        <f t="shared" si="290"/>
        <v>72780.399999999994</v>
      </c>
      <c r="AC1466" s="737">
        <f t="shared" si="291"/>
        <v>51.683752107844647</v>
      </c>
      <c r="AD1466" s="737">
        <f t="shared" si="291"/>
        <v>21.870148883270296</v>
      </c>
      <c r="AE1466" s="390" t="str">
        <f t="shared" si="288"/>
        <v>Badan Pendapatan</v>
      </c>
    </row>
    <row r="1467" spans="1:31" s="63" customFormat="1" ht="80.25" customHeight="1">
      <c r="A1467" s="385"/>
      <c r="B1467" s="4549"/>
      <c r="C1467" s="1898">
        <v>3</v>
      </c>
      <c r="D1467" s="1900" t="s">
        <v>107</v>
      </c>
      <c r="E1467" s="1905" t="s">
        <v>196</v>
      </c>
      <c r="F1467" s="1900" t="s">
        <v>65</v>
      </c>
      <c r="G1467" s="1900" t="s">
        <v>66</v>
      </c>
      <c r="H1467" s="1898">
        <v>18</v>
      </c>
      <c r="I1467" s="1906" t="s">
        <v>973</v>
      </c>
      <c r="J1467" s="732" t="s">
        <v>982</v>
      </c>
      <c r="K1467" s="384">
        <v>100</v>
      </c>
      <c r="L1467" s="738">
        <f>[12]Sheet1!$T$22/1000</f>
        <v>812554.92500000005</v>
      </c>
      <c r="M1467" s="59">
        <f t="shared" si="283"/>
        <v>27.159030634144514</v>
      </c>
      <c r="N1467" s="738">
        <v>220682.041</v>
      </c>
      <c r="O1467" s="59">
        <f t="shared" si="286"/>
        <v>12.672066445231378</v>
      </c>
      <c r="P1467" s="708">
        <f>102967500/1000</f>
        <v>102967.5</v>
      </c>
      <c r="Q1467" s="735">
        <f t="shared" si="284"/>
        <v>55.174691043290359</v>
      </c>
      <c r="R1467" s="739">
        <v>56812</v>
      </c>
      <c r="S1467" s="59"/>
      <c r="T1467" s="384"/>
      <c r="U1467" s="59"/>
      <c r="V1467" s="384"/>
      <c r="W1467" s="59"/>
      <c r="X1467" s="384"/>
      <c r="Y1467" s="59">
        <f t="shared" si="289"/>
        <v>55.174691043290359</v>
      </c>
      <c r="Z1467" s="60">
        <f t="shared" si="287"/>
        <v>56812</v>
      </c>
      <c r="AA1467" s="590">
        <f t="shared" si="292"/>
        <v>82.33372167743488</v>
      </c>
      <c r="AB1467" s="60">
        <f t="shared" si="290"/>
        <v>277494.04099999997</v>
      </c>
      <c r="AC1467" s="737">
        <f t="shared" si="291"/>
        <v>82.33372167743488</v>
      </c>
      <c r="AD1467" s="737">
        <f t="shared" si="291"/>
        <v>34.150804144101393</v>
      </c>
      <c r="AE1467" s="390" t="str">
        <f t="shared" si="288"/>
        <v>Badan Pendapatan</v>
      </c>
    </row>
    <row r="1468" spans="1:31" s="63" customFormat="1" ht="63.75">
      <c r="A1468" s="385"/>
      <c r="B1468" s="4549"/>
      <c r="C1468" s="1898">
        <v>3</v>
      </c>
      <c r="D1468" s="1900" t="s">
        <v>107</v>
      </c>
      <c r="E1468" s="1905" t="s">
        <v>196</v>
      </c>
      <c r="F1468" s="1900" t="s">
        <v>65</v>
      </c>
      <c r="G1468" s="1900" t="s">
        <v>66</v>
      </c>
      <c r="H1468" s="1898">
        <v>20</v>
      </c>
      <c r="I1468" s="1906" t="s">
        <v>630</v>
      </c>
      <c r="J1468" s="732" t="s">
        <v>983</v>
      </c>
      <c r="K1468" s="384">
        <v>100</v>
      </c>
      <c r="L1468" s="738">
        <f>[12]Sheet1!$T$23/1000</f>
        <v>470861.3</v>
      </c>
      <c r="M1468" s="59">
        <f t="shared" si="283"/>
        <v>23.960665274466177</v>
      </c>
      <c r="N1468" s="738">
        <v>112821.5</v>
      </c>
      <c r="O1468" s="59">
        <f t="shared" si="286"/>
        <v>12.366699068281891</v>
      </c>
      <c r="P1468" s="708">
        <f>58230000/1000</f>
        <v>58230</v>
      </c>
      <c r="Q1468" s="735">
        <f t="shared" si="284"/>
        <v>58.002747724540612</v>
      </c>
      <c r="R1468" s="739">
        <v>33775</v>
      </c>
      <c r="S1468" s="59"/>
      <c r="T1468" s="384"/>
      <c r="U1468" s="59"/>
      <c r="V1468" s="384"/>
      <c r="W1468" s="59"/>
      <c r="X1468" s="384"/>
      <c r="Y1468" s="59">
        <f t="shared" si="289"/>
        <v>58.002747724540612</v>
      </c>
      <c r="Z1468" s="60">
        <f t="shared" si="287"/>
        <v>33775</v>
      </c>
      <c r="AA1468" s="590">
        <f t="shared" si="292"/>
        <v>81.963412999006792</v>
      </c>
      <c r="AB1468" s="60">
        <f t="shared" si="290"/>
        <v>146596.5</v>
      </c>
      <c r="AC1468" s="737">
        <f t="shared" si="291"/>
        <v>81.963412999006792</v>
      </c>
      <c r="AD1468" s="737">
        <f t="shared" si="291"/>
        <v>31.133690536894836</v>
      </c>
      <c r="AE1468" s="390" t="str">
        <f t="shared" si="288"/>
        <v>Badan Pendapatan</v>
      </c>
    </row>
    <row r="1469" spans="1:31" s="63" customFormat="1" ht="89.25">
      <c r="A1469" s="385"/>
      <c r="B1469" s="4550"/>
      <c r="C1469" s="1898">
        <v>3</v>
      </c>
      <c r="D1469" s="1900" t="s">
        <v>107</v>
      </c>
      <c r="E1469" s="1905" t="s">
        <v>196</v>
      </c>
      <c r="F1469" s="1900" t="s">
        <v>65</v>
      </c>
      <c r="G1469" s="1900" t="s">
        <v>66</v>
      </c>
      <c r="H1469" s="1898">
        <v>22</v>
      </c>
      <c r="I1469" s="1906" t="s">
        <v>974</v>
      </c>
      <c r="J1469" s="732" t="s">
        <v>984</v>
      </c>
      <c r="K1469" s="384">
        <v>100</v>
      </c>
      <c r="L1469" s="738">
        <f>[12]Sheet1!$T$24/1000</f>
        <v>169465.77146000002</v>
      </c>
      <c r="M1469" s="59">
        <f t="shared" si="283"/>
        <v>27.087003826513012</v>
      </c>
      <c r="N1469" s="738">
        <v>45903.199999999997</v>
      </c>
      <c r="O1469" s="59">
        <f t="shared" si="286"/>
        <v>14.544919477039034</v>
      </c>
      <c r="P1469" s="708">
        <f>24648660/1000</f>
        <v>24648.66</v>
      </c>
      <c r="Q1469" s="735">
        <f t="shared" si="284"/>
        <v>0</v>
      </c>
      <c r="R1469" s="739">
        <v>0</v>
      </c>
      <c r="S1469" s="59"/>
      <c r="T1469" s="384"/>
      <c r="U1469" s="59"/>
      <c r="V1469" s="384"/>
      <c r="W1469" s="59"/>
      <c r="X1469" s="384"/>
      <c r="Y1469" s="59">
        <f t="shared" si="289"/>
        <v>0</v>
      </c>
      <c r="Z1469" s="60">
        <f t="shared" si="287"/>
        <v>0</v>
      </c>
      <c r="AA1469" s="590">
        <f t="shared" si="292"/>
        <v>27.087003826513012</v>
      </c>
      <c r="AB1469" s="60">
        <f t="shared" si="290"/>
        <v>45903.199999999997</v>
      </c>
      <c r="AC1469" s="737">
        <f t="shared" si="291"/>
        <v>27.087003826513012</v>
      </c>
      <c r="AD1469" s="737">
        <f t="shared" si="291"/>
        <v>27.087003826513012</v>
      </c>
      <c r="AE1469" s="390" t="str">
        <f t="shared" si="288"/>
        <v>Badan Pendapatan</v>
      </c>
    </row>
    <row r="1470" spans="1:31" s="63" customFormat="1" ht="63.75">
      <c r="A1470" s="385">
        <v>2</v>
      </c>
      <c r="B1470" s="1887"/>
      <c r="C1470" s="1898">
        <v>3</v>
      </c>
      <c r="D1470" s="1900" t="s">
        <v>107</v>
      </c>
      <c r="E1470" s="1905" t="s">
        <v>196</v>
      </c>
      <c r="F1470" s="1900" t="s">
        <v>65</v>
      </c>
      <c r="G1470" s="1900" t="s">
        <v>65</v>
      </c>
      <c r="H1470" s="1898"/>
      <c r="I1470" s="383" t="s">
        <v>257</v>
      </c>
      <c r="J1470" s="741" t="s">
        <v>916</v>
      </c>
      <c r="K1470" s="745">
        <v>100</v>
      </c>
      <c r="L1470" s="738">
        <f>SUM(L1471:L1485)</f>
        <v>6306419.6050000004</v>
      </c>
      <c r="M1470" s="742">
        <f t="shared" si="283"/>
        <v>12.914927978377042</v>
      </c>
      <c r="N1470" s="750">
        <f>SUM(N1471:N1485)</f>
        <v>814469.55</v>
      </c>
      <c r="O1470" s="742">
        <f t="shared" si="286"/>
        <v>6.0252096086143636</v>
      </c>
      <c r="P1470" s="713">
        <f>SUM(P1471:P1485)</f>
        <v>379975</v>
      </c>
      <c r="Q1470" s="742">
        <f>R1470/P1470*100</f>
        <v>12.959627607079414</v>
      </c>
      <c r="R1470" s="748">
        <f>SUM(R1471:R1485)</f>
        <v>49243.345000000001</v>
      </c>
      <c r="S1470" s="742"/>
      <c r="T1470" s="385">
        <v>0</v>
      </c>
      <c r="U1470" s="742"/>
      <c r="V1470" s="385">
        <v>0</v>
      </c>
      <c r="W1470" s="742"/>
      <c r="X1470" s="385">
        <v>0</v>
      </c>
      <c r="Y1470" s="742">
        <f>SUM(Y1471:Y1485)/15</f>
        <v>7.3278202313682188</v>
      </c>
      <c r="Z1470" s="387">
        <f>SUM(Z1471:Z1485)</f>
        <v>49243.345000000001</v>
      </c>
      <c r="AA1470" s="742">
        <f>SUM(AA1471:AA1485)/15</f>
        <v>22.263182185007143</v>
      </c>
      <c r="AB1470" s="386">
        <f>SUM(AB1471:AB1485)</f>
        <v>863712.89500000002</v>
      </c>
      <c r="AC1470" s="389">
        <f>SUM(AC1471:AC1485)</f>
        <v>333.94773277510711</v>
      </c>
      <c r="AD1470" s="389">
        <f>SUM(AD1471:AD1485)</f>
        <v>241.37013043890047</v>
      </c>
      <c r="AE1470" s="390" t="s">
        <v>913</v>
      </c>
    </row>
    <row r="1471" spans="1:31" s="63" customFormat="1" ht="56.25" customHeight="1">
      <c r="A1471" s="385"/>
      <c r="B1471" s="385"/>
      <c r="C1471" s="1898"/>
      <c r="D1471" s="1898"/>
      <c r="E1471" s="1904"/>
      <c r="F1471" s="1898"/>
      <c r="G1471" s="1898"/>
      <c r="H1471" s="1898"/>
      <c r="I1471" s="384" t="s">
        <v>917</v>
      </c>
      <c r="J1471" s="741" t="s">
        <v>918</v>
      </c>
      <c r="K1471" s="384">
        <v>100</v>
      </c>
      <c r="L1471" s="738">
        <v>40000</v>
      </c>
      <c r="M1471" s="742">
        <f t="shared" si="283"/>
        <v>0</v>
      </c>
      <c r="N1471" s="738">
        <v>0</v>
      </c>
      <c r="O1471" s="742">
        <f t="shared" si="286"/>
        <v>0</v>
      </c>
      <c r="P1471" s="708">
        <v>0</v>
      </c>
      <c r="Q1471" s="384">
        <v>1</v>
      </c>
      <c r="R1471" s="739">
        <v>0</v>
      </c>
      <c r="S1471" s="384"/>
      <c r="T1471" s="384"/>
      <c r="U1471" s="384"/>
      <c r="V1471" s="384"/>
      <c r="W1471" s="384"/>
      <c r="X1471" s="384"/>
      <c r="Y1471" s="384"/>
      <c r="Z1471" s="60">
        <f t="shared" ref="Z1471:Z1478" si="293">R1471+T1471+V1471+X1471</f>
        <v>0</v>
      </c>
      <c r="AA1471" s="384">
        <f t="shared" ref="AA1471:AB1485" si="294">M1471+Y1471</f>
        <v>0</v>
      </c>
      <c r="AB1471" s="60">
        <f t="shared" si="294"/>
        <v>0</v>
      </c>
      <c r="AC1471" s="389">
        <f t="shared" ref="AC1471:AD1486" si="295">(AA1471/K1471)*100</f>
        <v>0</v>
      </c>
      <c r="AD1471" s="737">
        <f t="shared" si="295"/>
        <v>0</v>
      </c>
      <c r="AE1471" s="390" t="str">
        <f>AE1467</f>
        <v>Badan Pendapatan</v>
      </c>
    </row>
    <row r="1472" spans="1:31" s="63" customFormat="1" ht="38.25">
      <c r="A1472" s="385"/>
      <c r="B1472" s="385"/>
      <c r="C1472" s="1898"/>
      <c r="D1472" s="1898"/>
      <c r="E1472" s="1904"/>
      <c r="F1472" s="1898"/>
      <c r="G1472" s="1898"/>
      <c r="H1472" s="1898"/>
      <c r="I1472" s="384" t="s">
        <v>919</v>
      </c>
      <c r="J1472" s="741" t="s">
        <v>920</v>
      </c>
      <c r="K1472" s="384">
        <v>100</v>
      </c>
      <c r="L1472" s="738">
        <v>50000</v>
      </c>
      <c r="M1472" s="742">
        <f t="shared" si="283"/>
        <v>0</v>
      </c>
      <c r="N1472" s="738">
        <v>0</v>
      </c>
      <c r="O1472" s="742">
        <f t="shared" si="286"/>
        <v>0</v>
      </c>
      <c r="P1472" s="708">
        <v>0</v>
      </c>
      <c r="Q1472" s="384">
        <v>1</v>
      </c>
      <c r="R1472" s="739">
        <v>0</v>
      </c>
      <c r="S1472" s="384"/>
      <c r="T1472" s="384"/>
      <c r="U1472" s="384"/>
      <c r="V1472" s="384"/>
      <c r="W1472" s="384"/>
      <c r="X1472" s="384"/>
      <c r="Y1472" s="384"/>
      <c r="Z1472" s="60">
        <f t="shared" si="293"/>
        <v>0</v>
      </c>
      <c r="AA1472" s="384">
        <f t="shared" si="294"/>
        <v>0</v>
      </c>
      <c r="AB1472" s="60">
        <f t="shared" si="294"/>
        <v>0</v>
      </c>
      <c r="AC1472" s="389">
        <f t="shared" si="295"/>
        <v>0</v>
      </c>
      <c r="AD1472" s="737">
        <f t="shared" si="295"/>
        <v>0</v>
      </c>
      <c r="AE1472" s="390" t="str">
        <f>AE1467</f>
        <v>Badan Pendapatan</v>
      </c>
    </row>
    <row r="1473" spans="1:31" s="63" customFormat="1" ht="51">
      <c r="A1473" s="385"/>
      <c r="B1473" s="385"/>
      <c r="C1473" s="1898"/>
      <c r="D1473" s="1898"/>
      <c r="E1473" s="1904"/>
      <c r="F1473" s="1898"/>
      <c r="G1473" s="1898"/>
      <c r="H1473" s="1898"/>
      <c r="I1473" s="384" t="s">
        <v>921</v>
      </c>
      <c r="J1473" s="384" t="s">
        <v>922</v>
      </c>
      <c r="K1473" s="384">
        <v>100</v>
      </c>
      <c r="L1473" s="738">
        <v>100000</v>
      </c>
      <c r="M1473" s="742">
        <f t="shared" si="283"/>
        <v>0</v>
      </c>
      <c r="N1473" s="738">
        <v>0</v>
      </c>
      <c r="O1473" s="742">
        <f t="shared" si="286"/>
        <v>0</v>
      </c>
      <c r="P1473" s="708">
        <v>0</v>
      </c>
      <c r="Q1473" s="384">
        <v>1</v>
      </c>
      <c r="R1473" s="739">
        <v>0</v>
      </c>
      <c r="S1473" s="384"/>
      <c r="T1473" s="384"/>
      <c r="U1473" s="384"/>
      <c r="V1473" s="384"/>
      <c r="W1473" s="384"/>
      <c r="X1473" s="384"/>
      <c r="Y1473" s="384"/>
      <c r="Z1473" s="60">
        <f t="shared" si="293"/>
        <v>0</v>
      </c>
      <c r="AA1473" s="384">
        <f t="shared" si="294"/>
        <v>0</v>
      </c>
      <c r="AB1473" s="60">
        <f t="shared" si="294"/>
        <v>0</v>
      </c>
      <c r="AC1473" s="389">
        <f t="shared" si="295"/>
        <v>0</v>
      </c>
      <c r="AD1473" s="737">
        <f t="shared" si="295"/>
        <v>0</v>
      </c>
      <c r="AE1473" s="390" t="str">
        <f>AE1468</f>
        <v>Badan Pendapatan</v>
      </c>
    </row>
    <row r="1474" spans="1:31" s="63" customFormat="1" ht="63.75">
      <c r="A1474" s="385"/>
      <c r="B1474" s="385"/>
      <c r="C1474" s="1898"/>
      <c r="D1474" s="1898"/>
      <c r="E1474" s="1904"/>
      <c r="F1474" s="1898"/>
      <c r="G1474" s="1898"/>
      <c r="H1474" s="1898"/>
      <c r="I1474" s="384" t="s">
        <v>923</v>
      </c>
      <c r="J1474" s="384" t="s">
        <v>924</v>
      </c>
      <c r="K1474" s="384">
        <v>100</v>
      </c>
      <c r="L1474" s="738">
        <v>20000</v>
      </c>
      <c r="M1474" s="742">
        <f t="shared" si="283"/>
        <v>0</v>
      </c>
      <c r="N1474" s="738">
        <v>0</v>
      </c>
      <c r="O1474" s="742">
        <f t="shared" si="286"/>
        <v>0</v>
      </c>
      <c r="P1474" s="708">
        <v>0</v>
      </c>
      <c r="Q1474" s="384">
        <v>1</v>
      </c>
      <c r="R1474" s="739">
        <v>0</v>
      </c>
      <c r="S1474" s="384"/>
      <c r="T1474" s="384"/>
      <c r="U1474" s="384"/>
      <c r="V1474" s="384"/>
      <c r="W1474" s="384"/>
      <c r="X1474" s="384"/>
      <c r="Y1474" s="384"/>
      <c r="Z1474" s="60">
        <f t="shared" si="293"/>
        <v>0</v>
      </c>
      <c r="AA1474" s="384">
        <f t="shared" si="294"/>
        <v>0</v>
      </c>
      <c r="AB1474" s="60">
        <f t="shared" si="294"/>
        <v>0</v>
      </c>
      <c r="AC1474" s="389">
        <f t="shared" si="295"/>
        <v>0</v>
      </c>
      <c r="AD1474" s="737">
        <f t="shared" si="295"/>
        <v>0</v>
      </c>
      <c r="AE1474" s="390" t="str">
        <f>AE1469</f>
        <v>Badan Pendapatan</v>
      </c>
    </row>
    <row r="1475" spans="1:31" s="63" customFormat="1" ht="38.25">
      <c r="A1475" s="385"/>
      <c r="B1475" s="385"/>
      <c r="C1475" s="1898"/>
      <c r="D1475" s="1898"/>
      <c r="E1475" s="1904"/>
      <c r="F1475" s="1898"/>
      <c r="G1475" s="1898"/>
      <c r="H1475" s="1898"/>
      <c r="I1475" s="384" t="s">
        <v>925</v>
      </c>
      <c r="J1475" s="741" t="s">
        <v>926</v>
      </c>
      <c r="K1475" s="384">
        <v>100</v>
      </c>
      <c r="L1475" s="738">
        <v>250000</v>
      </c>
      <c r="M1475" s="742">
        <f t="shared" si="283"/>
        <v>0</v>
      </c>
      <c r="N1475" s="738">
        <v>0</v>
      </c>
      <c r="O1475" s="742">
        <f t="shared" si="286"/>
        <v>0</v>
      </c>
      <c r="P1475" s="708">
        <v>0</v>
      </c>
      <c r="Q1475" s="384">
        <v>1</v>
      </c>
      <c r="R1475" s="739">
        <v>0</v>
      </c>
      <c r="S1475" s="384"/>
      <c r="T1475" s="384"/>
      <c r="U1475" s="384"/>
      <c r="V1475" s="384"/>
      <c r="W1475" s="384"/>
      <c r="X1475" s="384"/>
      <c r="Y1475" s="384"/>
      <c r="Z1475" s="60">
        <f t="shared" si="293"/>
        <v>0</v>
      </c>
      <c r="AA1475" s="384">
        <f t="shared" si="294"/>
        <v>0</v>
      </c>
      <c r="AB1475" s="60">
        <f t="shared" si="294"/>
        <v>0</v>
      </c>
      <c r="AC1475" s="389">
        <f t="shared" si="295"/>
        <v>0</v>
      </c>
      <c r="AD1475" s="737">
        <f t="shared" si="295"/>
        <v>0</v>
      </c>
      <c r="AE1475" s="390" t="e">
        <f>#REF!</f>
        <v>#REF!</v>
      </c>
    </row>
    <row r="1476" spans="1:31" s="63" customFormat="1" ht="51">
      <c r="A1476" s="385"/>
      <c r="B1476" s="385"/>
      <c r="C1476" s="1898"/>
      <c r="D1476" s="1898"/>
      <c r="E1476" s="1904"/>
      <c r="F1476" s="1898"/>
      <c r="G1476" s="1898"/>
      <c r="H1476" s="1898"/>
      <c r="I1476" s="384" t="s">
        <v>927</v>
      </c>
      <c r="J1476" s="384" t="s">
        <v>928</v>
      </c>
      <c r="K1476" s="384">
        <v>100</v>
      </c>
      <c r="L1476" s="738">
        <v>50000</v>
      </c>
      <c r="M1476" s="742">
        <f t="shared" si="283"/>
        <v>0</v>
      </c>
      <c r="N1476" s="738">
        <v>0</v>
      </c>
      <c r="O1476" s="742">
        <f t="shared" si="286"/>
        <v>0</v>
      </c>
      <c r="P1476" s="708">
        <v>0</v>
      </c>
      <c r="Q1476" s="384">
        <v>1</v>
      </c>
      <c r="R1476" s="739">
        <v>0</v>
      </c>
      <c r="S1476" s="384"/>
      <c r="T1476" s="384"/>
      <c r="U1476" s="384"/>
      <c r="V1476" s="384"/>
      <c r="W1476" s="384"/>
      <c r="X1476" s="384"/>
      <c r="Y1476" s="384"/>
      <c r="Z1476" s="60">
        <f t="shared" si="293"/>
        <v>0</v>
      </c>
      <c r="AA1476" s="384">
        <f t="shared" si="294"/>
        <v>0</v>
      </c>
      <c r="AB1476" s="60">
        <f t="shared" si="294"/>
        <v>0</v>
      </c>
      <c r="AC1476" s="389">
        <f t="shared" si="295"/>
        <v>0</v>
      </c>
      <c r="AD1476" s="737">
        <f t="shared" si="295"/>
        <v>0</v>
      </c>
      <c r="AE1476" s="390" t="e">
        <f>AE1475</f>
        <v>#REF!</v>
      </c>
    </row>
    <row r="1477" spans="1:31" s="63" customFormat="1" ht="25.5">
      <c r="A1477" s="385"/>
      <c r="B1477" s="385"/>
      <c r="C1477" s="1898"/>
      <c r="D1477" s="1898"/>
      <c r="E1477" s="1904"/>
      <c r="F1477" s="1898"/>
      <c r="G1477" s="1898"/>
      <c r="H1477" s="1898"/>
      <c r="I1477" s="384" t="s">
        <v>929</v>
      </c>
      <c r="J1477" s="741" t="s">
        <v>930</v>
      </c>
      <c r="K1477" s="384">
        <v>100</v>
      </c>
      <c r="L1477" s="738">
        <v>30000</v>
      </c>
      <c r="M1477" s="742">
        <f t="shared" si="283"/>
        <v>0</v>
      </c>
      <c r="N1477" s="738">
        <v>0</v>
      </c>
      <c r="O1477" s="742">
        <f t="shared" si="286"/>
        <v>0</v>
      </c>
      <c r="P1477" s="708">
        <v>0</v>
      </c>
      <c r="Q1477" s="384">
        <v>1</v>
      </c>
      <c r="R1477" s="739">
        <v>0</v>
      </c>
      <c r="S1477" s="384"/>
      <c r="T1477" s="384"/>
      <c r="U1477" s="384"/>
      <c r="V1477" s="384"/>
      <c r="W1477" s="384"/>
      <c r="X1477" s="384"/>
      <c r="Y1477" s="384"/>
      <c r="Z1477" s="60">
        <f t="shared" si="293"/>
        <v>0</v>
      </c>
      <c r="AA1477" s="384">
        <f t="shared" si="294"/>
        <v>0</v>
      </c>
      <c r="AB1477" s="60">
        <f t="shared" si="294"/>
        <v>0</v>
      </c>
      <c r="AC1477" s="389">
        <f t="shared" si="295"/>
        <v>0</v>
      </c>
      <c r="AD1477" s="737">
        <f t="shared" si="295"/>
        <v>0</v>
      </c>
      <c r="AE1477" s="390" t="e">
        <f>AE1476</f>
        <v>#REF!</v>
      </c>
    </row>
    <row r="1478" spans="1:31" s="63" customFormat="1" ht="25.5">
      <c r="A1478" s="385"/>
      <c r="B1478" s="385"/>
      <c r="C1478" s="1898"/>
      <c r="D1478" s="1898"/>
      <c r="E1478" s="1904"/>
      <c r="F1478" s="1898"/>
      <c r="G1478" s="1898"/>
      <c r="H1478" s="1898"/>
      <c r="I1478" s="384" t="s">
        <v>931</v>
      </c>
      <c r="J1478" s="384" t="s">
        <v>932</v>
      </c>
      <c r="K1478" s="384">
        <v>100</v>
      </c>
      <c r="L1478" s="738">
        <v>3000000</v>
      </c>
      <c r="M1478" s="742">
        <f t="shared" si="283"/>
        <v>0</v>
      </c>
      <c r="N1478" s="738">
        <v>0</v>
      </c>
      <c r="O1478" s="742">
        <f t="shared" si="286"/>
        <v>0</v>
      </c>
      <c r="P1478" s="708">
        <v>0</v>
      </c>
      <c r="Q1478" s="384">
        <v>1</v>
      </c>
      <c r="R1478" s="739">
        <v>0</v>
      </c>
      <c r="S1478" s="384"/>
      <c r="T1478" s="384"/>
      <c r="U1478" s="384"/>
      <c r="V1478" s="384"/>
      <c r="W1478" s="384"/>
      <c r="X1478" s="384"/>
      <c r="Y1478" s="384"/>
      <c r="Z1478" s="60">
        <f t="shared" si="293"/>
        <v>0</v>
      </c>
      <c r="AA1478" s="384">
        <f t="shared" si="294"/>
        <v>0</v>
      </c>
      <c r="AB1478" s="60">
        <f t="shared" si="294"/>
        <v>0</v>
      </c>
      <c r="AC1478" s="389">
        <f t="shared" si="295"/>
        <v>0</v>
      </c>
      <c r="AD1478" s="737">
        <f t="shared" si="295"/>
        <v>0</v>
      </c>
      <c r="AE1478" s="390" t="e">
        <f>AE1477</f>
        <v>#REF!</v>
      </c>
    </row>
    <row r="1479" spans="1:31" s="63" customFormat="1" ht="25.5">
      <c r="A1479" s="385"/>
      <c r="C1479" s="1898"/>
      <c r="D1479" s="1898"/>
      <c r="E1479" s="1904"/>
      <c r="F1479" s="1898"/>
      <c r="G1479" s="1898"/>
      <c r="H1479" s="1898"/>
      <c r="I1479" s="384" t="s">
        <v>933</v>
      </c>
      <c r="J1479" s="384" t="s">
        <v>934</v>
      </c>
      <c r="K1479" s="384">
        <v>100</v>
      </c>
      <c r="L1479" s="738">
        <v>200000</v>
      </c>
      <c r="M1479" s="742">
        <f t="shared" si="283"/>
        <v>0</v>
      </c>
      <c r="N1479" s="738">
        <v>0</v>
      </c>
      <c r="O1479" s="742">
        <f t="shared" si="286"/>
        <v>0</v>
      </c>
      <c r="P1479" s="708">
        <v>0</v>
      </c>
      <c r="Q1479" s="384"/>
      <c r="R1479" s="739">
        <v>0</v>
      </c>
      <c r="S1479" s="384"/>
      <c r="T1479" s="384"/>
      <c r="U1479" s="384"/>
      <c r="V1479" s="384"/>
      <c r="W1479" s="384"/>
      <c r="X1479" s="384"/>
      <c r="Y1479" s="384"/>
      <c r="Z1479" s="60"/>
      <c r="AA1479" s="384">
        <f t="shared" si="294"/>
        <v>0</v>
      </c>
      <c r="AB1479" s="60">
        <f t="shared" si="294"/>
        <v>0</v>
      </c>
      <c r="AC1479" s="389">
        <f t="shared" si="295"/>
        <v>0</v>
      </c>
      <c r="AD1479" s="737">
        <f t="shared" si="295"/>
        <v>0</v>
      </c>
      <c r="AE1479" s="390" t="e">
        <f t="shared" ref="AE1479:AE1484" si="296">AE1478</f>
        <v>#REF!</v>
      </c>
    </row>
    <row r="1480" spans="1:31" s="63" customFormat="1" ht="51.75" customHeight="1">
      <c r="A1480" s="385"/>
      <c r="B1480" s="385"/>
      <c r="C1480" s="1898">
        <v>3</v>
      </c>
      <c r="D1480" s="1900" t="s">
        <v>107</v>
      </c>
      <c r="E1480" s="1905" t="s">
        <v>196</v>
      </c>
      <c r="F1480" s="1900" t="s">
        <v>65</v>
      </c>
      <c r="G1480" s="1900" t="s">
        <v>65</v>
      </c>
      <c r="H1480" s="1900" t="s">
        <v>198</v>
      </c>
      <c r="I1480" s="384" t="s">
        <v>935</v>
      </c>
      <c r="J1480" s="384" t="s">
        <v>936</v>
      </c>
      <c r="K1480" s="384">
        <v>100</v>
      </c>
      <c r="L1480" s="738">
        <f>[12]Sheet1!$T$35/1000</f>
        <v>66492.100000000006</v>
      </c>
      <c r="M1480" s="742">
        <f t="shared" si="283"/>
        <v>90.994644476561874</v>
      </c>
      <c r="N1480" s="738">
        <f>60504250/1000</f>
        <v>60504.25</v>
      </c>
      <c r="O1480" s="742">
        <f t="shared" si="286"/>
        <v>0</v>
      </c>
      <c r="P1480" s="708"/>
      <c r="Q1480" s="384"/>
      <c r="R1480" s="739">
        <v>0</v>
      </c>
      <c r="S1480" s="384"/>
      <c r="T1480" s="384"/>
      <c r="U1480" s="384"/>
      <c r="V1480" s="384"/>
      <c r="W1480" s="384"/>
      <c r="X1480" s="384"/>
      <c r="Y1480" s="384"/>
      <c r="Z1480" s="60"/>
      <c r="AA1480" s="384">
        <f t="shared" si="294"/>
        <v>90.994644476561874</v>
      </c>
      <c r="AB1480" s="60">
        <f t="shared" si="294"/>
        <v>60504.25</v>
      </c>
      <c r="AC1480" s="389">
        <f t="shared" si="295"/>
        <v>90.994644476561874</v>
      </c>
      <c r="AD1480" s="737">
        <f t="shared" si="295"/>
        <v>90.994644476561874</v>
      </c>
      <c r="AE1480" s="390" t="e">
        <f t="shared" si="296"/>
        <v>#REF!</v>
      </c>
    </row>
    <row r="1481" spans="1:31" s="63" customFormat="1" ht="38.25">
      <c r="A1481" s="385"/>
      <c r="B1481" s="385"/>
      <c r="C1481" s="1898">
        <v>3</v>
      </c>
      <c r="D1481" s="1900" t="s">
        <v>107</v>
      </c>
      <c r="E1481" s="1905" t="s">
        <v>196</v>
      </c>
      <c r="F1481" s="1900" t="s">
        <v>65</v>
      </c>
      <c r="G1481" s="1900" t="s">
        <v>65</v>
      </c>
      <c r="H1481" s="1900" t="s">
        <v>201</v>
      </c>
      <c r="I1481" s="384" t="s">
        <v>454</v>
      </c>
      <c r="J1481" s="384" t="s">
        <v>937</v>
      </c>
      <c r="K1481" s="384">
        <v>100</v>
      </c>
      <c r="L1481" s="738">
        <f>[12]Sheet1!$T$36/1000</f>
        <v>1273397.2549999999</v>
      </c>
      <c r="M1481" s="742">
        <f t="shared" si="283"/>
        <v>29.093984500539861</v>
      </c>
      <c r="N1481" s="738">
        <f>370482000/1000</f>
        <v>370482</v>
      </c>
      <c r="O1481" s="742">
        <f t="shared" si="286"/>
        <v>15.706017836515599</v>
      </c>
      <c r="P1481" s="708">
        <f>200000000/1000</f>
        <v>200000</v>
      </c>
      <c r="Q1481" s="384">
        <f>R1481/P1481*100</f>
        <v>0.6</v>
      </c>
      <c r="R1481" s="739">
        <f>1200000/1000</f>
        <v>1200</v>
      </c>
      <c r="S1481" s="384"/>
      <c r="T1481" s="384"/>
      <c r="U1481" s="384"/>
      <c r="V1481" s="384"/>
      <c r="W1481" s="384"/>
      <c r="X1481" s="384"/>
      <c r="Y1481" s="384">
        <f>Z1481/P1481*100</f>
        <v>0.6</v>
      </c>
      <c r="Z1481" s="60">
        <f>SUM(R1481,T1481,V1481,X1481)</f>
        <v>1200</v>
      </c>
      <c r="AA1481" s="384">
        <f t="shared" si="294"/>
        <v>29.693984500539862</v>
      </c>
      <c r="AB1481" s="60">
        <f t="shared" si="294"/>
        <v>371682</v>
      </c>
      <c r="AC1481" s="389">
        <f t="shared" si="295"/>
        <v>29.693984500539862</v>
      </c>
      <c r="AD1481" s="737">
        <f t="shared" si="295"/>
        <v>29.18822060755895</v>
      </c>
      <c r="AE1481" s="390" t="e">
        <f t="shared" si="296"/>
        <v>#REF!</v>
      </c>
    </row>
    <row r="1482" spans="1:31" s="63" customFormat="1" ht="25.5">
      <c r="A1482" s="385"/>
      <c r="C1482" s="1898">
        <v>3</v>
      </c>
      <c r="D1482" s="1900" t="s">
        <v>107</v>
      </c>
      <c r="E1482" s="1905" t="s">
        <v>196</v>
      </c>
      <c r="F1482" s="1900" t="s">
        <v>65</v>
      </c>
      <c r="G1482" s="1900" t="s">
        <v>65</v>
      </c>
      <c r="H1482" s="1898">
        <v>10</v>
      </c>
      <c r="I1482" s="743" t="s">
        <v>938</v>
      </c>
      <c r="J1482" s="743" t="s">
        <v>939</v>
      </c>
      <c r="K1482" s="384">
        <v>100</v>
      </c>
      <c r="L1482" s="738">
        <f>[12]Sheet1!$T$38/1000</f>
        <v>243767</v>
      </c>
      <c r="M1482" s="742">
        <f t="shared" si="283"/>
        <v>31.907518244881384</v>
      </c>
      <c r="N1482" s="738">
        <f>77780000/1000</f>
        <v>77780</v>
      </c>
      <c r="O1482" s="742">
        <f t="shared" si="286"/>
        <v>0</v>
      </c>
      <c r="P1482" s="708">
        <v>0</v>
      </c>
      <c r="Q1482" s="384"/>
      <c r="R1482" s="739">
        <v>0</v>
      </c>
      <c r="S1482" s="384"/>
      <c r="T1482" s="384"/>
      <c r="U1482" s="384"/>
      <c r="V1482" s="384"/>
      <c r="W1482" s="384"/>
      <c r="X1482" s="384"/>
      <c r="Y1482" s="384"/>
      <c r="Z1482" s="60">
        <f>SUM(R1482,T1482,V1482,X1482)</f>
        <v>0</v>
      </c>
      <c r="AA1482" s="384">
        <f t="shared" si="294"/>
        <v>31.907518244881384</v>
      </c>
      <c r="AB1482" s="60">
        <f t="shared" si="294"/>
        <v>77780</v>
      </c>
      <c r="AC1482" s="389">
        <f t="shared" si="295"/>
        <v>31.907518244881384</v>
      </c>
      <c r="AD1482" s="737">
        <f t="shared" si="295"/>
        <v>31.907518244881384</v>
      </c>
      <c r="AE1482" s="390" t="e">
        <f t="shared" si="296"/>
        <v>#REF!</v>
      </c>
    </row>
    <row r="1483" spans="1:31" s="63" customFormat="1" ht="51">
      <c r="A1483" s="385"/>
      <c r="B1483" s="385"/>
      <c r="C1483" s="1898">
        <v>3</v>
      </c>
      <c r="D1483" s="1900" t="s">
        <v>107</v>
      </c>
      <c r="E1483" s="1905" t="s">
        <v>196</v>
      </c>
      <c r="F1483" s="1900" t="s">
        <v>65</v>
      </c>
      <c r="G1483" s="1900" t="s">
        <v>65</v>
      </c>
      <c r="H1483" s="1898">
        <v>22</v>
      </c>
      <c r="I1483" s="384" t="s">
        <v>258</v>
      </c>
      <c r="J1483" s="384" t="s">
        <v>940</v>
      </c>
      <c r="K1483" s="384">
        <v>100</v>
      </c>
      <c r="L1483" s="738">
        <f>[12]Sheet1!$T$39/1000</f>
        <v>372275</v>
      </c>
      <c r="M1483" s="742">
        <f t="shared" si="283"/>
        <v>51.545765898865085</v>
      </c>
      <c r="N1483" s="738">
        <v>191892</v>
      </c>
      <c r="O1483" s="742">
        <f t="shared" si="286"/>
        <v>5.3723725740380095</v>
      </c>
      <c r="P1483" s="708">
        <f>20000000/1000</f>
        <v>20000</v>
      </c>
      <c r="Q1483" s="384">
        <f>R1483/P1483*100</f>
        <v>73.75</v>
      </c>
      <c r="R1483" s="739">
        <f>14750000/1000</f>
        <v>14750</v>
      </c>
      <c r="S1483" s="384"/>
      <c r="T1483" s="384"/>
      <c r="U1483" s="384"/>
      <c r="V1483" s="384"/>
      <c r="W1483" s="384"/>
      <c r="X1483" s="384"/>
      <c r="Y1483" s="384">
        <f>Z1483/P1483*100</f>
        <v>73.75</v>
      </c>
      <c r="Z1483" s="60">
        <f>SUM(R1483,T1483,V1483,X1483)</f>
        <v>14750</v>
      </c>
      <c r="AA1483" s="384">
        <f t="shared" si="294"/>
        <v>125.29576589886508</v>
      </c>
      <c r="AB1483" s="60">
        <f t="shared" si="294"/>
        <v>206642</v>
      </c>
      <c r="AC1483" s="389">
        <f t="shared" si="295"/>
        <v>125.29576589886508</v>
      </c>
      <c r="AD1483" s="737">
        <f t="shared" si="295"/>
        <v>55.507890672218117</v>
      </c>
      <c r="AE1483" s="390" t="e">
        <f t="shared" si="296"/>
        <v>#REF!</v>
      </c>
    </row>
    <row r="1484" spans="1:31" s="63" customFormat="1" ht="51">
      <c r="A1484" s="385"/>
      <c r="B1484" s="385"/>
      <c r="C1484" s="1898">
        <v>3</v>
      </c>
      <c r="D1484" s="1900" t="s">
        <v>107</v>
      </c>
      <c r="E1484" s="1905" t="s">
        <v>196</v>
      </c>
      <c r="F1484" s="1900" t="s">
        <v>65</v>
      </c>
      <c r="G1484" s="1900" t="s">
        <v>65</v>
      </c>
      <c r="H1484" s="1898">
        <v>24</v>
      </c>
      <c r="I1484" s="384" t="s">
        <v>941</v>
      </c>
      <c r="J1484" s="384" t="s">
        <v>942</v>
      </c>
      <c r="K1484" s="384">
        <v>100</v>
      </c>
      <c r="L1484" s="738">
        <f>[12]Sheet1!$T$40/1000</f>
        <v>555488.25</v>
      </c>
      <c r="M1484" s="742">
        <f t="shared" si="283"/>
        <v>20.488516183735662</v>
      </c>
      <c r="N1484" s="738">
        <v>113811.3</v>
      </c>
      <c r="O1484" s="742">
        <f t="shared" si="286"/>
        <v>18.897789467193952</v>
      </c>
      <c r="P1484" s="708">
        <f>104975000/1000</f>
        <v>104975</v>
      </c>
      <c r="Q1484" s="384">
        <f>R1484/P1484*100</f>
        <v>27.476394379614195</v>
      </c>
      <c r="R1484" s="739">
        <f>28843345/1000</f>
        <v>28843.345000000001</v>
      </c>
      <c r="S1484" s="384"/>
      <c r="T1484" s="384"/>
      <c r="U1484" s="384"/>
      <c r="V1484" s="384"/>
      <c r="W1484" s="384"/>
      <c r="X1484" s="384"/>
      <c r="Y1484" s="384">
        <f>Z1484/P1484*100</f>
        <v>27.476394379614195</v>
      </c>
      <c r="Z1484" s="60">
        <f>SUM(R1484,T1484,V1484,X1484)</f>
        <v>28843.345000000001</v>
      </c>
      <c r="AA1484" s="384">
        <f t="shared" si="294"/>
        <v>47.964910563349861</v>
      </c>
      <c r="AB1484" s="60">
        <f t="shared" si="294"/>
        <v>142654.64500000002</v>
      </c>
      <c r="AC1484" s="389">
        <f t="shared" si="295"/>
        <v>47.964910563349861</v>
      </c>
      <c r="AD1484" s="737">
        <f t="shared" si="295"/>
        <v>25.680947346771067</v>
      </c>
      <c r="AE1484" s="390" t="e">
        <f t="shared" si="296"/>
        <v>#REF!</v>
      </c>
    </row>
    <row r="1485" spans="1:31" s="63" customFormat="1" ht="25.5">
      <c r="A1485" s="385"/>
      <c r="B1485" s="385"/>
      <c r="C1485" s="1904">
        <v>3</v>
      </c>
      <c r="D1485" s="1905" t="s">
        <v>107</v>
      </c>
      <c r="E1485" s="1905" t="s">
        <v>196</v>
      </c>
      <c r="F1485" s="1905" t="s">
        <v>65</v>
      </c>
      <c r="G1485" s="1905" t="s">
        <v>65</v>
      </c>
      <c r="H1485" s="1904">
        <v>130</v>
      </c>
      <c r="I1485" s="384" t="s">
        <v>943</v>
      </c>
      <c r="J1485" s="384" t="s">
        <v>944</v>
      </c>
      <c r="K1485" s="384">
        <v>100</v>
      </c>
      <c r="L1485" s="738">
        <f>55000000/1000</f>
        <v>55000</v>
      </c>
      <c r="M1485" s="742">
        <f t="shared" si="283"/>
        <v>0</v>
      </c>
      <c r="N1485" s="738">
        <v>0</v>
      </c>
      <c r="O1485" s="742">
        <f t="shared" si="286"/>
        <v>100</v>
      </c>
      <c r="P1485" s="708">
        <f>55000000/1000</f>
        <v>55000</v>
      </c>
      <c r="Q1485" s="384">
        <f>R1485/P1485*100</f>
        <v>8.0909090909090899</v>
      </c>
      <c r="R1485" s="739">
        <f>4450000/1000</f>
        <v>4450</v>
      </c>
      <c r="S1485" s="384"/>
      <c r="T1485" s="384"/>
      <c r="U1485" s="384"/>
      <c r="V1485" s="384"/>
      <c r="W1485" s="384"/>
      <c r="X1485" s="384"/>
      <c r="Y1485" s="384">
        <f>Z1485/P1485*100</f>
        <v>8.0909090909090899</v>
      </c>
      <c r="Z1485" s="60">
        <f>SUM(R1485,T1485,V1485,X1485)</f>
        <v>4450</v>
      </c>
      <c r="AA1485" s="384">
        <f t="shared" si="294"/>
        <v>8.0909090909090899</v>
      </c>
      <c r="AB1485" s="60">
        <f t="shared" si="294"/>
        <v>4450</v>
      </c>
      <c r="AC1485" s="389">
        <f t="shared" si="295"/>
        <v>8.0909090909090899</v>
      </c>
      <c r="AD1485" s="737">
        <f t="shared" si="295"/>
        <v>8.0909090909090899</v>
      </c>
      <c r="AE1485" s="390" t="e">
        <f>AE1484</f>
        <v>#REF!</v>
      </c>
    </row>
    <row r="1486" spans="1:31" s="63" customFormat="1" ht="51">
      <c r="A1486" s="385">
        <v>3</v>
      </c>
      <c r="B1486" s="1887"/>
      <c r="C1486" s="1898">
        <v>3</v>
      </c>
      <c r="D1486" s="1900" t="s">
        <v>107</v>
      </c>
      <c r="E1486" s="1905" t="s">
        <v>196</v>
      </c>
      <c r="F1486" s="1900" t="s">
        <v>65</v>
      </c>
      <c r="G1486" s="1900" t="s">
        <v>161</v>
      </c>
      <c r="H1486" s="1898"/>
      <c r="I1486" s="383" t="s">
        <v>226</v>
      </c>
      <c r="J1486" s="741" t="s">
        <v>945</v>
      </c>
      <c r="K1486" s="384">
        <v>80</v>
      </c>
      <c r="L1486" s="738">
        <f>SUM(L1487)</f>
        <v>380650</v>
      </c>
      <c r="M1486" s="742">
        <f>SUM(M1487)</f>
        <v>80</v>
      </c>
      <c r="N1486" s="750">
        <f>SUM(N1487)</f>
        <v>53019.8</v>
      </c>
      <c r="O1486" s="742">
        <f>P1486/L1486*100</f>
        <v>0</v>
      </c>
      <c r="P1486" s="699">
        <f>SUM(P1487:P1487)</f>
        <v>0</v>
      </c>
      <c r="Q1486" s="742">
        <f>SUM(Q1487)</f>
        <v>0</v>
      </c>
      <c r="R1486" s="751" t="s">
        <v>154</v>
      </c>
      <c r="S1486" s="742">
        <f>SUM(S1487)</f>
        <v>0</v>
      </c>
      <c r="T1486" s="385"/>
      <c r="U1486" s="742">
        <f>SUM(U1487)</f>
        <v>0</v>
      </c>
      <c r="V1486" s="385"/>
      <c r="W1486" s="742">
        <f>SUM(W1487)</f>
        <v>0</v>
      </c>
      <c r="X1486" s="385"/>
      <c r="Y1486" s="742">
        <f>SUM(Y1487)</f>
        <v>80</v>
      </c>
      <c r="Z1486" s="387">
        <f>SUM(Z1487:Z1537)</f>
        <v>1500004750.6919999</v>
      </c>
      <c r="AA1486" s="387">
        <f>M1486+Y1486</f>
        <v>160</v>
      </c>
      <c r="AB1486" s="386">
        <f>SUM(AB1487)</f>
        <v>53019.8</v>
      </c>
      <c r="AC1486" s="389">
        <f t="shared" si="295"/>
        <v>200</v>
      </c>
      <c r="AD1486" s="389">
        <f>SUM(AD1487)</f>
        <v>13.928753448049392</v>
      </c>
      <c r="AE1486" s="390" t="s">
        <v>913</v>
      </c>
    </row>
    <row r="1487" spans="1:31" s="63" customFormat="1" ht="51">
      <c r="A1487" s="385"/>
      <c r="B1487" s="1887"/>
      <c r="C1487" s="1898">
        <v>3</v>
      </c>
      <c r="D1487" s="1900" t="s">
        <v>107</v>
      </c>
      <c r="E1487" s="1905" t="s">
        <v>196</v>
      </c>
      <c r="F1487" s="1900" t="s">
        <v>65</v>
      </c>
      <c r="G1487" s="1900" t="s">
        <v>161</v>
      </c>
      <c r="H1487" s="1900" t="s">
        <v>66</v>
      </c>
      <c r="I1487" s="384" t="s">
        <v>209</v>
      </c>
      <c r="J1487" s="741" t="s">
        <v>946</v>
      </c>
      <c r="K1487" s="384">
        <v>80</v>
      </c>
      <c r="L1487" s="738">
        <f>[12]Sheet1!$T$43/1000</f>
        <v>380650</v>
      </c>
      <c r="M1487" s="384">
        <v>80</v>
      </c>
      <c r="N1487" s="738">
        <v>53019.8</v>
      </c>
      <c r="O1487" s="742">
        <f>P1487/L1487*100</f>
        <v>0</v>
      </c>
      <c r="P1487" s="708">
        <v>0</v>
      </c>
      <c r="Q1487" s="384" t="s">
        <v>154</v>
      </c>
      <c r="R1487" s="739" t="s">
        <v>154</v>
      </c>
      <c r="S1487" s="384" t="s">
        <v>154</v>
      </c>
      <c r="T1487" s="384"/>
      <c r="U1487" s="384"/>
      <c r="V1487" s="384"/>
      <c r="W1487" s="384"/>
      <c r="X1487" s="384"/>
      <c r="Y1487" s="384">
        <f>W1487+K1487</f>
        <v>80</v>
      </c>
      <c r="Z1487" s="590"/>
      <c r="AA1487" s="384">
        <f>Y1487+M1487</f>
        <v>160</v>
      </c>
      <c r="AB1487" s="60">
        <f>N1487+Z1487</f>
        <v>53019.8</v>
      </c>
      <c r="AC1487" s="737">
        <f t="shared" ref="AC1487:AD1489" si="297">(AA1487/K1487)*100</f>
        <v>200</v>
      </c>
      <c r="AD1487" s="737">
        <f t="shared" si="297"/>
        <v>13.928753448049392</v>
      </c>
      <c r="AE1487" s="390" t="str">
        <f>AE1486</f>
        <v>Badan Pendapatan</v>
      </c>
    </row>
    <row r="1488" spans="1:31" s="63" customFormat="1" ht="39" customHeight="1">
      <c r="A1488" s="385">
        <v>4</v>
      </c>
      <c r="B1488" s="1887"/>
      <c r="C1488" s="1898">
        <v>3</v>
      </c>
      <c r="D1488" s="1900" t="s">
        <v>107</v>
      </c>
      <c r="E1488" s="1905" t="s">
        <v>196</v>
      </c>
      <c r="F1488" s="1900" t="s">
        <v>65</v>
      </c>
      <c r="G1488" s="1898">
        <v>15</v>
      </c>
      <c r="H1488" s="1898"/>
      <c r="I1488" s="383" t="s">
        <v>985</v>
      </c>
      <c r="J1488" s="741" t="s">
        <v>947</v>
      </c>
      <c r="K1488" s="384">
        <v>100</v>
      </c>
      <c r="L1488" s="738">
        <f>SUM(L1489)</f>
        <v>256245</v>
      </c>
      <c r="M1488" s="742">
        <f>N1488/L1488*100</f>
        <v>0</v>
      </c>
      <c r="N1488" s="750">
        <f>SUM(N1489)</f>
        <v>0</v>
      </c>
      <c r="O1488" s="742">
        <f>P1488/L1488*100</f>
        <v>17.561318269624774</v>
      </c>
      <c r="P1488" s="742">
        <f>SUM(P1489)</f>
        <v>45000</v>
      </c>
      <c r="Q1488" s="742">
        <f>R1488/P1488*100</f>
        <v>1.1111111111111112</v>
      </c>
      <c r="R1488" s="699">
        <f>SUM(R1489)</f>
        <v>500</v>
      </c>
      <c r="S1488" s="742"/>
      <c r="T1488" s="385"/>
      <c r="U1488" s="742">
        <f>SUM(U1491:U1491)</f>
        <v>0</v>
      </c>
      <c r="V1488" s="385"/>
      <c r="W1488" s="742">
        <f>SUM(W1491:W1491)</f>
        <v>0</v>
      </c>
      <c r="X1488" s="385"/>
      <c r="Y1488" s="742">
        <f>SUM(Y1491:Y1491)</f>
        <v>0</v>
      </c>
      <c r="Z1488" s="387">
        <f>SUM(Z1491:Z1542)</f>
        <v>962175905.34599996</v>
      </c>
      <c r="AA1488" s="385">
        <f>M1488+Y1488</f>
        <v>0</v>
      </c>
      <c r="AB1488" s="386">
        <f>SUM(AB1491:AB1491)</f>
        <v>24602</v>
      </c>
      <c r="AC1488" s="389">
        <f t="shared" si="297"/>
        <v>0</v>
      </c>
      <c r="AD1488" s="389">
        <f t="shared" si="297"/>
        <v>9.6009678237624136</v>
      </c>
      <c r="AE1488" s="390" t="s">
        <v>913</v>
      </c>
    </row>
    <row r="1489" spans="1:32" s="63" customFormat="1" ht="38.25">
      <c r="A1489" s="385"/>
      <c r="B1489" s="1887"/>
      <c r="C1489" s="1898">
        <v>3</v>
      </c>
      <c r="D1489" s="1900" t="s">
        <v>107</v>
      </c>
      <c r="E1489" s="1905" t="s">
        <v>196</v>
      </c>
      <c r="F1489" s="1900" t="s">
        <v>65</v>
      </c>
      <c r="G1489" s="1898">
        <v>15</v>
      </c>
      <c r="H1489" s="1898">
        <v>11</v>
      </c>
      <c r="I1489" s="384" t="s">
        <v>948</v>
      </c>
      <c r="J1489" s="741" t="s">
        <v>949</v>
      </c>
      <c r="K1489" s="384">
        <v>100</v>
      </c>
      <c r="L1489" s="738">
        <f>[12]Sheet1!$T$45/1000</f>
        <v>256245</v>
      </c>
      <c r="M1489" s="742">
        <f>N1489/L1489*100</f>
        <v>0</v>
      </c>
      <c r="N1489" s="738">
        <v>0</v>
      </c>
      <c r="O1489" s="742">
        <f>P1489/L1489*100</f>
        <v>17.561318269624774</v>
      </c>
      <c r="P1489" s="708">
        <f>45000000/1000</f>
        <v>45000</v>
      </c>
      <c r="Q1489" s="742">
        <f>R1489/P1489*100</f>
        <v>1.1111111111111112</v>
      </c>
      <c r="R1489" s="708">
        <v>500</v>
      </c>
      <c r="S1489" s="384"/>
      <c r="T1489" s="384"/>
      <c r="U1489" s="384"/>
      <c r="V1489" s="384"/>
      <c r="W1489" s="384"/>
      <c r="X1489" s="384"/>
      <c r="Y1489" s="384"/>
      <c r="Z1489" s="590"/>
      <c r="AA1489" s="384">
        <v>30</v>
      </c>
      <c r="AB1489" s="60">
        <f>N1489+Z1489</f>
        <v>0</v>
      </c>
      <c r="AC1489" s="737">
        <f t="shared" si="297"/>
        <v>30</v>
      </c>
      <c r="AD1489" s="737">
        <f t="shared" si="297"/>
        <v>0</v>
      </c>
      <c r="AE1489" s="390" t="str">
        <f>AE1491</f>
        <v>Badan Pendapatan</v>
      </c>
    </row>
    <row r="1490" spans="1:32" s="63" customFormat="1" ht="51">
      <c r="A1490" s="385"/>
      <c r="B1490" s="1887"/>
      <c r="C1490" s="1898">
        <v>3</v>
      </c>
      <c r="D1490" s="1900" t="s">
        <v>107</v>
      </c>
      <c r="E1490" s="1905" t="s">
        <v>196</v>
      </c>
      <c r="F1490" s="1900" t="s">
        <v>65</v>
      </c>
      <c r="G1490" s="1900" t="s">
        <v>197</v>
      </c>
      <c r="H1490" s="1898"/>
      <c r="I1490" s="383" t="s">
        <v>227</v>
      </c>
      <c r="J1490" s="741"/>
      <c r="K1490" s="384"/>
      <c r="L1490" s="738">
        <f>SUM(L1491,L1492,L1493,L1494,L1495,L1496,L1497,L1498,L1499,L1500,L1501,L1502,L1503,L1504,L1505,L1506,L1507,L1508,L1509,L1510,L1511,L1512,L1513,L1514,L1515,L1516)</f>
        <v>23332306.193747606</v>
      </c>
      <c r="M1490" s="742">
        <f t="shared" ref="M1490:R1490" si="298">SUM(M1491)</f>
        <v>41.153348399654142</v>
      </c>
      <c r="N1490" s="750">
        <f t="shared" si="298"/>
        <v>24602</v>
      </c>
      <c r="O1490" s="742">
        <f t="shared" si="298"/>
        <v>0</v>
      </c>
      <c r="P1490" s="699">
        <f t="shared" si="298"/>
        <v>0</v>
      </c>
      <c r="Q1490" s="742">
        <f t="shared" si="298"/>
        <v>0</v>
      </c>
      <c r="R1490" s="699">
        <f t="shared" si="298"/>
        <v>0</v>
      </c>
      <c r="S1490" s="699"/>
      <c r="T1490" s="699">
        <f t="shared" ref="T1490:AD1490" si="299">SUM(T1491)</f>
        <v>0</v>
      </c>
      <c r="U1490" s="699">
        <f t="shared" si="299"/>
        <v>0</v>
      </c>
      <c r="V1490" s="699">
        <f t="shared" si="299"/>
        <v>0</v>
      </c>
      <c r="W1490" s="699">
        <f t="shared" si="299"/>
        <v>0</v>
      </c>
      <c r="X1490" s="699">
        <f t="shared" si="299"/>
        <v>0</v>
      </c>
      <c r="Y1490" s="699">
        <f t="shared" si="299"/>
        <v>0</v>
      </c>
      <c r="Z1490" s="699">
        <f t="shared" si="299"/>
        <v>0</v>
      </c>
      <c r="AA1490" s="699">
        <f t="shared" si="299"/>
        <v>30</v>
      </c>
      <c r="AB1490" s="699">
        <f t="shared" si="299"/>
        <v>24602</v>
      </c>
      <c r="AC1490" s="699">
        <f t="shared" si="299"/>
        <v>30</v>
      </c>
      <c r="AD1490" s="699">
        <f t="shared" si="299"/>
        <v>41.153348399654142</v>
      </c>
      <c r="AE1490" s="390" t="s">
        <v>913</v>
      </c>
    </row>
    <row r="1491" spans="1:32" s="63" customFormat="1" ht="38.25">
      <c r="A1491" s="385"/>
      <c r="B1491" s="1887"/>
      <c r="C1491" s="1898">
        <v>3</v>
      </c>
      <c r="D1491" s="1900" t="s">
        <v>107</v>
      </c>
      <c r="E1491" s="1905" t="s">
        <v>196</v>
      </c>
      <c r="F1491" s="1900" t="s">
        <v>65</v>
      </c>
      <c r="G1491" s="1900" t="s">
        <v>197</v>
      </c>
      <c r="H1491" s="1898">
        <v>1</v>
      </c>
      <c r="I1491" s="384" t="s">
        <v>950</v>
      </c>
      <c r="J1491" s="741" t="s">
        <v>949</v>
      </c>
      <c r="K1491" s="384">
        <v>100</v>
      </c>
      <c r="L1491" s="738">
        <f>[12]Sheet1!$T$47/1000</f>
        <v>59781.283799999997</v>
      </c>
      <c r="M1491" s="384">
        <f>N1491/L1491*100</f>
        <v>41.153348399654142</v>
      </c>
      <c r="N1491" s="738">
        <v>24602</v>
      </c>
      <c r="O1491" s="384">
        <f>(P1491/L1491)*100</f>
        <v>0</v>
      </c>
      <c r="P1491" s="708">
        <v>0</v>
      </c>
      <c r="Q1491" s="384">
        <v>0</v>
      </c>
      <c r="R1491" s="708"/>
      <c r="S1491" s="384">
        <v>1</v>
      </c>
      <c r="T1491" s="384"/>
      <c r="U1491" s="384"/>
      <c r="V1491" s="384"/>
      <c r="W1491" s="384"/>
      <c r="X1491" s="384"/>
      <c r="Y1491" s="384"/>
      <c r="Z1491" s="590"/>
      <c r="AA1491" s="384">
        <v>30</v>
      </c>
      <c r="AB1491" s="60">
        <f>N1491+Z1491</f>
        <v>24602</v>
      </c>
      <c r="AC1491" s="737">
        <f>(AA1491/K1491)*100</f>
        <v>30</v>
      </c>
      <c r="AD1491" s="737">
        <f>(AB1491/L1491)*100</f>
        <v>41.153348399654142</v>
      </c>
      <c r="AE1491" s="390" t="str">
        <f>AE1487</f>
        <v>Badan Pendapatan</v>
      </c>
    </row>
    <row r="1492" spans="1:32" s="63" customFormat="1" ht="63.75">
      <c r="A1492" s="385">
        <v>5</v>
      </c>
      <c r="B1492" s="1887"/>
      <c r="C1492" s="1898">
        <v>3</v>
      </c>
      <c r="D1492" s="1900" t="s">
        <v>107</v>
      </c>
      <c r="E1492" s="1905" t="s">
        <v>196</v>
      </c>
      <c r="F1492" s="1900" t="s">
        <v>65</v>
      </c>
      <c r="G1492" s="1898">
        <v>17</v>
      </c>
      <c r="H1492" s="1898"/>
      <c r="I1492" s="383" t="s">
        <v>986</v>
      </c>
      <c r="J1492" s="344" t="s">
        <v>951</v>
      </c>
      <c r="K1492" s="745">
        <v>100</v>
      </c>
      <c r="L1492" s="738">
        <f>SUM(L1493:L1516)</f>
        <v>11636262.454973802</v>
      </c>
      <c r="M1492" s="385">
        <f t="shared" ref="M1492:M1516" si="300">N1492/L1492*100</f>
        <v>17.470606114861624</v>
      </c>
      <c r="N1492" s="750">
        <f>SUM(N1493:N1516)</f>
        <v>2032925.5800000003</v>
      </c>
      <c r="O1492" s="385">
        <f t="shared" ref="O1492:O1514" si="301">P1492/L1492*100</f>
        <v>16.054078396981343</v>
      </c>
      <c r="P1492" s="713">
        <f>SUM(P1493:P1516)</f>
        <v>1868094.6969999999</v>
      </c>
      <c r="Q1492" s="385">
        <v>12</v>
      </c>
      <c r="R1492" s="713">
        <f>SUM(R1493:R1516)</f>
        <v>458203.67299999995</v>
      </c>
      <c r="S1492" s="385"/>
      <c r="T1492" s="385"/>
      <c r="U1492" s="385"/>
      <c r="V1492" s="385"/>
      <c r="W1492" s="385"/>
      <c r="X1492" s="385"/>
      <c r="Y1492" s="385">
        <f>SUM(Y1493:Y1516)/24</f>
        <v>2.6951470968010072</v>
      </c>
      <c r="Z1492" s="387">
        <f>SUM(Z1493:Z1516)</f>
        <v>458203.67299999995</v>
      </c>
      <c r="AA1492" s="385">
        <f>SUM(AA1493:AA1516)/24</f>
        <v>36.979191755757064</v>
      </c>
      <c r="AB1492" s="386">
        <f>SUM(AB1493:AB1516)</f>
        <v>2491129.253</v>
      </c>
      <c r="AC1492" s="389">
        <f>SUM(AC1493:AC1516)/24</f>
        <v>36.979191755757064</v>
      </c>
      <c r="AD1492" s="389">
        <f>SUM(AD1493:AD1516)</f>
        <v>369.77115742173072</v>
      </c>
      <c r="AE1492" s="390" t="s">
        <v>913</v>
      </c>
      <c r="AF1492" s="744">
        <f>1977584.42-L1492</f>
        <v>-9658678.034973802</v>
      </c>
    </row>
    <row r="1493" spans="1:32" s="63" customFormat="1" ht="51">
      <c r="A1493" s="385"/>
      <c r="B1493" s="4248" t="s">
        <v>952</v>
      </c>
      <c r="C1493" s="1898">
        <v>3</v>
      </c>
      <c r="D1493" s="1900" t="s">
        <v>107</v>
      </c>
      <c r="E1493" s="1905" t="s">
        <v>196</v>
      </c>
      <c r="F1493" s="1900" t="s">
        <v>65</v>
      </c>
      <c r="G1493" s="1898">
        <v>17</v>
      </c>
      <c r="H1493" s="1898">
        <v>19</v>
      </c>
      <c r="I1493" s="384" t="s">
        <v>987</v>
      </c>
      <c r="J1493" s="741" t="s">
        <v>988</v>
      </c>
      <c r="K1493" s="745">
        <v>100</v>
      </c>
      <c r="L1493" s="738">
        <f>[12]Sheet1!$T$49/1000</f>
        <v>761078.43292299996</v>
      </c>
      <c r="M1493" s="385">
        <f t="shared" si="300"/>
        <v>16.831400609792365</v>
      </c>
      <c r="N1493" s="738">
        <v>128100.16</v>
      </c>
      <c r="O1493" s="385">
        <f t="shared" si="301"/>
        <v>6.6064540558445932</v>
      </c>
      <c r="P1493" s="708">
        <f>50280297/1000</f>
        <v>50280.296999999999</v>
      </c>
      <c r="Q1493" s="737">
        <f>(R1493/L1493)*100</f>
        <v>1.5241267520155282</v>
      </c>
      <c r="R1493" s="708">
        <v>11599.8</v>
      </c>
      <c r="S1493" s="384"/>
      <c r="T1493" s="384"/>
      <c r="U1493" s="384"/>
      <c r="V1493" s="384"/>
      <c r="W1493" s="384"/>
      <c r="X1493" s="384"/>
      <c r="Y1493" s="384">
        <f>(Z1493/P1493)*100</f>
        <v>23.070269453658952</v>
      </c>
      <c r="Z1493" s="590">
        <f>R1493+T1493+V1493+X1493</f>
        <v>11599.8</v>
      </c>
      <c r="AA1493" s="384">
        <f t="shared" ref="AA1493:AB1516" si="302">M1493+Y1493</f>
        <v>39.90167006345132</v>
      </c>
      <c r="AB1493" s="60">
        <f t="shared" si="302"/>
        <v>139699.96</v>
      </c>
      <c r="AC1493" s="737">
        <f>(AA1493/K1493)*100</f>
        <v>39.90167006345132</v>
      </c>
      <c r="AD1493" s="737">
        <f>(AB1493/L1493)*100</f>
        <v>18.355527361807894</v>
      </c>
      <c r="AE1493" s="390" t="str">
        <f>AE1491</f>
        <v>Badan Pendapatan</v>
      </c>
    </row>
    <row r="1494" spans="1:32" s="63" customFormat="1" ht="76.5">
      <c r="A1494" s="385"/>
      <c r="B1494" s="4249"/>
      <c r="C1494" s="1898">
        <v>3</v>
      </c>
      <c r="D1494" s="1900" t="s">
        <v>107</v>
      </c>
      <c r="E1494" s="1905" t="s">
        <v>196</v>
      </c>
      <c r="F1494" s="1900" t="s">
        <v>65</v>
      </c>
      <c r="G1494" s="1898">
        <v>17</v>
      </c>
      <c r="H1494" s="1898">
        <v>30</v>
      </c>
      <c r="I1494" s="384" t="s">
        <v>989</v>
      </c>
      <c r="J1494" s="741" t="s">
        <v>990</v>
      </c>
      <c r="K1494" s="745">
        <v>100</v>
      </c>
      <c r="L1494" s="738">
        <f>[12]Sheet1!$T$50/1000</f>
        <v>340178.66288080002</v>
      </c>
      <c r="M1494" s="385">
        <f t="shared" si="300"/>
        <v>20.027049734119341</v>
      </c>
      <c r="N1494" s="738">
        <v>68127.75</v>
      </c>
      <c r="O1494" s="385">
        <f t="shared" si="301"/>
        <v>13.522306076004122</v>
      </c>
      <c r="P1494" s="708">
        <f>46000000/1000</f>
        <v>46000</v>
      </c>
      <c r="Q1494" s="737">
        <f>(R1494/L1494)*100</f>
        <v>5.6270725029886632</v>
      </c>
      <c r="R1494" s="708">
        <v>19142.099999999999</v>
      </c>
      <c r="S1494" s="384"/>
      <c r="T1494" s="384"/>
      <c r="U1494" s="384"/>
      <c r="V1494" s="384"/>
      <c r="W1494" s="384"/>
      <c r="X1494" s="384"/>
      <c r="Y1494" s="384">
        <f>(Z1494/P1494)*100</f>
        <v>41.613260869565217</v>
      </c>
      <c r="Z1494" s="590">
        <f t="shared" ref="Z1494:Z1516" si="303">R1494+T1494+V1494+X1494</f>
        <v>19142.099999999999</v>
      </c>
      <c r="AA1494" s="384">
        <f t="shared" si="302"/>
        <v>61.640310603684554</v>
      </c>
      <c r="AB1494" s="60">
        <f t="shared" si="302"/>
        <v>87269.85</v>
      </c>
      <c r="AC1494" s="737">
        <f>(AA1494/K1494)*100</f>
        <v>61.640310603684554</v>
      </c>
      <c r="AD1494" s="737">
        <f>(AB1494/L1494)*100</f>
        <v>25.654122237108005</v>
      </c>
      <c r="AE1494" s="390" t="str">
        <f>AE1493</f>
        <v>Badan Pendapatan</v>
      </c>
    </row>
    <row r="1495" spans="1:32" s="63" customFormat="1" ht="53.25" customHeight="1">
      <c r="A1495" s="385"/>
      <c r="B1495" s="1887"/>
      <c r="C1495" s="1898">
        <v>3</v>
      </c>
      <c r="D1495" s="1900" t="s">
        <v>107</v>
      </c>
      <c r="E1495" s="1905" t="s">
        <v>196</v>
      </c>
      <c r="F1495" s="1900" t="s">
        <v>65</v>
      </c>
      <c r="G1495" s="1898">
        <v>17</v>
      </c>
      <c r="H1495" s="1898">
        <v>31</v>
      </c>
      <c r="I1495" s="384" t="s">
        <v>991</v>
      </c>
      <c r="J1495" s="741" t="s">
        <v>992</v>
      </c>
      <c r="K1495" s="745">
        <v>100</v>
      </c>
      <c r="L1495" s="738">
        <f>[12]Sheet1!$T$51/1000</f>
        <v>431617.95480000001</v>
      </c>
      <c r="M1495" s="385">
        <f t="shared" si="300"/>
        <v>20.501301907378391</v>
      </c>
      <c r="N1495" s="738">
        <v>88487.3</v>
      </c>
      <c r="O1495" s="385">
        <f t="shared" si="301"/>
        <v>17.144759891717086</v>
      </c>
      <c r="P1495" s="708">
        <f>73999862/1000</f>
        <v>73999.861999999994</v>
      </c>
      <c r="Q1495" s="737">
        <f>(R1495/L1495)*100</f>
        <v>2.4280732262067608</v>
      </c>
      <c r="R1495" s="708">
        <v>10480</v>
      </c>
      <c r="S1495" s="384"/>
      <c r="T1495" s="384"/>
      <c r="U1495" s="384"/>
      <c r="V1495" s="384"/>
      <c r="W1495" s="384"/>
      <c r="X1495" s="384"/>
      <c r="Y1495" s="384"/>
      <c r="Z1495" s="590">
        <f t="shared" si="303"/>
        <v>10480</v>
      </c>
      <c r="AA1495" s="384">
        <f t="shared" si="302"/>
        <v>20.501301907378391</v>
      </c>
      <c r="AB1495" s="60">
        <f t="shared" si="302"/>
        <v>98967.3</v>
      </c>
      <c r="AC1495" s="737">
        <f t="shared" ref="AC1495:AD1497" si="304">(AA1495/K1495)*100</f>
        <v>20.501301907378391</v>
      </c>
      <c r="AD1495" s="737">
        <f t="shared" si="304"/>
        <v>22.929375133585154</v>
      </c>
      <c r="AE1495" s="390" t="str">
        <f>AE1494</f>
        <v>Badan Pendapatan</v>
      </c>
    </row>
    <row r="1496" spans="1:32" s="63" customFormat="1" ht="46.5" customHeight="1">
      <c r="A1496" s="385"/>
      <c r="B1496" s="1887"/>
      <c r="C1496" s="1898">
        <v>3</v>
      </c>
      <c r="D1496" s="1900" t="s">
        <v>107</v>
      </c>
      <c r="E1496" s="1905" t="s">
        <v>196</v>
      </c>
      <c r="F1496" s="1900" t="s">
        <v>65</v>
      </c>
      <c r="G1496" s="1898">
        <v>17</v>
      </c>
      <c r="H1496" s="1898">
        <v>35</v>
      </c>
      <c r="I1496" s="384" t="s">
        <v>993</v>
      </c>
      <c r="J1496" s="741" t="s">
        <v>994</v>
      </c>
      <c r="K1496" s="745">
        <v>100</v>
      </c>
      <c r="L1496" s="738">
        <f>[12]Sheet1!$T$54/1000</f>
        <v>515247.92879999999</v>
      </c>
      <c r="M1496" s="385">
        <f t="shared" si="300"/>
        <v>15.388941045268689</v>
      </c>
      <c r="N1496" s="738">
        <v>79291.199999999997</v>
      </c>
      <c r="O1496" s="385">
        <f t="shared" si="301"/>
        <v>0</v>
      </c>
      <c r="P1496" s="708">
        <v>0</v>
      </c>
      <c r="Q1496" s="737"/>
      <c r="R1496" s="708"/>
      <c r="S1496" s="384"/>
      <c r="T1496" s="384"/>
      <c r="U1496" s="384"/>
      <c r="V1496" s="384"/>
      <c r="W1496" s="384"/>
      <c r="X1496" s="384"/>
      <c r="Y1496" s="384"/>
      <c r="Z1496" s="590">
        <f t="shared" si="303"/>
        <v>0</v>
      </c>
      <c r="AA1496" s="384">
        <f t="shared" si="302"/>
        <v>15.388941045268689</v>
      </c>
      <c r="AB1496" s="60">
        <f t="shared" si="302"/>
        <v>79291.199999999997</v>
      </c>
      <c r="AC1496" s="737">
        <f t="shared" si="304"/>
        <v>15.388941045268689</v>
      </c>
      <c r="AD1496" s="737">
        <f t="shared" si="304"/>
        <v>15.388941045268689</v>
      </c>
      <c r="AE1496" s="390" t="str">
        <f>AE1499</f>
        <v>Badan Pendapatan</v>
      </c>
    </row>
    <row r="1497" spans="1:32" s="63" customFormat="1" ht="69.75" customHeight="1">
      <c r="A1497" s="385"/>
      <c r="B1497" s="1887"/>
      <c r="C1497" s="1898">
        <v>3</v>
      </c>
      <c r="D1497" s="1900" t="s">
        <v>107</v>
      </c>
      <c r="E1497" s="1905" t="s">
        <v>196</v>
      </c>
      <c r="F1497" s="1900" t="s">
        <v>65</v>
      </c>
      <c r="G1497" s="1898">
        <v>17</v>
      </c>
      <c r="H1497" s="1898">
        <v>44</v>
      </c>
      <c r="I1497" s="384" t="s">
        <v>995</v>
      </c>
      <c r="J1497" s="741" t="s">
        <v>996</v>
      </c>
      <c r="K1497" s="745">
        <v>100</v>
      </c>
      <c r="L1497" s="738">
        <f>[12]Sheet1!$T$58/1000</f>
        <v>662667.55600999994</v>
      </c>
      <c r="M1497" s="385">
        <f t="shared" si="300"/>
        <v>15.618691312305341</v>
      </c>
      <c r="N1497" s="738">
        <v>103500</v>
      </c>
      <c r="O1497" s="385">
        <f t="shared" si="301"/>
        <v>14.230337541766866</v>
      </c>
      <c r="P1497" s="708">
        <f>94299830/1000</f>
        <v>94299.83</v>
      </c>
      <c r="Q1497" s="737">
        <f>(R1497/L1497)*100</f>
        <v>2.3772100893018946</v>
      </c>
      <c r="R1497" s="708">
        <v>15753</v>
      </c>
      <c r="S1497" s="384"/>
      <c r="T1497" s="384"/>
      <c r="U1497" s="384"/>
      <c r="V1497" s="384"/>
      <c r="W1497" s="384"/>
      <c r="X1497" s="384"/>
      <c r="Y1497" s="384"/>
      <c r="Z1497" s="590">
        <f t="shared" si="303"/>
        <v>15753</v>
      </c>
      <c r="AA1497" s="384">
        <f t="shared" si="302"/>
        <v>15.618691312305341</v>
      </c>
      <c r="AB1497" s="60">
        <f t="shared" si="302"/>
        <v>119253</v>
      </c>
      <c r="AC1497" s="737">
        <f t="shared" si="304"/>
        <v>15.618691312305341</v>
      </c>
      <c r="AD1497" s="737">
        <f t="shared" si="304"/>
        <v>17.995901401607238</v>
      </c>
      <c r="AE1497" s="390" t="str">
        <f>AE1500</f>
        <v>Badan Pendapatan</v>
      </c>
    </row>
    <row r="1498" spans="1:32" s="63" customFormat="1" ht="51" customHeight="1">
      <c r="A1498" s="385"/>
      <c r="B1498" s="1887" t="s">
        <v>953</v>
      </c>
      <c r="C1498" s="1898">
        <v>3</v>
      </c>
      <c r="D1498" s="1900" t="s">
        <v>107</v>
      </c>
      <c r="E1498" s="1905" t="s">
        <v>196</v>
      </c>
      <c r="F1498" s="1900" t="s">
        <v>65</v>
      </c>
      <c r="G1498" s="1898">
        <v>17</v>
      </c>
      <c r="H1498" s="1898">
        <v>32</v>
      </c>
      <c r="I1498" s="384" t="s">
        <v>997</v>
      </c>
      <c r="J1498" s="741" t="s">
        <v>998</v>
      </c>
      <c r="K1498" s="384">
        <v>100</v>
      </c>
      <c r="L1498" s="738">
        <f>[12]Sheet1!$T$52/1000</f>
        <v>1780479.0988699999</v>
      </c>
      <c r="M1498" s="385">
        <f t="shared" si="300"/>
        <v>20.85064633646148</v>
      </c>
      <c r="N1498" s="738">
        <v>371241.4</v>
      </c>
      <c r="O1498" s="385">
        <f t="shared" si="301"/>
        <v>15.729804925974522</v>
      </c>
      <c r="P1498" s="708">
        <f>280065889/1000</f>
        <v>280065.88900000002</v>
      </c>
      <c r="Q1498" s="737">
        <f>(R1498/L1498)*100</f>
        <v>12.67110072469727</v>
      </c>
      <c r="R1498" s="708">
        <v>225606.3</v>
      </c>
      <c r="S1498" s="384"/>
      <c r="T1498" s="384"/>
      <c r="U1498" s="384"/>
      <c r="V1498" s="384"/>
      <c r="W1498" s="384"/>
      <c r="X1498" s="384"/>
      <c r="Y1498" s="384"/>
      <c r="Z1498" s="590">
        <f t="shared" si="303"/>
        <v>225606.3</v>
      </c>
      <c r="AA1498" s="384">
        <f t="shared" si="302"/>
        <v>20.85064633646148</v>
      </c>
      <c r="AB1498" s="60">
        <f t="shared" si="302"/>
        <v>596847.69999999995</v>
      </c>
      <c r="AC1498" s="737">
        <f>(AA1498/K1498)*100</f>
        <v>20.85064633646148</v>
      </c>
      <c r="AD1498" s="737">
        <f>(AB1498/L1498)*100</f>
        <v>33.521747061158749</v>
      </c>
      <c r="AE1498" s="390" t="str">
        <f>AE1495</f>
        <v>Badan Pendapatan</v>
      </c>
    </row>
    <row r="1499" spans="1:32" s="63" customFormat="1" ht="60" customHeight="1">
      <c r="A1499" s="385"/>
      <c r="B1499" s="1887"/>
      <c r="C1499" s="1898">
        <v>3</v>
      </c>
      <c r="D1499" s="1900" t="s">
        <v>107</v>
      </c>
      <c r="E1499" s="1905" t="s">
        <v>196</v>
      </c>
      <c r="F1499" s="1900" t="s">
        <v>65</v>
      </c>
      <c r="G1499" s="1898">
        <v>17</v>
      </c>
      <c r="H1499" s="1898">
        <v>33</v>
      </c>
      <c r="I1499" s="384" t="s">
        <v>999</v>
      </c>
      <c r="J1499" s="741" t="s">
        <v>1000</v>
      </c>
      <c r="K1499" s="384">
        <v>100</v>
      </c>
      <c r="L1499" s="738">
        <f>[12]Sheet1!$T$53/1000</f>
        <v>597638</v>
      </c>
      <c r="M1499" s="385">
        <f t="shared" si="300"/>
        <v>18.537956923756521</v>
      </c>
      <c r="N1499" s="738">
        <v>110789.875</v>
      </c>
      <c r="O1499" s="385">
        <f t="shared" si="301"/>
        <v>19.744393763448777</v>
      </c>
      <c r="P1499" s="708">
        <f>118000000/1000</f>
        <v>118000</v>
      </c>
      <c r="Q1499" s="737">
        <f>(R1499/L1499)*100</f>
        <v>0.41028180938963049</v>
      </c>
      <c r="R1499" s="708">
        <v>2452</v>
      </c>
      <c r="S1499" s="384"/>
      <c r="T1499" s="384"/>
      <c r="U1499" s="384"/>
      <c r="V1499" s="384"/>
      <c r="W1499" s="384"/>
      <c r="X1499" s="384"/>
      <c r="Y1499" s="384"/>
      <c r="Z1499" s="590">
        <f t="shared" si="303"/>
        <v>2452</v>
      </c>
      <c r="AA1499" s="384">
        <f t="shared" si="302"/>
        <v>18.537956923756521</v>
      </c>
      <c r="AB1499" s="60">
        <f t="shared" si="302"/>
        <v>113241.875</v>
      </c>
      <c r="AC1499" s="737">
        <f>(AA1499/K1499)*100</f>
        <v>18.537956923756521</v>
      </c>
      <c r="AD1499" s="737">
        <f>(AB1499/L1499)*100</f>
        <v>18.948238733146152</v>
      </c>
      <c r="AE1499" s="390" t="str">
        <f>AE1498</f>
        <v>Badan Pendapatan</v>
      </c>
    </row>
    <row r="1500" spans="1:32" s="63" customFormat="1" ht="42" customHeight="1">
      <c r="A1500" s="385"/>
      <c r="B1500" s="1887"/>
      <c r="C1500" s="1898">
        <v>3</v>
      </c>
      <c r="D1500" s="1900" t="s">
        <v>107</v>
      </c>
      <c r="E1500" s="1905" t="s">
        <v>196</v>
      </c>
      <c r="F1500" s="1900" t="s">
        <v>65</v>
      </c>
      <c r="G1500" s="1898">
        <v>17</v>
      </c>
      <c r="H1500" s="1898">
        <v>40</v>
      </c>
      <c r="I1500" s="384" t="s">
        <v>1001</v>
      </c>
      <c r="J1500" s="741" t="s">
        <v>1002</v>
      </c>
      <c r="K1500" s="384">
        <v>100</v>
      </c>
      <c r="L1500" s="738">
        <f>[12]Sheet1!$T$57/1000</f>
        <v>739387.48920000007</v>
      </c>
      <c r="M1500" s="385">
        <f t="shared" si="300"/>
        <v>19.800794865816076</v>
      </c>
      <c r="N1500" s="738">
        <v>146404.6</v>
      </c>
      <c r="O1500" s="385">
        <f t="shared" si="301"/>
        <v>0</v>
      </c>
      <c r="P1500" s="708">
        <v>0</v>
      </c>
      <c r="Q1500" s="737"/>
      <c r="R1500" s="708"/>
      <c r="S1500" s="384"/>
      <c r="T1500" s="384"/>
      <c r="U1500" s="384"/>
      <c r="V1500" s="384"/>
      <c r="W1500" s="384"/>
      <c r="X1500" s="384"/>
      <c r="Y1500" s="384"/>
      <c r="Z1500" s="590">
        <f t="shared" si="303"/>
        <v>0</v>
      </c>
      <c r="AA1500" s="384">
        <f t="shared" si="302"/>
        <v>19.800794865816076</v>
      </c>
      <c r="AB1500" s="60">
        <f t="shared" si="302"/>
        <v>146404.6</v>
      </c>
      <c r="AC1500" s="737">
        <f t="shared" ref="AC1500:AD1515" si="305">(AA1500/K1500)*100</f>
        <v>19.800794865816076</v>
      </c>
      <c r="AD1500" s="737">
        <f t="shared" si="305"/>
        <v>19.800794865816076</v>
      </c>
      <c r="AE1500" s="390" t="str">
        <f>AE1505</f>
        <v>Badan Pendapatan</v>
      </c>
    </row>
    <row r="1501" spans="1:32" s="63" customFormat="1" ht="63.75">
      <c r="A1501" s="385"/>
      <c r="B1501" s="1887"/>
      <c r="C1501" s="1898">
        <v>3</v>
      </c>
      <c r="D1501" s="1900" t="s">
        <v>107</v>
      </c>
      <c r="E1501" s="1905" t="s">
        <v>196</v>
      </c>
      <c r="F1501" s="1900" t="s">
        <v>65</v>
      </c>
      <c r="G1501" s="1898">
        <v>17</v>
      </c>
      <c r="H1501" s="1898">
        <v>66</v>
      </c>
      <c r="I1501" s="384" t="s">
        <v>1003</v>
      </c>
      <c r="J1501" s="741" t="s">
        <v>1004</v>
      </c>
      <c r="K1501" s="384">
        <v>100</v>
      </c>
      <c r="L1501" s="738">
        <f>[12]Sheet1!$T$60/1000</f>
        <v>1283069.6061099998</v>
      </c>
      <c r="M1501" s="385">
        <f t="shared" si="300"/>
        <v>4.8339388373511731</v>
      </c>
      <c r="N1501" s="738">
        <v>62022.8</v>
      </c>
      <c r="O1501" s="385">
        <f t="shared" si="301"/>
        <v>21.04320753248772</v>
      </c>
      <c r="P1501" s="708">
        <v>269999</v>
      </c>
      <c r="Q1501" s="737">
        <f>(R1501/L1501)*100</f>
        <v>4.080540350319187</v>
      </c>
      <c r="R1501" s="708">
        <v>52356.173000000003</v>
      </c>
      <c r="S1501" s="384"/>
      <c r="T1501" s="384"/>
      <c r="U1501" s="384"/>
      <c r="V1501" s="384"/>
      <c r="W1501" s="384"/>
      <c r="X1501" s="384"/>
      <c r="Y1501" s="384"/>
      <c r="Z1501" s="590">
        <f t="shared" si="303"/>
        <v>52356.173000000003</v>
      </c>
      <c r="AA1501" s="384">
        <f t="shared" si="302"/>
        <v>4.8339388373511731</v>
      </c>
      <c r="AB1501" s="60">
        <f t="shared" si="302"/>
        <v>114378.973</v>
      </c>
      <c r="AC1501" s="737">
        <f t="shared" si="305"/>
        <v>4.8339388373511731</v>
      </c>
      <c r="AD1501" s="737">
        <f t="shared" si="305"/>
        <v>8.9144791876703593</v>
      </c>
      <c r="AE1501" s="390" t="str">
        <f>AE1506</f>
        <v>Badan Pendapatan</v>
      </c>
    </row>
    <row r="1502" spans="1:32" s="63" customFormat="1" ht="81.75" customHeight="1">
      <c r="A1502" s="385"/>
      <c r="B1502" s="1887"/>
      <c r="C1502" s="1898">
        <v>3</v>
      </c>
      <c r="D1502" s="1900" t="s">
        <v>107</v>
      </c>
      <c r="E1502" s="1905" t="s">
        <v>196</v>
      </c>
      <c r="F1502" s="1900" t="s">
        <v>65</v>
      </c>
      <c r="G1502" s="1898">
        <v>17</v>
      </c>
      <c r="H1502" s="1898">
        <v>67</v>
      </c>
      <c r="I1502" s="384" t="s">
        <v>1005</v>
      </c>
      <c r="J1502" s="741" t="s">
        <v>1006</v>
      </c>
      <c r="K1502" s="384">
        <v>100</v>
      </c>
      <c r="L1502" s="738">
        <f>[12]Sheet1!$T$61/1000</f>
        <v>928199.72526999994</v>
      </c>
      <c r="M1502" s="385">
        <f t="shared" si="300"/>
        <v>9.1079654193399495</v>
      </c>
      <c r="N1502" s="738">
        <v>84540.11</v>
      </c>
      <c r="O1502" s="385">
        <f t="shared" si="301"/>
        <v>21.54707866799065</v>
      </c>
      <c r="P1502" s="708">
        <f>199999925/1000</f>
        <v>199999.92499999999</v>
      </c>
      <c r="Q1502" s="737">
        <f>(R1502/L1502)*100</f>
        <v>3.1108391021771458</v>
      </c>
      <c r="R1502" s="708">
        <v>28874.799999999999</v>
      </c>
      <c r="S1502" s="384"/>
      <c r="T1502" s="384"/>
      <c r="U1502" s="384"/>
      <c r="V1502" s="384"/>
      <c r="W1502" s="384"/>
      <c r="X1502" s="384"/>
      <c r="Y1502" s="384"/>
      <c r="Z1502" s="590">
        <f t="shared" si="303"/>
        <v>28874.799999999999</v>
      </c>
      <c r="AA1502" s="384">
        <f t="shared" si="302"/>
        <v>9.1079654193399495</v>
      </c>
      <c r="AB1502" s="60">
        <f t="shared" si="302"/>
        <v>113414.91</v>
      </c>
      <c r="AC1502" s="737">
        <f t="shared" si="305"/>
        <v>9.1079654193399495</v>
      </c>
      <c r="AD1502" s="737">
        <f t="shared" si="305"/>
        <v>12.218804521517095</v>
      </c>
      <c r="AE1502" s="390" t="str">
        <f>AE1501</f>
        <v>Badan Pendapatan</v>
      </c>
    </row>
    <row r="1503" spans="1:32" s="63" customFormat="1" ht="63.75">
      <c r="A1503" s="385"/>
      <c r="B1503" s="1887"/>
      <c r="C1503" s="1898">
        <v>3</v>
      </c>
      <c r="D1503" s="1900" t="s">
        <v>107</v>
      </c>
      <c r="E1503" s="1905" t="s">
        <v>196</v>
      </c>
      <c r="F1503" s="1900" t="s">
        <v>65</v>
      </c>
      <c r="G1503" s="1898">
        <v>17</v>
      </c>
      <c r="H1503" s="1898">
        <v>68</v>
      </c>
      <c r="I1503" s="384" t="s">
        <v>1007</v>
      </c>
      <c r="J1503" s="741" t="s">
        <v>1008</v>
      </c>
      <c r="K1503" s="384">
        <v>100</v>
      </c>
      <c r="L1503" s="738">
        <f>[12]Sheet1!$T$62/1000</f>
        <v>1019224.8047100001</v>
      </c>
      <c r="M1503" s="385">
        <f t="shared" si="300"/>
        <v>7.2861403742160489</v>
      </c>
      <c r="N1503" s="738">
        <v>74262.149999999994</v>
      </c>
      <c r="O1503" s="385">
        <f t="shared" si="301"/>
        <v>22.07559568411595</v>
      </c>
      <c r="P1503" s="708">
        <f>224999947/1000</f>
        <v>224999.94699999999</v>
      </c>
      <c r="Q1503" s="737">
        <f>(R1503/L1503)*100</f>
        <v>3.7629578698207387</v>
      </c>
      <c r="R1503" s="708">
        <v>38353</v>
      </c>
      <c r="S1503" s="384"/>
      <c r="T1503" s="384"/>
      <c r="U1503" s="384"/>
      <c r="V1503" s="384"/>
      <c r="W1503" s="384"/>
      <c r="X1503" s="384"/>
      <c r="Y1503" s="384"/>
      <c r="Z1503" s="590">
        <f t="shared" si="303"/>
        <v>38353</v>
      </c>
      <c r="AA1503" s="384">
        <f t="shared" si="302"/>
        <v>7.2861403742160489</v>
      </c>
      <c r="AB1503" s="60">
        <f t="shared" si="302"/>
        <v>112615.15</v>
      </c>
      <c r="AC1503" s="737">
        <f t="shared" si="305"/>
        <v>7.2861403742160489</v>
      </c>
      <c r="AD1503" s="737">
        <f t="shared" si="305"/>
        <v>11.049098244036788</v>
      </c>
      <c r="AE1503" s="390" t="str">
        <f>AE1502</f>
        <v>Badan Pendapatan</v>
      </c>
    </row>
    <row r="1504" spans="1:32" s="63" customFormat="1" ht="25.5">
      <c r="A1504" s="385"/>
      <c r="B1504" s="1887"/>
      <c r="C1504" s="1898">
        <v>3</v>
      </c>
      <c r="D1504" s="1900" t="s">
        <v>107</v>
      </c>
      <c r="E1504" s="1905" t="s">
        <v>196</v>
      </c>
      <c r="F1504" s="1900" t="s">
        <v>65</v>
      </c>
      <c r="G1504" s="1898">
        <v>17</v>
      </c>
      <c r="H1504" s="1898">
        <v>49</v>
      </c>
      <c r="I1504" s="384" t="s">
        <v>954</v>
      </c>
      <c r="J1504" s="741" t="s">
        <v>955</v>
      </c>
      <c r="K1504" s="384">
        <v>100</v>
      </c>
      <c r="L1504" s="738">
        <f>[12]Sheet1!$T$63/1000</f>
        <v>105676.82</v>
      </c>
      <c r="M1504" s="385">
        <f t="shared" si="300"/>
        <v>58.691016629758543</v>
      </c>
      <c r="N1504" s="738">
        <v>62022.8</v>
      </c>
      <c r="O1504" s="385">
        <f t="shared" si="301"/>
        <v>0</v>
      </c>
      <c r="P1504" s="708">
        <v>0</v>
      </c>
      <c r="Q1504" s="737"/>
      <c r="R1504" s="708"/>
      <c r="S1504" s="384"/>
      <c r="T1504" s="384"/>
      <c r="U1504" s="384"/>
      <c r="V1504" s="384"/>
      <c r="W1504" s="384"/>
      <c r="X1504" s="384"/>
      <c r="Y1504" s="384"/>
      <c r="Z1504" s="590">
        <f t="shared" si="303"/>
        <v>0</v>
      </c>
      <c r="AA1504" s="384">
        <f t="shared" si="302"/>
        <v>58.691016629758543</v>
      </c>
      <c r="AB1504" s="60">
        <f t="shared" si="302"/>
        <v>62022.8</v>
      </c>
      <c r="AC1504" s="737">
        <f t="shared" si="305"/>
        <v>58.691016629758543</v>
      </c>
      <c r="AD1504" s="737"/>
      <c r="AE1504" s="390" t="str">
        <f>AE1503</f>
        <v>Badan Pendapatan</v>
      </c>
    </row>
    <row r="1505" spans="1:31" s="63" customFormat="1" ht="109.5" customHeight="1">
      <c r="A1505" s="385"/>
      <c r="B1505" s="1887" t="s">
        <v>956</v>
      </c>
      <c r="C1505" s="1898">
        <v>3</v>
      </c>
      <c r="D1505" s="1900" t="s">
        <v>107</v>
      </c>
      <c r="E1505" s="1905" t="s">
        <v>196</v>
      </c>
      <c r="F1505" s="1900" t="s">
        <v>65</v>
      </c>
      <c r="G1505" s="1898">
        <v>17</v>
      </c>
      <c r="H1505" s="1898">
        <v>36</v>
      </c>
      <c r="I1505" s="384" t="s">
        <v>1009</v>
      </c>
      <c r="J1505" s="741" t="s">
        <v>1010</v>
      </c>
      <c r="K1505" s="384">
        <v>100</v>
      </c>
      <c r="L1505" s="738">
        <f>[12]Sheet1!$T$56/1000</f>
        <v>863911.76040000003</v>
      </c>
      <c r="M1505" s="385">
        <f t="shared" si="300"/>
        <v>10.879392816285129</v>
      </c>
      <c r="N1505" s="738">
        <v>93988.354000000007</v>
      </c>
      <c r="O1505" s="385">
        <f t="shared" si="301"/>
        <v>18.576017523560033</v>
      </c>
      <c r="P1505" s="708">
        <f>160480400/1000</f>
        <v>160480.4</v>
      </c>
      <c r="Q1505" s="737">
        <f>(R1505/L1505)*100</f>
        <v>2.9996119034195754</v>
      </c>
      <c r="R1505" s="708">
        <v>25914</v>
      </c>
      <c r="S1505" s="384"/>
      <c r="T1505" s="384"/>
      <c r="U1505" s="384"/>
      <c r="V1505" s="384"/>
      <c r="W1505" s="384"/>
      <c r="X1505" s="384"/>
      <c r="Y1505" s="384"/>
      <c r="Z1505" s="590">
        <f t="shared" si="303"/>
        <v>25914</v>
      </c>
      <c r="AA1505" s="384">
        <f t="shared" si="302"/>
        <v>10.879392816285129</v>
      </c>
      <c r="AB1505" s="60">
        <f t="shared" si="302"/>
        <v>119902.35400000001</v>
      </c>
      <c r="AC1505" s="737">
        <f t="shared" si="305"/>
        <v>10.879392816285129</v>
      </c>
      <c r="AD1505" s="737">
        <f>(AB1505/L1505)*100</f>
        <v>13.879004719704705</v>
      </c>
      <c r="AE1505" s="390" t="str">
        <f>AE1496</f>
        <v>Badan Pendapatan</v>
      </c>
    </row>
    <row r="1506" spans="1:31" s="63" customFormat="1" ht="38.25">
      <c r="A1506" s="385"/>
      <c r="B1506" s="1887"/>
      <c r="C1506" s="1898">
        <v>3</v>
      </c>
      <c r="D1506" s="1900" t="s">
        <v>107</v>
      </c>
      <c r="E1506" s="1905" t="s">
        <v>196</v>
      </c>
      <c r="F1506" s="1900" t="s">
        <v>65</v>
      </c>
      <c r="G1506" s="1898">
        <v>17</v>
      </c>
      <c r="H1506" s="1898">
        <v>53</v>
      </c>
      <c r="I1506" s="384" t="s">
        <v>1011</v>
      </c>
      <c r="J1506" s="741" t="s">
        <v>1012</v>
      </c>
      <c r="K1506" s="384">
        <v>100</v>
      </c>
      <c r="L1506" s="738">
        <f>[12]Sheet1!$T$69/1000</f>
        <v>710949.8</v>
      </c>
      <c r="M1506" s="385">
        <f t="shared" si="300"/>
        <v>17.736132705853493</v>
      </c>
      <c r="N1506" s="738">
        <v>126095</v>
      </c>
      <c r="O1506" s="385">
        <f t="shared" si="301"/>
        <v>16.87882885683349</v>
      </c>
      <c r="P1506" s="708">
        <f>120000000/1000</f>
        <v>120000</v>
      </c>
      <c r="Q1506" s="737">
        <f>(R1506/L1506)*100</f>
        <v>0.15500391166858757</v>
      </c>
      <c r="R1506" s="708">
        <v>1102</v>
      </c>
      <c r="S1506" s="384"/>
      <c r="T1506" s="384"/>
      <c r="U1506" s="384"/>
      <c r="V1506" s="384"/>
      <c r="W1506" s="384"/>
      <c r="X1506" s="384"/>
      <c r="Y1506" s="384"/>
      <c r="Z1506" s="590">
        <f t="shared" si="303"/>
        <v>1102</v>
      </c>
      <c r="AA1506" s="384">
        <f t="shared" si="302"/>
        <v>17.736132705853493</v>
      </c>
      <c r="AB1506" s="60">
        <f t="shared" si="302"/>
        <v>127197</v>
      </c>
      <c r="AC1506" s="737">
        <f t="shared" si="305"/>
        <v>17.736132705853493</v>
      </c>
      <c r="AD1506" s="737">
        <f>(AB1506/L1506)*100</f>
        <v>17.891136617522079</v>
      </c>
      <c r="AE1506" s="390" t="str">
        <f>AE1497</f>
        <v>Badan Pendapatan</v>
      </c>
    </row>
    <row r="1507" spans="1:31" s="63" customFormat="1" ht="104.25" customHeight="1">
      <c r="A1507" s="385"/>
      <c r="B1507" s="1887"/>
      <c r="C1507" s="1898">
        <v>3</v>
      </c>
      <c r="D1507" s="1900" t="s">
        <v>107</v>
      </c>
      <c r="E1507" s="1905" t="s">
        <v>196</v>
      </c>
      <c r="F1507" s="1900" t="s">
        <v>65</v>
      </c>
      <c r="G1507" s="1898">
        <v>17</v>
      </c>
      <c r="H1507" s="1898">
        <v>30</v>
      </c>
      <c r="I1507" s="384" t="s">
        <v>957</v>
      </c>
      <c r="J1507" s="384" t="s">
        <v>958</v>
      </c>
      <c r="K1507" s="384">
        <v>100</v>
      </c>
      <c r="L1507" s="738">
        <f>[12]Sheet1!$T$64/1000</f>
        <v>64596.764000000003</v>
      </c>
      <c r="M1507" s="385">
        <f t="shared" si="300"/>
        <v>130.87360072712002</v>
      </c>
      <c r="N1507" s="738">
        <v>84540.111000000004</v>
      </c>
      <c r="O1507" s="385">
        <f t="shared" si="301"/>
        <v>0</v>
      </c>
      <c r="P1507" s="708">
        <v>0</v>
      </c>
      <c r="Q1507" s="737"/>
      <c r="R1507" s="708"/>
      <c r="S1507" s="384"/>
      <c r="T1507" s="384"/>
      <c r="U1507" s="384"/>
      <c r="V1507" s="384"/>
      <c r="W1507" s="384"/>
      <c r="X1507" s="384"/>
      <c r="Y1507" s="384"/>
      <c r="Z1507" s="590">
        <f t="shared" si="303"/>
        <v>0</v>
      </c>
      <c r="AA1507" s="384">
        <f t="shared" si="302"/>
        <v>130.87360072712002</v>
      </c>
      <c r="AB1507" s="60">
        <f t="shared" si="302"/>
        <v>84540.111000000004</v>
      </c>
      <c r="AC1507" s="737">
        <f t="shared" si="305"/>
        <v>130.87360072712002</v>
      </c>
      <c r="AD1507" s="737"/>
      <c r="AE1507" s="390" t="str">
        <f>AE1504</f>
        <v>Badan Pendapatan</v>
      </c>
    </row>
    <row r="1508" spans="1:31" s="63" customFormat="1" ht="38.25">
      <c r="A1508" s="385"/>
      <c r="B1508" s="1887"/>
      <c r="C1508" s="1898">
        <v>3</v>
      </c>
      <c r="D1508" s="1900" t="s">
        <v>107</v>
      </c>
      <c r="E1508" s="1905" t="s">
        <v>196</v>
      </c>
      <c r="F1508" s="1900" t="s">
        <v>65</v>
      </c>
      <c r="G1508" s="1898">
        <v>17</v>
      </c>
      <c r="H1508" s="1898">
        <v>59</v>
      </c>
      <c r="I1508" s="384" t="s">
        <v>959</v>
      </c>
      <c r="J1508" s="741" t="s">
        <v>960</v>
      </c>
      <c r="K1508" s="384">
        <v>100</v>
      </c>
      <c r="L1508" s="738">
        <f>[12]Sheet1!$T$65/1000</f>
        <v>86765</v>
      </c>
      <c r="M1508" s="385">
        <f t="shared" si="300"/>
        <v>85.589984440730703</v>
      </c>
      <c r="N1508" s="738">
        <v>74262.149999999994</v>
      </c>
      <c r="O1508" s="385">
        <f t="shared" si="301"/>
        <v>0</v>
      </c>
      <c r="P1508" s="708">
        <v>0</v>
      </c>
      <c r="Q1508" s="737"/>
      <c r="R1508" s="708"/>
      <c r="S1508" s="384"/>
      <c r="T1508" s="384"/>
      <c r="U1508" s="384"/>
      <c r="V1508" s="384"/>
      <c r="W1508" s="384"/>
      <c r="X1508" s="384"/>
      <c r="Y1508" s="384"/>
      <c r="Z1508" s="590">
        <f t="shared" si="303"/>
        <v>0</v>
      </c>
      <c r="AA1508" s="384">
        <f t="shared" si="302"/>
        <v>85.589984440730703</v>
      </c>
      <c r="AB1508" s="60">
        <f>N1508+Z1508</f>
        <v>74262.149999999994</v>
      </c>
      <c r="AC1508" s="737">
        <f t="shared" si="305"/>
        <v>85.589984440730703</v>
      </c>
      <c r="AD1508" s="737"/>
      <c r="AE1508" s="390" t="str">
        <f>AE1507</f>
        <v>Badan Pendapatan</v>
      </c>
    </row>
    <row r="1509" spans="1:31" s="63" customFormat="1" ht="38.25">
      <c r="A1509" s="385"/>
      <c r="B1509" s="1887"/>
      <c r="C1509" s="1898">
        <v>3</v>
      </c>
      <c r="D1509" s="1900" t="s">
        <v>107</v>
      </c>
      <c r="E1509" s="1905" t="s">
        <v>196</v>
      </c>
      <c r="F1509" s="1900" t="s">
        <v>65</v>
      </c>
      <c r="G1509" s="1898">
        <v>17</v>
      </c>
      <c r="H1509" s="1898">
        <v>60</v>
      </c>
      <c r="I1509" s="384" t="s">
        <v>961</v>
      </c>
      <c r="J1509" s="741" t="s">
        <v>962</v>
      </c>
      <c r="K1509" s="384">
        <v>100</v>
      </c>
      <c r="L1509" s="738">
        <f>[12]Sheet1!$T$66/1000</f>
        <v>79565</v>
      </c>
      <c r="M1509" s="385">
        <f t="shared" si="300"/>
        <v>80.069842267328596</v>
      </c>
      <c r="N1509" s="738">
        <v>63707.57</v>
      </c>
      <c r="O1509" s="385">
        <f t="shared" si="301"/>
        <v>0</v>
      </c>
      <c r="P1509" s="708">
        <v>0</v>
      </c>
      <c r="Q1509" s="737"/>
      <c r="R1509" s="708"/>
      <c r="S1509" s="384"/>
      <c r="T1509" s="384"/>
      <c r="U1509" s="384"/>
      <c r="V1509" s="384"/>
      <c r="W1509" s="384"/>
      <c r="X1509" s="384"/>
      <c r="Y1509" s="384"/>
      <c r="Z1509" s="590">
        <f t="shared" si="303"/>
        <v>0</v>
      </c>
      <c r="AA1509" s="384">
        <f t="shared" si="302"/>
        <v>80.069842267328596</v>
      </c>
      <c r="AB1509" s="60">
        <f t="shared" si="302"/>
        <v>63707.57</v>
      </c>
      <c r="AC1509" s="737">
        <f t="shared" si="305"/>
        <v>80.069842267328596</v>
      </c>
      <c r="AD1509" s="737"/>
      <c r="AE1509" s="390" t="str">
        <f>AE1508</f>
        <v>Badan Pendapatan</v>
      </c>
    </row>
    <row r="1510" spans="1:31" s="63" customFormat="1" ht="51">
      <c r="A1510" s="385"/>
      <c r="B1510" s="1887"/>
      <c r="C1510" s="1898">
        <v>3</v>
      </c>
      <c r="D1510" s="1900" t="s">
        <v>107</v>
      </c>
      <c r="E1510" s="1905" t="s">
        <v>196</v>
      </c>
      <c r="F1510" s="1900" t="s">
        <v>65</v>
      </c>
      <c r="G1510" s="1898">
        <v>17</v>
      </c>
      <c r="H1510" s="1898">
        <v>61</v>
      </c>
      <c r="I1510" s="384" t="s">
        <v>963</v>
      </c>
      <c r="J1510" s="741" t="s">
        <v>964</v>
      </c>
      <c r="K1510" s="384">
        <v>100</v>
      </c>
      <c r="L1510" s="738">
        <f>[12]Sheet1!$T$67/1000</f>
        <v>81365</v>
      </c>
      <c r="M1510" s="385">
        <f t="shared" si="300"/>
        <v>91.312591409082529</v>
      </c>
      <c r="N1510" s="738">
        <v>74296.490000000005</v>
      </c>
      <c r="O1510" s="385">
        <f t="shared" si="301"/>
        <v>0</v>
      </c>
      <c r="P1510" s="708">
        <v>0</v>
      </c>
      <c r="Q1510" s="737"/>
      <c r="R1510" s="708"/>
      <c r="S1510" s="384"/>
      <c r="T1510" s="384"/>
      <c r="U1510" s="384"/>
      <c r="V1510" s="384"/>
      <c r="W1510" s="384"/>
      <c r="X1510" s="384"/>
      <c r="Y1510" s="384"/>
      <c r="Z1510" s="590">
        <f t="shared" si="303"/>
        <v>0</v>
      </c>
      <c r="AA1510" s="384">
        <f t="shared" si="302"/>
        <v>91.312591409082529</v>
      </c>
      <c r="AB1510" s="60">
        <f t="shared" si="302"/>
        <v>74296.490000000005</v>
      </c>
      <c r="AC1510" s="737">
        <f t="shared" si="305"/>
        <v>91.312591409082529</v>
      </c>
      <c r="AD1510" s="737"/>
      <c r="AE1510" s="390" t="str">
        <f>AE1509</f>
        <v>Badan Pendapatan</v>
      </c>
    </row>
    <row r="1511" spans="1:31" s="63" customFormat="1" ht="55.5" customHeight="1">
      <c r="A1511" s="385"/>
      <c r="B1511" s="1887"/>
      <c r="C1511" s="1898">
        <v>3</v>
      </c>
      <c r="D1511" s="1900" t="s">
        <v>107</v>
      </c>
      <c r="E1511" s="1905" t="s">
        <v>196</v>
      </c>
      <c r="F1511" s="1900" t="s">
        <v>65</v>
      </c>
      <c r="G1511" s="1898">
        <v>17</v>
      </c>
      <c r="H1511" s="1898">
        <v>62</v>
      </c>
      <c r="I1511" s="384" t="s">
        <v>965</v>
      </c>
      <c r="J1511" s="741" t="s">
        <v>966</v>
      </c>
      <c r="K1511" s="384">
        <v>100</v>
      </c>
      <c r="L1511" s="738">
        <f>[12]Sheet1!$T$68/1000</f>
        <v>47611</v>
      </c>
      <c r="M1511" s="385">
        <f t="shared" si="300"/>
        <v>77.140114679380815</v>
      </c>
      <c r="N1511" s="738">
        <v>36727.18</v>
      </c>
      <c r="O1511" s="385">
        <f t="shared" si="301"/>
        <v>0</v>
      </c>
      <c r="P1511" s="708">
        <v>0</v>
      </c>
      <c r="Q1511" s="737"/>
      <c r="R1511" s="708"/>
      <c r="S1511" s="384"/>
      <c r="T1511" s="384"/>
      <c r="U1511" s="384"/>
      <c r="V1511" s="384"/>
      <c r="W1511" s="384"/>
      <c r="X1511" s="384"/>
      <c r="Y1511" s="384"/>
      <c r="Z1511" s="590">
        <f t="shared" si="303"/>
        <v>0</v>
      </c>
      <c r="AA1511" s="384">
        <f t="shared" si="302"/>
        <v>77.140114679380815</v>
      </c>
      <c r="AB1511" s="60">
        <f t="shared" si="302"/>
        <v>36727.18</v>
      </c>
      <c r="AC1511" s="737">
        <f t="shared" si="305"/>
        <v>77.140114679380815</v>
      </c>
      <c r="AD1511" s="737"/>
      <c r="AE1511" s="390" t="str">
        <f>AE1510</f>
        <v>Badan Pendapatan</v>
      </c>
    </row>
    <row r="1512" spans="1:31" s="63" customFormat="1" ht="25.5">
      <c r="A1512" s="385"/>
      <c r="B1512" s="1887"/>
      <c r="C1512" s="1898"/>
      <c r="D1512" s="1898"/>
      <c r="E1512" s="1904"/>
      <c r="F1512" s="1898"/>
      <c r="G1512" s="1898"/>
      <c r="H1512" s="1898"/>
      <c r="I1512" s="384" t="s">
        <v>1013</v>
      </c>
      <c r="J1512" s="741" t="s">
        <v>967</v>
      </c>
      <c r="K1512" s="384">
        <v>100</v>
      </c>
      <c r="L1512" s="738">
        <f>[12]Sheet1!$T$72/1000</f>
        <v>165000</v>
      </c>
      <c r="M1512" s="385">
        <f t="shared" si="300"/>
        <v>0</v>
      </c>
      <c r="N1512" s="738">
        <v>0</v>
      </c>
      <c r="O1512" s="385">
        <f t="shared" si="301"/>
        <v>0</v>
      </c>
      <c r="P1512" s="708">
        <v>0</v>
      </c>
      <c r="Q1512" s="737"/>
      <c r="R1512" s="708"/>
      <c r="S1512" s="384"/>
      <c r="T1512" s="384"/>
      <c r="U1512" s="384"/>
      <c r="V1512" s="384"/>
      <c r="W1512" s="384"/>
      <c r="X1512" s="384"/>
      <c r="Y1512" s="384"/>
      <c r="Z1512" s="590">
        <f t="shared" si="303"/>
        <v>0</v>
      </c>
      <c r="AA1512" s="384">
        <f t="shared" si="302"/>
        <v>0</v>
      </c>
      <c r="AB1512" s="60">
        <f t="shared" si="302"/>
        <v>0</v>
      </c>
      <c r="AC1512" s="737">
        <f t="shared" si="305"/>
        <v>0</v>
      </c>
      <c r="AD1512" s="737">
        <f>(AB1512/L1512)*100</f>
        <v>0</v>
      </c>
      <c r="AE1512" s="390" t="str">
        <f>AE1503</f>
        <v>Badan Pendapatan</v>
      </c>
    </row>
    <row r="1513" spans="1:31" s="63" customFormat="1" ht="25.5">
      <c r="A1513" s="385"/>
      <c r="B1513" s="1887"/>
      <c r="C1513" s="1898">
        <v>3</v>
      </c>
      <c r="D1513" s="1900" t="s">
        <v>107</v>
      </c>
      <c r="E1513" s="1905" t="s">
        <v>196</v>
      </c>
      <c r="F1513" s="1900" t="s">
        <v>65</v>
      </c>
      <c r="G1513" s="1898">
        <v>17</v>
      </c>
      <c r="H1513" s="1898">
        <v>87</v>
      </c>
      <c r="I1513" s="384" t="s">
        <v>1014</v>
      </c>
      <c r="J1513" s="741" t="s">
        <v>968</v>
      </c>
      <c r="K1513" s="384">
        <v>100</v>
      </c>
      <c r="L1513" s="738">
        <f>[12]Sheet1!$T$73/1000</f>
        <v>79551.516000000003</v>
      </c>
      <c r="M1513" s="385">
        <f t="shared" si="300"/>
        <v>0</v>
      </c>
      <c r="N1513" s="738">
        <v>0</v>
      </c>
      <c r="O1513" s="385">
        <f t="shared" si="301"/>
        <v>90.909090909090907</v>
      </c>
      <c r="P1513" s="708">
        <f>72319560/1000</f>
        <v>72319.56</v>
      </c>
      <c r="Q1513" s="737">
        <f>(R1513/L1513)*100</f>
        <v>14.9758302531909</v>
      </c>
      <c r="R1513" s="708">
        <v>11913.5</v>
      </c>
      <c r="S1513" s="384"/>
      <c r="T1513" s="384"/>
      <c r="U1513" s="384"/>
      <c r="V1513" s="384"/>
      <c r="W1513" s="384"/>
      <c r="X1513" s="384"/>
      <c r="Y1513" s="384"/>
      <c r="Z1513" s="590">
        <f t="shared" si="303"/>
        <v>11913.5</v>
      </c>
      <c r="AA1513" s="384">
        <f t="shared" si="302"/>
        <v>0</v>
      </c>
      <c r="AB1513" s="60">
        <f t="shared" si="302"/>
        <v>11913.5</v>
      </c>
      <c r="AC1513" s="737">
        <f t="shared" si="305"/>
        <v>0</v>
      </c>
      <c r="AD1513" s="737">
        <f>(AB1513/L1513)*100</f>
        <v>14.9758302531909</v>
      </c>
      <c r="AE1513" s="390" t="str">
        <f>AE1512</f>
        <v>Badan Pendapatan</v>
      </c>
    </row>
    <row r="1514" spans="1:31" s="63" customFormat="1" ht="25.5">
      <c r="A1514" s="385"/>
      <c r="B1514" s="1887"/>
      <c r="C1514" s="1898">
        <v>3</v>
      </c>
      <c r="D1514" s="1900" t="s">
        <v>107</v>
      </c>
      <c r="E1514" s="1905" t="s">
        <v>196</v>
      </c>
      <c r="F1514" s="1900" t="s">
        <v>65</v>
      </c>
      <c r="G1514" s="1898">
        <v>17</v>
      </c>
      <c r="H1514" s="1898">
        <v>88</v>
      </c>
      <c r="I1514" s="384" t="s">
        <v>1015</v>
      </c>
      <c r="J1514" s="741" t="s">
        <v>969</v>
      </c>
      <c r="K1514" s="384">
        <v>100</v>
      </c>
      <c r="L1514" s="738">
        <f>[12]Sheet1!$T$74/1000</f>
        <v>72640.284</v>
      </c>
      <c r="M1514" s="385">
        <f t="shared" si="300"/>
        <v>0</v>
      </c>
      <c r="N1514" s="738">
        <v>0</v>
      </c>
      <c r="O1514" s="385">
        <f t="shared" si="301"/>
        <v>82.644628702167523</v>
      </c>
      <c r="P1514" s="708">
        <f>60033293/1000</f>
        <v>60033.292999999998</v>
      </c>
      <c r="Q1514" s="737">
        <f>(R1514/L1514)*100</f>
        <v>11.002159628120395</v>
      </c>
      <c r="R1514" s="708">
        <v>7992</v>
      </c>
      <c r="S1514" s="384"/>
      <c r="T1514" s="384"/>
      <c r="U1514" s="384"/>
      <c r="V1514" s="384"/>
      <c r="W1514" s="384"/>
      <c r="X1514" s="384"/>
      <c r="Y1514" s="384"/>
      <c r="Z1514" s="590">
        <f t="shared" si="303"/>
        <v>7992</v>
      </c>
      <c r="AA1514" s="384">
        <f t="shared" si="302"/>
        <v>0</v>
      </c>
      <c r="AB1514" s="60">
        <f t="shared" si="302"/>
        <v>7992</v>
      </c>
      <c r="AC1514" s="737">
        <f t="shared" si="305"/>
        <v>0</v>
      </c>
      <c r="AD1514" s="737">
        <f>(AB1514/L1514)*100</f>
        <v>11.002159628120395</v>
      </c>
      <c r="AE1514" s="390" t="str">
        <f>AE1513</f>
        <v>Badan Pendapatan</v>
      </c>
    </row>
    <row r="1515" spans="1:31" s="63" customFormat="1" ht="25.5">
      <c r="A1515" s="385"/>
      <c r="B1515" s="1887"/>
      <c r="C1515" s="1898">
        <v>3</v>
      </c>
      <c r="D1515" s="1900" t="s">
        <v>107</v>
      </c>
      <c r="E1515" s="1905" t="s">
        <v>196</v>
      </c>
      <c r="F1515" s="1900" t="s">
        <v>65</v>
      </c>
      <c r="G1515" s="1898">
        <v>17</v>
      </c>
      <c r="H1515" s="1898">
        <v>89</v>
      </c>
      <c r="I1515" s="384" t="s">
        <v>1016</v>
      </c>
      <c r="J1515" s="384" t="s">
        <v>970</v>
      </c>
      <c r="K1515" s="384">
        <v>100</v>
      </c>
      <c r="L1515" s="738">
        <f>[12]Sheet1!$T$75/1000</f>
        <v>121040.363</v>
      </c>
      <c r="M1515" s="385">
        <f t="shared" si="300"/>
        <v>0</v>
      </c>
      <c r="N1515" s="738">
        <v>0</v>
      </c>
      <c r="O1515" s="384">
        <v>80</v>
      </c>
      <c r="P1515" s="708">
        <f>97616694/1000</f>
        <v>97616.694000000003</v>
      </c>
      <c r="Q1515" s="737">
        <f>(R1515/L1515)*100</f>
        <v>5.5064276368701908</v>
      </c>
      <c r="R1515" s="708">
        <v>6665</v>
      </c>
      <c r="S1515" s="384"/>
      <c r="T1515" s="384"/>
      <c r="U1515" s="384"/>
      <c r="V1515" s="384"/>
      <c r="W1515" s="384"/>
      <c r="X1515" s="384"/>
      <c r="Y1515" s="384"/>
      <c r="Z1515" s="590">
        <f t="shared" si="303"/>
        <v>6665</v>
      </c>
      <c r="AA1515" s="384">
        <f t="shared" si="302"/>
        <v>0</v>
      </c>
      <c r="AB1515" s="60">
        <f t="shared" si="302"/>
        <v>6665</v>
      </c>
      <c r="AC1515" s="737">
        <f t="shared" si="305"/>
        <v>0</v>
      </c>
      <c r="AD1515" s="737">
        <f>(AB1515/L1515)*100</f>
        <v>5.5064276368701908</v>
      </c>
      <c r="AE1515" s="390" t="str">
        <f>AE1514</f>
        <v>Badan Pendapatan</v>
      </c>
    </row>
    <row r="1516" spans="1:31" s="63" customFormat="1" ht="25.5">
      <c r="A1516" s="385"/>
      <c r="B1516" s="1887"/>
      <c r="C1516" s="1898">
        <v>3</v>
      </c>
      <c r="D1516" s="1900" t="s">
        <v>107</v>
      </c>
      <c r="E1516" s="1905" t="s">
        <v>196</v>
      </c>
      <c r="F1516" s="1900" t="s">
        <v>65</v>
      </c>
      <c r="G1516" s="1898">
        <v>17</v>
      </c>
      <c r="H1516" s="1898">
        <v>64</v>
      </c>
      <c r="I1516" s="384" t="s">
        <v>971</v>
      </c>
      <c r="J1516" s="384" t="s">
        <v>971</v>
      </c>
      <c r="K1516" s="384">
        <v>100</v>
      </c>
      <c r="L1516" s="738">
        <f>[14]Sheet1!$T$76/1000</f>
        <v>98799.888000000006</v>
      </c>
      <c r="M1516" s="385">
        <f t="shared" si="300"/>
        <v>101.73956877360023</v>
      </c>
      <c r="N1516" s="738">
        <v>100518.58</v>
      </c>
      <c r="O1516" s="384">
        <v>80</v>
      </c>
      <c r="P1516" s="708">
        <v>0</v>
      </c>
      <c r="Q1516" s="737"/>
      <c r="R1516" s="708"/>
      <c r="S1516" s="384"/>
      <c r="T1516" s="384"/>
      <c r="U1516" s="384"/>
      <c r="V1516" s="384"/>
      <c r="W1516" s="384"/>
      <c r="X1516" s="384"/>
      <c r="Y1516" s="384"/>
      <c r="Z1516" s="590">
        <f t="shared" si="303"/>
        <v>0</v>
      </c>
      <c r="AA1516" s="384">
        <f t="shared" si="302"/>
        <v>101.73956877360023</v>
      </c>
      <c r="AB1516" s="60">
        <f t="shared" si="302"/>
        <v>100518.58</v>
      </c>
      <c r="AC1516" s="737">
        <f>(AA1516/K1516)*100</f>
        <v>101.73956877360023</v>
      </c>
      <c r="AD1516" s="737">
        <f>(AB1516/L1516)*100</f>
        <v>101.73956877360023</v>
      </c>
      <c r="AE1516" s="390"/>
    </row>
    <row r="1517" spans="1:31" s="494" customFormat="1" ht="14.1" customHeight="1">
      <c r="A1517" s="4427" t="s">
        <v>100</v>
      </c>
      <c r="B1517" s="4427"/>
      <c r="C1517" s="4427"/>
      <c r="D1517" s="4427"/>
      <c r="E1517" s="4427"/>
      <c r="F1517" s="4427"/>
      <c r="G1517" s="4427"/>
      <c r="H1517" s="4427"/>
      <c r="I1517" s="4427"/>
      <c r="J1517" s="4427"/>
      <c r="K1517" s="4427"/>
      <c r="L1517" s="4427"/>
      <c r="M1517" s="4427"/>
      <c r="N1517" s="4427"/>
      <c r="O1517" s="4427"/>
      <c r="P1517" s="746">
        <f>P1492+P1488+P1486+P1470+P1458</f>
        <v>2864561.1079999995</v>
      </c>
      <c r="Q1517" s="4428"/>
      <c r="R1517" s="4428"/>
      <c r="S1517" s="4428"/>
      <c r="T1517" s="4428"/>
      <c r="U1517" s="4428"/>
      <c r="V1517" s="4428"/>
      <c r="W1517" s="4428"/>
      <c r="X1517" s="4428"/>
      <c r="Y1517" s="4428"/>
      <c r="Z1517" s="4428"/>
      <c r="AA1517" s="4428"/>
      <c r="AB1517" s="496">
        <f>AB1492+AB1488+AB1486+AB1470+AB1458</f>
        <v>4208297.5058855806</v>
      </c>
      <c r="AC1517" s="497"/>
      <c r="AD1517" s="497"/>
      <c r="AE1517" s="1891"/>
    </row>
    <row r="1518" spans="1:31" s="494" customFormat="1">
      <c r="A1518" s="4427" t="s">
        <v>101</v>
      </c>
      <c r="B1518" s="4427"/>
      <c r="C1518" s="4427"/>
      <c r="D1518" s="4427"/>
      <c r="E1518" s="4427"/>
      <c r="F1518" s="4427"/>
      <c r="G1518" s="4427"/>
      <c r="H1518" s="4427"/>
      <c r="I1518" s="4427"/>
      <c r="J1518" s="4427"/>
      <c r="K1518" s="4427"/>
      <c r="L1518" s="4427"/>
      <c r="M1518" s="4427"/>
      <c r="N1518" s="4427"/>
      <c r="O1518" s="4427"/>
      <c r="P1518" s="4427"/>
      <c r="Q1518" s="4427"/>
      <c r="R1518" s="4427"/>
      <c r="S1518" s="4427"/>
      <c r="T1518" s="4427"/>
      <c r="U1518" s="4427"/>
      <c r="V1518" s="4427"/>
      <c r="W1518" s="4427"/>
      <c r="X1518" s="4427"/>
      <c r="Y1518" s="4427"/>
      <c r="Z1518" s="4427"/>
      <c r="AA1518" s="4427"/>
      <c r="AB1518" s="4427"/>
      <c r="AC1518" s="609">
        <f>AVERAGE(AD1458,AD1470,AD1486,AD1488,AD1492)</f>
        <v>178.51992548294979</v>
      </c>
      <c r="AD1518" s="609">
        <f>(AB1517/P1517)*100</f>
        <v>146.90898002255435</v>
      </c>
      <c r="AE1518" s="1891"/>
    </row>
    <row r="1519" spans="1:31" s="494" customFormat="1">
      <c r="A1519" s="4427" t="s">
        <v>102</v>
      </c>
      <c r="B1519" s="4427"/>
      <c r="C1519" s="4427"/>
      <c r="D1519" s="4427"/>
      <c r="E1519" s="4427"/>
      <c r="F1519" s="4427"/>
      <c r="G1519" s="4427"/>
      <c r="H1519" s="4427"/>
      <c r="I1519" s="4427"/>
      <c r="J1519" s="4427"/>
      <c r="K1519" s="4427"/>
      <c r="L1519" s="4427"/>
      <c r="M1519" s="4427"/>
      <c r="N1519" s="4427"/>
      <c r="O1519" s="4427"/>
      <c r="P1519" s="4427"/>
      <c r="Q1519" s="4427"/>
      <c r="R1519" s="4427"/>
      <c r="S1519" s="4427"/>
      <c r="T1519" s="4427"/>
      <c r="U1519" s="4427"/>
      <c r="V1519" s="4427"/>
      <c r="W1519" s="4427"/>
      <c r="X1519" s="4427"/>
      <c r="Y1519" s="4427"/>
      <c r="Z1519" s="4427"/>
      <c r="AA1519" s="4427"/>
      <c r="AB1519" s="4427"/>
      <c r="AC1519" s="1891" t="str">
        <f>IF(AC1518&gt;=45,"ST",IF(AC1518&gt;=38,"T",IF(AC1518&gt;=32,"S",IF(AC1518&gt;=25,"R","SR"))))</f>
        <v>ST</v>
      </c>
      <c r="AD1519" s="1891" t="str">
        <f>IF(AD1518&gt;=45,"ST",IF(AD1518&gt;=38,"T",IF(AD1518&gt;=32,"S",IF(AD1518&gt;=25,"R","SR"))))</f>
        <v>ST</v>
      </c>
      <c r="AE1519" s="1891"/>
    </row>
    <row r="1520" spans="1:31" ht="19.5" customHeight="1">
      <c r="A1520" s="1888"/>
      <c r="B1520" s="1889"/>
      <c r="C1520" s="1889"/>
      <c r="D1520" s="1889"/>
      <c r="E1520" s="1889"/>
      <c r="F1520" s="1889"/>
      <c r="G1520" s="1889"/>
      <c r="H1520" s="1889"/>
      <c r="I1520" s="1889"/>
      <c r="J1520" s="1889"/>
      <c r="K1520" s="1889"/>
      <c r="L1520" s="1889"/>
      <c r="M1520" s="1889"/>
      <c r="N1520" s="1889"/>
      <c r="O1520" s="1889"/>
      <c r="P1520" s="1889"/>
      <c r="Q1520" s="1889"/>
      <c r="R1520" s="1889"/>
      <c r="S1520" s="1889"/>
      <c r="T1520" s="1889"/>
      <c r="U1520" s="1889"/>
      <c r="V1520" s="1889"/>
      <c r="W1520" s="1889"/>
      <c r="X1520" s="1889"/>
      <c r="Y1520" s="1889"/>
      <c r="Z1520" s="1889"/>
      <c r="AA1520" s="1889"/>
      <c r="AB1520" s="1889"/>
      <c r="AC1520" s="1889"/>
      <c r="AD1520" s="1889"/>
      <c r="AE1520" s="1890"/>
    </row>
    <row r="1521" spans="1:31" s="69" customFormat="1" ht="24.75" customHeight="1">
      <c r="A1521" s="366">
        <v>34</v>
      </c>
      <c r="B1521" s="67"/>
      <c r="C1521" s="67"/>
      <c r="D1521" s="67"/>
      <c r="E1521" s="67"/>
      <c r="F1521" s="67"/>
      <c r="G1521" s="67"/>
      <c r="H1521" s="67"/>
      <c r="I1521" s="68" t="s">
        <v>907</v>
      </c>
      <c r="J1521" s="67"/>
      <c r="K1521" s="67"/>
      <c r="L1521" s="67"/>
      <c r="M1521" s="67"/>
      <c r="N1521" s="67"/>
      <c r="O1521" s="67"/>
      <c r="P1521" s="67"/>
      <c r="Q1521" s="67"/>
      <c r="R1521" s="67"/>
      <c r="S1521" s="67"/>
      <c r="T1521" s="67"/>
      <c r="U1521" s="67"/>
      <c r="V1521" s="67"/>
      <c r="W1521" s="67"/>
      <c r="X1521" s="67"/>
      <c r="Y1521" s="366"/>
      <c r="Z1521" s="67"/>
      <c r="AA1521" s="67"/>
      <c r="AB1521" s="67"/>
      <c r="AC1521" s="67"/>
      <c r="AD1521" s="67"/>
      <c r="AE1521" s="67"/>
    </row>
    <row r="1522" spans="1:31" s="934" customFormat="1" ht="90" customHeight="1">
      <c r="A1522" s="987"/>
      <c r="B1522" s="991" t="s">
        <v>1233</v>
      </c>
      <c r="C1522" s="920">
        <v>3</v>
      </c>
      <c r="D1522" s="921" t="s">
        <v>107</v>
      </c>
      <c r="E1522" s="921" t="s">
        <v>95</v>
      </c>
      <c r="F1522" s="921" t="s">
        <v>66</v>
      </c>
      <c r="G1522" s="921">
        <v>31</v>
      </c>
      <c r="H1522" s="922">
        <v>38</v>
      </c>
      <c r="I1522" s="923" t="s">
        <v>1234</v>
      </c>
      <c r="J1522" s="923" t="s">
        <v>1235</v>
      </c>
      <c r="K1522" s="924">
        <v>35778</v>
      </c>
      <c r="L1522" s="925">
        <v>324996000</v>
      </c>
      <c r="M1522" s="922">
        <v>7178</v>
      </c>
      <c r="N1522" s="926">
        <v>158533000</v>
      </c>
      <c r="O1522" s="927">
        <v>2700</v>
      </c>
      <c r="P1522" s="928">
        <v>40449100</v>
      </c>
      <c r="Q1522" s="922">
        <v>606</v>
      </c>
      <c r="R1522" s="925">
        <v>6623000</v>
      </c>
      <c r="S1522" s="922"/>
      <c r="T1522" s="922"/>
      <c r="U1522" s="922"/>
      <c r="V1522" s="922"/>
      <c r="W1522" s="922"/>
      <c r="X1522" s="922"/>
      <c r="Y1522" s="929">
        <f>Q1522</f>
        <v>606</v>
      </c>
      <c r="Z1522" s="930">
        <f>R1522</f>
        <v>6623000</v>
      </c>
      <c r="AA1522" s="922">
        <f t="shared" ref="AA1522:AB1537" si="306">M1522+Y1522</f>
        <v>7784</v>
      </c>
      <c r="AB1522" s="931">
        <f t="shared" si="306"/>
        <v>165156000</v>
      </c>
      <c r="AC1522" s="932">
        <f t="shared" ref="AC1522:AD1536" si="307">(AA1522/K1522)*100</f>
        <v>21.75638660629437</v>
      </c>
      <c r="AD1522" s="933">
        <f t="shared" si="307"/>
        <v>50.817856219768856</v>
      </c>
      <c r="AE1522" s="922" t="s">
        <v>1232</v>
      </c>
    </row>
    <row r="1523" spans="1:31" s="934" customFormat="1" ht="106.5" customHeight="1">
      <c r="A1523" s="987"/>
      <c r="B1523" s="987"/>
      <c r="C1523" s="935">
        <v>3</v>
      </c>
      <c r="D1523" s="936" t="s">
        <v>107</v>
      </c>
      <c r="E1523" s="936" t="s">
        <v>95</v>
      </c>
      <c r="F1523" s="936" t="s">
        <v>66</v>
      </c>
      <c r="G1523" s="936">
        <v>31</v>
      </c>
      <c r="H1523" s="922">
        <v>56</v>
      </c>
      <c r="I1523" s="923" t="s">
        <v>1236</v>
      </c>
      <c r="J1523" s="923" t="s">
        <v>1237</v>
      </c>
      <c r="K1523" s="924">
        <v>8340</v>
      </c>
      <c r="L1523" s="925">
        <v>1057125000</v>
      </c>
      <c r="M1523" s="922">
        <v>1240</v>
      </c>
      <c r="N1523" s="926">
        <v>195259000</v>
      </c>
      <c r="O1523" s="927">
        <v>1600</v>
      </c>
      <c r="P1523" s="928">
        <v>151704986</v>
      </c>
      <c r="Q1523" s="922">
        <v>1056</v>
      </c>
      <c r="R1523" s="931">
        <v>56963000</v>
      </c>
      <c r="S1523" s="922"/>
      <c r="T1523" s="922"/>
      <c r="U1523" s="922"/>
      <c r="V1523" s="922"/>
      <c r="W1523" s="922"/>
      <c r="X1523" s="922"/>
      <c r="Y1523" s="929">
        <f t="shared" ref="Y1523:Z1527" si="308">Q1523</f>
        <v>1056</v>
      </c>
      <c r="Z1523" s="930">
        <f t="shared" si="308"/>
        <v>56963000</v>
      </c>
      <c r="AA1523" s="922">
        <f t="shared" si="306"/>
        <v>2296</v>
      </c>
      <c r="AB1523" s="931">
        <f t="shared" si="306"/>
        <v>252222000</v>
      </c>
      <c r="AC1523" s="932">
        <f t="shared" si="307"/>
        <v>27.529976019184655</v>
      </c>
      <c r="AD1523" s="933">
        <f t="shared" si="307"/>
        <v>23.859240865555162</v>
      </c>
      <c r="AE1523" s="922" t="s">
        <v>1232</v>
      </c>
    </row>
    <row r="1524" spans="1:31" s="934" customFormat="1" ht="92.25" customHeight="1">
      <c r="A1524" s="987"/>
      <c r="B1524" s="987"/>
      <c r="C1524" s="935">
        <v>3</v>
      </c>
      <c r="D1524" s="936" t="s">
        <v>107</v>
      </c>
      <c r="E1524" s="936" t="s">
        <v>95</v>
      </c>
      <c r="F1524" s="936" t="s">
        <v>66</v>
      </c>
      <c r="G1524" s="936">
        <v>31</v>
      </c>
      <c r="H1524" s="922">
        <v>37</v>
      </c>
      <c r="I1524" s="923" t="s">
        <v>1238</v>
      </c>
      <c r="J1524" s="923" t="s">
        <v>1239</v>
      </c>
      <c r="K1524" s="924">
        <v>1257</v>
      </c>
      <c r="L1524" s="925">
        <v>473851000</v>
      </c>
      <c r="M1524" s="924">
        <v>208</v>
      </c>
      <c r="N1524" s="926">
        <v>83148000</v>
      </c>
      <c r="O1524" s="927">
        <v>200</v>
      </c>
      <c r="P1524" s="928">
        <v>43401950</v>
      </c>
      <c r="Q1524" s="924">
        <v>49</v>
      </c>
      <c r="R1524" s="925">
        <v>1554000</v>
      </c>
      <c r="S1524" s="922"/>
      <c r="T1524" s="922"/>
      <c r="U1524" s="922"/>
      <c r="V1524" s="922"/>
      <c r="W1524" s="922"/>
      <c r="X1524" s="922"/>
      <c r="Y1524" s="929">
        <f t="shared" si="308"/>
        <v>49</v>
      </c>
      <c r="Z1524" s="930">
        <f t="shared" si="308"/>
        <v>1554000</v>
      </c>
      <c r="AA1524" s="922">
        <f t="shared" si="306"/>
        <v>257</v>
      </c>
      <c r="AB1524" s="931">
        <f t="shared" si="306"/>
        <v>84702000</v>
      </c>
      <c r="AC1524" s="933">
        <f t="shared" si="307"/>
        <v>20.445505171042164</v>
      </c>
      <c r="AD1524" s="933">
        <f t="shared" si="307"/>
        <v>17.875239262975072</v>
      </c>
      <c r="AE1524" s="922" t="s">
        <v>1232</v>
      </c>
    </row>
    <row r="1525" spans="1:31" s="934" customFormat="1" ht="76.5" customHeight="1">
      <c r="A1525" s="987"/>
      <c r="B1525" s="987"/>
      <c r="C1525" s="935">
        <v>3</v>
      </c>
      <c r="D1525" s="936" t="s">
        <v>107</v>
      </c>
      <c r="E1525" s="936" t="s">
        <v>95</v>
      </c>
      <c r="F1525" s="936" t="s">
        <v>66</v>
      </c>
      <c r="G1525" s="936">
        <v>31</v>
      </c>
      <c r="H1525" s="922">
        <v>53</v>
      </c>
      <c r="I1525" s="923" t="s">
        <v>1240</v>
      </c>
      <c r="J1525" s="923" t="s">
        <v>1241</v>
      </c>
      <c r="K1525" s="922">
        <v>405</v>
      </c>
      <c r="L1525" s="925">
        <v>297969000</v>
      </c>
      <c r="M1525" s="922">
        <v>0</v>
      </c>
      <c r="N1525" s="937">
        <v>0</v>
      </c>
      <c r="O1525" s="927">
        <v>105</v>
      </c>
      <c r="P1525" s="928">
        <v>72969600</v>
      </c>
      <c r="Q1525" s="922">
        <v>86</v>
      </c>
      <c r="R1525" s="931">
        <v>21790000</v>
      </c>
      <c r="S1525" s="922"/>
      <c r="T1525" s="922"/>
      <c r="U1525" s="922"/>
      <c r="V1525" s="922"/>
      <c r="W1525" s="922"/>
      <c r="X1525" s="922"/>
      <c r="Y1525" s="929">
        <f t="shared" si="308"/>
        <v>86</v>
      </c>
      <c r="Z1525" s="930">
        <f t="shared" si="308"/>
        <v>21790000</v>
      </c>
      <c r="AA1525" s="922">
        <f t="shared" si="306"/>
        <v>86</v>
      </c>
      <c r="AB1525" s="931">
        <f t="shared" si="306"/>
        <v>21790000</v>
      </c>
      <c r="AC1525" s="933">
        <f t="shared" si="307"/>
        <v>21.23456790123457</v>
      </c>
      <c r="AD1525" s="933">
        <f t="shared" si="307"/>
        <v>7.3128412687225852</v>
      </c>
      <c r="AE1525" s="922" t="s">
        <v>1232</v>
      </c>
    </row>
    <row r="1526" spans="1:31" s="934" customFormat="1" ht="78" customHeight="1">
      <c r="A1526" s="987"/>
      <c r="B1526" s="987"/>
      <c r="C1526" s="935">
        <v>3</v>
      </c>
      <c r="D1526" s="936" t="s">
        <v>107</v>
      </c>
      <c r="E1526" s="936" t="s">
        <v>95</v>
      </c>
      <c r="F1526" s="936" t="s">
        <v>66</v>
      </c>
      <c r="G1526" s="936">
        <v>31</v>
      </c>
      <c r="H1526" s="938">
        <v>22</v>
      </c>
      <c r="I1526" s="923" t="s">
        <v>1242</v>
      </c>
      <c r="J1526" s="923" t="s">
        <v>1243</v>
      </c>
      <c r="K1526" s="922">
        <f>462+448+300+300+300+300</f>
        <v>2110</v>
      </c>
      <c r="L1526" s="925">
        <v>225596000</v>
      </c>
      <c r="M1526" s="922">
        <v>448</v>
      </c>
      <c r="N1526" s="926">
        <v>48135000</v>
      </c>
      <c r="O1526" s="927">
        <v>200</v>
      </c>
      <c r="P1526" s="928">
        <v>34168100</v>
      </c>
      <c r="Q1526" s="922">
        <v>244</v>
      </c>
      <c r="R1526" s="925">
        <v>11883000</v>
      </c>
      <c r="S1526" s="922"/>
      <c r="T1526" s="922"/>
      <c r="U1526" s="922"/>
      <c r="V1526" s="922"/>
      <c r="W1526" s="922"/>
      <c r="X1526" s="922"/>
      <c r="Y1526" s="929">
        <f t="shared" si="308"/>
        <v>244</v>
      </c>
      <c r="Z1526" s="930">
        <f t="shared" si="308"/>
        <v>11883000</v>
      </c>
      <c r="AA1526" s="922">
        <f t="shared" si="306"/>
        <v>692</v>
      </c>
      <c r="AB1526" s="931">
        <f t="shared" si="306"/>
        <v>60018000</v>
      </c>
      <c r="AC1526" s="933">
        <f t="shared" si="307"/>
        <v>32.796208530805686</v>
      </c>
      <c r="AD1526" s="933">
        <f t="shared" si="307"/>
        <v>26.604195109842372</v>
      </c>
      <c r="AE1526" s="922" t="s">
        <v>1232</v>
      </c>
    </row>
    <row r="1527" spans="1:31" s="934" customFormat="1" ht="136.5" customHeight="1">
      <c r="A1527" s="987"/>
      <c r="B1527" s="987"/>
      <c r="C1527" s="935">
        <v>3</v>
      </c>
      <c r="D1527" s="936" t="s">
        <v>107</v>
      </c>
      <c r="E1527" s="936" t="s">
        <v>95</v>
      </c>
      <c r="F1527" s="936" t="s">
        <v>66</v>
      </c>
      <c r="G1527" s="936">
        <v>31</v>
      </c>
      <c r="H1527" s="922">
        <v>28</v>
      </c>
      <c r="I1527" s="923" t="s">
        <v>1244</v>
      </c>
      <c r="J1527" s="923" t="s">
        <v>1245</v>
      </c>
      <c r="K1527" s="922">
        <f>875+946+950+950+950+950</f>
        <v>5621</v>
      </c>
      <c r="L1527" s="925">
        <v>210809000</v>
      </c>
      <c r="M1527" s="922">
        <v>946</v>
      </c>
      <c r="N1527" s="926">
        <v>30368000</v>
      </c>
      <c r="O1527" s="927">
        <v>1050</v>
      </c>
      <c r="P1527" s="928">
        <v>17289100</v>
      </c>
      <c r="Q1527" s="922">
        <v>493</v>
      </c>
      <c r="R1527" s="925">
        <v>863000</v>
      </c>
      <c r="S1527" s="922"/>
      <c r="T1527" s="922"/>
      <c r="U1527" s="922"/>
      <c r="V1527" s="922"/>
      <c r="W1527" s="922"/>
      <c r="X1527" s="922"/>
      <c r="Y1527" s="929">
        <f t="shared" si="308"/>
        <v>493</v>
      </c>
      <c r="Z1527" s="930">
        <f t="shared" si="308"/>
        <v>863000</v>
      </c>
      <c r="AA1527" s="922">
        <f t="shared" si="306"/>
        <v>1439</v>
      </c>
      <c r="AB1527" s="931">
        <f t="shared" si="306"/>
        <v>31231000</v>
      </c>
      <c r="AC1527" s="933">
        <f t="shared" si="307"/>
        <v>25.600426970289984</v>
      </c>
      <c r="AD1527" s="933">
        <f t="shared" si="307"/>
        <v>14.814832383816631</v>
      </c>
      <c r="AE1527" s="922" t="s">
        <v>1232</v>
      </c>
    </row>
    <row r="1528" spans="1:31" s="934" customFormat="1" ht="34.5" customHeight="1">
      <c r="A1528" s="968">
        <v>2</v>
      </c>
      <c r="B1528" s="940"/>
      <c r="C1528" s="941">
        <v>3</v>
      </c>
      <c r="D1528" s="942" t="s">
        <v>107</v>
      </c>
      <c r="E1528" s="942" t="s">
        <v>95</v>
      </c>
      <c r="F1528" s="942" t="s">
        <v>66</v>
      </c>
      <c r="G1528" s="942">
        <v>31</v>
      </c>
      <c r="H1528" s="943"/>
      <c r="I1528" s="4568" t="s">
        <v>1246</v>
      </c>
      <c r="J1528" s="4569"/>
      <c r="K1528" s="941">
        <f>SUM(K1529:K1539)</f>
        <v>17669</v>
      </c>
      <c r="L1528" s="944">
        <f t="shared" ref="L1528:AB1528" si="309">SUM(L1529:L1539)</f>
        <v>7053369000</v>
      </c>
      <c r="M1528" s="941">
        <f t="shared" si="309"/>
        <v>6140</v>
      </c>
      <c r="N1528" s="944">
        <f t="shared" si="309"/>
        <v>2334249092</v>
      </c>
      <c r="O1528" s="941">
        <f t="shared" si="309"/>
        <v>2548</v>
      </c>
      <c r="P1528" s="944">
        <f t="shared" si="309"/>
        <v>980455062</v>
      </c>
      <c r="Q1528" s="941">
        <f t="shared" si="309"/>
        <v>1850</v>
      </c>
      <c r="R1528" s="944">
        <f t="shared" si="309"/>
        <v>220317969</v>
      </c>
      <c r="S1528" s="941"/>
      <c r="T1528" s="941"/>
      <c r="U1528" s="941"/>
      <c r="V1528" s="941"/>
      <c r="W1528" s="941"/>
      <c r="X1528" s="941"/>
      <c r="Y1528" s="941">
        <f t="shared" si="309"/>
        <v>1850</v>
      </c>
      <c r="Z1528" s="944">
        <f t="shared" si="309"/>
        <v>220317969</v>
      </c>
      <c r="AA1528" s="941">
        <f t="shared" si="309"/>
        <v>7990</v>
      </c>
      <c r="AB1528" s="944">
        <f t="shared" si="309"/>
        <v>2554567061</v>
      </c>
      <c r="AC1528" s="945"/>
      <c r="AD1528" s="945"/>
      <c r="AE1528" s="946" t="s">
        <v>1232</v>
      </c>
    </row>
    <row r="1529" spans="1:31" s="934" customFormat="1" ht="75.75" customHeight="1">
      <c r="A1529" s="987"/>
      <c r="B1529" s="987" t="s">
        <v>1247</v>
      </c>
      <c r="C1529" s="935">
        <v>3</v>
      </c>
      <c r="D1529" s="936" t="s">
        <v>107</v>
      </c>
      <c r="E1529" s="936" t="s">
        <v>95</v>
      </c>
      <c r="F1529" s="936" t="s">
        <v>66</v>
      </c>
      <c r="G1529" s="936">
        <v>31</v>
      </c>
      <c r="H1529" s="938" t="s">
        <v>65</v>
      </c>
      <c r="I1529" s="947" t="s">
        <v>1248</v>
      </c>
      <c r="J1529" s="947" t="s">
        <v>1249</v>
      </c>
      <c r="K1529" s="948">
        <v>1004</v>
      </c>
      <c r="L1529" s="949">
        <v>770850000</v>
      </c>
      <c r="M1529" s="950">
        <v>204</v>
      </c>
      <c r="N1529" s="926">
        <v>171113600</v>
      </c>
      <c r="O1529" s="927">
        <v>200</v>
      </c>
      <c r="P1529" s="930">
        <v>106218674</v>
      </c>
      <c r="Q1529" s="922">
        <v>0</v>
      </c>
      <c r="R1529" s="930">
        <v>1899669</v>
      </c>
      <c r="S1529" s="922"/>
      <c r="T1529" s="922"/>
      <c r="U1529" s="922"/>
      <c r="V1529" s="922"/>
      <c r="W1529" s="922"/>
      <c r="X1529" s="922"/>
      <c r="Y1529" s="922">
        <f>Q1529</f>
        <v>0</v>
      </c>
      <c r="Z1529" s="930">
        <f>R1529</f>
        <v>1899669</v>
      </c>
      <c r="AA1529" s="922">
        <f t="shared" si="306"/>
        <v>204</v>
      </c>
      <c r="AB1529" s="931">
        <f t="shared" si="306"/>
        <v>173013269</v>
      </c>
      <c r="AC1529" s="933">
        <f t="shared" ref="AC1529:AD1544" si="310">(AA1529/K1529)*100</f>
        <v>20.318725099601593</v>
      </c>
      <c r="AD1529" s="933">
        <f t="shared" si="307"/>
        <v>22.444479340987222</v>
      </c>
      <c r="AE1529" s="922" t="s">
        <v>1232</v>
      </c>
    </row>
    <row r="1530" spans="1:31" s="934" customFormat="1" ht="92.25" customHeight="1">
      <c r="A1530" s="987"/>
      <c r="B1530" s="987"/>
      <c r="C1530" s="935">
        <v>3</v>
      </c>
      <c r="D1530" s="936" t="s">
        <v>107</v>
      </c>
      <c r="E1530" s="936" t="s">
        <v>95</v>
      </c>
      <c r="F1530" s="936" t="s">
        <v>66</v>
      </c>
      <c r="G1530" s="936">
        <v>31</v>
      </c>
      <c r="H1530" s="922">
        <v>11</v>
      </c>
      <c r="I1530" s="947" t="s">
        <v>1250</v>
      </c>
      <c r="J1530" s="951" t="s">
        <v>1251</v>
      </c>
      <c r="K1530" s="952">
        <v>390</v>
      </c>
      <c r="L1530" s="953">
        <v>2283364000</v>
      </c>
      <c r="M1530" s="950">
        <v>173</v>
      </c>
      <c r="N1530" s="926">
        <v>839987584</v>
      </c>
      <c r="O1530" s="927">
        <v>20</v>
      </c>
      <c r="P1530" s="928">
        <v>188593300</v>
      </c>
      <c r="Q1530" s="927">
        <v>6</v>
      </c>
      <c r="R1530" s="928">
        <v>22250000</v>
      </c>
      <c r="S1530" s="922"/>
      <c r="T1530" s="922"/>
      <c r="U1530" s="922"/>
      <c r="V1530" s="922"/>
      <c r="W1530" s="922"/>
      <c r="X1530" s="922"/>
      <c r="Y1530" s="922">
        <f t="shared" ref="Y1530:Z1539" si="311">Q1530</f>
        <v>6</v>
      </c>
      <c r="Z1530" s="930">
        <f t="shared" si="311"/>
        <v>22250000</v>
      </c>
      <c r="AA1530" s="922">
        <f t="shared" si="306"/>
        <v>179</v>
      </c>
      <c r="AB1530" s="931">
        <f t="shared" si="306"/>
        <v>862237584</v>
      </c>
      <c r="AC1530" s="933">
        <f t="shared" si="310"/>
        <v>45.897435897435898</v>
      </c>
      <c r="AD1530" s="933">
        <f t="shared" si="307"/>
        <v>37.761722791460315</v>
      </c>
      <c r="AE1530" s="922" t="s">
        <v>1232</v>
      </c>
    </row>
    <row r="1531" spans="1:31" s="934" customFormat="1" ht="105.75" customHeight="1">
      <c r="A1531" s="987"/>
      <c r="B1531" s="987"/>
      <c r="C1531" s="935">
        <v>3</v>
      </c>
      <c r="D1531" s="936" t="s">
        <v>107</v>
      </c>
      <c r="E1531" s="936" t="s">
        <v>95</v>
      </c>
      <c r="F1531" s="936" t="s">
        <v>66</v>
      </c>
      <c r="G1531" s="936">
        <v>31</v>
      </c>
      <c r="H1531" s="922">
        <v>26</v>
      </c>
      <c r="I1531" s="947" t="s">
        <v>1252</v>
      </c>
      <c r="J1531" s="947" t="s">
        <v>1253</v>
      </c>
      <c r="K1531" s="954">
        <v>56</v>
      </c>
      <c r="L1531" s="953">
        <v>313969000</v>
      </c>
      <c r="M1531" s="950">
        <v>137</v>
      </c>
      <c r="N1531" s="926">
        <v>111369144</v>
      </c>
      <c r="O1531" s="927">
        <v>12</v>
      </c>
      <c r="P1531" s="928">
        <v>74830900</v>
      </c>
      <c r="Q1531" s="929">
        <v>8</v>
      </c>
      <c r="R1531" s="930">
        <v>21405200</v>
      </c>
      <c r="S1531" s="922"/>
      <c r="T1531" s="922"/>
      <c r="U1531" s="922"/>
      <c r="V1531" s="922"/>
      <c r="W1531" s="922"/>
      <c r="X1531" s="922"/>
      <c r="Y1531" s="922">
        <f t="shared" si="311"/>
        <v>8</v>
      </c>
      <c r="Z1531" s="930">
        <f t="shared" si="311"/>
        <v>21405200</v>
      </c>
      <c r="AA1531" s="922">
        <f t="shared" si="306"/>
        <v>145</v>
      </c>
      <c r="AB1531" s="931">
        <f t="shared" si="306"/>
        <v>132774344</v>
      </c>
      <c r="AC1531" s="933">
        <f t="shared" si="310"/>
        <v>258.92857142857144</v>
      </c>
      <c r="AD1531" s="933">
        <f t="shared" si="307"/>
        <v>42.288997958397168</v>
      </c>
      <c r="AE1531" s="922" t="s">
        <v>1232</v>
      </c>
    </row>
    <row r="1532" spans="1:31" s="934" customFormat="1" ht="92.25" customHeight="1">
      <c r="A1532" s="987"/>
      <c r="B1532" s="987"/>
      <c r="C1532" s="935">
        <v>3</v>
      </c>
      <c r="D1532" s="936" t="s">
        <v>107</v>
      </c>
      <c r="E1532" s="936" t="s">
        <v>95</v>
      </c>
      <c r="F1532" s="936" t="s">
        <v>66</v>
      </c>
      <c r="G1532" s="936">
        <v>31</v>
      </c>
      <c r="H1532" s="922">
        <v>49</v>
      </c>
      <c r="I1532" s="947" t="s">
        <v>1254</v>
      </c>
      <c r="J1532" s="947" t="s">
        <v>1255</v>
      </c>
      <c r="K1532" s="927">
        <v>53</v>
      </c>
      <c r="L1532" s="925">
        <v>176623000</v>
      </c>
      <c r="M1532" s="922">
        <v>5</v>
      </c>
      <c r="N1532" s="926">
        <v>31189500</v>
      </c>
      <c r="O1532" s="927">
        <v>12</v>
      </c>
      <c r="P1532" s="928">
        <v>36358150</v>
      </c>
      <c r="Q1532" s="929">
        <v>5</v>
      </c>
      <c r="R1532" s="930">
        <v>10477100</v>
      </c>
      <c r="S1532" s="922"/>
      <c r="T1532" s="922"/>
      <c r="U1532" s="922"/>
      <c r="V1532" s="922"/>
      <c r="W1532" s="922"/>
      <c r="X1532" s="922"/>
      <c r="Y1532" s="922">
        <f t="shared" si="311"/>
        <v>5</v>
      </c>
      <c r="Z1532" s="930">
        <f t="shared" si="311"/>
        <v>10477100</v>
      </c>
      <c r="AA1532" s="922">
        <f t="shared" si="306"/>
        <v>10</v>
      </c>
      <c r="AB1532" s="931">
        <f t="shared" si="306"/>
        <v>41666600</v>
      </c>
      <c r="AC1532" s="933">
        <f t="shared" si="310"/>
        <v>18.867924528301888</v>
      </c>
      <c r="AD1532" s="933">
        <f t="shared" si="307"/>
        <v>23.590698833107808</v>
      </c>
      <c r="AE1532" s="922" t="s">
        <v>1232</v>
      </c>
    </row>
    <row r="1533" spans="1:31" s="934" customFormat="1" ht="63" customHeight="1">
      <c r="A1533" s="987"/>
      <c r="B1533" s="987"/>
      <c r="C1533" s="935">
        <v>3</v>
      </c>
      <c r="D1533" s="936" t="s">
        <v>107</v>
      </c>
      <c r="E1533" s="936" t="s">
        <v>95</v>
      </c>
      <c r="F1533" s="936" t="s">
        <v>66</v>
      </c>
      <c r="G1533" s="936">
        <v>31</v>
      </c>
      <c r="H1533" s="922">
        <v>35</v>
      </c>
      <c r="I1533" s="947" t="s">
        <v>1256</v>
      </c>
      <c r="J1533" s="947" t="s">
        <v>1257</v>
      </c>
      <c r="K1533" s="955">
        <v>235</v>
      </c>
      <c r="L1533" s="925">
        <v>1131798000</v>
      </c>
      <c r="M1533" s="922">
        <v>73</v>
      </c>
      <c r="N1533" s="926">
        <v>258321000</v>
      </c>
      <c r="O1533" s="927">
        <v>27</v>
      </c>
      <c r="P1533" s="928">
        <v>213476300</v>
      </c>
      <c r="Q1533" s="929">
        <v>27</v>
      </c>
      <c r="R1533" s="930">
        <v>116042840</v>
      </c>
      <c r="S1533" s="922"/>
      <c r="T1533" s="922"/>
      <c r="U1533" s="922"/>
      <c r="V1533" s="922"/>
      <c r="W1533" s="922"/>
      <c r="X1533" s="922"/>
      <c r="Y1533" s="922">
        <f t="shared" si="311"/>
        <v>27</v>
      </c>
      <c r="Z1533" s="930">
        <f t="shared" si="311"/>
        <v>116042840</v>
      </c>
      <c r="AA1533" s="922">
        <f t="shared" si="306"/>
        <v>100</v>
      </c>
      <c r="AB1533" s="931">
        <f t="shared" si="306"/>
        <v>374363840</v>
      </c>
      <c r="AC1533" s="933">
        <f t="shared" si="310"/>
        <v>42.553191489361701</v>
      </c>
      <c r="AD1533" s="933">
        <f t="shared" si="307"/>
        <v>33.076913018047385</v>
      </c>
      <c r="AE1533" s="922" t="s">
        <v>1232</v>
      </c>
    </row>
    <row r="1534" spans="1:31" s="934" customFormat="1" ht="75" customHeight="1">
      <c r="A1534" s="987"/>
      <c r="B1534" s="987"/>
      <c r="C1534" s="935">
        <v>3</v>
      </c>
      <c r="D1534" s="936" t="s">
        <v>107</v>
      </c>
      <c r="E1534" s="936" t="s">
        <v>95</v>
      </c>
      <c r="F1534" s="936" t="s">
        <v>66</v>
      </c>
      <c r="G1534" s="936">
        <v>31</v>
      </c>
      <c r="H1534" s="922">
        <v>25</v>
      </c>
      <c r="I1534" s="947" t="s">
        <v>1258</v>
      </c>
      <c r="J1534" s="947" t="s">
        <v>1259</v>
      </c>
      <c r="K1534" s="956">
        <v>34</v>
      </c>
      <c r="L1534" s="957">
        <v>231324000</v>
      </c>
      <c r="M1534" s="950">
        <v>10</v>
      </c>
      <c r="N1534" s="926">
        <v>76602682</v>
      </c>
      <c r="O1534" s="929">
        <v>6</v>
      </c>
      <c r="P1534" s="930">
        <v>39717850</v>
      </c>
      <c r="Q1534" s="929">
        <v>2</v>
      </c>
      <c r="R1534" s="928">
        <v>10200000</v>
      </c>
      <c r="S1534" s="922"/>
      <c r="T1534" s="922"/>
      <c r="U1534" s="922"/>
      <c r="V1534" s="922"/>
      <c r="W1534" s="922"/>
      <c r="X1534" s="922"/>
      <c r="Y1534" s="922">
        <f t="shared" si="311"/>
        <v>2</v>
      </c>
      <c r="Z1534" s="930">
        <f t="shared" si="311"/>
        <v>10200000</v>
      </c>
      <c r="AA1534" s="922">
        <f t="shared" si="306"/>
        <v>12</v>
      </c>
      <c r="AB1534" s="931">
        <f t="shared" si="306"/>
        <v>86802682</v>
      </c>
      <c r="AC1534" s="933">
        <f t="shared" si="310"/>
        <v>35.294117647058826</v>
      </c>
      <c r="AD1534" s="933">
        <f t="shared" si="307"/>
        <v>37.52428714703187</v>
      </c>
      <c r="AE1534" s="922" t="s">
        <v>1232</v>
      </c>
    </row>
    <row r="1535" spans="1:31" s="934" customFormat="1" ht="119.25" customHeight="1">
      <c r="A1535" s="987"/>
      <c r="B1535" s="987"/>
      <c r="C1535" s="935">
        <v>3</v>
      </c>
      <c r="D1535" s="936" t="s">
        <v>107</v>
      </c>
      <c r="E1535" s="936" t="s">
        <v>95</v>
      </c>
      <c r="F1535" s="936" t="s">
        <v>66</v>
      </c>
      <c r="G1535" s="936">
        <v>31</v>
      </c>
      <c r="H1535" s="922">
        <v>40</v>
      </c>
      <c r="I1535" s="947" t="s">
        <v>1260</v>
      </c>
      <c r="J1535" s="947" t="s">
        <v>1261</v>
      </c>
      <c r="K1535" s="958">
        <v>1050</v>
      </c>
      <c r="L1535" s="957">
        <v>135000000</v>
      </c>
      <c r="M1535" s="950">
        <v>297</v>
      </c>
      <c r="N1535" s="926">
        <v>81807412</v>
      </c>
      <c r="O1535" s="927">
        <v>150</v>
      </c>
      <c r="P1535" s="928">
        <v>41228168</v>
      </c>
      <c r="Q1535" s="929">
        <v>127</v>
      </c>
      <c r="R1535" s="930">
        <v>1500000</v>
      </c>
      <c r="S1535" s="922"/>
      <c r="T1535" s="922"/>
      <c r="U1535" s="922"/>
      <c r="V1535" s="922"/>
      <c r="W1535" s="922"/>
      <c r="X1535" s="922"/>
      <c r="Y1535" s="922">
        <f t="shared" si="311"/>
        <v>127</v>
      </c>
      <c r="Z1535" s="930">
        <f t="shared" si="311"/>
        <v>1500000</v>
      </c>
      <c r="AA1535" s="922">
        <f t="shared" si="306"/>
        <v>424</v>
      </c>
      <c r="AB1535" s="931">
        <f t="shared" si="306"/>
        <v>83307412</v>
      </c>
      <c r="AC1535" s="933">
        <f t="shared" si="310"/>
        <v>40.38095238095238</v>
      </c>
      <c r="AD1535" s="933">
        <f t="shared" si="307"/>
        <v>61.70919407407407</v>
      </c>
      <c r="AE1535" s="922" t="s">
        <v>1232</v>
      </c>
    </row>
    <row r="1536" spans="1:31" s="934" customFormat="1" ht="61.5" customHeight="1">
      <c r="A1536" s="987"/>
      <c r="B1536" s="987"/>
      <c r="C1536" s="935">
        <v>3</v>
      </c>
      <c r="D1536" s="936" t="s">
        <v>107</v>
      </c>
      <c r="E1536" s="936" t="s">
        <v>95</v>
      </c>
      <c r="F1536" s="936" t="s">
        <v>66</v>
      </c>
      <c r="G1536" s="936">
        <v>31</v>
      </c>
      <c r="H1536" s="922">
        <v>16</v>
      </c>
      <c r="I1536" s="947" t="s">
        <v>1262</v>
      </c>
      <c r="J1536" s="947" t="s">
        <v>1263</v>
      </c>
      <c r="K1536" s="959">
        <v>12216</v>
      </c>
      <c r="L1536" s="925">
        <v>518711000</v>
      </c>
      <c r="M1536" s="922">
        <v>4220</v>
      </c>
      <c r="N1536" s="926">
        <v>210269559</v>
      </c>
      <c r="O1536" s="927">
        <v>1666</v>
      </c>
      <c r="P1536" s="928">
        <v>77149870</v>
      </c>
      <c r="Q1536" s="929">
        <v>1666</v>
      </c>
      <c r="R1536" s="928">
        <v>29852910</v>
      </c>
      <c r="S1536" s="922"/>
      <c r="T1536" s="922"/>
      <c r="U1536" s="922"/>
      <c r="V1536" s="922"/>
      <c r="W1536" s="922"/>
      <c r="X1536" s="922"/>
      <c r="Y1536" s="922">
        <f t="shared" si="311"/>
        <v>1666</v>
      </c>
      <c r="Z1536" s="930">
        <f t="shared" si="311"/>
        <v>29852910</v>
      </c>
      <c r="AA1536" s="922">
        <f t="shared" si="306"/>
        <v>5886</v>
      </c>
      <c r="AB1536" s="931">
        <f t="shared" si="306"/>
        <v>240122469</v>
      </c>
      <c r="AC1536" s="933">
        <f t="shared" si="310"/>
        <v>48.182711198428294</v>
      </c>
      <c r="AD1536" s="933">
        <f t="shared" si="307"/>
        <v>46.292149000117597</v>
      </c>
      <c r="AE1536" s="922" t="s">
        <v>1232</v>
      </c>
    </row>
    <row r="1537" spans="1:31" s="934" customFormat="1" ht="105.75" customHeight="1">
      <c r="A1537" s="987"/>
      <c r="B1537" s="987"/>
      <c r="C1537" s="935">
        <v>3</v>
      </c>
      <c r="D1537" s="936" t="s">
        <v>107</v>
      </c>
      <c r="E1537" s="936" t="s">
        <v>95</v>
      </c>
      <c r="F1537" s="936" t="s">
        <v>66</v>
      </c>
      <c r="G1537" s="936">
        <v>31</v>
      </c>
      <c r="H1537" s="922">
        <v>36</v>
      </c>
      <c r="I1537" s="947" t="s">
        <v>1264</v>
      </c>
      <c r="J1537" s="947" t="s">
        <v>1265</v>
      </c>
      <c r="K1537" s="927">
        <v>766</v>
      </c>
      <c r="L1537" s="925">
        <v>210735000</v>
      </c>
      <c r="M1537" s="922">
        <v>161</v>
      </c>
      <c r="N1537" s="926">
        <v>45402090</v>
      </c>
      <c r="O1537" s="927">
        <v>200</v>
      </c>
      <c r="P1537" s="928">
        <v>30072500</v>
      </c>
      <c r="Q1537" s="922">
        <v>0</v>
      </c>
      <c r="R1537" s="930">
        <v>3290750</v>
      </c>
      <c r="S1537" s="922"/>
      <c r="T1537" s="922"/>
      <c r="U1537" s="922"/>
      <c r="V1537" s="922"/>
      <c r="W1537" s="922"/>
      <c r="X1537" s="922"/>
      <c r="Y1537" s="922">
        <f t="shared" si="311"/>
        <v>0</v>
      </c>
      <c r="Z1537" s="930">
        <f t="shared" si="311"/>
        <v>3290750</v>
      </c>
      <c r="AA1537" s="922">
        <f t="shared" si="306"/>
        <v>161</v>
      </c>
      <c r="AB1537" s="931">
        <f t="shared" si="306"/>
        <v>48692840</v>
      </c>
      <c r="AC1537" s="933">
        <f t="shared" si="310"/>
        <v>21.018276762402088</v>
      </c>
      <c r="AD1537" s="933">
        <f t="shared" si="310"/>
        <v>23.10619498422189</v>
      </c>
      <c r="AE1537" s="922" t="s">
        <v>1232</v>
      </c>
    </row>
    <row r="1538" spans="1:31" s="934" customFormat="1" ht="120" customHeight="1">
      <c r="A1538" s="987"/>
      <c r="B1538" s="987"/>
      <c r="C1538" s="935">
        <v>3</v>
      </c>
      <c r="D1538" s="936" t="s">
        <v>107</v>
      </c>
      <c r="E1538" s="936" t="s">
        <v>95</v>
      </c>
      <c r="F1538" s="936" t="s">
        <v>66</v>
      </c>
      <c r="G1538" s="936">
        <v>31</v>
      </c>
      <c r="H1538" s="922">
        <v>39</v>
      </c>
      <c r="I1538" s="947" t="s">
        <v>1266</v>
      </c>
      <c r="J1538" s="947" t="s">
        <v>1267</v>
      </c>
      <c r="K1538" s="924">
        <v>237</v>
      </c>
      <c r="L1538" s="925">
        <v>213661000</v>
      </c>
      <c r="M1538" s="922">
        <v>57</v>
      </c>
      <c r="N1538" s="926">
        <v>44699340</v>
      </c>
      <c r="O1538" s="927">
        <v>30</v>
      </c>
      <c r="P1538" s="928">
        <v>18962800</v>
      </c>
      <c r="Q1538" s="929">
        <v>9</v>
      </c>
      <c r="R1538" s="930">
        <v>3399500</v>
      </c>
      <c r="S1538" s="922"/>
      <c r="T1538" s="922"/>
      <c r="U1538" s="922"/>
      <c r="V1538" s="922"/>
      <c r="W1538" s="922"/>
      <c r="X1538" s="922"/>
      <c r="Y1538" s="922">
        <f t="shared" si="311"/>
        <v>9</v>
      </c>
      <c r="Z1538" s="930">
        <f t="shared" si="311"/>
        <v>3399500</v>
      </c>
      <c r="AA1538" s="922">
        <f t="shared" ref="AA1538:AB1568" si="312">M1538+Y1538</f>
        <v>66</v>
      </c>
      <c r="AB1538" s="931">
        <f t="shared" si="312"/>
        <v>48098840</v>
      </c>
      <c r="AC1538" s="933">
        <f t="shared" si="310"/>
        <v>27.848101265822784</v>
      </c>
      <c r="AD1538" s="933">
        <f t="shared" si="310"/>
        <v>22.51175460191612</v>
      </c>
      <c r="AE1538" s="922" t="s">
        <v>1232</v>
      </c>
    </row>
    <row r="1539" spans="1:31" s="934" customFormat="1" ht="90.75" customHeight="1">
      <c r="A1539" s="987"/>
      <c r="B1539" s="987"/>
      <c r="C1539" s="935">
        <v>3</v>
      </c>
      <c r="D1539" s="936" t="s">
        <v>107</v>
      </c>
      <c r="E1539" s="936" t="s">
        <v>95</v>
      </c>
      <c r="F1539" s="936" t="s">
        <v>66</v>
      </c>
      <c r="G1539" s="936">
        <v>31</v>
      </c>
      <c r="H1539" s="922">
        <v>42</v>
      </c>
      <c r="I1539" s="947" t="s">
        <v>1268</v>
      </c>
      <c r="J1539" s="947" t="s">
        <v>1269</v>
      </c>
      <c r="K1539" s="927">
        <v>1628</v>
      </c>
      <c r="L1539" s="925">
        <v>1067334000</v>
      </c>
      <c r="M1539" s="922">
        <v>803</v>
      </c>
      <c r="N1539" s="926">
        <v>463487181</v>
      </c>
      <c r="O1539" s="927">
        <v>225</v>
      </c>
      <c r="P1539" s="928">
        <v>153846550</v>
      </c>
      <c r="Q1539" s="922">
        <v>0</v>
      </c>
      <c r="R1539" s="925">
        <v>0</v>
      </c>
      <c r="S1539" s="922"/>
      <c r="T1539" s="922"/>
      <c r="U1539" s="922"/>
      <c r="V1539" s="922"/>
      <c r="W1539" s="922"/>
      <c r="X1539" s="922"/>
      <c r="Y1539" s="922">
        <f t="shared" si="311"/>
        <v>0</v>
      </c>
      <c r="Z1539" s="930">
        <f t="shared" si="311"/>
        <v>0</v>
      </c>
      <c r="AA1539" s="922">
        <f t="shared" si="312"/>
        <v>803</v>
      </c>
      <c r="AB1539" s="931">
        <f t="shared" si="312"/>
        <v>463487181</v>
      </c>
      <c r="AC1539" s="933">
        <f t="shared" si="310"/>
        <v>49.324324324324323</v>
      </c>
      <c r="AD1539" s="933">
        <f t="shared" si="310"/>
        <v>43.424755606023979</v>
      </c>
      <c r="AE1539" s="922" t="s">
        <v>1232</v>
      </c>
    </row>
    <row r="1540" spans="1:31" s="934" customFormat="1" ht="22.5" customHeight="1">
      <c r="A1540" s="968">
        <v>3</v>
      </c>
      <c r="B1540" s="960"/>
      <c r="C1540" s="961">
        <v>3</v>
      </c>
      <c r="D1540" s="962" t="s">
        <v>107</v>
      </c>
      <c r="E1540" s="942" t="s">
        <v>95</v>
      </c>
      <c r="F1540" s="962" t="s">
        <v>66</v>
      </c>
      <c r="G1540" s="961">
        <v>29</v>
      </c>
      <c r="H1540" s="943"/>
      <c r="I1540" s="4568" t="s">
        <v>1270</v>
      </c>
      <c r="J1540" s="4569"/>
      <c r="K1540" s="941">
        <f>SUM(K1541:K1544)</f>
        <v>1032</v>
      </c>
      <c r="L1540" s="944">
        <f t="shared" ref="L1540:R1540" si="313">SUM(L1541:L1544)</f>
        <v>9060887000</v>
      </c>
      <c r="M1540" s="941">
        <f t="shared" si="313"/>
        <v>220</v>
      </c>
      <c r="N1540" s="944">
        <f t="shared" si="313"/>
        <v>2538297846</v>
      </c>
      <c r="O1540" s="941">
        <f t="shared" si="313"/>
        <v>138</v>
      </c>
      <c r="P1540" s="944">
        <f t="shared" si="313"/>
        <v>1576003442</v>
      </c>
      <c r="Q1540" s="941">
        <f t="shared" si="313"/>
        <v>102</v>
      </c>
      <c r="R1540" s="944">
        <f t="shared" si="313"/>
        <v>274741831</v>
      </c>
      <c r="S1540" s="941"/>
      <c r="T1540" s="941"/>
      <c r="U1540" s="941"/>
      <c r="V1540" s="941"/>
      <c r="W1540" s="941"/>
      <c r="X1540" s="941"/>
      <c r="Y1540" s="941">
        <f>SUM(Y1541:Y1544)</f>
        <v>102</v>
      </c>
      <c r="Z1540" s="944">
        <f>SUM(Z1541:Z1544)</f>
        <v>274741831</v>
      </c>
      <c r="AA1540" s="941">
        <f>SUM(AA1541:AA1544)</f>
        <v>322</v>
      </c>
      <c r="AB1540" s="944">
        <f>SUM(AB1541:AB1544)</f>
        <v>2813039677</v>
      </c>
      <c r="AC1540" s="945"/>
      <c r="AD1540" s="945"/>
      <c r="AE1540" s="946" t="s">
        <v>1232</v>
      </c>
    </row>
    <row r="1541" spans="1:31" s="934" customFormat="1" ht="76.5" customHeight="1">
      <c r="A1541" s="919"/>
      <c r="B1541" s="992" t="s">
        <v>1247</v>
      </c>
      <c r="C1541" s="963">
        <v>3</v>
      </c>
      <c r="D1541" s="964" t="s">
        <v>107</v>
      </c>
      <c r="E1541" s="936" t="s">
        <v>95</v>
      </c>
      <c r="F1541" s="964" t="s">
        <v>66</v>
      </c>
      <c r="G1541" s="963">
        <v>29</v>
      </c>
      <c r="H1541" s="938" t="s">
        <v>197</v>
      </c>
      <c r="I1541" s="965" t="s">
        <v>1271</v>
      </c>
      <c r="J1541" s="947" t="s">
        <v>1272</v>
      </c>
      <c r="K1541" s="924">
        <v>56</v>
      </c>
      <c r="L1541" s="925">
        <v>3490679000</v>
      </c>
      <c r="M1541" s="922">
        <v>20</v>
      </c>
      <c r="N1541" s="926">
        <v>1175626246</v>
      </c>
      <c r="O1541" s="922">
        <v>12</v>
      </c>
      <c r="P1541" s="928">
        <v>562932950</v>
      </c>
      <c r="Q1541" s="922">
        <v>6</v>
      </c>
      <c r="R1541" s="928">
        <v>10733000</v>
      </c>
      <c r="S1541" s="922"/>
      <c r="T1541" s="922"/>
      <c r="U1541" s="922"/>
      <c r="V1541" s="922"/>
      <c r="W1541" s="922"/>
      <c r="X1541" s="922"/>
      <c r="Y1541" s="922">
        <f>Q1541</f>
        <v>6</v>
      </c>
      <c r="Z1541" s="928">
        <f>R1541</f>
        <v>10733000</v>
      </c>
      <c r="AA1541" s="922">
        <f t="shared" si="312"/>
        <v>26</v>
      </c>
      <c r="AB1541" s="931">
        <f t="shared" si="312"/>
        <v>1186359246</v>
      </c>
      <c r="AC1541" s="933">
        <f>(AA1541/K1541)*100</f>
        <v>46.428571428571431</v>
      </c>
      <c r="AD1541" s="933">
        <f t="shared" si="310"/>
        <v>33.986489333450599</v>
      </c>
      <c r="AE1541" s="922" t="s">
        <v>1232</v>
      </c>
    </row>
    <row r="1542" spans="1:31" s="934" customFormat="1" ht="76.5" customHeight="1">
      <c r="A1542" s="987"/>
      <c r="B1542" s="987"/>
      <c r="C1542" s="963">
        <v>3</v>
      </c>
      <c r="D1542" s="964" t="s">
        <v>107</v>
      </c>
      <c r="E1542" s="936" t="s">
        <v>95</v>
      </c>
      <c r="F1542" s="964" t="s">
        <v>66</v>
      </c>
      <c r="G1542" s="963">
        <v>29</v>
      </c>
      <c r="H1542" s="938" t="s">
        <v>93</v>
      </c>
      <c r="I1542" s="965" t="s">
        <v>1273</v>
      </c>
      <c r="J1542" s="966" t="s">
        <v>1274</v>
      </c>
      <c r="K1542" s="927">
        <v>180</v>
      </c>
      <c r="L1542" s="925">
        <v>3346888000</v>
      </c>
      <c r="M1542" s="922">
        <v>60</v>
      </c>
      <c r="N1542" s="926">
        <v>998233000</v>
      </c>
      <c r="O1542" s="929">
        <v>30</v>
      </c>
      <c r="P1542" s="930">
        <v>703005450</v>
      </c>
      <c r="Q1542" s="929">
        <v>30</v>
      </c>
      <c r="R1542" s="930">
        <v>135472729</v>
      </c>
      <c r="S1542" s="922"/>
      <c r="T1542" s="922"/>
      <c r="U1542" s="922"/>
      <c r="V1542" s="922"/>
      <c r="W1542" s="922"/>
      <c r="X1542" s="922"/>
      <c r="Y1542" s="922">
        <f t="shared" ref="Y1542:Z1544" si="314">Q1542</f>
        <v>30</v>
      </c>
      <c r="Z1542" s="928">
        <f t="shared" si="314"/>
        <v>135472729</v>
      </c>
      <c r="AA1542" s="922">
        <f t="shared" si="312"/>
        <v>90</v>
      </c>
      <c r="AB1542" s="931">
        <f t="shared" si="312"/>
        <v>1133705729</v>
      </c>
      <c r="AC1542" s="933">
        <f>(AA1542/K1542)*100</f>
        <v>50</v>
      </c>
      <c r="AD1542" s="933">
        <f t="shared" si="310"/>
        <v>33.873428958483224</v>
      </c>
      <c r="AE1542" s="922" t="s">
        <v>1232</v>
      </c>
    </row>
    <row r="1543" spans="1:31" s="934" customFormat="1" ht="77.25" customHeight="1">
      <c r="A1543" s="987"/>
      <c r="B1543" s="987"/>
      <c r="C1543" s="963">
        <v>3</v>
      </c>
      <c r="D1543" s="964" t="s">
        <v>107</v>
      </c>
      <c r="E1543" s="936" t="s">
        <v>95</v>
      </c>
      <c r="F1543" s="964" t="s">
        <v>66</v>
      </c>
      <c r="G1543" s="963">
        <v>29</v>
      </c>
      <c r="H1543" s="938" t="s">
        <v>198</v>
      </c>
      <c r="I1543" s="965" t="s">
        <v>1275</v>
      </c>
      <c r="J1543" s="947" t="s">
        <v>1276</v>
      </c>
      <c r="K1543" s="927">
        <v>646</v>
      </c>
      <c r="L1543" s="925">
        <v>1705162000</v>
      </c>
      <c r="M1543" s="922">
        <v>140</v>
      </c>
      <c r="N1543" s="926">
        <v>364438600</v>
      </c>
      <c r="O1543" s="929">
        <v>66</v>
      </c>
      <c r="P1543" s="930">
        <v>166907302</v>
      </c>
      <c r="Q1543" s="929">
        <v>66</v>
      </c>
      <c r="R1543" s="930">
        <v>126232102</v>
      </c>
      <c r="S1543" s="922"/>
      <c r="T1543" s="922"/>
      <c r="U1543" s="922"/>
      <c r="V1543" s="922"/>
      <c r="W1543" s="922"/>
      <c r="X1543" s="922"/>
      <c r="Y1543" s="922">
        <f t="shared" si="314"/>
        <v>66</v>
      </c>
      <c r="Z1543" s="928">
        <f t="shared" si="314"/>
        <v>126232102</v>
      </c>
      <c r="AA1543" s="922">
        <f t="shared" si="312"/>
        <v>206</v>
      </c>
      <c r="AB1543" s="931">
        <f t="shared" si="312"/>
        <v>490670702</v>
      </c>
      <c r="AC1543" s="933">
        <f>(AA1543/K1543)*100</f>
        <v>31.888544891640869</v>
      </c>
      <c r="AD1543" s="933">
        <f t="shared" si="310"/>
        <v>28.775606188737491</v>
      </c>
      <c r="AE1543" s="922" t="s">
        <v>1232</v>
      </c>
    </row>
    <row r="1544" spans="1:31" s="934" customFormat="1" ht="91.5" customHeight="1">
      <c r="A1544" s="989"/>
      <c r="B1544" s="987"/>
      <c r="C1544" s="963">
        <v>3</v>
      </c>
      <c r="D1544" s="964" t="s">
        <v>107</v>
      </c>
      <c r="E1544" s="936" t="s">
        <v>95</v>
      </c>
      <c r="F1544" s="964" t="s">
        <v>66</v>
      </c>
      <c r="G1544" s="964">
        <v>29</v>
      </c>
      <c r="H1544" s="967" t="s">
        <v>201</v>
      </c>
      <c r="I1544" s="965" t="s">
        <v>1277</v>
      </c>
      <c r="J1544" s="966" t="s">
        <v>1278</v>
      </c>
      <c r="K1544" s="924">
        <v>150</v>
      </c>
      <c r="L1544" s="925">
        <v>518158000</v>
      </c>
      <c r="M1544" s="922">
        <v>0</v>
      </c>
      <c r="N1544" s="937">
        <v>0</v>
      </c>
      <c r="O1544" s="929">
        <v>30</v>
      </c>
      <c r="P1544" s="930">
        <v>143157740</v>
      </c>
      <c r="Q1544" s="922">
        <v>0</v>
      </c>
      <c r="R1544" s="930">
        <v>2304000</v>
      </c>
      <c r="S1544" s="922"/>
      <c r="T1544" s="922"/>
      <c r="U1544" s="922"/>
      <c r="V1544" s="922"/>
      <c r="W1544" s="922"/>
      <c r="X1544" s="922"/>
      <c r="Y1544" s="922">
        <f t="shared" si="314"/>
        <v>0</v>
      </c>
      <c r="Z1544" s="928">
        <f t="shared" si="314"/>
        <v>2304000</v>
      </c>
      <c r="AA1544" s="922">
        <f t="shared" si="312"/>
        <v>0</v>
      </c>
      <c r="AB1544" s="931">
        <f t="shared" si="312"/>
        <v>2304000</v>
      </c>
      <c r="AC1544" s="933">
        <f>(AA1544/K1544)*100</f>
        <v>0</v>
      </c>
      <c r="AD1544" s="933">
        <f t="shared" si="310"/>
        <v>0.44465201733834081</v>
      </c>
      <c r="AE1544" s="922" t="s">
        <v>1232</v>
      </c>
    </row>
    <row r="1545" spans="1:31" s="934" customFormat="1" ht="33" customHeight="1">
      <c r="A1545" s="985">
        <v>4</v>
      </c>
      <c r="B1545" s="960"/>
      <c r="C1545" s="961">
        <v>3</v>
      </c>
      <c r="D1545" s="962" t="s">
        <v>107</v>
      </c>
      <c r="E1545" s="942" t="s">
        <v>95</v>
      </c>
      <c r="F1545" s="962" t="s">
        <v>66</v>
      </c>
      <c r="G1545" s="962" t="s">
        <v>161</v>
      </c>
      <c r="H1545" s="943"/>
      <c r="I1545" s="4568" t="s">
        <v>226</v>
      </c>
      <c r="J1545" s="4569"/>
      <c r="K1545" s="941">
        <f t="shared" ref="K1545:R1545" si="315">SUM(K1546:K1547)</f>
        <v>660</v>
      </c>
      <c r="L1545" s="969">
        <f t="shared" si="315"/>
        <v>982223000</v>
      </c>
      <c r="M1545" s="941">
        <f t="shared" si="315"/>
        <v>100</v>
      </c>
      <c r="N1545" s="970">
        <f t="shared" si="315"/>
        <v>105707369</v>
      </c>
      <c r="O1545" s="941">
        <f t="shared" si="315"/>
        <v>140</v>
      </c>
      <c r="P1545" s="970">
        <f t="shared" si="315"/>
        <v>267846418</v>
      </c>
      <c r="Q1545" s="941">
        <f t="shared" si="315"/>
        <v>0</v>
      </c>
      <c r="R1545" s="970">
        <f t="shared" si="315"/>
        <v>0</v>
      </c>
      <c r="S1545" s="941"/>
      <c r="T1545" s="941"/>
      <c r="U1545" s="941"/>
      <c r="V1545" s="941"/>
      <c r="W1545" s="941"/>
      <c r="X1545" s="941"/>
      <c r="Y1545" s="941">
        <f>SUM(Y1546:Y1547)</f>
        <v>0</v>
      </c>
      <c r="Z1545" s="970">
        <f>SUM(Z1546:Z1547)</f>
        <v>0</v>
      </c>
      <c r="AA1545" s="941">
        <f>SUM(AA1546:AA1547)</f>
        <v>100</v>
      </c>
      <c r="AB1545" s="969">
        <f>SUM(AB1546:AB1547)</f>
        <v>105707369</v>
      </c>
      <c r="AC1545" s="945"/>
      <c r="AD1545" s="945"/>
      <c r="AE1545" s="946" t="s">
        <v>1232</v>
      </c>
    </row>
    <row r="1546" spans="1:31" s="934" customFormat="1" ht="91.5" customHeight="1">
      <c r="A1546" s="988"/>
      <c r="B1546" s="987"/>
      <c r="C1546" s="963">
        <v>3</v>
      </c>
      <c r="D1546" s="964" t="s">
        <v>107</v>
      </c>
      <c r="E1546" s="936" t="s">
        <v>95</v>
      </c>
      <c r="F1546" s="964" t="s">
        <v>66</v>
      </c>
      <c r="G1546" s="964" t="s">
        <v>161</v>
      </c>
      <c r="H1546" s="922">
        <v>41</v>
      </c>
      <c r="I1546" s="965" t="s">
        <v>1279</v>
      </c>
      <c r="J1546" s="971" t="s">
        <v>1280</v>
      </c>
      <c r="K1546" s="924">
        <v>160</v>
      </c>
      <c r="L1546" s="925">
        <v>377322000</v>
      </c>
      <c r="M1546" s="922">
        <v>0</v>
      </c>
      <c r="N1546" s="937">
        <v>0</v>
      </c>
      <c r="O1546" s="927">
        <v>40</v>
      </c>
      <c r="P1546" s="928">
        <v>92322300</v>
      </c>
      <c r="Q1546" s="922">
        <v>0</v>
      </c>
      <c r="R1546" s="925">
        <v>0</v>
      </c>
      <c r="S1546" s="922"/>
      <c r="T1546" s="922"/>
      <c r="U1546" s="922"/>
      <c r="V1546" s="922"/>
      <c r="W1546" s="922"/>
      <c r="X1546" s="922"/>
      <c r="Y1546" s="922">
        <f>Q1546</f>
        <v>0</v>
      </c>
      <c r="Z1546" s="925">
        <f>R1546</f>
        <v>0</v>
      </c>
      <c r="AA1546" s="922">
        <f t="shared" si="312"/>
        <v>0</v>
      </c>
      <c r="AB1546" s="972">
        <f t="shared" si="312"/>
        <v>0</v>
      </c>
      <c r="AC1546" s="933">
        <f>(AA1546/K1546)*100</f>
        <v>0</v>
      </c>
      <c r="AD1546" s="933">
        <f t="shared" ref="AD1546:AD1568" si="316">(AB1546/L1546)*100</f>
        <v>0</v>
      </c>
      <c r="AE1546" s="922" t="s">
        <v>1232</v>
      </c>
    </row>
    <row r="1547" spans="1:31" s="934" customFormat="1" ht="93" customHeight="1">
      <c r="A1547" s="988"/>
      <c r="B1547" s="987"/>
      <c r="C1547" s="963">
        <v>3</v>
      </c>
      <c r="D1547" s="964" t="s">
        <v>107</v>
      </c>
      <c r="E1547" s="936" t="s">
        <v>95</v>
      </c>
      <c r="F1547" s="964" t="s">
        <v>66</v>
      </c>
      <c r="G1547" s="964" t="s">
        <v>161</v>
      </c>
      <c r="H1547" s="922">
        <v>18</v>
      </c>
      <c r="I1547" s="965" t="s">
        <v>1281</v>
      </c>
      <c r="J1547" s="966" t="s">
        <v>1282</v>
      </c>
      <c r="K1547" s="924">
        <v>500</v>
      </c>
      <c r="L1547" s="925">
        <v>604901000</v>
      </c>
      <c r="M1547" s="922">
        <v>100</v>
      </c>
      <c r="N1547" s="926">
        <v>105707369</v>
      </c>
      <c r="O1547" s="927">
        <v>100</v>
      </c>
      <c r="P1547" s="928">
        <v>175524118</v>
      </c>
      <c r="Q1547" s="922">
        <v>0</v>
      </c>
      <c r="R1547" s="925">
        <v>0</v>
      </c>
      <c r="S1547" s="922"/>
      <c r="T1547" s="922"/>
      <c r="U1547" s="922"/>
      <c r="V1547" s="922"/>
      <c r="W1547" s="922"/>
      <c r="X1547" s="922"/>
      <c r="Y1547" s="922">
        <f>Q1547</f>
        <v>0</v>
      </c>
      <c r="Z1547" s="925">
        <f>R1547</f>
        <v>0</v>
      </c>
      <c r="AA1547" s="922">
        <f t="shared" si="312"/>
        <v>100</v>
      </c>
      <c r="AB1547" s="931">
        <f t="shared" si="312"/>
        <v>105707369</v>
      </c>
      <c r="AC1547" s="933">
        <f>(AA1547/K1547)*100</f>
        <v>20</v>
      </c>
      <c r="AD1547" s="933">
        <f t="shared" si="316"/>
        <v>17.475151967016089</v>
      </c>
      <c r="AE1547" s="922" t="s">
        <v>1232</v>
      </c>
    </row>
    <row r="1548" spans="1:31" s="934" customFormat="1" ht="30" customHeight="1">
      <c r="A1548" s="939">
        <v>5</v>
      </c>
      <c r="B1548" s="960"/>
      <c r="C1548" s="961">
        <v>3</v>
      </c>
      <c r="D1548" s="962" t="s">
        <v>107</v>
      </c>
      <c r="E1548" s="942" t="s">
        <v>95</v>
      </c>
      <c r="F1548" s="962" t="s">
        <v>66</v>
      </c>
      <c r="G1548" s="962" t="s">
        <v>66</v>
      </c>
      <c r="H1548" s="943"/>
      <c r="I1548" s="4568" t="s">
        <v>221</v>
      </c>
      <c r="J1548" s="4569"/>
      <c r="K1548" s="941">
        <f t="shared" ref="K1548:R1548" si="317">SUM(K1549:K1560)</f>
        <v>7200</v>
      </c>
      <c r="L1548" s="969">
        <f t="shared" si="317"/>
        <v>3694120000</v>
      </c>
      <c r="M1548" s="941">
        <f t="shared" si="317"/>
        <v>2400</v>
      </c>
      <c r="N1548" s="970">
        <f t="shared" si="317"/>
        <v>1368084000</v>
      </c>
      <c r="O1548" s="941">
        <f t="shared" si="317"/>
        <v>1200</v>
      </c>
      <c r="P1548" s="969">
        <f t="shared" si="317"/>
        <v>566197922</v>
      </c>
      <c r="Q1548" s="941">
        <f t="shared" si="317"/>
        <v>243</v>
      </c>
      <c r="R1548" s="969">
        <f t="shared" si="317"/>
        <v>108672777</v>
      </c>
      <c r="S1548" s="941"/>
      <c r="T1548" s="941"/>
      <c r="U1548" s="941"/>
      <c r="V1548" s="941"/>
      <c r="W1548" s="941"/>
      <c r="X1548" s="941"/>
      <c r="Y1548" s="941">
        <f>SUM(Y1549:Y1560)</f>
        <v>243</v>
      </c>
      <c r="Z1548" s="969">
        <f>SUM(Z1549:Z1560)</f>
        <v>108672777</v>
      </c>
      <c r="AA1548" s="941">
        <f>SUM(AA1549:AA1560)</f>
        <v>2643</v>
      </c>
      <c r="AB1548" s="969">
        <f>SUM(AB1549:AB1560)</f>
        <v>1476756777</v>
      </c>
      <c r="AC1548" s="945"/>
      <c r="AD1548" s="945"/>
      <c r="AE1548" s="946" t="s">
        <v>1232</v>
      </c>
    </row>
    <row r="1549" spans="1:31" s="934" customFormat="1" ht="78.75" customHeight="1">
      <c r="A1549" s="987"/>
      <c r="B1549" s="991" t="s">
        <v>1247</v>
      </c>
      <c r="C1549" s="963">
        <v>3</v>
      </c>
      <c r="D1549" s="964" t="s">
        <v>107</v>
      </c>
      <c r="E1549" s="936" t="s">
        <v>95</v>
      </c>
      <c r="F1549" s="964" t="s">
        <v>66</v>
      </c>
      <c r="G1549" s="964" t="s">
        <v>66</v>
      </c>
      <c r="H1549" s="938" t="s">
        <v>65</v>
      </c>
      <c r="I1549" s="965" t="s">
        <v>1283</v>
      </c>
      <c r="J1549" s="965" t="s">
        <v>1284</v>
      </c>
      <c r="K1549" s="973">
        <v>600</v>
      </c>
      <c r="L1549" s="925">
        <v>442480000</v>
      </c>
      <c r="M1549" s="922">
        <v>200</v>
      </c>
      <c r="N1549" s="926">
        <v>198880000</v>
      </c>
      <c r="O1549" s="922">
        <v>100</v>
      </c>
      <c r="P1549" s="974">
        <v>60900000</v>
      </c>
      <c r="Q1549" s="922">
        <v>25</v>
      </c>
      <c r="R1549" s="925">
        <v>15227285</v>
      </c>
      <c r="S1549" s="922"/>
      <c r="T1549" s="922"/>
      <c r="U1549" s="922"/>
      <c r="V1549" s="922"/>
      <c r="W1549" s="922"/>
      <c r="X1549" s="922"/>
      <c r="Y1549" s="922">
        <f>Q1549</f>
        <v>25</v>
      </c>
      <c r="Z1549" s="925">
        <f>R1549</f>
        <v>15227285</v>
      </c>
      <c r="AA1549" s="922">
        <f t="shared" si="312"/>
        <v>225</v>
      </c>
      <c r="AB1549" s="931">
        <f t="shared" si="312"/>
        <v>214107285</v>
      </c>
      <c r="AC1549" s="933">
        <f t="shared" ref="AC1549:AC1560" si="318">(AA1549/K1549)*100</f>
        <v>37.5</v>
      </c>
      <c r="AD1549" s="933">
        <f t="shared" si="316"/>
        <v>48.388014147532097</v>
      </c>
      <c r="AE1549" s="922" t="s">
        <v>1232</v>
      </c>
    </row>
    <row r="1550" spans="1:31" s="934" customFormat="1" ht="76.5" customHeight="1">
      <c r="A1550" s="987"/>
      <c r="B1550" s="987"/>
      <c r="C1550" s="963">
        <v>3</v>
      </c>
      <c r="D1550" s="964" t="s">
        <v>107</v>
      </c>
      <c r="E1550" s="936" t="s">
        <v>95</v>
      </c>
      <c r="F1550" s="964" t="s">
        <v>66</v>
      </c>
      <c r="G1550" s="964" t="s">
        <v>66</v>
      </c>
      <c r="H1550" s="938" t="s">
        <v>196</v>
      </c>
      <c r="I1550" s="965" t="s">
        <v>1285</v>
      </c>
      <c r="J1550" s="965" t="s">
        <v>1286</v>
      </c>
      <c r="K1550" s="973">
        <v>600</v>
      </c>
      <c r="L1550" s="925">
        <v>53402000</v>
      </c>
      <c r="M1550" s="922">
        <v>200</v>
      </c>
      <c r="N1550" s="926">
        <v>15954000</v>
      </c>
      <c r="O1550" s="922">
        <v>100</v>
      </c>
      <c r="P1550" s="974">
        <v>9362784</v>
      </c>
      <c r="Q1550" s="922">
        <v>40</v>
      </c>
      <c r="R1550" s="925">
        <v>3693200</v>
      </c>
      <c r="S1550" s="922"/>
      <c r="T1550" s="922"/>
      <c r="U1550" s="922"/>
      <c r="V1550" s="922"/>
      <c r="W1550" s="922"/>
      <c r="X1550" s="922"/>
      <c r="Y1550" s="922">
        <f t="shared" ref="Y1550:Z1560" si="319">Q1550</f>
        <v>40</v>
      </c>
      <c r="Z1550" s="925">
        <f t="shared" si="319"/>
        <v>3693200</v>
      </c>
      <c r="AA1550" s="922">
        <f t="shared" si="312"/>
        <v>240</v>
      </c>
      <c r="AB1550" s="931">
        <f t="shared" si="312"/>
        <v>19647200</v>
      </c>
      <c r="AC1550" s="933">
        <f t="shared" si="318"/>
        <v>40</v>
      </c>
      <c r="AD1550" s="933">
        <f t="shared" si="316"/>
        <v>36.791131418298939</v>
      </c>
      <c r="AE1550" s="922" t="s">
        <v>1232</v>
      </c>
    </row>
    <row r="1551" spans="1:31" s="934" customFormat="1" ht="107.25" customHeight="1">
      <c r="A1551" s="987"/>
      <c r="B1551" s="987"/>
      <c r="C1551" s="963">
        <v>3</v>
      </c>
      <c r="D1551" s="964" t="s">
        <v>107</v>
      </c>
      <c r="E1551" s="936" t="s">
        <v>95</v>
      </c>
      <c r="F1551" s="964" t="s">
        <v>66</v>
      </c>
      <c r="G1551" s="964" t="s">
        <v>66</v>
      </c>
      <c r="H1551" s="938" t="s">
        <v>198</v>
      </c>
      <c r="I1551" s="965" t="s">
        <v>1287</v>
      </c>
      <c r="J1551" s="965" t="s">
        <v>1288</v>
      </c>
      <c r="K1551" s="973">
        <v>600</v>
      </c>
      <c r="L1551" s="925">
        <v>631032000</v>
      </c>
      <c r="M1551" s="922">
        <v>200</v>
      </c>
      <c r="N1551" s="926">
        <v>250182000</v>
      </c>
      <c r="O1551" s="922">
        <v>100</v>
      </c>
      <c r="P1551" s="974">
        <v>64200000</v>
      </c>
      <c r="Q1551" s="922">
        <v>20</v>
      </c>
      <c r="R1551" s="925">
        <v>12450000</v>
      </c>
      <c r="S1551" s="922"/>
      <c r="T1551" s="922"/>
      <c r="U1551" s="922"/>
      <c r="V1551" s="922"/>
      <c r="W1551" s="922"/>
      <c r="X1551" s="922"/>
      <c r="Y1551" s="922">
        <f t="shared" si="319"/>
        <v>20</v>
      </c>
      <c r="Z1551" s="925">
        <f t="shared" si="319"/>
        <v>12450000</v>
      </c>
      <c r="AA1551" s="922">
        <f t="shared" si="312"/>
        <v>220</v>
      </c>
      <c r="AB1551" s="931">
        <f t="shared" si="312"/>
        <v>262632000</v>
      </c>
      <c r="AC1551" s="933">
        <f t="shared" si="318"/>
        <v>36.666666666666664</v>
      </c>
      <c r="AD1551" s="933">
        <f t="shared" si="316"/>
        <v>41.619442437150575</v>
      </c>
      <c r="AE1551" s="922" t="s">
        <v>1232</v>
      </c>
    </row>
    <row r="1552" spans="1:31" s="934" customFormat="1" ht="60.75" customHeight="1">
      <c r="A1552" s="987"/>
      <c r="B1552" s="987"/>
      <c r="C1552" s="963">
        <v>3</v>
      </c>
      <c r="D1552" s="964" t="s">
        <v>107</v>
      </c>
      <c r="E1552" s="936" t="s">
        <v>95</v>
      </c>
      <c r="F1552" s="964" t="s">
        <v>66</v>
      </c>
      <c r="G1552" s="964" t="s">
        <v>66</v>
      </c>
      <c r="H1552" s="938" t="s">
        <v>93</v>
      </c>
      <c r="I1552" s="965" t="s">
        <v>149</v>
      </c>
      <c r="J1552" s="966" t="s">
        <v>1289</v>
      </c>
      <c r="K1552" s="973">
        <v>600</v>
      </c>
      <c r="L1552" s="925">
        <v>255000000</v>
      </c>
      <c r="M1552" s="922">
        <v>200</v>
      </c>
      <c r="N1552" s="926">
        <v>47000000</v>
      </c>
      <c r="O1552" s="922">
        <v>100</v>
      </c>
      <c r="P1552" s="974">
        <v>52000000</v>
      </c>
      <c r="Q1552" s="922">
        <v>23</v>
      </c>
      <c r="R1552" s="925">
        <v>11000000</v>
      </c>
      <c r="S1552" s="922"/>
      <c r="T1552" s="922"/>
      <c r="U1552" s="922"/>
      <c r="V1552" s="922"/>
      <c r="W1552" s="922"/>
      <c r="X1552" s="922"/>
      <c r="Y1552" s="922">
        <f t="shared" si="319"/>
        <v>23</v>
      </c>
      <c r="Z1552" s="925">
        <f t="shared" si="319"/>
        <v>11000000</v>
      </c>
      <c r="AA1552" s="922">
        <f t="shared" si="312"/>
        <v>223</v>
      </c>
      <c r="AB1552" s="931">
        <f t="shared" si="312"/>
        <v>58000000</v>
      </c>
      <c r="AC1552" s="933">
        <f t="shared" si="318"/>
        <v>37.166666666666664</v>
      </c>
      <c r="AD1552" s="933">
        <f t="shared" si="316"/>
        <v>22.745098039215687</v>
      </c>
      <c r="AE1552" s="922" t="s">
        <v>1232</v>
      </c>
    </row>
    <row r="1553" spans="1:31" s="934" customFormat="1" ht="90.75" customHeight="1">
      <c r="A1553" s="987"/>
      <c r="B1553" s="987"/>
      <c r="C1553" s="963">
        <v>3</v>
      </c>
      <c r="D1553" s="964" t="s">
        <v>107</v>
      </c>
      <c r="E1553" s="936" t="s">
        <v>95</v>
      </c>
      <c r="F1553" s="964" t="s">
        <v>66</v>
      </c>
      <c r="G1553" s="964" t="s">
        <v>66</v>
      </c>
      <c r="H1553" s="922">
        <v>10</v>
      </c>
      <c r="I1553" s="965" t="s">
        <v>150</v>
      </c>
      <c r="J1553" s="966" t="s">
        <v>1290</v>
      </c>
      <c r="K1553" s="973">
        <v>600</v>
      </c>
      <c r="L1553" s="925">
        <v>221973000</v>
      </c>
      <c r="M1553" s="922">
        <v>200</v>
      </c>
      <c r="N1553" s="926">
        <v>82295000</v>
      </c>
      <c r="O1553" s="922">
        <v>100</v>
      </c>
      <c r="P1553" s="974">
        <v>34295038</v>
      </c>
      <c r="Q1553" s="922">
        <v>23</v>
      </c>
      <c r="R1553" s="925">
        <v>6729592</v>
      </c>
      <c r="S1553" s="922"/>
      <c r="T1553" s="922"/>
      <c r="U1553" s="922"/>
      <c r="V1553" s="922"/>
      <c r="W1553" s="922"/>
      <c r="X1553" s="922"/>
      <c r="Y1553" s="922">
        <f t="shared" si="319"/>
        <v>23</v>
      </c>
      <c r="Z1553" s="925">
        <f t="shared" si="319"/>
        <v>6729592</v>
      </c>
      <c r="AA1553" s="922">
        <f t="shared" si="312"/>
        <v>223</v>
      </c>
      <c r="AB1553" s="931">
        <f t="shared" si="312"/>
        <v>89024592</v>
      </c>
      <c r="AC1553" s="933">
        <f t="shared" si="318"/>
        <v>37.166666666666664</v>
      </c>
      <c r="AD1553" s="933">
        <f t="shared" si="316"/>
        <v>40.106045329837414</v>
      </c>
      <c r="AE1553" s="922" t="s">
        <v>1232</v>
      </c>
    </row>
    <row r="1554" spans="1:31" s="934" customFormat="1" ht="92.25" customHeight="1">
      <c r="A1554" s="987"/>
      <c r="B1554" s="987"/>
      <c r="C1554" s="963">
        <v>3</v>
      </c>
      <c r="D1554" s="964" t="s">
        <v>107</v>
      </c>
      <c r="E1554" s="936" t="s">
        <v>95</v>
      </c>
      <c r="F1554" s="964" t="s">
        <v>66</v>
      </c>
      <c r="G1554" s="964" t="s">
        <v>66</v>
      </c>
      <c r="H1554" s="922">
        <v>11</v>
      </c>
      <c r="I1554" s="965" t="s">
        <v>151</v>
      </c>
      <c r="J1554" s="966" t="s">
        <v>1291</v>
      </c>
      <c r="K1554" s="973">
        <v>600</v>
      </c>
      <c r="L1554" s="925">
        <v>302143000</v>
      </c>
      <c r="M1554" s="922">
        <v>200</v>
      </c>
      <c r="N1554" s="926">
        <v>112815000</v>
      </c>
      <c r="O1554" s="922">
        <v>100</v>
      </c>
      <c r="P1554" s="974">
        <v>47332000</v>
      </c>
      <c r="Q1554" s="922">
        <v>17</v>
      </c>
      <c r="R1554" s="925">
        <v>6713000</v>
      </c>
      <c r="S1554" s="922"/>
      <c r="T1554" s="922"/>
      <c r="U1554" s="922"/>
      <c r="V1554" s="922"/>
      <c r="W1554" s="922"/>
      <c r="X1554" s="922"/>
      <c r="Y1554" s="922">
        <f t="shared" si="319"/>
        <v>17</v>
      </c>
      <c r="Z1554" s="925">
        <f t="shared" si="319"/>
        <v>6713000</v>
      </c>
      <c r="AA1554" s="922">
        <f t="shared" si="312"/>
        <v>217</v>
      </c>
      <c r="AB1554" s="931">
        <f t="shared" si="312"/>
        <v>119528000</v>
      </c>
      <c r="AC1554" s="933">
        <f t="shared" si="318"/>
        <v>36.166666666666671</v>
      </c>
      <c r="AD1554" s="933">
        <f t="shared" si="316"/>
        <v>39.560075858120165</v>
      </c>
      <c r="AE1554" s="922" t="s">
        <v>1232</v>
      </c>
    </row>
    <row r="1555" spans="1:31" s="934" customFormat="1" ht="90.75" customHeight="1">
      <c r="A1555" s="987"/>
      <c r="B1555" s="987"/>
      <c r="C1555" s="963">
        <v>3</v>
      </c>
      <c r="D1555" s="964" t="s">
        <v>107</v>
      </c>
      <c r="E1555" s="936" t="s">
        <v>95</v>
      </c>
      <c r="F1555" s="964" t="s">
        <v>66</v>
      </c>
      <c r="G1555" s="964" t="s">
        <v>66</v>
      </c>
      <c r="H1555" s="922">
        <v>12</v>
      </c>
      <c r="I1555" s="965" t="s">
        <v>152</v>
      </c>
      <c r="J1555" s="966" t="s">
        <v>1292</v>
      </c>
      <c r="K1555" s="973">
        <v>600</v>
      </c>
      <c r="L1555" s="925">
        <v>75025000</v>
      </c>
      <c r="M1555" s="922">
        <v>200</v>
      </c>
      <c r="N1555" s="926">
        <v>44913000</v>
      </c>
      <c r="O1555" s="922">
        <v>100</v>
      </c>
      <c r="P1555" s="974">
        <v>7528100</v>
      </c>
      <c r="Q1555" s="922">
        <v>13</v>
      </c>
      <c r="R1555" s="925">
        <v>740300</v>
      </c>
      <c r="S1555" s="922"/>
      <c r="T1555" s="922"/>
      <c r="U1555" s="922"/>
      <c r="V1555" s="922"/>
      <c r="W1555" s="922"/>
      <c r="X1555" s="922"/>
      <c r="Y1555" s="922">
        <f t="shared" si="319"/>
        <v>13</v>
      </c>
      <c r="Z1555" s="925">
        <f t="shared" si="319"/>
        <v>740300</v>
      </c>
      <c r="AA1555" s="922">
        <f t="shared" si="312"/>
        <v>213</v>
      </c>
      <c r="AB1555" s="931">
        <f t="shared" si="312"/>
        <v>45653300</v>
      </c>
      <c r="AC1555" s="933">
        <f t="shared" si="318"/>
        <v>35.5</v>
      </c>
      <c r="AD1555" s="933">
        <f t="shared" si="316"/>
        <v>60.850783072309234</v>
      </c>
      <c r="AE1555" s="922" t="s">
        <v>1232</v>
      </c>
    </row>
    <row r="1556" spans="1:31" s="934" customFormat="1" ht="109.5" customHeight="1">
      <c r="A1556" s="987"/>
      <c r="B1556" s="987"/>
      <c r="C1556" s="963">
        <v>3</v>
      </c>
      <c r="D1556" s="964" t="s">
        <v>107</v>
      </c>
      <c r="E1556" s="936" t="s">
        <v>95</v>
      </c>
      <c r="F1556" s="964" t="s">
        <v>66</v>
      </c>
      <c r="G1556" s="964" t="s">
        <v>66</v>
      </c>
      <c r="H1556" s="922">
        <v>15</v>
      </c>
      <c r="I1556" s="965" t="s">
        <v>1293</v>
      </c>
      <c r="J1556" s="966" t="s">
        <v>1294</v>
      </c>
      <c r="K1556" s="973">
        <v>600</v>
      </c>
      <c r="L1556" s="925">
        <v>77119000</v>
      </c>
      <c r="M1556" s="922">
        <v>200</v>
      </c>
      <c r="N1556" s="926">
        <v>24519000</v>
      </c>
      <c r="O1556" s="922">
        <v>100</v>
      </c>
      <c r="P1556" s="974">
        <v>25900000</v>
      </c>
      <c r="Q1556" s="922">
        <v>3</v>
      </c>
      <c r="R1556" s="925">
        <v>752000</v>
      </c>
      <c r="S1556" s="922"/>
      <c r="T1556" s="922"/>
      <c r="U1556" s="922"/>
      <c r="V1556" s="922"/>
      <c r="W1556" s="922"/>
      <c r="X1556" s="922"/>
      <c r="Y1556" s="922">
        <f t="shared" si="319"/>
        <v>3</v>
      </c>
      <c r="Z1556" s="925">
        <f t="shared" si="319"/>
        <v>752000</v>
      </c>
      <c r="AA1556" s="922">
        <f t="shared" si="312"/>
        <v>203</v>
      </c>
      <c r="AB1556" s="931">
        <f t="shared" si="312"/>
        <v>25271000</v>
      </c>
      <c r="AC1556" s="933">
        <f t="shared" si="318"/>
        <v>33.833333333333329</v>
      </c>
      <c r="AD1556" s="933">
        <f t="shared" si="316"/>
        <v>32.768837770199305</v>
      </c>
      <c r="AE1556" s="922" t="s">
        <v>1232</v>
      </c>
    </row>
    <row r="1557" spans="1:31" s="934" customFormat="1" ht="75" customHeight="1">
      <c r="A1557" s="987"/>
      <c r="B1557" s="987"/>
      <c r="C1557" s="963">
        <v>3</v>
      </c>
      <c r="D1557" s="964" t="s">
        <v>107</v>
      </c>
      <c r="E1557" s="936" t="s">
        <v>95</v>
      </c>
      <c r="F1557" s="964" t="s">
        <v>66</v>
      </c>
      <c r="G1557" s="964" t="s">
        <v>66</v>
      </c>
      <c r="H1557" s="922">
        <v>17</v>
      </c>
      <c r="I1557" s="965" t="s">
        <v>157</v>
      </c>
      <c r="J1557" s="966" t="s">
        <v>1295</v>
      </c>
      <c r="K1557" s="973">
        <v>600</v>
      </c>
      <c r="L1557" s="925">
        <v>240333000</v>
      </c>
      <c r="M1557" s="922">
        <v>200</v>
      </c>
      <c r="N1557" s="926">
        <v>69613000</v>
      </c>
      <c r="O1557" s="922">
        <v>100</v>
      </c>
      <c r="P1557" s="974">
        <v>42680000</v>
      </c>
      <c r="Q1557" s="922">
        <v>17</v>
      </c>
      <c r="R1557" s="925">
        <v>5367500</v>
      </c>
      <c r="S1557" s="922"/>
      <c r="T1557" s="922"/>
      <c r="U1557" s="922"/>
      <c r="V1557" s="922"/>
      <c r="W1557" s="922"/>
      <c r="X1557" s="922"/>
      <c r="Y1557" s="922">
        <f t="shared" si="319"/>
        <v>17</v>
      </c>
      <c r="Z1557" s="925">
        <f t="shared" si="319"/>
        <v>5367500</v>
      </c>
      <c r="AA1557" s="922">
        <f t="shared" si="312"/>
        <v>217</v>
      </c>
      <c r="AB1557" s="931">
        <f t="shared" si="312"/>
        <v>74980500</v>
      </c>
      <c r="AC1557" s="933">
        <f t="shared" si="318"/>
        <v>36.166666666666671</v>
      </c>
      <c r="AD1557" s="933">
        <f t="shared" si="316"/>
        <v>31.198586960592177</v>
      </c>
      <c r="AE1557" s="922" t="s">
        <v>1232</v>
      </c>
    </row>
    <row r="1558" spans="1:31" s="934" customFormat="1" ht="105" customHeight="1">
      <c r="A1558" s="987"/>
      <c r="B1558" s="987"/>
      <c r="C1558" s="963">
        <v>3</v>
      </c>
      <c r="D1558" s="964" t="s">
        <v>107</v>
      </c>
      <c r="E1558" s="936" t="s">
        <v>95</v>
      </c>
      <c r="F1558" s="964" t="s">
        <v>66</v>
      </c>
      <c r="G1558" s="964" t="s">
        <v>66</v>
      </c>
      <c r="H1558" s="922">
        <v>18</v>
      </c>
      <c r="I1558" s="965" t="s">
        <v>244</v>
      </c>
      <c r="J1558" s="966" t="s">
        <v>1296</v>
      </c>
      <c r="K1558" s="973">
        <v>600</v>
      </c>
      <c r="L1558" s="925">
        <v>832905000</v>
      </c>
      <c r="M1558" s="922">
        <v>200</v>
      </c>
      <c r="N1558" s="926">
        <v>363705000</v>
      </c>
      <c r="O1558" s="922">
        <v>100</v>
      </c>
      <c r="P1558" s="974">
        <v>117300000</v>
      </c>
      <c r="Q1558" s="922">
        <v>25</v>
      </c>
      <c r="R1558" s="925">
        <v>28622700</v>
      </c>
      <c r="S1558" s="922"/>
      <c r="T1558" s="922"/>
      <c r="U1558" s="922"/>
      <c r="V1558" s="922"/>
      <c r="W1558" s="922"/>
      <c r="X1558" s="922"/>
      <c r="Y1558" s="922">
        <f t="shared" si="319"/>
        <v>25</v>
      </c>
      <c r="Z1558" s="925">
        <f t="shared" si="319"/>
        <v>28622700</v>
      </c>
      <c r="AA1558" s="922">
        <f t="shared" si="312"/>
        <v>225</v>
      </c>
      <c r="AB1558" s="931">
        <f t="shared" si="312"/>
        <v>392327700</v>
      </c>
      <c r="AC1558" s="933">
        <f t="shared" si="318"/>
        <v>37.5</v>
      </c>
      <c r="AD1558" s="933">
        <f t="shared" si="316"/>
        <v>47.103535217101587</v>
      </c>
      <c r="AE1558" s="922" t="s">
        <v>1232</v>
      </c>
    </row>
    <row r="1559" spans="1:31" s="934" customFormat="1" ht="107.25" customHeight="1">
      <c r="A1559" s="987"/>
      <c r="B1559" s="987"/>
      <c r="C1559" s="963">
        <v>3</v>
      </c>
      <c r="D1559" s="964" t="s">
        <v>107</v>
      </c>
      <c r="E1559" s="936" t="s">
        <v>95</v>
      </c>
      <c r="F1559" s="964" t="s">
        <v>66</v>
      </c>
      <c r="G1559" s="964" t="s">
        <v>66</v>
      </c>
      <c r="H1559" s="922">
        <v>20</v>
      </c>
      <c r="I1559" s="965" t="s">
        <v>246</v>
      </c>
      <c r="J1559" s="966" t="s">
        <v>1297</v>
      </c>
      <c r="K1559" s="973">
        <v>600</v>
      </c>
      <c r="L1559" s="925">
        <v>398565000</v>
      </c>
      <c r="M1559" s="922">
        <v>200</v>
      </c>
      <c r="N1559" s="926">
        <v>139065000</v>
      </c>
      <c r="O1559" s="922">
        <v>100</v>
      </c>
      <c r="P1559" s="974">
        <v>64700000</v>
      </c>
      <c r="Q1559" s="922">
        <v>28</v>
      </c>
      <c r="R1559" s="925">
        <v>17137200</v>
      </c>
      <c r="S1559" s="922"/>
      <c r="T1559" s="922"/>
      <c r="U1559" s="922"/>
      <c r="V1559" s="922"/>
      <c r="W1559" s="922"/>
      <c r="X1559" s="922"/>
      <c r="Y1559" s="922">
        <f t="shared" si="319"/>
        <v>28</v>
      </c>
      <c r="Z1559" s="925">
        <f t="shared" si="319"/>
        <v>17137200</v>
      </c>
      <c r="AA1559" s="922">
        <f t="shared" si="312"/>
        <v>228</v>
      </c>
      <c r="AB1559" s="931">
        <f t="shared" si="312"/>
        <v>156202200</v>
      </c>
      <c r="AC1559" s="933">
        <f t="shared" si="318"/>
        <v>38</v>
      </c>
      <c r="AD1559" s="933">
        <f t="shared" si="316"/>
        <v>39.191148244326527</v>
      </c>
      <c r="AE1559" s="922" t="s">
        <v>1232</v>
      </c>
    </row>
    <row r="1560" spans="1:31" s="934" customFormat="1" ht="120.75" customHeight="1">
      <c r="A1560" s="987"/>
      <c r="B1560" s="987"/>
      <c r="C1560" s="963">
        <v>3</v>
      </c>
      <c r="D1560" s="964" t="s">
        <v>107</v>
      </c>
      <c r="E1560" s="936" t="s">
        <v>95</v>
      </c>
      <c r="F1560" s="964" t="s">
        <v>66</v>
      </c>
      <c r="G1560" s="964" t="s">
        <v>66</v>
      </c>
      <c r="H1560" s="922">
        <v>40</v>
      </c>
      <c r="I1560" s="965" t="s">
        <v>948</v>
      </c>
      <c r="J1560" s="966" t="s">
        <v>1298</v>
      </c>
      <c r="K1560" s="973">
        <v>600</v>
      </c>
      <c r="L1560" s="925">
        <v>164143000</v>
      </c>
      <c r="M1560" s="922">
        <v>200</v>
      </c>
      <c r="N1560" s="926">
        <v>19143000</v>
      </c>
      <c r="O1560" s="922">
        <v>100</v>
      </c>
      <c r="P1560" s="974">
        <v>40000000</v>
      </c>
      <c r="Q1560" s="922">
        <v>9</v>
      </c>
      <c r="R1560" s="925">
        <v>240000</v>
      </c>
      <c r="S1560" s="922"/>
      <c r="T1560" s="922"/>
      <c r="U1560" s="922"/>
      <c r="V1560" s="922"/>
      <c r="W1560" s="922"/>
      <c r="X1560" s="922"/>
      <c r="Y1560" s="922">
        <f t="shared" si="319"/>
        <v>9</v>
      </c>
      <c r="Z1560" s="925">
        <f t="shared" si="319"/>
        <v>240000</v>
      </c>
      <c r="AA1560" s="922">
        <f t="shared" si="312"/>
        <v>209</v>
      </c>
      <c r="AB1560" s="931">
        <f t="shared" si="312"/>
        <v>19383000</v>
      </c>
      <c r="AC1560" s="933">
        <f t="shared" si="318"/>
        <v>34.833333333333336</v>
      </c>
      <c r="AD1560" s="933">
        <f t="shared" si="316"/>
        <v>11.808605910699816</v>
      </c>
      <c r="AE1560" s="922" t="s">
        <v>1232</v>
      </c>
    </row>
    <row r="1561" spans="1:31" s="934" customFormat="1" ht="30.75" customHeight="1">
      <c r="A1561" s="993">
        <v>6</v>
      </c>
      <c r="B1561" s="960"/>
      <c r="C1561" s="961">
        <v>3</v>
      </c>
      <c r="D1561" s="962" t="s">
        <v>107</v>
      </c>
      <c r="E1561" s="942" t="s">
        <v>95</v>
      </c>
      <c r="F1561" s="962" t="s">
        <v>66</v>
      </c>
      <c r="G1561" s="962" t="s">
        <v>65</v>
      </c>
      <c r="H1561" s="943"/>
      <c r="I1561" s="4566" t="s">
        <v>257</v>
      </c>
      <c r="J1561" s="4567"/>
      <c r="K1561" s="941">
        <f t="shared" ref="K1561:R1561" si="320">SUM(K1562:K1566)</f>
        <v>991</v>
      </c>
      <c r="L1561" s="969">
        <f t="shared" si="320"/>
        <v>2899457000</v>
      </c>
      <c r="M1561" s="941">
        <f t="shared" si="320"/>
        <v>424</v>
      </c>
      <c r="N1561" s="970">
        <f t="shared" si="320"/>
        <v>966702000</v>
      </c>
      <c r="O1561" s="941">
        <f t="shared" si="320"/>
        <v>94</v>
      </c>
      <c r="P1561" s="970">
        <f t="shared" si="320"/>
        <v>576617000</v>
      </c>
      <c r="Q1561" s="941">
        <f t="shared" si="320"/>
        <v>37</v>
      </c>
      <c r="R1561" s="969">
        <f t="shared" si="320"/>
        <v>29234476</v>
      </c>
      <c r="S1561" s="941"/>
      <c r="T1561" s="941"/>
      <c r="U1561" s="941"/>
      <c r="V1561" s="941"/>
      <c r="W1561" s="941"/>
      <c r="X1561" s="941"/>
      <c r="Y1561" s="941">
        <f>SUM(Y1562:Y1566)</f>
        <v>37</v>
      </c>
      <c r="Z1561" s="969">
        <f>SUM(Z1562:Z1566)</f>
        <v>29234476</v>
      </c>
      <c r="AA1561" s="941">
        <f>SUM(AA1562:AA1566)</f>
        <v>461</v>
      </c>
      <c r="AB1561" s="969">
        <f>SUM(AB1562:AB1566)</f>
        <v>995936476</v>
      </c>
      <c r="AC1561" s="945"/>
      <c r="AD1561" s="945"/>
      <c r="AE1561" s="975" t="str">
        <f>AE1562</f>
        <v>BKPSDM</v>
      </c>
    </row>
    <row r="1562" spans="1:31" s="934" customFormat="1" ht="75" customHeight="1">
      <c r="A1562" s="919"/>
      <c r="B1562" s="992" t="s">
        <v>1247</v>
      </c>
      <c r="C1562" s="963">
        <v>3</v>
      </c>
      <c r="D1562" s="964" t="s">
        <v>107</v>
      </c>
      <c r="E1562" s="936" t="s">
        <v>95</v>
      </c>
      <c r="F1562" s="964" t="s">
        <v>66</v>
      </c>
      <c r="G1562" s="964" t="s">
        <v>65</v>
      </c>
      <c r="H1562" s="922"/>
      <c r="I1562" s="965" t="s">
        <v>935</v>
      </c>
      <c r="J1562" s="971" t="s">
        <v>1299</v>
      </c>
      <c r="K1562" s="976">
        <v>112</v>
      </c>
      <c r="L1562" s="925">
        <v>783962000</v>
      </c>
      <c r="M1562" s="922">
        <v>72</v>
      </c>
      <c r="N1562" s="926">
        <v>314162000</v>
      </c>
      <c r="O1562" s="924">
        <v>12</v>
      </c>
      <c r="P1562" s="926">
        <v>224700000</v>
      </c>
      <c r="Q1562" s="922">
        <v>0</v>
      </c>
      <c r="R1562" s="925">
        <v>0</v>
      </c>
      <c r="S1562" s="922"/>
      <c r="T1562" s="922"/>
      <c r="U1562" s="922"/>
      <c r="V1562" s="922"/>
      <c r="W1562" s="922"/>
      <c r="X1562" s="922"/>
      <c r="Y1562" s="922">
        <f>Q1562</f>
        <v>0</v>
      </c>
      <c r="Z1562" s="925">
        <f>R1562</f>
        <v>0</v>
      </c>
      <c r="AA1562" s="922">
        <f t="shared" si="312"/>
        <v>72</v>
      </c>
      <c r="AB1562" s="931">
        <f t="shared" si="312"/>
        <v>314162000</v>
      </c>
      <c r="AC1562" s="933">
        <f>(AA1562/K1562)*100</f>
        <v>64.285714285714292</v>
      </c>
      <c r="AD1562" s="933">
        <f t="shared" si="316"/>
        <v>40.073626017587586</v>
      </c>
      <c r="AE1562" s="922" t="s">
        <v>1232</v>
      </c>
    </row>
    <row r="1563" spans="1:31" s="934" customFormat="1" ht="75.75" customHeight="1">
      <c r="A1563" s="986"/>
      <c r="B1563" s="986"/>
      <c r="C1563" s="963">
        <v>3</v>
      </c>
      <c r="D1563" s="964" t="s">
        <v>107</v>
      </c>
      <c r="E1563" s="936" t="s">
        <v>95</v>
      </c>
      <c r="F1563" s="964" t="s">
        <v>66</v>
      </c>
      <c r="G1563" s="964" t="s">
        <v>65</v>
      </c>
      <c r="H1563" s="938" t="s">
        <v>201</v>
      </c>
      <c r="I1563" s="965" t="s">
        <v>454</v>
      </c>
      <c r="J1563" s="947" t="s">
        <v>1300</v>
      </c>
      <c r="K1563" s="929">
        <v>27</v>
      </c>
      <c r="L1563" s="925">
        <v>437880000</v>
      </c>
      <c r="M1563" s="922">
        <v>11</v>
      </c>
      <c r="N1563" s="926">
        <v>70260000</v>
      </c>
      <c r="O1563" s="927">
        <v>2</v>
      </c>
      <c r="P1563" s="930">
        <v>2500000</v>
      </c>
      <c r="Q1563" s="922">
        <v>0</v>
      </c>
      <c r="R1563" s="925">
        <v>0</v>
      </c>
      <c r="S1563" s="922"/>
      <c r="T1563" s="922"/>
      <c r="U1563" s="922"/>
      <c r="V1563" s="922"/>
      <c r="W1563" s="922"/>
      <c r="X1563" s="922"/>
      <c r="Y1563" s="922">
        <f t="shared" ref="Y1563:Z1566" si="321">Q1563</f>
        <v>0</v>
      </c>
      <c r="Z1563" s="925">
        <f t="shared" si="321"/>
        <v>0</v>
      </c>
      <c r="AA1563" s="922">
        <f t="shared" si="312"/>
        <v>11</v>
      </c>
      <c r="AB1563" s="931">
        <f t="shared" si="312"/>
        <v>70260000</v>
      </c>
      <c r="AC1563" s="933">
        <f>(AA1563/K1563)*100</f>
        <v>40.74074074074074</v>
      </c>
      <c r="AD1563" s="933">
        <f t="shared" si="316"/>
        <v>16.045491915593313</v>
      </c>
      <c r="AE1563" s="922" t="s">
        <v>1232</v>
      </c>
    </row>
    <row r="1564" spans="1:31" s="934" customFormat="1" ht="90.75" customHeight="1">
      <c r="A1564" s="987"/>
      <c r="B1564" s="987"/>
      <c r="C1564" s="963">
        <v>3</v>
      </c>
      <c r="D1564" s="964" t="s">
        <v>107</v>
      </c>
      <c r="E1564" s="936" t="s">
        <v>95</v>
      </c>
      <c r="F1564" s="964" t="s">
        <v>66</v>
      </c>
      <c r="G1564" s="964" t="s">
        <v>65</v>
      </c>
      <c r="H1564" s="922">
        <v>22</v>
      </c>
      <c r="I1564" s="965" t="s">
        <v>1301</v>
      </c>
      <c r="J1564" s="947" t="s">
        <v>1302</v>
      </c>
      <c r="K1564" s="929">
        <v>10</v>
      </c>
      <c r="L1564" s="925">
        <v>864819000</v>
      </c>
      <c r="M1564" s="922">
        <v>4</v>
      </c>
      <c r="N1564" s="926">
        <v>317885000</v>
      </c>
      <c r="O1564" s="927">
        <v>2</v>
      </c>
      <c r="P1564" s="930">
        <v>181800000</v>
      </c>
      <c r="Q1564" s="922">
        <v>0</v>
      </c>
      <c r="R1564" s="925">
        <v>0</v>
      </c>
      <c r="S1564" s="922"/>
      <c r="T1564" s="922"/>
      <c r="U1564" s="922"/>
      <c r="V1564" s="922"/>
      <c r="W1564" s="922"/>
      <c r="X1564" s="922"/>
      <c r="Y1564" s="922">
        <f t="shared" si="321"/>
        <v>0</v>
      </c>
      <c r="Z1564" s="925">
        <f t="shared" si="321"/>
        <v>0</v>
      </c>
      <c r="AA1564" s="922">
        <f t="shared" si="312"/>
        <v>4</v>
      </c>
      <c r="AB1564" s="931">
        <f t="shared" si="312"/>
        <v>317885000</v>
      </c>
      <c r="AC1564" s="933">
        <f>(AA1564/K1564)*100</f>
        <v>40</v>
      </c>
      <c r="AD1564" s="933">
        <f t="shared" si="316"/>
        <v>36.757402415996879</v>
      </c>
      <c r="AE1564" s="922" t="s">
        <v>1232</v>
      </c>
    </row>
    <row r="1565" spans="1:31" s="934" customFormat="1" ht="106.5" customHeight="1">
      <c r="A1565" s="987"/>
      <c r="B1565" s="987"/>
      <c r="C1565" s="963">
        <v>3</v>
      </c>
      <c r="D1565" s="964" t="s">
        <v>107</v>
      </c>
      <c r="E1565" s="936" t="s">
        <v>95</v>
      </c>
      <c r="F1565" s="964" t="s">
        <v>66</v>
      </c>
      <c r="G1565" s="964" t="s">
        <v>65</v>
      </c>
      <c r="H1565" s="922">
        <v>24</v>
      </c>
      <c r="I1565" s="965" t="s">
        <v>1303</v>
      </c>
      <c r="J1565" s="947" t="s">
        <v>1304</v>
      </c>
      <c r="K1565" s="973">
        <v>500</v>
      </c>
      <c r="L1565" s="925">
        <v>595731000</v>
      </c>
      <c r="M1565" s="922">
        <v>200</v>
      </c>
      <c r="N1565" s="926">
        <v>194286000</v>
      </c>
      <c r="O1565" s="977">
        <v>1</v>
      </c>
      <c r="P1565" s="930">
        <v>129825000</v>
      </c>
      <c r="Q1565" s="922">
        <v>20</v>
      </c>
      <c r="R1565" s="925">
        <v>23667476</v>
      </c>
      <c r="S1565" s="922"/>
      <c r="T1565" s="922"/>
      <c r="U1565" s="922"/>
      <c r="V1565" s="922"/>
      <c r="W1565" s="922"/>
      <c r="X1565" s="922"/>
      <c r="Y1565" s="922">
        <f t="shared" si="321"/>
        <v>20</v>
      </c>
      <c r="Z1565" s="925">
        <f t="shared" si="321"/>
        <v>23667476</v>
      </c>
      <c r="AA1565" s="922">
        <f t="shared" si="312"/>
        <v>220</v>
      </c>
      <c r="AB1565" s="931">
        <f t="shared" si="312"/>
        <v>217953476</v>
      </c>
      <c r="AC1565" s="933">
        <f>(AA1565/K1565)*100</f>
        <v>44</v>
      </c>
      <c r="AD1565" s="933">
        <f t="shared" si="316"/>
        <v>36.585887925926301</v>
      </c>
      <c r="AE1565" s="922" t="s">
        <v>1232</v>
      </c>
    </row>
    <row r="1566" spans="1:31" s="934" customFormat="1" ht="91.5" customHeight="1">
      <c r="A1566" s="987"/>
      <c r="B1566" s="987"/>
      <c r="C1566" s="963">
        <v>3</v>
      </c>
      <c r="D1566" s="964" t="s">
        <v>107</v>
      </c>
      <c r="E1566" s="936" t="s">
        <v>95</v>
      </c>
      <c r="F1566" s="964" t="s">
        <v>66</v>
      </c>
      <c r="G1566" s="964" t="s">
        <v>65</v>
      </c>
      <c r="H1566" s="922">
        <v>28</v>
      </c>
      <c r="I1566" s="965" t="s">
        <v>1305</v>
      </c>
      <c r="J1566" s="947" t="s">
        <v>1306</v>
      </c>
      <c r="K1566" s="929">
        <v>342</v>
      </c>
      <c r="L1566" s="925">
        <v>217065000</v>
      </c>
      <c r="M1566" s="922">
        <v>137</v>
      </c>
      <c r="N1566" s="926">
        <v>70109000</v>
      </c>
      <c r="O1566" s="922">
        <v>77</v>
      </c>
      <c r="P1566" s="930">
        <v>37792000</v>
      </c>
      <c r="Q1566" s="922">
        <v>17</v>
      </c>
      <c r="R1566" s="925">
        <v>5567000</v>
      </c>
      <c r="S1566" s="922"/>
      <c r="T1566" s="922"/>
      <c r="U1566" s="922"/>
      <c r="V1566" s="922"/>
      <c r="W1566" s="922"/>
      <c r="X1566" s="922"/>
      <c r="Y1566" s="922">
        <f t="shared" si="321"/>
        <v>17</v>
      </c>
      <c r="Z1566" s="925">
        <f t="shared" si="321"/>
        <v>5567000</v>
      </c>
      <c r="AA1566" s="922">
        <f t="shared" si="312"/>
        <v>154</v>
      </c>
      <c r="AB1566" s="931">
        <f t="shared" si="312"/>
        <v>75676000</v>
      </c>
      <c r="AC1566" s="933">
        <f>(AA1566/K1566)*100</f>
        <v>45.029239766081872</v>
      </c>
      <c r="AD1566" s="933">
        <f t="shared" si="316"/>
        <v>34.863289797986781</v>
      </c>
      <c r="AE1566" s="922" t="s">
        <v>1232</v>
      </c>
    </row>
    <row r="1567" spans="1:31" s="934" customFormat="1" ht="48" customHeight="1">
      <c r="A1567" s="939">
        <v>7</v>
      </c>
      <c r="B1567" s="960"/>
      <c r="C1567" s="961">
        <v>3</v>
      </c>
      <c r="D1567" s="962" t="s">
        <v>107</v>
      </c>
      <c r="E1567" s="942" t="s">
        <v>95</v>
      </c>
      <c r="F1567" s="962" t="s">
        <v>66</v>
      </c>
      <c r="G1567" s="962" t="s">
        <v>197</v>
      </c>
      <c r="H1567" s="943"/>
      <c r="I1567" s="4568" t="s">
        <v>227</v>
      </c>
      <c r="J1567" s="4569"/>
      <c r="K1567" s="975">
        <f>K1568</f>
        <v>66</v>
      </c>
      <c r="L1567" s="978">
        <f t="shared" ref="L1567:AE1567" si="322">L1568</f>
        <v>113071000</v>
      </c>
      <c r="M1567" s="975">
        <f t="shared" si="322"/>
        <v>22</v>
      </c>
      <c r="N1567" s="978">
        <f t="shared" si="322"/>
        <v>21953000</v>
      </c>
      <c r="O1567" s="975">
        <f t="shared" si="322"/>
        <v>11</v>
      </c>
      <c r="P1567" s="978">
        <f t="shared" si="322"/>
        <v>14918220</v>
      </c>
      <c r="Q1567" s="975">
        <f t="shared" si="322"/>
        <v>0</v>
      </c>
      <c r="R1567" s="978">
        <f t="shared" si="322"/>
        <v>0</v>
      </c>
      <c r="S1567" s="975"/>
      <c r="T1567" s="975"/>
      <c r="U1567" s="975"/>
      <c r="V1567" s="975"/>
      <c r="W1567" s="975"/>
      <c r="X1567" s="975"/>
      <c r="Y1567" s="975">
        <f t="shared" si="322"/>
        <v>0</v>
      </c>
      <c r="Z1567" s="978">
        <f t="shared" si="322"/>
        <v>0</v>
      </c>
      <c r="AA1567" s="975">
        <f t="shared" si="322"/>
        <v>22</v>
      </c>
      <c r="AB1567" s="978">
        <f t="shared" si="322"/>
        <v>21953000</v>
      </c>
      <c r="AC1567" s="979"/>
      <c r="AD1567" s="979"/>
      <c r="AE1567" s="975" t="str">
        <f t="shared" si="322"/>
        <v>BKPSDM</v>
      </c>
    </row>
    <row r="1568" spans="1:31" s="934" customFormat="1" ht="93" customHeight="1">
      <c r="A1568" s="988"/>
      <c r="B1568" s="990" t="s">
        <v>1247</v>
      </c>
      <c r="C1568" s="963">
        <v>3</v>
      </c>
      <c r="D1568" s="964" t="s">
        <v>107</v>
      </c>
      <c r="E1568" s="936" t="s">
        <v>95</v>
      </c>
      <c r="F1568" s="964" t="s">
        <v>66</v>
      </c>
      <c r="G1568" s="964" t="s">
        <v>197</v>
      </c>
      <c r="H1568" s="938" t="s">
        <v>66</v>
      </c>
      <c r="I1568" s="965" t="s">
        <v>950</v>
      </c>
      <c r="J1568" s="965" t="s">
        <v>1307</v>
      </c>
      <c r="K1568" s="980">
        <v>66</v>
      </c>
      <c r="L1568" s="925">
        <v>113071000</v>
      </c>
      <c r="M1568" s="922">
        <v>22</v>
      </c>
      <c r="N1568" s="926">
        <v>21953000</v>
      </c>
      <c r="O1568" s="924">
        <v>11</v>
      </c>
      <c r="P1568" s="930">
        <v>14918220</v>
      </c>
      <c r="Q1568" s="922">
        <v>0</v>
      </c>
      <c r="R1568" s="925">
        <v>0</v>
      </c>
      <c r="S1568" s="922"/>
      <c r="T1568" s="922"/>
      <c r="U1568" s="922"/>
      <c r="V1568" s="922"/>
      <c r="W1568" s="922"/>
      <c r="X1568" s="922"/>
      <c r="Y1568" s="922">
        <f>Q1568</f>
        <v>0</v>
      </c>
      <c r="Z1568" s="925">
        <f>R1568</f>
        <v>0</v>
      </c>
      <c r="AA1568" s="922">
        <f>M1568+Y1568</f>
        <v>22</v>
      </c>
      <c r="AB1568" s="931">
        <f t="shared" si="312"/>
        <v>21953000</v>
      </c>
      <c r="AC1568" s="933">
        <f>(AA1568/K1568)*100</f>
        <v>33.333333333333329</v>
      </c>
      <c r="AD1568" s="933">
        <f t="shared" si="316"/>
        <v>19.415234675557834</v>
      </c>
      <c r="AE1568" s="922" t="s">
        <v>1232</v>
      </c>
    </row>
    <row r="1569" spans="1:31" s="934" customFormat="1" ht="15">
      <c r="A1569" s="4570" t="s">
        <v>89</v>
      </c>
      <c r="B1569" s="4571"/>
      <c r="C1569" s="4571"/>
      <c r="D1569" s="4571"/>
      <c r="E1569" s="4571"/>
      <c r="F1569" s="4571"/>
      <c r="G1569" s="4571"/>
      <c r="H1569" s="4571"/>
      <c r="I1569" s="4571"/>
      <c r="J1569" s="4571"/>
      <c r="K1569" s="4571"/>
      <c r="L1569" s="4571"/>
      <c r="M1569" s="4571"/>
      <c r="N1569" s="4571"/>
      <c r="O1569" s="4571"/>
      <c r="P1569" s="4571"/>
      <c r="Q1569" s="4571"/>
      <c r="R1569" s="4571"/>
      <c r="S1569" s="4571"/>
      <c r="T1569" s="4571"/>
      <c r="U1569" s="4571"/>
      <c r="V1569" s="4571"/>
      <c r="W1569" s="4571"/>
      <c r="X1569" s="4571"/>
      <c r="Y1569" s="4571"/>
      <c r="Z1569" s="4571"/>
      <c r="AA1569" s="4571"/>
      <c r="AB1569" s="4572"/>
      <c r="AC1569" s="20">
        <f>AVERAGE(AC1522:AC1568)</f>
        <v>39.370330430907202</v>
      </c>
      <c r="AD1569" s="20">
        <f>AVERAGE(AD1522:AD1568)</f>
        <v>31.352266294759126</v>
      </c>
      <c r="AE1569" s="981"/>
    </row>
    <row r="1570" spans="1:31" s="934" customFormat="1" ht="15">
      <c r="A1570" s="4570" t="s">
        <v>90</v>
      </c>
      <c r="B1570" s="4571"/>
      <c r="C1570" s="4571"/>
      <c r="D1570" s="4571"/>
      <c r="E1570" s="4571"/>
      <c r="F1570" s="4571"/>
      <c r="G1570" s="4571"/>
      <c r="H1570" s="4571"/>
      <c r="I1570" s="4571"/>
      <c r="J1570" s="4571"/>
      <c r="K1570" s="4571"/>
      <c r="L1570" s="4571"/>
      <c r="M1570" s="4571"/>
      <c r="N1570" s="4571"/>
      <c r="O1570" s="4571"/>
      <c r="P1570" s="4571"/>
      <c r="Q1570" s="4571"/>
      <c r="R1570" s="4571"/>
      <c r="S1570" s="4571"/>
      <c r="T1570" s="4571"/>
      <c r="U1570" s="4571"/>
      <c r="V1570" s="4571"/>
      <c r="W1570" s="4571"/>
      <c r="X1570" s="4571"/>
      <c r="Y1570" s="4571"/>
      <c r="Z1570" s="4571"/>
      <c r="AA1570" s="4571"/>
      <c r="AB1570" s="4572"/>
      <c r="AC1570" s="22" t="str">
        <f>IF(AC1569&gt;=45,"ST",IF(AC1569&gt;=38,"T",IF(AC1569&gt;=32,"S",IF(AC1569&gt;=25,"R","SR"))))</f>
        <v>T</v>
      </c>
      <c r="AD1570" s="22" t="str">
        <f>IF(AD1569&gt;=45,"ST",IF(AD1569&gt;=38,"T",IF(AD1569&gt;=32,"S",IF(AD1569&gt;=25,"R","SR"))))</f>
        <v>R</v>
      </c>
      <c r="AE1570" s="981"/>
    </row>
    <row r="1571" spans="1:31" s="40" customFormat="1" ht="17.25">
      <c r="A1571" s="4560" t="s">
        <v>100</v>
      </c>
      <c r="B1571" s="4561"/>
      <c r="C1571" s="4561"/>
      <c r="D1571" s="4561"/>
      <c r="E1571" s="4561"/>
      <c r="F1571" s="4561"/>
      <c r="G1571" s="4561"/>
      <c r="H1571" s="4561"/>
      <c r="I1571" s="4561"/>
      <c r="J1571" s="4561"/>
      <c r="K1571" s="4561"/>
      <c r="L1571" s="4561"/>
      <c r="M1571" s="4561"/>
      <c r="N1571" s="4561"/>
      <c r="O1571" s="4562"/>
      <c r="P1571" s="982" t="e">
        <f>#REF!+P1528+P1540+P1545+P1548+P1561+P1567</f>
        <v>#REF!</v>
      </c>
      <c r="Q1571" s="4573"/>
      <c r="R1571" s="4574"/>
      <c r="S1571" s="4574"/>
      <c r="T1571" s="4574"/>
      <c r="U1571" s="4574"/>
      <c r="V1571" s="4574"/>
      <c r="W1571" s="4574"/>
      <c r="X1571" s="4574"/>
      <c r="Y1571" s="4574"/>
      <c r="Z1571" s="4574"/>
      <c r="AA1571" s="4575"/>
      <c r="AB1571" s="982" t="e">
        <f>#REF!+AB1528+AB1540+AB1545+AB1548+AB1561+AB1567</f>
        <v>#REF!</v>
      </c>
      <c r="AC1571" s="983"/>
      <c r="AD1571" s="983"/>
      <c r="AE1571" s="983"/>
    </row>
    <row r="1572" spans="1:31" s="40" customFormat="1" ht="15">
      <c r="A1572" s="4560" t="s">
        <v>101</v>
      </c>
      <c r="B1572" s="4561"/>
      <c r="C1572" s="4561"/>
      <c r="D1572" s="4561"/>
      <c r="E1572" s="4561"/>
      <c r="F1572" s="4561"/>
      <c r="G1572" s="4561"/>
      <c r="H1572" s="4561"/>
      <c r="I1572" s="4561"/>
      <c r="J1572" s="4561"/>
      <c r="K1572" s="4561"/>
      <c r="L1572" s="4561"/>
      <c r="M1572" s="4561"/>
      <c r="N1572" s="4561"/>
      <c r="O1572" s="4561"/>
      <c r="P1572" s="4561"/>
      <c r="Q1572" s="4561"/>
      <c r="R1572" s="4561"/>
      <c r="S1572" s="4561"/>
      <c r="T1572" s="4561"/>
      <c r="U1572" s="4561"/>
      <c r="V1572" s="4561"/>
      <c r="W1572" s="4561"/>
      <c r="X1572" s="4561"/>
      <c r="Y1572" s="4561"/>
      <c r="Z1572" s="4561"/>
      <c r="AA1572" s="4561"/>
      <c r="AB1572" s="4562"/>
      <c r="AC1572" s="984">
        <f>AVERAGE(AD1522:AD1568)</f>
        <v>31.352266294759126</v>
      </c>
      <c r="AD1572" s="984" t="e">
        <f>(AB1571/P1571)*100</f>
        <v>#REF!</v>
      </c>
      <c r="AE1572" s="983"/>
    </row>
    <row r="1573" spans="1:31" s="69" customFormat="1" ht="35.25" customHeight="1">
      <c r="A1573" s="67">
        <v>35</v>
      </c>
      <c r="B1573" s="67"/>
      <c r="C1573" s="67"/>
      <c r="D1573" s="67"/>
      <c r="E1573" s="67"/>
      <c r="F1573" s="67"/>
      <c r="G1573" s="67"/>
      <c r="H1573" s="67"/>
      <c r="I1573" s="68" t="s">
        <v>1017</v>
      </c>
      <c r="J1573" s="67"/>
      <c r="K1573" s="67"/>
      <c r="L1573" s="67"/>
      <c r="M1573" s="67"/>
      <c r="N1573" s="67"/>
      <c r="O1573" s="67"/>
      <c r="P1573" s="67"/>
      <c r="Q1573" s="67"/>
      <c r="R1573" s="67"/>
      <c r="S1573" s="67"/>
      <c r="T1573" s="67"/>
      <c r="U1573" s="67"/>
      <c r="V1573" s="67"/>
      <c r="W1573" s="67"/>
      <c r="X1573" s="67"/>
      <c r="Y1573" s="366"/>
      <c r="Z1573" s="67"/>
      <c r="AA1573" s="67"/>
      <c r="AB1573" s="67"/>
      <c r="AC1573" s="67"/>
      <c r="AD1573" s="67"/>
      <c r="AE1573" s="67"/>
    </row>
    <row r="1574" spans="1:31">
      <c r="A1574" s="64"/>
      <c r="B1574" s="64"/>
      <c r="C1574" s="64"/>
      <c r="D1574" s="64"/>
      <c r="E1574" s="64"/>
      <c r="F1574" s="64"/>
      <c r="G1574" s="64"/>
      <c r="H1574" s="64"/>
      <c r="I1574" s="64"/>
      <c r="J1574" s="64"/>
      <c r="K1574" s="64"/>
      <c r="L1574" s="64"/>
      <c r="M1574" s="64"/>
      <c r="N1574" s="64"/>
      <c r="O1574" s="64"/>
      <c r="P1574" s="64"/>
      <c r="Q1574" s="64"/>
      <c r="R1574" s="64"/>
      <c r="S1574" s="64"/>
      <c r="T1574" s="64"/>
      <c r="U1574" s="64"/>
      <c r="V1574" s="64"/>
      <c r="W1574" s="64"/>
      <c r="X1574" s="64"/>
      <c r="Y1574" s="729"/>
      <c r="Z1574" s="64"/>
      <c r="AA1574" s="64"/>
      <c r="AB1574" s="64"/>
      <c r="AC1574" s="64"/>
      <c r="AD1574" s="64"/>
      <c r="AE1574" s="64"/>
    </row>
    <row r="1575" spans="1:31" s="69" customFormat="1" ht="35.25" customHeight="1">
      <c r="A1575" s="67">
        <v>36</v>
      </c>
      <c r="B1575" s="67"/>
      <c r="C1575" s="67"/>
      <c r="D1575" s="67"/>
      <c r="E1575" s="67"/>
      <c r="F1575" s="67"/>
      <c r="G1575" s="67"/>
      <c r="H1575" s="67"/>
      <c r="I1575" s="68" t="s">
        <v>908</v>
      </c>
      <c r="J1575" s="67"/>
      <c r="K1575" s="67"/>
      <c r="L1575" s="67"/>
      <c r="M1575" s="67"/>
      <c r="N1575" s="67"/>
      <c r="O1575" s="67"/>
      <c r="P1575" s="67"/>
      <c r="Q1575" s="67"/>
      <c r="R1575" s="67"/>
      <c r="S1575" s="67"/>
      <c r="T1575" s="67"/>
      <c r="U1575" s="67"/>
      <c r="V1575" s="67"/>
      <c r="W1575" s="67"/>
      <c r="X1575" s="67"/>
      <c r="Y1575" s="366"/>
      <c r="Z1575" s="67"/>
      <c r="AA1575" s="67"/>
      <c r="AB1575" s="67"/>
      <c r="AC1575" s="67"/>
      <c r="AD1575" s="67"/>
      <c r="AE1575" s="67"/>
    </row>
    <row r="1576" spans="1:31" s="69" customFormat="1" ht="33.75" customHeight="1">
      <c r="A1576" s="72"/>
      <c r="B1576" s="72"/>
      <c r="C1576" s="72"/>
      <c r="D1576" s="72"/>
      <c r="E1576" s="72"/>
      <c r="F1576" s="72"/>
      <c r="G1576" s="72"/>
      <c r="H1576" s="72"/>
      <c r="I1576" s="73" t="s">
        <v>1018</v>
      </c>
      <c r="J1576" s="72"/>
      <c r="K1576" s="72"/>
      <c r="L1576" s="72"/>
      <c r="M1576" s="72"/>
      <c r="N1576" s="72"/>
      <c r="O1576" s="72"/>
      <c r="P1576" s="72"/>
      <c r="Q1576" s="72"/>
      <c r="R1576" s="72"/>
      <c r="S1576" s="72"/>
      <c r="T1576" s="72"/>
      <c r="U1576" s="72"/>
      <c r="V1576" s="72"/>
      <c r="W1576" s="72"/>
      <c r="X1576" s="72"/>
      <c r="Y1576" s="561"/>
      <c r="Z1576" s="72"/>
      <c r="AA1576" s="72"/>
      <c r="AB1576" s="72"/>
      <c r="AC1576" s="72"/>
      <c r="AD1576" s="72"/>
      <c r="AE1576" s="72"/>
    </row>
    <row r="1577" spans="1:31" s="69" customFormat="1" ht="24.75" customHeight="1">
      <c r="A1577" s="67">
        <v>37</v>
      </c>
      <c r="B1577" s="67"/>
      <c r="C1577" s="67"/>
      <c r="D1577" s="67"/>
      <c r="E1577" s="67"/>
      <c r="F1577" s="67"/>
      <c r="G1577" s="67"/>
      <c r="H1577" s="67"/>
      <c r="I1577" s="68" t="s">
        <v>1019</v>
      </c>
      <c r="J1577" s="67"/>
      <c r="K1577" s="67"/>
      <c r="L1577" s="67"/>
      <c r="M1577" s="67"/>
      <c r="N1577" s="67"/>
      <c r="O1577" s="67"/>
      <c r="P1577" s="67"/>
      <c r="Q1577" s="67"/>
      <c r="R1577" s="67"/>
      <c r="S1577" s="67"/>
      <c r="T1577" s="67"/>
      <c r="U1577" s="67"/>
      <c r="V1577" s="67"/>
      <c r="W1577" s="67"/>
      <c r="X1577" s="67"/>
      <c r="Y1577" s="366"/>
      <c r="Z1577" s="67"/>
      <c r="AA1577" s="67"/>
      <c r="AB1577" s="67"/>
      <c r="AC1577" s="67"/>
      <c r="AD1577" s="67"/>
      <c r="AE1577" s="67"/>
    </row>
    <row r="1578" spans="1:31" ht="17.25" customHeight="1">
      <c r="A1578" s="1922">
        <v>1</v>
      </c>
      <c r="B1578" s="1923" t="s">
        <v>2510</v>
      </c>
      <c r="C1578" s="1924">
        <v>4</v>
      </c>
      <c r="D1578" s="1925" t="s">
        <v>107</v>
      </c>
      <c r="E1578" s="1925" t="s">
        <v>66</v>
      </c>
      <c r="F1578" s="1925" t="s">
        <v>66</v>
      </c>
      <c r="G1578" s="1926"/>
      <c r="H1578" s="1926"/>
      <c r="I1578" s="1926" t="s">
        <v>221</v>
      </c>
      <c r="J1578" s="1927" t="s">
        <v>2511</v>
      </c>
      <c r="K1578" s="1928">
        <v>540</v>
      </c>
      <c r="L1578" s="1929">
        <f>SUM(L1579:L1593)</f>
        <v>41145348440</v>
      </c>
      <c r="M1578" s="1930">
        <f>85+85</f>
        <v>170</v>
      </c>
      <c r="N1578" s="1929">
        <f>SUM(N1579:N1593)</f>
        <v>9136228552</v>
      </c>
      <c r="O1578" s="1928">
        <v>85</v>
      </c>
      <c r="P1578" s="1931">
        <f>SUM(P1579:P1593)</f>
        <v>5650886503</v>
      </c>
      <c r="Q1578" s="1932">
        <v>25</v>
      </c>
      <c r="R1578" s="1933">
        <f>SUM(R1579:R1593)</f>
        <v>1163633893</v>
      </c>
      <c r="S1578" s="1957"/>
      <c r="T1578" s="1957"/>
      <c r="U1578" s="1957"/>
      <c r="V1578" s="1957"/>
      <c r="W1578" s="1957"/>
      <c r="X1578" s="1957"/>
      <c r="Y1578" s="1932">
        <f t="shared" ref="Y1578:Z1593" si="323">Q1578</f>
        <v>25</v>
      </c>
      <c r="Z1578" s="1933">
        <f t="shared" si="323"/>
        <v>1163633893</v>
      </c>
      <c r="AA1578" s="1932">
        <f t="shared" ref="AA1578:AA1593" si="324">M1578+Q1578</f>
        <v>195</v>
      </c>
      <c r="AB1578" s="1933">
        <f>N1578+Z1578</f>
        <v>10299862445</v>
      </c>
      <c r="AC1578" s="1929">
        <f>AA1578/K1578*100</f>
        <v>36.111111111111107</v>
      </c>
      <c r="AD1578" s="1934">
        <f>AB1578/L1578*100</f>
        <v>25.032872087642478</v>
      </c>
      <c r="AE1578" s="1957"/>
    </row>
    <row r="1579" spans="1:31" s="69" customFormat="1" ht="24.75" customHeight="1">
      <c r="A1579" s="497"/>
      <c r="B1579" s="383"/>
      <c r="C1579" s="1935">
        <v>4</v>
      </c>
      <c r="D1579" s="1236" t="s">
        <v>107</v>
      </c>
      <c r="E1579" s="1236" t="s">
        <v>66</v>
      </c>
      <c r="F1579" s="1236" t="s">
        <v>66</v>
      </c>
      <c r="G1579" s="1236" t="s">
        <v>66</v>
      </c>
      <c r="H1579" s="383"/>
      <c r="I1579" s="1936" t="s">
        <v>2420</v>
      </c>
      <c r="J1579" s="375" t="s">
        <v>2512</v>
      </c>
      <c r="K1579" s="1937">
        <f>12*6</f>
        <v>72</v>
      </c>
      <c r="L1579" s="1938">
        <v>1073600000</v>
      </c>
      <c r="M1579" s="1939">
        <v>24</v>
      </c>
      <c r="N1579" s="1940">
        <f>156028900+161345160</f>
        <v>317374060</v>
      </c>
      <c r="O1579" s="1938">
        <v>12</v>
      </c>
      <c r="P1579" s="1941">
        <v>106839619</v>
      </c>
      <c r="Q1579" s="1939">
        <v>3</v>
      </c>
      <c r="R1579" s="1940">
        <v>32058500</v>
      </c>
      <c r="S1579" s="1945"/>
      <c r="T1579" s="64"/>
      <c r="U1579" s="64"/>
      <c r="V1579" s="64"/>
      <c r="W1579" s="64"/>
      <c r="X1579" s="64"/>
      <c r="Y1579" s="1939">
        <f t="shared" si="323"/>
        <v>3</v>
      </c>
      <c r="Z1579" s="1942">
        <f t="shared" si="323"/>
        <v>32058500</v>
      </c>
      <c r="AA1579" s="1943">
        <f>M1579+Y1579</f>
        <v>27</v>
      </c>
      <c r="AB1579" s="1944">
        <f t="shared" ref="AB1579:AB1593" si="325">N1579+Z1579</f>
        <v>349432560</v>
      </c>
      <c r="AC1579" s="1945">
        <f t="shared" ref="AC1579:AD1593" si="326">AA1579/K1579*100</f>
        <v>37.5</v>
      </c>
      <c r="AD1579" s="1946">
        <f>AB1579/L1579*100</f>
        <v>32.547742175856932</v>
      </c>
      <c r="AE1579" s="64" t="s">
        <v>2513</v>
      </c>
    </row>
    <row r="1580" spans="1:31" ht="18" customHeight="1">
      <c r="A1580" s="497"/>
      <c r="B1580" s="383"/>
      <c r="C1580" s="1935">
        <v>4</v>
      </c>
      <c r="D1580" s="1236" t="s">
        <v>107</v>
      </c>
      <c r="E1580" s="1236" t="s">
        <v>66</v>
      </c>
      <c r="F1580" s="1236" t="s">
        <v>66</v>
      </c>
      <c r="G1580" s="1236" t="s">
        <v>65</v>
      </c>
      <c r="H1580" s="383"/>
      <c r="I1580" s="1936" t="s">
        <v>147</v>
      </c>
      <c r="J1580" s="741" t="s">
        <v>2514</v>
      </c>
      <c r="K1580" s="1937">
        <f>12*6</f>
        <v>72</v>
      </c>
      <c r="L1580" s="1947">
        <v>5700000000</v>
      </c>
      <c r="M1580" s="1939">
        <v>24</v>
      </c>
      <c r="N1580" s="1940">
        <f>872357172+775707224</f>
        <v>1648064396</v>
      </c>
      <c r="O1580" s="1938">
        <v>12</v>
      </c>
      <c r="P1580" s="1941">
        <v>665000000</v>
      </c>
      <c r="Q1580" s="1939">
        <v>3</v>
      </c>
      <c r="R1580" s="1940">
        <v>229157343</v>
      </c>
      <c r="S1580" s="1945"/>
      <c r="T1580" s="64"/>
      <c r="U1580" s="64"/>
      <c r="V1580" s="64"/>
      <c r="W1580" s="64"/>
      <c r="X1580" s="64"/>
      <c r="Y1580" s="1939">
        <f t="shared" si="323"/>
        <v>3</v>
      </c>
      <c r="Z1580" s="1942">
        <f t="shared" si="323"/>
        <v>229157343</v>
      </c>
      <c r="AA1580" s="1939">
        <f t="shared" si="324"/>
        <v>27</v>
      </c>
      <c r="AB1580" s="1944">
        <f t="shared" si="325"/>
        <v>1877221739</v>
      </c>
      <c r="AC1580" s="1945">
        <f t="shared" si="326"/>
        <v>37.5</v>
      </c>
      <c r="AD1580" s="1946">
        <f t="shared" si="326"/>
        <v>32.933714719298244</v>
      </c>
      <c r="AE1580" s="64" t="s">
        <v>2513</v>
      </c>
    </row>
    <row r="1581" spans="1:31" s="69" customFormat="1" ht="33.75" customHeight="1">
      <c r="A1581" s="497"/>
      <c r="B1581" s="383"/>
      <c r="C1581" s="1935">
        <v>4</v>
      </c>
      <c r="D1581" s="1236" t="s">
        <v>107</v>
      </c>
      <c r="E1581" s="1236" t="s">
        <v>66</v>
      </c>
      <c r="F1581" s="1236" t="s">
        <v>66</v>
      </c>
      <c r="G1581" s="1236" t="s">
        <v>196</v>
      </c>
      <c r="H1581" s="383"/>
      <c r="I1581" s="1936" t="s">
        <v>1285</v>
      </c>
      <c r="J1581" s="741" t="s">
        <v>2515</v>
      </c>
      <c r="K1581" s="1938">
        <v>600</v>
      </c>
      <c r="L1581" s="1947">
        <v>2152000000</v>
      </c>
      <c r="M1581" s="1943">
        <v>200</v>
      </c>
      <c r="N1581" s="1940">
        <f>164051000+192951200</f>
        <v>357002200</v>
      </c>
      <c r="O1581" s="1938">
        <v>100</v>
      </c>
      <c r="P1581" s="1941">
        <v>194910400</v>
      </c>
      <c r="Q1581" s="1939">
        <v>8</v>
      </c>
      <c r="R1581" s="1940">
        <v>10400000</v>
      </c>
      <c r="S1581" s="1945"/>
      <c r="T1581" s="64"/>
      <c r="U1581" s="64"/>
      <c r="V1581" s="64"/>
      <c r="W1581" s="64"/>
      <c r="X1581" s="64"/>
      <c r="Y1581" s="1939">
        <f t="shared" si="323"/>
        <v>8</v>
      </c>
      <c r="Z1581" s="1942">
        <f t="shared" si="323"/>
        <v>10400000</v>
      </c>
      <c r="AA1581" s="1939">
        <f>M1581+Q1581</f>
        <v>208</v>
      </c>
      <c r="AB1581" s="1944">
        <f t="shared" si="325"/>
        <v>367402200</v>
      </c>
      <c r="AC1581" s="1945">
        <f t="shared" si="326"/>
        <v>34.666666666666671</v>
      </c>
      <c r="AD1581" s="1946">
        <f t="shared" si="326"/>
        <v>17.072592936802973</v>
      </c>
      <c r="AE1581" s="64" t="s">
        <v>2513</v>
      </c>
    </row>
    <row r="1582" spans="1:31" s="69" customFormat="1" ht="21" customHeight="1">
      <c r="A1582" s="497"/>
      <c r="B1582" s="383"/>
      <c r="C1582" s="1935">
        <v>4</v>
      </c>
      <c r="D1582" s="1236" t="s">
        <v>107</v>
      </c>
      <c r="E1582" s="1236" t="s">
        <v>66</v>
      </c>
      <c r="F1582" s="1236" t="s">
        <v>66</v>
      </c>
      <c r="G1582" s="1236" t="s">
        <v>198</v>
      </c>
      <c r="H1582" s="383"/>
      <c r="I1582" s="741" t="s">
        <v>1287</v>
      </c>
      <c r="J1582" s="741" t="s">
        <v>1436</v>
      </c>
      <c r="K1582" s="1937">
        <f>12*6</f>
        <v>72</v>
      </c>
      <c r="L1582" s="1947">
        <v>2325000000</v>
      </c>
      <c r="M1582" s="1939">
        <v>24</v>
      </c>
      <c r="N1582" s="1940">
        <f>303962099+278756100</f>
        <v>582718199</v>
      </c>
      <c r="O1582" s="1938">
        <v>12</v>
      </c>
      <c r="P1582" s="1941">
        <v>233583142.25</v>
      </c>
      <c r="Q1582" s="1939">
        <v>3</v>
      </c>
      <c r="R1582" s="1940">
        <v>38704900</v>
      </c>
      <c r="S1582" s="1945"/>
      <c r="T1582" s="64"/>
      <c r="U1582" s="64"/>
      <c r="V1582" s="64"/>
      <c r="W1582" s="64"/>
      <c r="X1582" s="64"/>
      <c r="Y1582" s="1939">
        <f t="shared" si="323"/>
        <v>3</v>
      </c>
      <c r="Z1582" s="1942">
        <f t="shared" si="323"/>
        <v>38704900</v>
      </c>
      <c r="AA1582" s="1939">
        <f t="shared" si="324"/>
        <v>27</v>
      </c>
      <c r="AB1582" s="1944">
        <f t="shared" si="325"/>
        <v>621423099</v>
      </c>
      <c r="AC1582" s="1945">
        <f t="shared" si="326"/>
        <v>37.5</v>
      </c>
      <c r="AD1582" s="1946">
        <f>AB1582/L1582*100</f>
        <v>26.727875225806454</v>
      </c>
      <c r="AE1582" s="64" t="s">
        <v>2516</v>
      </c>
    </row>
    <row r="1583" spans="1:31" s="656" customFormat="1" ht="28.5" customHeight="1">
      <c r="A1583" s="497"/>
      <c r="B1583" s="383"/>
      <c r="C1583" s="1935">
        <v>4</v>
      </c>
      <c r="D1583" s="1236" t="s">
        <v>107</v>
      </c>
      <c r="E1583" s="1236" t="s">
        <v>66</v>
      </c>
      <c r="F1583" s="1236" t="s">
        <v>66</v>
      </c>
      <c r="G1583" s="1236" t="s">
        <v>93</v>
      </c>
      <c r="H1583" s="383"/>
      <c r="I1583" s="1936" t="s">
        <v>149</v>
      </c>
      <c r="J1583" s="1948" t="s">
        <v>2517</v>
      </c>
      <c r="K1583" s="1937">
        <f>12*6</f>
        <v>72</v>
      </c>
      <c r="L1583" s="1947">
        <v>2712200000</v>
      </c>
      <c r="M1583" s="1939">
        <v>24</v>
      </c>
      <c r="N1583" s="1940">
        <f>335582000+323022600</f>
        <v>658604600</v>
      </c>
      <c r="O1583" s="1938">
        <v>12</v>
      </c>
      <c r="P1583" s="1941">
        <v>360000000</v>
      </c>
      <c r="Q1583" s="1939">
        <v>3</v>
      </c>
      <c r="R1583" s="1940">
        <v>700000</v>
      </c>
      <c r="S1583" s="1945"/>
      <c r="T1583" s="64"/>
      <c r="U1583" s="64"/>
      <c r="V1583" s="64"/>
      <c r="W1583" s="64"/>
      <c r="X1583" s="64"/>
      <c r="Y1583" s="1939">
        <f t="shared" si="323"/>
        <v>3</v>
      </c>
      <c r="Z1583" s="1942">
        <f t="shared" si="323"/>
        <v>700000</v>
      </c>
      <c r="AA1583" s="1939">
        <f t="shared" si="324"/>
        <v>27</v>
      </c>
      <c r="AB1583" s="1944">
        <f t="shared" si="325"/>
        <v>659304600</v>
      </c>
      <c r="AC1583" s="1945">
        <f t="shared" si="326"/>
        <v>37.5</v>
      </c>
      <c r="AD1583" s="1946">
        <f t="shared" si="326"/>
        <v>24.308848904948015</v>
      </c>
      <c r="AE1583" s="64" t="s">
        <v>2513</v>
      </c>
    </row>
    <row r="1584" spans="1:31" s="63" customFormat="1" ht="17.25" customHeight="1">
      <c r="A1584" s="497"/>
      <c r="B1584" s="383"/>
      <c r="C1584" s="1935">
        <v>4</v>
      </c>
      <c r="D1584" s="1236" t="s">
        <v>107</v>
      </c>
      <c r="E1584" s="1236" t="s">
        <v>66</v>
      </c>
      <c r="F1584" s="1236" t="s">
        <v>66</v>
      </c>
      <c r="G1584" s="1236" t="s">
        <v>201</v>
      </c>
      <c r="H1584" s="383"/>
      <c r="I1584" s="1936" t="s">
        <v>1410</v>
      </c>
      <c r="J1584" s="741" t="s">
        <v>2518</v>
      </c>
      <c r="K1584" s="1949">
        <v>600</v>
      </c>
      <c r="L1584" s="1947">
        <v>723500000</v>
      </c>
      <c r="M1584" s="1943">
        <v>200</v>
      </c>
      <c r="N1584" s="1940">
        <f>87158000+74900000</f>
        <v>162058000</v>
      </c>
      <c r="O1584" s="1949">
        <v>100</v>
      </c>
      <c r="P1584" s="1941">
        <v>59787200</v>
      </c>
      <c r="Q1584" s="1939">
        <v>40</v>
      </c>
      <c r="R1584" s="1940">
        <v>21219000</v>
      </c>
      <c r="S1584" s="1945"/>
      <c r="T1584" s="1942"/>
      <c r="U1584" s="64"/>
      <c r="V1584" s="64"/>
      <c r="W1584" s="64"/>
      <c r="X1584" s="64"/>
      <c r="Y1584" s="1939">
        <f t="shared" si="323"/>
        <v>40</v>
      </c>
      <c r="Z1584" s="1942">
        <f t="shared" si="323"/>
        <v>21219000</v>
      </c>
      <c r="AA1584" s="1939">
        <f t="shared" si="324"/>
        <v>240</v>
      </c>
      <c r="AB1584" s="1944">
        <f t="shared" si="325"/>
        <v>183277000</v>
      </c>
      <c r="AC1584" s="1945">
        <f t="shared" si="326"/>
        <v>40</v>
      </c>
      <c r="AD1584" s="1946">
        <f t="shared" si="326"/>
        <v>25.331997235659987</v>
      </c>
      <c r="AE1584" s="64" t="s">
        <v>2513</v>
      </c>
    </row>
    <row r="1585" spans="1:31" s="656" customFormat="1" ht="24.75" customHeight="1">
      <c r="A1585" s="497"/>
      <c r="B1585" s="383"/>
      <c r="C1585" s="1935">
        <v>4</v>
      </c>
      <c r="D1585" s="1236" t="s">
        <v>107</v>
      </c>
      <c r="E1585" s="1236" t="s">
        <v>66</v>
      </c>
      <c r="F1585" s="1236" t="s">
        <v>66</v>
      </c>
      <c r="G1585" s="1236" t="s">
        <v>160</v>
      </c>
      <c r="H1585" s="383"/>
      <c r="I1585" s="1936" t="s">
        <v>2519</v>
      </c>
      <c r="J1585" s="741" t="s">
        <v>2520</v>
      </c>
      <c r="K1585" s="1937">
        <v>600</v>
      </c>
      <c r="L1585" s="1947">
        <v>425800000</v>
      </c>
      <c r="M1585" s="1943">
        <v>200</v>
      </c>
      <c r="N1585" s="1940">
        <f>62968900+34143800</f>
        <v>97112700</v>
      </c>
      <c r="O1585" s="1938">
        <v>100</v>
      </c>
      <c r="P1585" s="1941">
        <v>67182000</v>
      </c>
      <c r="Q1585" s="1939">
        <v>20</v>
      </c>
      <c r="R1585" s="1940">
        <v>5507000</v>
      </c>
      <c r="S1585" s="1945"/>
      <c r="T1585" s="64"/>
      <c r="U1585" s="64"/>
      <c r="V1585" s="64"/>
      <c r="W1585" s="64"/>
      <c r="X1585" s="64"/>
      <c r="Y1585" s="1939">
        <f t="shared" si="323"/>
        <v>20</v>
      </c>
      <c r="Z1585" s="1942">
        <f t="shared" si="323"/>
        <v>5507000</v>
      </c>
      <c r="AA1585" s="1939">
        <f t="shared" si="324"/>
        <v>220</v>
      </c>
      <c r="AB1585" s="1944">
        <f t="shared" si="325"/>
        <v>102619700</v>
      </c>
      <c r="AC1585" s="1945">
        <f t="shared" si="326"/>
        <v>36.666666666666664</v>
      </c>
      <c r="AD1585" s="1946">
        <f t="shared" si="326"/>
        <v>24.100446218882105</v>
      </c>
      <c r="AE1585" s="64" t="s">
        <v>2513</v>
      </c>
    </row>
    <row r="1586" spans="1:31" s="63" customFormat="1" ht="17.25" customHeight="1">
      <c r="A1586" s="497"/>
      <c r="B1586" s="383"/>
      <c r="C1586" s="1935">
        <v>4</v>
      </c>
      <c r="D1586" s="1236" t="s">
        <v>107</v>
      </c>
      <c r="E1586" s="1236" t="s">
        <v>66</v>
      </c>
      <c r="F1586" s="1236" t="s">
        <v>66</v>
      </c>
      <c r="G1586" s="1236" t="s">
        <v>391</v>
      </c>
      <c r="H1586" s="383"/>
      <c r="I1586" s="1950" t="s">
        <v>238</v>
      </c>
      <c r="J1586" s="1951" t="s">
        <v>2521</v>
      </c>
      <c r="K1586" s="1937">
        <v>600</v>
      </c>
      <c r="L1586" s="1947">
        <v>355700000</v>
      </c>
      <c r="M1586" s="1939">
        <v>200</v>
      </c>
      <c r="N1586" s="1940">
        <f>56986500+43705750</f>
        <v>100692250</v>
      </c>
      <c r="O1586" s="1938">
        <v>100</v>
      </c>
      <c r="P1586" s="1941">
        <v>49336193</v>
      </c>
      <c r="Q1586" s="1939">
        <v>45</v>
      </c>
      <c r="R1586" s="1940">
        <v>15204000</v>
      </c>
      <c r="S1586" s="1945"/>
      <c r="T1586" s="64"/>
      <c r="U1586" s="64"/>
      <c r="V1586" s="64"/>
      <c r="W1586" s="64"/>
      <c r="X1586" s="64"/>
      <c r="Y1586" s="1939">
        <f t="shared" si="323"/>
        <v>45</v>
      </c>
      <c r="Z1586" s="1942">
        <f t="shared" si="323"/>
        <v>15204000</v>
      </c>
      <c r="AA1586" s="1939">
        <f t="shared" si="324"/>
        <v>245</v>
      </c>
      <c r="AB1586" s="1944">
        <f t="shared" si="325"/>
        <v>115896250</v>
      </c>
      <c r="AC1586" s="1945">
        <f t="shared" si="326"/>
        <v>40.833333333333336</v>
      </c>
      <c r="AD1586" s="1946">
        <f t="shared" si="326"/>
        <v>32.582583637897109</v>
      </c>
      <c r="AE1586" s="64" t="s">
        <v>2513</v>
      </c>
    </row>
    <row r="1587" spans="1:31" s="656" customFormat="1" ht="27" customHeight="1">
      <c r="A1587" s="497"/>
      <c r="B1587" s="383"/>
      <c r="C1587" s="1935">
        <v>4</v>
      </c>
      <c r="D1587" s="1236" t="s">
        <v>107</v>
      </c>
      <c r="E1587" s="1236" t="s">
        <v>66</v>
      </c>
      <c r="F1587" s="1236" t="s">
        <v>66</v>
      </c>
      <c r="G1587" s="1236" t="s">
        <v>448</v>
      </c>
      <c r="H1587" s="383"/>
      <c r="I1587" s="1936" t="s">
        <v>157</v>
      </c>
      <c r="J1587" s="741" t="s">
        <v>1445</v>
      </c>
      <c r="K1587" s="1937">
        <f>12*6</f>
        <v>72</v>
      </c>
      <c r="L1587" s="1947">
        <v>10172548440</v>
      </c>
      <c r="M1587" s="1939">
        <v>24</v>
      </c>
      <c r="N1587" s="1940">
        <f>2300031394+567872366</f>
        <v>2867903760</v>
      </c>
      <c r="O1587" s="1938">
        <v>12</v>
      </c>
      <c r="P1587" s="1941">
        <v>1651390200</v>
      </c>
      <c r="Q1587" s="1939">
        <v>3</v>
      </c>
      <c r="R1587" s="1940">
        <v>339088890</v>
      </c>
      <c r="S1587" s="1945"/>
      <c r="T1587" s="64"/>
      <c r="U1587" s="64"/>
      <c r="V1587" s="64"/>
      <c r="W1587" s="64"/>
      <c r="X1587" s="64"/>
      <c r="Y1587" s="1939">
        <f t="shared" si="323"/>
        <v>3</v>
      </c>
      <c r="Z1587" s="1942">
        <f t="shared" si="323"/>
        <v>339088890</v>
      </c>
      <c r="AA1587" s="1939">
        <f t="shared" si="324"/>
        <v>27</v>
      </c>
      <c r="AB1587" s="1944">
        <f t="shared" si="325"/>
        <v>3206992650</v>
      </c>
      <c r="AC1587" s="1945">
        <f t="shared" si="326"/>
        <v>37.5</v>
      </c>
      <c r="AD1587" s="1946">
        <f t="shared" si="326"/>
        <v>31.525951131278173</v>
      </c>
      <c r="AE1587" s="64" t="s">
        <v>2513</v>
      </c>
    </row>
    <row r="1588" spans="1:31" s="63" customFormat="1" ht="17.25" customHeight="1">
      <c r="A1588" s="497"/>
      <c r="B1588" s="383"/>
      <c r="C1588" s="1935">
        <v>4</v>
      </c>
      <c r="D1588" s="1236" t="s">
        <v>107</v>
      </c>
      <c r="E1588" s="1236" t="s">
        <v>66</v>
      </c>
      <c r="F1588" s="1236" t="s">
        <v>66</v>
      </c>
      <c r="G1588" s="1236" t="s">
        <v>167</v>
      </c>
      <c r="H1588" s="383"/>
      <c r="I1588" s="1936" t="s">
        <v>158</v>
      </c>
      <c r="J1588" s="741" t="s">
        <v>2522</v>
      </c>
      <c r="K1588" s="1937">
        <f>12*6</f>
        <v>72</v>
      </c>
      <c r="L1588" s="1947">
        <v>3850000000</v>
      </c>
      <c r="M1588" s="1939">
        <v>24</v>
      </c>
      <c r="N1588" s="1940">
        <f>680649474+505627301</f>
        <v>1186276775</v>
      </c>
      <c r="O1588" s="1938">
        <v>12</v>
      </c>
      <c r="P1588" s="1941">
        <v>238537600</v>
      </c>
      <c r="Q1588" s="1939">
        <v>3</v>
      </c>
      <c r="R1588" s="1940">
        <v>29704000</v>
      </c>
      <c r="S1588" s="1945"/>
      <c r="T1588" s="64"/>
      <c r="U1588" s="64"/>
      <c r="V1588" s="64"/>
      <c r="W1588" s="64"/>
      <c r="X1588" s="64"/>
      <c r="Y1588" s="1939">
        <f t="shared" si="323"/>
        <v>3</v>
      </c>
      <c r="Z1588" s="1942">
        <f t="shared" si="323"/>
        <v>29704000</v>
      </c>
      <c r="AA1588" s="1939">
        <f t="shared" si="324"/>
        <v>27</v>
      </c>
      <c r="AB1588" s="1944">
        <f t="shared" si="325"/>
        <v>1215980775</v>
      </c>
      <c r="AC1588" s="1945">
        <f t="shared" si="326"/>
        <v>37.5</v>
      </c>
      <c r="AD1588" s="1946">
        <f t="shared" si="326"/>
        <v>31.583916233766235</v>
      </c>
      <c r="AE1588" s="64" t="s">
        <v>2513</v>
      </c>
    </row>
    <row r="1589" spans="1:31" s="656" customFormat="1" ht="24.75" customHeight="1">
      <c r="A1589" s="497"/>
      <c r="B1589" s="383"/>
      <c r="C1589" s="1935">
        <v>4</v>
      </c>
      <c r="D1589" s="1236" t="s">
        <v>107</v>
      </c>
      <c r="E1589" s="1236" t="s">
        <v>66</v>
      </c>
      <c r="F1589" s="1236" t="s">
        <v>66</v>
      </c>
      <c r="G1589" s="1236" t="s">
        <v>376</v>
      </c>
      <c r="H1589" s="383"/>
      <c r="I1589" s="1936" t="s">
        <v>159</v>
      </c>
      <c r="J1589" s="741" t="s">
        <v>2523</v>
      </c>
      <c r="K1589" s="1937">
        <f>12*6</f>
        <v>72</v>
      </c>
      <c r="L1589" s="1947">
        <v>550000000</v>
      </c>
      <c r="M1589" s="1939">
        <v>24</v>
      </c>
      <c r="N1589" s="1940">
        <f>75275250+63109500</f>
        <v>138384750</v>
      </c>
      <c r="O1589" s="1938">
        <v>12</v>
      </c>
      <c r="P1589" s="1941">
        <v>73656000</v>
      </c>
      <c r="Q1589" s="1939">
        <v>3</v>
      </c>
      <c r="R1589" s="1940">
        <v>26772500</v>
      </c>
      <c r="S1589" s="1945"/>
      <c r="T1589" s="64"/>
      <c r="U1589" s="64"/>
      <c r="V1589" s="64"/>
      <c r="W1589" s="64"/>
      <c r="X1589" s="64"/>
      <c r="Y1589" s="1939">
        <f t="shared" si="323"/>
        <v>3</v>
      </c>
      <c r="Z1589" s="1942">
        <f t="shared" si="323"/>
        <v>26772500</v>
      </c>
      <c r="AA1589" s="1939">
        <f t="shared" si="324"/>
        <v>27</v>
      </c>
      <c r="AB1589" s="1944">
        <f t="shared" si="325"/>
        <v>165157250</v>
      </c>
      <c r="AC1589" s="1945">
        <f t="shared" si="326"/>
        <v>37.5</v>
      </c>
      <c r="AD1589" s="1946">
        <f t="shared" si="326"/>
        <v>30.028590909090909</v>
      </c>
      <c r="AE1589" s="64" t="s">
        <v>2513</v>
      </c>
    </row>
    <row r="1590" spans="1:31" s="63" customFormat="1" ht="17.25" customHeight="1">
      <c r="A1590" s="497"/>
      <c r="B1590" s="383"/>
      <c r="C1590" s="1935">
        <v>4</v>
      </c>
      <c r="D1590" s="1236" t="s">
        <v>107</v>
      </c>
      <c r="E1590" s="1236" t="s">
        <v>66</v>
      </c>
      <c r="F1590" s="1236" t="s">
        <v>66</v>
      </c>
      <c r="G1590" s="1236" t="s">
        <v>163</v>
      </c>
      <c r="H1590" s="383"/>
      <c r="I1590" s="741" t="s">
        <v>2524</v>
      </c>
      <c r="J1590" s="1948" t="s">
        <v>2525</v>
      </c>
      <c r="K1590" s="1938">
        <f>6*6</f>
        <v>36</v>
      </c>
      <c r="L1590" s="1938">
        <v>1225000000</v>
      </c>
      <c r="M1590" s="1943">
        <v>12</v>
      </c>
      <c r="N1590" s="1940">
        <f>103022892+175571258</f>
        <v>278594150</v>
      </c>
      <c r="O1590" s="1938">
        <v>6</v>
      </c>
      <c r="P1590" s="1941">
        <v>65096698.5</v>
      </c>
      <c r="Q1590" s="1939">
        <v>2</v>
      </c>
      <c r="R1590" s="1940">
        <v>7324800</v>
      </c>
      <c r="S1590" s="1945"/>
      <c r="T1590" s="64"/>
      <c r="U1590" s="64"/>
      <c r="V1590" s="64"/>
      <c r="W1590" s="64"/>
      <c r="X1590" s="64"/>
      <c r="Y1590" s="1939">
        <f t="shared" si="323"/>
        <v>2</v>
      </c>
      <c r="Z1590" s="1942">
        <f t="shared" si="323"/>
        <v>7324800</v>
      </c>
      <c r="AA1590" s="1939">
        <f t="shared" si="324"/>
        <v>14</v>
      </c>
      <c r="AB1590" s="1944">
        <f t="shared" si="325"/>
        <v>285918950</v>
      </c>
      <c r="AC1590" s="1945">
        <f t="shared" si="326"/>
        <v>38.888888888888893</v>
      </c>
      <c r="AD1590" s="1946">
        <f t="shared" si="326"/>
        <v>23.340322448979592</v>
      </c>
      <c r="AE1590" s="64" t="s">
        <v>2516</v>
      </c>
    </row>
    <row r="1591" spans="1:31" s="656" customFormat="1" ht="29.25" customHeight="1">
      <c r="A1591" s="497"/>
      <c r="B1591" s="383"/>
      <c r="C1591" s="1935">
        <v>4</v>
      </c>
      <c r="D1591" s="1236" t="s">
        <v>107</v>
      </c>
      <c r="E1591" s="1236" t="s">
        <v>66</v>
      </c>
      <c r="F1591" s="1236" t="s">
        <v>66</v>
      </c>
      <c r="G1591" s="1236" t="s">
        <v>363</v>
      </c>
      <c r="H1591" s="383"/>
      <c r="I1591" s="741" t="s">
        <v>2526</v>
      </c>
      <c r="J1591" s="741" t="s">
        <v>2527</v>
      </c>
      <c r="K1591" s="1952">
        <f>12*5</f>
        <v>60</v>
      </c>
      <c r="L1591" s="1938">
        <v>960000000</v>
      </c>
      <c r="M1591" s="1939">
        <v>24</v>
      </c>
      <c r="N1591" s="1940">
        <v>174885200</v>
      </c>
      <c r="O1591" s="1952">
        <v>12</v>
      </c>
      <c r="P1591" s="1941">
        <v>166185686.25</v>
      </c>
      <c r="Q1591" s="1939">
        <v>12</v>
      </c>
      <c r="R1591" s="1940">
        <v>27000000</v>
      </c>
      <c r="S1591" s="1945"/>
      <c r="T1591" s="64"/>
      <c r="U1591" s="64"/>
      <c r="V1591" s="64"/>
      <c r="W1591" s="64"/>
      <c r="X1591" s="64"/>
      <c r="Y1591" s="1939">
        <v>12</v>
      </c>
      <c r="Z1591" s="1942">
        <f t="shared" si="323"/>
        <v>27000000</v>
      </c>
      <c r="AA1591" s="1939">
        <f>M1591+Q1591</f>
        <v>36</v>
      </c>
      <c r="AB1591" s="1944">
        <f t="shared" si="325"/>
        <v>201885200</v>
      </c>
      <c r="AC1591" s="1945">
        <f t="shared" si="326"/>
        <v>60</v>
      </c>
      <c r="AD1591" s="1946">
        <f t="shared" si="326"/>
        <v>21.029708333333332</v>
      </c>
      <c r="AE1591" s="64" t="s">
        <v>2516</v>
      </c>
    </row>
    <row r="1592" spans="1:31" s="63" customFormat="1" ht="17.25" customHeight="1">
      <c r="A1592" s="497"/>
      <c r="B1592" s="383"/>
      <c r="C1592" s="1935">
        <v>4</v>
      </c>
      <c r="D1592" s="1236" t="s">
        <v>107</v>
      </c>
      <c r="E1592" s="1236" t="s">
        <v>66</v>
      </c>
      <c r="F1592" s="1236" t="s">
        <v>66</v>
      </c>
      <c r="G1592" s="1236" t="s">
        <v>2381</v>
      </c>
      <c r="H1592" s="383"/>
      <c r="I1592" s="741" t="s">
        <v>2528</v>
      </c>
      <c r="J1592" s="741" t="s">
        <v>2529</v>
      </c>
      <c r="K1592" s="1938">
        <f>7*5</f>
        <v>35</v>
      </c>
      <c r="L1592" s="1938">
        <v>1120000000</v>
      </c>
      <c r="M1592" s="1939">
        <v>14</v>
      </c>
      <c r="N1592" s="1940">
        <v>183523758</v>
      </c>
      <c r="O1592" s="1938">
        <v>7</v>
      </c>
      <c r="P1592" s="1941">
        <v>209787764</v>
      </c>
      <c r="Q1592" s="1939">
        <v>2</v>
      </c>
      <c r="R1592" s="1940">
        <v>24948709</v>
      </c>
      <c r="S1592" s="1945"/>
      <c r="T1592" s="64"/>
      <c r="U1592" s="64"/>
      <c r="V1592" s="64"/>
      <c r="W1592" s="64"/>
      <c r="X1592" s="64"/>
      <c r="Y1592" s="1939">
        <f t="shared" si="323"/>
        <v>2</v>
      </c>
      <c r="Z1592" s="1942">
        <f t="shared" si="323"/>
        <v>24948709</v>
      </c>
      <c r="AA1592" s="1939">
        <f t="shared" si="324"/>
        <v>16</v>
      </c>
      <c r="AB1592" s="1944">
        <f t="shared" si="325"/>
        <v>208472467</v>
      </c>
      <c r="AC1592" s="1945">
        <f t="shared" si="326"/>
        <v>45.714285714285715</v>
      </c>
      <c r="AD1592" s="1946">
        <f t="shared" si="326"/>
        <v>18.613613125000001</v>
      </c>
      <c r="AE1592" s="64" t="s">
        <v>2516</v>
      </c>
    </row>
    <row r="1593" spans="1:31" s="656" customFormat="1" ht="24.75" customHeight="1">
      <c r="A1593" s="497"/>
      <c r="B1593" s="383"/>
      <c r="C1593" s="1935">
        <v>4</v>
      </c>
      <c r="D1593" s="1236" t="s">
        <v>107</v>
      </c>
      <c r="E1593" s="1236" t="s">
        <v>66</v>
      </c>
      <c r="F1593" s="1236" t="s">
        <v>66</v>
      </c>
      <c r="G1593" s="1236" t="s">
        <v>347</v>
      </c>
      <c r="H1593" s="383"/>
      <c r="I1593" s="741" t="s">
        <v>2530</v>
      </c>
      <c r="J1593" s="741" t="s">
        <v>2531</v>
      </c>
      <c r="K1593" s="1937">
        <f>12*4+6</f>
        <v>54</v>
      </c>
      <c r="L1593" s="1947">
        <v>7800000000</v>
      </c>
      <c r="M1593" s="1939">
        <v>6</v>
      </c>
      <c r="N1593" s="1940">
        <v>383033754</v>
      </c>
      <c r="O1593" s="1938">
        <v>12</v>
      </c>
      <c r="P1593" s="1941">
        <v>1509594000</v>
      </c>
      <c r="Q1593" s="1939">
        <v>3</v>
      </c>
      <c r="R1593" s="1940">
        <v>355844251</v>
      </c>
      <c r="S1593" s="1945"/>
      <c r="T1593" s="64"/>
      <c r="U1593" s="64"/>
      <c r="V1593" s="64"/>
      <c r="W1593" s="64"/>
      <c r="X1593" s="64"/>
      <c r="Y1593" s="1939">
        <f t="shared" si="323"/>
        <v>3</v>
      </c>
      <c r="Z1593" s="1942">
        <f t="shared" si="323"/>
        <v>355844251</v>
      </c>
      <c r="AA1593" s="1939">
        <f t="shared" si="324"/>
        <v>9</v>
      </c>
      <c r="AB1593" s="1944">
        <f t="shared" si="325"/>
        <v>738878005</v>
      </c>
      <c r="AC1593" s="1945">
        <f t="shared" si="326"/>
        <v>16.666666666666664</v>
      </c>
      <c r="AD1593" s="1946">
        <f t="shared" si="326"/>
        <v>9.4727949358974364</v>
      </c>
      <c r="AE1593" s="64" t="s">
        <v>2516</v>
      </c>
    </row>
    <row r="1594" spans="1:31" s="63" customFormat="1" ht="17.25" customHeight="1">
      <c r="A1594" s="4563" t="s">
        <v>2532</v>
      </c>
      <c r="B1594" s="4564"/>
      <c r="C1594" s="4564"/>
      <c r="D1594" s="4564"/>
      <c r="E1594" s="4564"/>
      <c r="F1594" s="4564"/>
      <c r="G1594" s="4564"/>
      <c r="H1594" s="4564"/>
      <c r="I1594" s="4564"/>
      <c r="J1594" s="4564"/>
      <c r="K1594" s="4564"/>
      <c r="L1594" s="4564"/>
      <c r="M1594" s="4564"/>
      <c r="N1594" s="4564"/>
      <c r="O1594" s="4564"/>
      <c r="P1594" s="4564"/>
      <c r="Q1594" s="4564"/>
      <c r="R1594" s="4564"/>
      <c r="S1594" s="4564"/>
      <c r="T1594" s="4564"/>
      <c r="U1594" s="4564"/>
      <c r="V1594" s="4564"/>
      <c r="W1594" s="4564"/>
      <c r="X1594" s="4564"/>
      <c r="Y1594" s="4564"/>
      <c r="Z1594" s="4564"/>
      <c r="AA1594" s="4564"/>
      <c r="AB1594" s="4565"/>
      <c r="AC1594" s="1963">
        <f>SUM(AC1579:AC1593)/15</f>
        <v>38.395767195767199</v>
      </c>
      <c r="AD1594" s="1963">
        <f>SUM(AD1579:AD1593)/15</f>
        <v>25.413379878166495</v>
      </c>
      <c r="AE1594" s="64"/>
    </row>
    <row r="1595" spans="1:31" s="656" customFormat="1" ht="29.25" customHeight="1">
      <c r="A1595" s="4563" t="s">
        <v>2533</v>
      </c>
      <c r="B1595" s="4564"/>
      <c r="C1595" s="4564"/>
      <c r="D1595" s="4564"/>
      <c r="E1595" s="4564"/>
      <c r="F1595" s="4564"/>
      <c r="G1595" s="4564"/>
      <c r="H1595" s="4564"/>
      <c r="I1595" s="4564"/>
      <c r="J1595" s="4564"/>
      <c r="K1595" s="4564"/>
      <c r="L1595" s="4564"/>
      <c r="M1595" s="4564"/>
      <c r="N1595" s="4564"/>
      <c r="O1595" s="4564"/>
      <c r="P1595" s="4564"/>
      <c r="Q1595" s="4564"/>
      <c r="R1595" s="4564"/>
      <c r="S1595" s="4564"/>
      <c r="T1595" s="4564"/>
      <c r="U1595" s="4564"/>
      <c r="V1595" s="4564"/>
      <c r="W1595" s="4564"/>
      <c r="X1595" s="4564"/>
      <c r="Y1595" s="4564"/>
      <c r="Z1595" s="4564"/>
      <c r="AA1595" s="4564"/>
      <c r="AB1595" s="4565"/>
      <c r="AC1595" s="2026" t="s">
        <v>2534</v>
      </c>
      <c r="AD1595" s="2026" t="s">
        <v>2534</v>
      </c>
      <c r="AE1595" s="64"/>
    </row>
    <row r="1596" spans="1:31" s="63" customFormat="1" ht="17.25" customHeight="1">
      <c r="A1596" s="1922">
        <v>2</v>
      </c>
      <c r="B1596" s="1923" t="s">
        <v>2510</v>
      </c>
      <c r="C1596" s="1924">
        <v>4</v>
      </c>
      <c r="D1596" s="1925" t="s">
        <v>107</v>
      </c>
      <c r="E1596" s="1925" t="s">
        <v>66</v>
      </c>
      <c r="F1596" s="1925" t="s">
        <v>65</v>
      </c>
      <c r="G1596" s="1926"/>
      <c r="H1596" s="1926"/>
      <c r="I1596" s="1923" t="s">
        <v>257</v>
      </c>
      <c r="J1596" s="1927" t="s">
        <v>2535</v>
      </c>
      <c r="K1596" s="1928">
        <v>540</v>
      </c>
      <c r="L1596" s="1953">
        <f>SUM(L1597:L1609)</f>
        <v>31855400000</v>
      </c>
      <c r="M1596" s="1930">
        <f>85+85</f>
        <v>170</v>
      </c>
      <c r="N1596" s="1953">
        <f>SUM(N1597:N1609)</f>
        <v>6277248531</v>
      </c>
      <c r="O1596" s="1954">
        <v>85</v>
      </c>
      <c r="P1596" s="1931">
        <f>SUM(P1597:P1609)</f>
        <v>4740017441</v>
      </c>
      <c r="Q1596" s="1932">
        <v>15</v>
      </c>
      <c r="R1596" s="1955">
        <f>SUM(R1597:R1609)</f>
        <v>643716254</v>
      </c>
      <c r="S1596" s="1957"/>
      <c r="T1596" s="1957"/>
      <c r="U1596" s="1957"/>
      <c r="V1596" s="1957"/>
      <c r="W1596" s="1957"/>
      <c r="X1596" s="1957"/>
      <c r="Y1596" s="1932">
        <f t="shared" ref="Y1596:Z1609" si="327">Q1596</f>
        <v>15</v>
      </c>
      <c r="Z1596" s="1933">
        <f t="shared" si="327"/>
        <v>643716254</v>
      </c>
      <c r="AA1596" s="1956">
        <f>M1596+Q1596</f>
        <v>185</v>
      </c>
      <c r="AB1596" s="1933">
        <f t="shared" ref="AB1596:AB1609" si="328">N1596+Z1596</f>
        <v>6920964785</v>
      </c>
      <c r="AC1596" s="1929">
        <f>AA1596/K1596*100</f>
        <v>34.25925925925926</v>
      </c>
      <c r="AD1596" s="1934">
        <f t="shared" ref="AD1596:AD1609" si="329">AB1596/L1596*100</f>
        <v>21.726190174978182</v>
      </c>
      <c r="AE1596" s="1957"/>
    </row>
    <row r="1597" spans="1:31" s="656" customFormat="1" ht="24.75" customHeight="1">
      <c r="A1597" s="497"/>
      <c r="B1597" s="383"/>
      <c r="C1597" s="1935">
        <v>4</v>
      </c>
      <c r="D1597" s="1236" t="s">
        <v>107</v>
      </c>
      <c r="E1597" s="1236" t="s">
        <v>66</v>
      </c>
      <c r="F1597" s="1236" t="s">
        <v>65</v>
      </c>
      <c r="G1597" s="1236" t="s">
        <v>161</v>
      </c>
      <c r="H1597" s="383"/>
      <c r="I1597" s="1936" t="s">
        <v>1421</v>
      </c>
      <c r="J1597" s="1958" t="s">
        <v>2536</v>
      </c>
      <c r="K1597" s="1937">
        <v>13</v>
      </c>
      <c r="L1597" s="1947">
        <v>340000000</v>
      </c>
      <c r="M1597" s="1939">
        <v>2</v>
      </c>
      <c r="N1597" s="1940">
        <v>31590000</v>
      </c>
      <c r="O1597" s="1938">
        <v>2</v>
      </c>
      <c r="P1597" s="1941">
        <v>36500000</v>
      </c>
      <c r="Q1597" s="1959"/>
      <c r="R1597" s="64"/>
      <c r="S1597" s="1945">
        <f>Q1597/O1597*100</f>
        <v>0</v>
      </c>
      <c r="T1597" s="64"/>
      <c r="U1597" s="64"/>
      <c r="V1597" s="64"/>
      <c r="W1597" s="64"/>
      <c r="X1597" s="64"/>
      <c r="Y1597" s="1959">
        <f t="shared" si="327"/>
        <v>0</v>
      </c>
      <c r="Z1597" s="1942">
        <f t="shared" si="327"/>
        <v>0</v>
      </c>
      <c r="AA1597" s="1939">
        <f>M1597+Q1597</f>
        <v>2</v>
      </c>
      <c r="AB1597" s="1944">
        <f t="shared" si="328"/>
        <v>31590000</v>
      </c>
      <c r="AC1597" s="1945">
        <f t="shared" ref="AC1597:AC1609" si="330">AA1597/K1597*100</f>
        <v>15.384615384615385</v>
      </c>
      <c r="AD1597" s="1946">
        <f t="shared" si="329"/>
        <v>9.2911764705882351</v>
      </c>
      <c r="AE1597" s="64" t="s">
        <v>2513</v>
      </c>
    </row>
    <row r="1598" spans="1:31" s="63" customFormat="1" ht="17.25" customHeight="1">
      <c r="A1598" s="497"/>
      <c r="B1598" s="383"/>
      <c r="C1598" s="1935">
        <v>4</v>
      </c>
      <c r="D1598" s="1236" t="s">
        <v>107</v>
      </c>
      <c r="E1598" s="1236" t="s">
        <v>66</v>
      </c>
      <c r="F1598" s="1236" t="s">
        <v>65</v>
      </c>
      <c r="G1598" s="1236" t="s">
        <v>197</v>
      </c>
      <c r="H1598" s="383"/>
      <c r="I1598" s="233" t="s">
        <v>2537</v>
      </c>
      <c r="J1598" s="741" t="s">
        <v>2538</v>
      </c>
      <c r="K1598" s="1938">
        <v>400</v>
      </c>
      <c r="L1598" s="1947">
        <v>3690000000</v>
      </c>
      <c r="M1598" s="1939"/>
      <c r="N1598" s="1940"/>
      <c r="O1598" s="1938">
        <v>100</v>
      </c>
      <c r="P1598" s="1941">
        <v>839659000</v>
      </c>
      <c r="Q1598" s="1939">
        <v>25</v>
      </c>
      <c r="R1598" s="1940">
        <v>131402540</v>
      </c>
      <c r="S1598" s="1945">
        <f>Q1598/O1598*100</f>
        <v>25</v>
      </c>
      <c r="T1598" s="64"/>
      <c r="U1598" s="64"/>
      <c r="V1598" s="64"/>
      <c r="W1598" s="64"/>
      <c r="X1598" s="64"/>
      <c r="Y1598" s="1939">
        <f t="shared" si="327"/>
        <v>25</v>
      </c>
      <c r="Z1598" s="1942">
        <f t="shared" si="327"/>
        <v>131402540</v>
      </c>
      <c r="AA1598" s="1939">
        <f t="shared" ref="AA1598:AA1609" si="331">M1598+Q1598</f>
        <v>25</v>
      </c>
      <c r="AB1598" s="1944">
        <f t="shared" si="328"/>
        <v>131402540</v>
      </c>
      <c r="AC1598" s="1945">
        <f t="shared" si="330"/>
        <v>6.25</v>
      </c>
      <c r="AD1598" s="1946">
        <f>AB1598/L1598*100</f>
        <v>3.5610444444444447</v>
      </c>
      <c r="AE1598" s="64" t="s">
        <v>2513</v>
      </c>
    </row>
    <row r="1599" spans="1:31" s="656" customFormat="1" ht="27" customHeight="1">
      <c r="A1599" s="497"/>
      <c r="B1599" s="383"/>
      <c r="C1599" s="1935">
        <v>4</v>
      </c>
      <c r="D1599" s="1236" t="s">
        <v>107</v>
      </c>
      <c r="E1599" s="1236" t="s">
        <v>66</v>
      </c>
      <c r="F1599" s="1236" t="s">
        <v>65</v>
      </c>
      <c r="G1599" s="1236" t="s">
        <v>93</v>
      </c>
      <c r="H1599" s="383"/>
      <c r="I1599" s="1936" t="s">
        <v>2539</v>
      </c>
      <c r="J1599" s="1958" t="s">
        <v>2540</v>
      </c>
      <c r="K1599" s="1938">
        <v>600</v>
      </c>
      <c r="L1599" s="1947">
        <v>492500000</v>
      </c>
      <c r="M1599" s="1943">
        <v>200</v>
      </c>
      <c r="N1599" s="1940">
        <f>58543000+60118000</f>
        <v>118661000</v>
      </c>
      <c r="O1599" s="1938">
        <v>100</v>
      </c>
      <c r="P1599" s="1941">
        <v>65000000</v>
      </c>
      <c r="Q1599" s="1959"/>
      <c r="R1599" s="1940">
        <v>0</v>
      </c>
      <c r="S1599" s="1945">
        <f>Q1599/O1599*100</f>
        <v>0</v>
      </c>
      <c r="T1599" s="64"/>
      <c r="U1599" s="64"/>
      <c r="V1599" s="64"/>
      <c r="W1599" s="64"/>
      <c r="X1599" s="64"/>
      <c r="Y1599" s="1959">
        <f t="shared" si="327"/>
        <v>0</v>
      </c>
      <c r="Z1599" s="1942">
        <f t="shared" si="327"/>
        <v>0</v>
      </c>
      <c r="AA1599" s="1939">
        <f t="shared" si="331"/>
        <v>200</v>
      </c>
      <c r="AB1599" s="1944">
        <f t="shared" si="328"/>
        <v>118661000</v>
      </c>
      <c r="AC1599" s="1945">
        <f t="shared" si="330"/>
        <v>33.333333333333329</v>
      </c>
      <c r="AD1599" s="1946">
        <f t="shared" si="329"/>
        <v>24.093604060913705</v>
      </c>
      <c r="AE1599" s="64" t="s">
        <v>2513</v>
      </c>
    </row>
    <row r="1600" spans="1:31" s="63" customFormat="1" ht="17.25" customHeight="1">
      <c r="A1600" s="497"/>
      <c r="B1600" s="383"/>
      <c r="C1600" s="1935">
        <v>4</v>
      </c>
      <c r="D1600" s="1236" t="s">
        <v>107</v>
      </c>
      <c r="E1600" s="1236" t="s">
        <v>66</v>
      </c>
      <c r="F1600" s="1236" t="s">
        <v>65</v>
      </c>
      <c r="G1600" s="1236" t="s">
        <v>201</v>
      </c>
      <c r="H1600" s="383"/>
      <c r="I1600" s="1936" t="s">
        <v>454</v>
      </c>
      <c r="J1600" s="1958" t="s">
        <v>1454</v>
      </c>
      <c r="K1600" s="1938">
        <v>600</v>
      </c>
      <c r="L1600" s="1947">
        <v>3400000000</v>
      </c>
      <c r="M1600" s="1939">
        <v>200</v>
      </c>
      <c r="N1600" s="1940">
        <f>595832100+493469000</f>
        <v>1089301100</v>
      </c>
      <c r="O1600" s="1938">
        <v>100</v>
      </c>
      <c r="P1600" s="1941">
        <v>297386421</v>
      </c>
      <c r="Q1600" s="1939">
        <v>8</v>
      </c>
      <c r="R1600" s="1940">
        <v>17765000</v>
      </c>
      <c r="S1600" s="1945">
        <f t="shared" ref="S1600:S1609" si="332">Q1600/O1600*100</f>
        <v>8</v>
      </c>
      <c r="T1600" s="64"/>
      <c r="U1600" s="64"/>
      <c r="V1600" s="64"/>
      <c r="W1600" s="64"/>
      <c r="X1600" s="64"/>
      <c r="Y1600" s="1939">
        <f t="shared" si="327"/>
        <v>8</v>
      </c>
      <c r="Z1600" s="1942">
        <f t="shared" si="327"/>
        <v>17765000</v>
      </c>
      <c r="AA1600" s="1939">
        <f t="shared" si="331"/>
        <v>208</v>
      </c>
      <c r="AB1600" s="1944">
        <f t="shared" si="328"/>
        <v>1107066100</v>
      </c>
      <c r="AC1600" s="1945">
        <f>AA1600/K1600*100</f>
        <v>34.666666666666671</v>
      </c>
      <c r="AD1600" s="1946">
        <f t="shared" si="329"/>
        <v>32.560767647058825</v>
      </c>
      <c r="AE1600" s="64" t="s">
        <v>2513</v>
      </c>
    </row>
    <row r="1601" spans="1:31" s="656" customFormat="1" ht="24.75" customHeight="1">
      <c r="A1601" s="497"/>
      <c r="B1601" s="383"/>
      <c r="C1601" s="1935">
        <v>4</v>
      </c>
      <c r="D1601" s="1236" t="s">
        <v>107</v>
      </c>
      <c r="E1601" s="1236" t="s">
        <v>66</v>
      </c>
      <c r="F1601" s="1236" t="s">
        <v>65</v>
      </c>
      <c r="G1601" s="1236" t="s">
        <v>202</v>
      </c>
      <c r="H1601" s="383"/>
      <c r="I1601" s="1936" t="s">
        <v>2541</v>
      </c>
      <c r="J1601" s="1958" t="s">
        <v>2542</v>
      </c>
      <c r="K1601" s="1938">
        <v>600</v>
      </c>
      <c r="L1601" s="1947">
        <v>1156000000</v>
      </c>
      <c r="M1601" s="1939">
        <v>200</v>
      </c>
      <c r="N1601" s="1940">
        <f>138650000+250050000</f>
        <v>388700000</v>
      </c>
      <c r="O1601" s="1938">
        <v>100</v>
      </c>
      <c r="P1601" s="1941">
        <v>140000000</v>
      </c>
      <c r="Q1601" s="1939">
        <v>10</v>
      </c>
      <c r="R1601" s="1940">
        <v>700000</v>
      </c>
      <c r="S1601" s="1945">
        <f t="shared" si="332"/>
        <v>10</v>
      </c>
      <c r="T1601" s="64"/>
      <c r="U1601" s="64"/>
      <c r="V1601" s="64"/>
      <c r="W1601" s="64"/>
      <c r="X1601" s="64"/>
      <c r="Y1601" s="1939">
        <f t="shared" si="327"/>
        <v>10</v>
      </c>
      <c r="Z1601" s="1942">
        <f t="shared" si="327"/>
        <v>700000</v>
      </c>
      <c r="AA1601" s="1939">
        <f t="shared" si="331"/>
        <v>210</v>
      </c>
      <c r="AB1601" s="1944">
        <f t="shared" si="328"/>
        <v>389400000</v>
      </c>
      <c r="AC1601" s="1945">
        <f t="shared" si="330"/>
        <v>35</v>
      </c>
      <c r="AD1601" s="1946">
        <f t="shared" si="329"/>
        <v>33.685121107266433</v>
      </c>
      <c r="AE1601" s="64" t="s">
        <v>2513</v>
      </c>
    </row>
    <row r="1602" spans="1:31" s="63" customFormat="1" ht="17.25" customHeight="1">
      <c r="A1602" s="497"/>
      <c r="B1602" s="383"/>
      <c r="C1602" s="1935">
        <v>4</v>
      </c>
      <c r="D1602" s="1236" t="s">
        <v>107</v>
      </c>
      <c r="E1602" s="1236" t="s">
        <v>66</v>
      </c>
      <c r="F1602" s="1236" t="s">
        <v>65</v>
      </c>
      <c r="G1602" s="1236" t="s">
        <v>167</v>
      </c>
      <c r="H1602" s="383"/>
      <c r="I1602" s="1936" t="s">
        <v>2543</v>
      </c>
      <c r="J1602" s="1958" t="s">
        <v>2544</v>
      </c>
      <c r="K1602" s="1949">
        <v>400</v>
      </c>
      <c r="L1602" s="1947">
        <v>1290000000</v>
      </c>
      <c r="M1602" s="1939"/>
      <c r="N1602" s="1940">
        <v>216867245</v>
      </c>
      <c r="O1602" s="1960">
        <v>100</v>
      </c>
      <c r="P1602" s="1941">
        <v>207600000</v>
      </c>
      <c r="Q1602" s="1939">
        <v>10</v>
      </c>
      <c r="R1602" s="1940">
        <v>8587600</v>
      </c>
      <c r="S1602" s="1945">
        <f t="shared" si="332"/>
        <v>10</v>
      </c>
      <c r="T1602" s="64"/>
      <c r="U1602" s="64"/>
      <c r="V1602" s="64"/>
      <c r="W1602" s="64"/>
      <c r="X1602" s="64"/>
      <c r="Y1602" s="1939">
        <f t="shared" si="327"/>
        <v>10</v>
      </c>
      <c r="Z1602" s="1942">
        <f t="shared" si="327"/>
        <v>8587600</v>
      </c>
      <c r="AA1602" s="1939">
        <f t="shared" si="331"/>
        <v>10</v>
      </c>
      <c r="AB1602" s="1944">
        <f t="shared" si="328"/>
        <v>225454845</v>
      </c>
      <c r="AC1602" s="1945">
        <f t="shared" si="330"/>
        <v>2.5</v>
      </c>
      <c r="AD1602" s="1946">
        <f>AB1602/L1602*100</f>
        <v>17.477119767441859</v>
      </c>
      <c r="AE1602" s="64" t="s">
        <v>2513</v>
      </c>
    </row>
    <row r="1603" spans="1:31" s="656" customFormat="1" ht="29.25" customHeight="1">
      <c r="A1603" s="497"/>
      <c r="B1603" s="383"/>
      <c r="C1603" s="1935">
        <v>4</v>
      </c>
      <c r="D1603" s="1236" t="s">
        <v>107</v>
      </c>
      <c r="E1603" s="1236" t="s">
        <v>66</v>
      </c>
      <c r="F1603" s="1236" t="s">
        <v>65</v>
      </c>
      <c r="G1603" s="1236" t="s">
        <v>376</v>
      </c>
      <c r="H1603" s="383"/>
      <c r="I1603" s="741" t="s">
        <v>2545</v>
      </c>
      <c r="J1603" s="741" t="s">
        <v>2546</v>
      </c>
      <c r="K1603" s="1949">
        <v>400</v>
      </c>
      <c r="L1603" s="1947">
        <v>3350000000</v>
      </c>
      <c r="M1603" s="1939"/>
      <c r="N1603" s="1940"/>
      <c r="O1603" s="1960">
        <v>100</v>
      </c>
      <c r="P1603" s="1941">
        <v>661300000</v>
      </c>
      <c r="Q1603" s="1939">
        <v>10</v>
      </c>
      <c r="R1603" s="1940">
        <v>10141000</v>
      </c>
      <c r="S1603" s="1945">
        <f t="shared" si="332"/>
        <v>10</v>
      </c>
      <c r="T1603" s="64"/>
      <c r="U1603" s="64"/>
      <c r="V1603" s="64"/>
      <c r="W1603" s="64"/>
      <c r="X1603" s="64"/>
      <c r="Y1603" s="1939">
        <f t="shared" si="327"/>
        <v>10</v>
      </c>
      <c r="Z1603" s="1942">
        <f t="shared" si="327"/>
        <v>10141000</v>
      </c>
      <c r="AA1603" s="1939">
        <f t="shared" si="331"/>
        <v>10</v>
      </c>
      <c r="AB1603" s="1944">
        <f t="shared" si="328"/>
        <v>10141000</v>
      </c>
      <c r="AC1603" s="1945">
        <f t="shared" si="330"/>
        <v>2.5</v>
      </c>
      <c r="AD1603" s="1946">
        <f>AB1603/L1603*100</f>
        <v>0.30271641791044773</v>
      </c>
      <c r="AE1603" s="64" t="s">
        <v>2513</v>
      </c>
    </row>
    <row r="1604" spans="1:31" s="63" customFormat="1" ht="17.25" customHeight="1">
      <c r="A1604" s="497"/>
      <c r="B1604" s="383"/>
      <c r="C1604" s="1935">
        <v>4</v>
      </c>
      <c r="D1604" s="1236" t="s">
        <v>107</v>
      </c>
      <c r="E1604" s="1236" t="s">
        <v>66</v>
      </c>
      <c r="F1604" s="1236" t="s">
        <v>65</v>
      </c>
      <c r="G1604" s="1236" t="s">
        <v>67</v>
      </c>
      <c r="H1604" s="383"/>
      <c r="I1604" s="1936" t="s">
        <v>1711</v>
      </c>
      <c r="J1604" s="1958" t="s">
        <v>2547</v>
      </c>
      <c r="K1604" s="1938">
        <v>600</v>
      </c>
      <c r="L1604" s="1947">
        <v>3592000000</v>
      </c>
      <c r="M1604" s="1939">
        <v>200</v>
      </c>
      <c r="N1604" s="1940">
        <f>627689500+324034000</f>
        <v>951723500</v>
      </c>
      <c r="O1604" s="1938">
        <v>100</v>
      </c>
      <c r="P1604" s="1941">
        <v>413519840</v>
      </c>
      <c r="Q1604" s="1939">
        <v>35</v>
      </c>
      <c r="R1604" s="1940">
        <v>102812500</v>
      </c>
      <c r="S1604" s="1945">
        <f t="shared" si="332"/>
        <v>35</v>
      </c>
      <c r="T1604" s="64"/>
      <c r="U1604" s="64"/>
      <c r="V1604" s="64"/>
      <c r="W1604" s="64"/>
      <c r="X1604" s="64"/>
      <c r="Y1604" s="1939">
        <f t="shared" si="327"/>
        <v>35</v>
      </c>
      <c r="Z1604" s="1942">
        <f t="shared" si="327"/>
        <v>102812500</v>
      </c>
      <c r="AA1604" s="1939">
        <f t="shared" si="331"/>
        <v>235</v>
      </c>
      <c r="AB1604" s="1944">
        <f t="shared" si="328"/>
        <v>1054536000</v>
      </c>
      <c r="AC1604" s="1945">
        <f t="shared" si="330"/>
        <v>39.166666666666664</v>
      </c>
      <c r="AD1604" s="1946">
        <f t="shared" si="329"/>
        <v>29.357906458797327</v>
      </c>
      <c r="AE1604" s="64" t="s">
        <v>2513</v>
      </c>
    </row>
    <row r="1605" spans="1:31" s="656" customFormat="1" ht="28.5" customHeight="1">
      <c r="A1605" s="497"/>
      <c r="B1605" s="383"/>
      <c r="C1605" s="1935">
        <v>4</v>
      </c>
      <c r="D1605" s="1236" t="s">
        <v>107</v>
      </c>
      <c r="E1605" s="1236" t="s">
        <v>66</v>
      </c>
      <c r="F1605" s="1236" t="s">
        <v>65</v>
      </c>
      <c r="G1605" s="1236" t="s">
        <v>163</v>
      </c>
      <c r="H1605" s="383"/>
      <c r="I1605" s="1936" t="s">
        <v>2548</v>
      </c>
      <c r="J1605" s="1958" t="s">
        <v>1458</v>
      </c>
      <c r="K1605" s="1938">
        <v>600</v>
      </c>
      <c r="L1605" s="1947">
        <v>5323000000</v>
      </c>
      <c r="M1605" s="1939">
        <v>200</v>
      </c>
      <c r="N1605" s="1940">
        <f>752801185+980667793</f>
        <v>1733468978</v>
      </c>
      <c r="O1605" s="1938">
        <v>100</v>
      </c>
      <c r="P1605" s="1941">
        <v>559873170</v>
      </c>
      <c r="Q1605" s="1939">
        <v>10</v>
      </c>
      <c r="R1605" s="1940">
        <v>12620000</v>
      </c>
      <c r="S1605" s="1945">
        <f t="shared" si="332"/>
        <v>10</v>
      </c>
      <c r="T1605" s="64"/>
      <c r="U1605" s="64"/>
      <c r="V1605" s="64"/>
      <c r="W1605" s="64"/>
      <c r="X1605" s="64"/>
      <c r="Y1605" s="1939">
        <f t="shared" si="327"/>
        <v>10</v>
      </c>
      <c r="Z1605" s="1942">
        <f t="shared" si="327"/>
        <v>12620000</v>
      </c>
      <c r="AA1605" s="1939">
        <f t="shared" si="331"/>
        <v>210</v>
      </c>
      <c r="AB1605" s="1944">
        <f t="shared" si="328"/>
        <v>1746088978</v>
      </c>
      <c r="AC1605" s="1945">
        <f t="shared" si="330"/>
        <v>35</v>
      </c>
      <c r="AD1605" s="1946">
        <f t="shared" si="329"/>
        <v>32.802723614503101</v>
      </c>
      <c r="AE1605" s="64" t="s">
        <v>2513</v>
      </c>
    </row>
    <row r="1606" spans="1:31" s="63" customFormat="1" ht="17.25" customHeight="1">
      <c r="A1606" s="497"/>
      <c r="B1606" s="383"/>
      <c r="C1606" s="1935">
        <v>4</v>
      </c>
      <c r="D1606" s="1236" t="s">
        <v>107</v>
      </c>
      <c r="E1606" s="1236" t="s">
        <v>66</v>
      </c>
      <c r="F1606" s="1236" t="s">
        <v>65</v>
      </c>
      <c r="G1606" s="1236" t="s">
        <v>360</v>
      </c>
      <c r="H1606" s="383"/>
      <c r="I1606" s="741" t="s">
        <v>2549</v>
      </c>
      <c r="J1606" s="741" t="s">
        <v>2550</v>
      </c>
      <c r="K1606" s="1938">
        <f>4*12</f>
        <v>48</v>
      </c>
      <c r="L1606" s="1947">
        <v>2600000000</v>
      </c>
      <c r="M1606" s="1939"/>
      <c r="N1606" s="1940"/>
      <c r="O1606" s="1938">
        <v>12</v>
      </c>
      <c r="P1606" s="1941">
        <v>501510000</v>
      </c>
      <c r="Q1606" s="1939">
        <v>3</v>
      </c>
      <c r="R1606" s="1940">
        <v>107317620</v>
      </c>
      <c r="S1606" s="1945">
        <f t="shared" si="332"/>
        <v>25</v>
      </c>
      <c r="T1606" s="64"/>
      <c r="U1606" s="64"/>
      <c r="V1606" s="64"/>
      <c r="W1606" s="64"/>
      <c r="X1606" s="64"/>
      <c r="Y1606" s="1939">
        <f t="shared" si="327"/>
        <v>3</v>
      </c>
      <c r="Z1606" s="1942">
        <f t="shared" si="327"/>
        <v>107317620</v>
      </c>
      <c r="AA1606" s="1939">
        <f t="shared" si="331"/>
        <v>3</v>
      </c>
      <c r="AB1606" s="1944">
        <f t="shared" si="328"/>
        <v>107317620</v>
      </c>
      <c r="AC1606" s="1945">
        <f t="shared" si="330"/>
        <v>6.25</v>
      </c>
      <c r="AD1606" s="1946">
        <f t="shared" si="329"/>
        <v>4.127600769230769</v>
      </c>
      <c r="AE1606" s="64" t="s">
        <v>2513</v>
      </c>
    </row>
    <row r="1607" spans="1:31" s="656" customFormat="1" ht="28.5" customHeight="1">
      <c r="A1607" s="497"/>
      <c r="B1607" s="383"/>
      <c r="C1607" s="1935">
        <v>4</v>
      </c>
      <c r="D1607" s="1236" t="s">
        <v>107</v>
      </c>
      <c r="E1607" s="1236" t="s">
        <v>66</v>
      </c>
      <c r="F1607" s="1236" t="s">
        <v>65</v>
      </c>
      <c r="G1607" s="1236" t="s">
        <v>165</v>
      </c>
      <c r="H1607" s="383"/>
      <c r="I1607" s="741" t="s">
        <v>2551</v>
      </c>
      <c r="J1607" s="741" t="s">
        <v>2552</v>
      </c>
      <c r="K1607" s="1960">
        <v>72</v>
      </c>
      <c r="L1607" s="1947">
        <v>5479900000</v>
      </c>
      <c r="M1607" s="1939">
        <v>24</v>
      </c>
      <c r="N1607" s="1940">
        <f>808732934+721416274</f>
        <v>1530149208</v>
      </c>
      <c r="O1607" s="1960">
        <v>12</v>
      </c>
      <c r="P1607" s="1941">
        <v>840303760</v>
      </c>
      <c r="Q1607" s="1939">
        <v>3</v>
      </c>
      <c r="R1607" s="1940">
        <v>235395744</v>
      </c>
      <c r="S1607" s="1945">
        <f t="shared" si="332"/>
        <v>25</v>
      </c>
      <c r="T1607" s="64"/>
      <c r="U1607" s="64"/>
      <c r="V1607" s="64"/>
      <c r="W1607" s="64"/>
      <c r="X1607" s="64"/>
      <c r="Y1607" s="1939">
        <f t="shared" si="327"/>
        <v>3</v>
      </c>
      <c r="Z1607" s="1942">
        <f t="shared" si="327"/>
        <v>235395744</v>
      </c>
      <c r="AA1607" s="1939">
        <f>M1607+Q1607</f>
        <v>27</v>
      </c>
      <c r="AB1607" s="1944">
        <f t="shared" si="328"/>
        <v>1765544952</v>
      </c>
      <c r="AC1607" s="1945">
        <f t="shared" si="330"/>
        <v>37.5</v>
      </c>
      <c r="AD1607" s="1946">
        <f t="shared" si="329"/>
        <v>32.218561506596835</v>
      </c>
      <c r="AE1607" s="64" t="s">
        <v>2513</v>
      </c>
    </row>
    <row r="1608" spans="1:31" s="63" customFormat="1" ht="17.25" customHeight="1">
      <c r="A1608" s="497"/>
      <c r="B1608" s="383"/>
      <c r="C1608" s="1935">
        <v>4</v>
      </c>
      <c r="D1608" s="1236" t="s">
        <v>107</v>
      </c>
      <c r="E1608" s="1236" t="s">
        <v>66</v>
      </c>
      <c r="F1608" s="1236" t="s">
        <v>65</v>
      </c>
      <c r="G1608" s="1236" t="s">
        <v>515</v>
      </c>
      <c r="H1608" s="383"/>
      <c r="I1608" s="741" t="s">
        <v>2553</v>
      </c>
      <c r="J1608" s="741" t="s">
        <v>2554</v>
      </c>
      <c r="K1608" s="1949">
        <f>4*12</f>
        <v>48</v>
      </c>
      <c r="L1608" s="1947">
        <v>880000000</v>
      </c>
      <c r="M1608" s="1939"/>
      <c r="N1608" s="1940">
        <f>199031500</f>
        <v>199031500</v>
      </c>
      <c r="O1608" s="1961">
        <v>12</v>
      </c>
      <c r="P1608" s="1941">
        <v>165365250</v>
      </c>
      <c r="Q1608" s="1939">
        <v>3</v>
      </c>
      <c r="R1608" s="1940">
        <v>16274250</v>
      </c>
      <c r="S1608" s="1945">
        <f t="shared" si="332"/>
        <v>25</v>
      </c>
      <c r="T1608" s="64"/>
      <c r="U1608" s="64"/>
      <c r="V1608" s="64"/>
      <c r="W1608" s="64"/>
      <c r="X1608" s="64"/>
      <c r="Y1608" s="1939">
        <f t="shared" si="327"/>
        <v>3</v>
      </c>
      <c r="Z1608" s="1942">
        <f t="shared" si="327"/>
        <v>16274250</v>
      </c>
      <c r="AA1608" s="1939">
        <f t="shared" si="331"/>
        <v>3</v>
      </c>
      <c r="AB1608" s="1944">
        <f t="shared" si="328"/>
        <v>215305750</v>
      </c>
      <c r="AC1608" s="1945">
        <f t="shared" si="330"/>
        <v>6.25</v>
      </c>
      <c r="AD1608" s="1946">
        <f t="shared" si="329"/>
        <v>24.466562499999998</v>
      </c>
      <c r="AE1608" s="64" t="s">
        <v>2513</v>
      </c>
    </row>
    <row r="1609" spans="1:31" s="656" customFormat="1" ht="29.25" customHeight="1">
      <c r="A1609" s="497"/>
      <c r="B1609" s="383"/>
      <c r="C1609" s="1935">
        <v>4</v>
      </c>
      <c r="D1609" s="1236" t="s">
        <v>107</v>
      </c>
      <c r="E1609" s="1236" t="s">
        <v>66</v>
      </c>
      <c r="F1609" s="1236" t="s">
        <v>65</v>
      </c>
      <c r="G1609" s="1236" t="s">
        <v>368</v>
      </c>
      <c r="H1609" s="383"/>
      <c r="I1609" s="741" t="s">
        <v>2555</v>
      </c>
      <c r="J1609" s="741" t="s">
        <v>2556</v>
      </c>
      <c r="K1609" s="1949">
        <v>600</v>
      </c>
      <c r="L1609" s="1947">
        <v>262000000</v>
      </c>
      <c r="M1609" s="1939">
        <v>200</v>
      </c>
      <c r="N1609" s="1940">
        <f>15956000+1800000</f>
        <v>17756000</v>
      </c>
      <c r="O1609" s="1949">
        <v>100</v>
      </c>
      <c r="P1609" s="1941">
        <v>12000000</v>
      </c>
      <c r="Q1609" s="1939">
        <v>6</v>
      </c>
      <c r="R1609" s="1940">
        <v>700000</v>
      </c>
      <c r="S1609" s="1945">
        <f t="shared" si="332"/>
        <v>6</v>
      </c>
      <c r="T1609" s="64"/>
      <c r="U1609" s="64"/>
      <c r="V1609" s="64"/>
      <c r="W1609" s="64"/>
      <c r="X1609" s="64"/>
      <c r="Y1609" s="1939">
        <f t="shared" si="327"/>
        <v>6</v>
      </c>
      <c r="Z1609" s="1942">
        <f t="shared" si="327"/>
        <v>700000</v>
      </c>
      <c r="AA1609" s="1939">
        <f t="shared" si="331"/>
        <v>206</v>
      </c>
      <c r="AB1609" s="1944">
        <f t="shared" si="328"/>
        <v>18456000</v>
      </c>
      <c r="AC1609" s="1945">
        <f t="shared" si="330"/>
        <v>34.333333333333336</v>
      </c>
      <c r="AD1609" s="1962">
        <f t="shared" si="329"/>
        <v>7.0442748091603056</v>
      </c>
      <c r="AE1609" s="64" t="s">
        <v>2513</v>
      </c>
    </row>
    <row r="1610" spans="1:31" s="63" customFormat="1" ht="17.25" customHeight="1">
      <c r="A1610" s="4563" t="s">
        <v>2532</v>
      </c>
      <c r="B1610" s="4564"/>
      <c r="C1610" s="4564"/>
      <c r="D1610" s="4564"/>
      <c r="E1610" s="4564"/>
      <c r="F1610" s="4564"/>
      <c r="G1610" s="4564"/>
      <c r="H1610" s="4564"/>
      <c r="I1610" s="4564"/>
      <c r="J1610" s="4564"/>
      <c r="K1610" s="4564"/>
      <c r="L1610" s="4564"/>
      <c r="M1610" s="4564"/>
      <c r="N1610" s="4564"/>
      <c r="O1610" s="4564"/>
      <c r="P1610" s="4564"/>
      <c r="Q1610" s="4564"/>
      <c r="R1610" s="4564"/>
      <c r="S1610" s="4564"/>
      <c r="T1610" s="4564"/>
      <c r="U1610" s="4564"/>
      <c r="V1610" s="4564"/>
      <c r="W1610" s="4564"/>
      <c r="X1610" s="4564"/>
      <c r="Y1610" s="4564"/>
      <c r="Z1610" s="4564"/>
      <c r="AA1610" s="4564"/>
      <c r="AB1610" s="4565"/>
      <c r="AC1610" s="1963">
        <f>SUM(AC1597:AC1609)/13</f>
        <v>22.164201183431949</v>
      </c>
      <c r="AD1610" s="1963">
        <f>SUM(AD1597:AD1609)/13</f>
        <v>19.306859967224025</v>
      </c>
      <c r="AE1610" s="64"/>
    </row>
    <row r="1611" spans="1:31" s="656" customFormat="1" ht="24.75" customHeight="1">
      <c r="A1611" s="4563" t="s">
        <v>2533</v>
      </c>
      <c r="B1611" s="4564"/>
      <c r="C1611" s="4564"/>
      <c r="D1611" s="4564"/>
      <c r="E1611" s="4564"/>
      <c r="F1611" s="4564"/>
      <c r="G1611" s="4564"/>
      <c r="H1611" s="4564"/>
      <c r="I1611" s="4564"/>
      <c r="J1611" s="4564"/>
      <c r="K1611" s="4564"/>
      <c r="L1611" s="4564"/>
      <c r="M1611" s="4564"/>
      <c r="N1611" s="4564"/>
      <c r="O1611" s="4564"/>
      <c r="P1611" s="4564"/>
      <c r="Q1611" s="4564"/>
      <c r="R1611" s="4564"/>
      <c r="S1611" s="4564"/>
      <c r="T1611" s="4564"/>
      <c r="U1611" s="4564"/>
      <c r="V1611" s="4564"/>
      <c r="W1611" s="4564"/>
      <c r="X1611" s="4564"/>
      <c r="Y1611" s="4564"/>
      <c r="Z1611" s="4564"/>
      <c r="AA1611" s="4564"/>
      <c r="AB1611" s="4565"/>
      <c r="AC1611" s="1883" t="s">
        <v>2534</v>
      </c>
      <c r="AD1611" s="1883" t="s">
        <v>2534</v>
      </c>
      <c r="AE1611" s="64"/>
    </row>
    <row r="1612" spans="1:31" s="63" customFormat="1" ht="17.25" customHeight="1">
      <c r="A1612" s="1922">
        <v>3</v>
      </c>
      <c r="B1612" s="1923" t="s">
        <v>2557</v>
      </c>
      <c r="C1612" s="1925" t="s">
        <v>66</v>
      </c>
      <c r="D1612" s="1925" t="s">
        <v>2558</v>
      </c>
      <c r="E1612" s="1925" t="s">
        <v>107</v>
      </c>
      <c r="F1612" s="1925" t="s">
        <v>66</v>
      </c>
      <c r="G1612" s="1925" t="s">
        <v>376</v>
      </c>
      <c r="H1612" s="1926"/>
      <c r="I1612" s="1923" t="s">
        <v>377</v>
      </c>
      <c r="J1612" s="1964" t="s">
        <v>2559</v>
      </c>
      <c r="K1612" s="1932">
        <v>560</v>
      </c>
      <c r="L1612" s="1965">
        <f>L1613+L1614</f>
        <v>386000000</v>
      </c>
      <c r="M1612" s="1932">
        <f>90+90</f>
        <v>180</v>
      </c>
      <c r="N1612" s="1965">
        <f>N1613+N1614</f>
        <v>167100450</v>
      </c>
      <c r="O1612" s="1966">
        <v>90</v>
      </c>
      <c r="P1612" s="1965">
        <f>P1613+P1614</f>
        <v>222750947.75</v>
      </c>
      <c r="Q1612" s="1932">
        <v>20</v>
      </c>
      <c r="R1612" s="1933">
        <f>R1613+R1614</f>
        <v>35718000</v>
      </c>
      <c r="S1612" s="2025"/>
      <c r="T1612" s="2025"/>
      <c r="U1612" s="2025"/>
      <c r="V1612" s="2025"/>
      <c r="W1612" s="2025"/>
      <c r="X1612" s="2025"/>
      <c r="Y1612" s="1932">
        <f t="shared" ref="Y1612:Z1614" si="333">Q1612</f>
        <v>20</v>
      </c>
      <c r="Z1612" s="1933">
        <f t="shared" si="333"/>
        <v>35718000</v>
      </c>
      <c r="AA1612" s="1932">
        <f>M1612+Q1612</f>
        <v>200</v>
      </c>
      <c r="AB1612" s="1933">
        <f>N1612+Z1612</f>
        <v>202818450</v>
      </c>
      <c r="AC1612" s="1967">
        <f t="shared" ref="AC1612:AD1614" si="334">AA1612/K1612*100</f>
        <v>35.714285714285715</v>
      </c>
      <c r="AD1612" s="1968">
        <f t="shared" si="334"/>
        <v>52.543639896373065</v>
      </c>
      <c r="AE1612" s="2025"/>
    </row>
    <row r="1613" spans="1:31" ht="25.5">
      <c r="A1613" s="497"/>
      <c r="B1613" s="383"/>
      <c r="C1613" s="1236" t="s">
        <v>66</v>
      </c>
      <c r="D1613" s="1236" t="s">
        <v>2558</v>
      </c>
      <c r="E1613" s="1236" t="s">
        <v>107</v>
      </c>
      <c r="F1613" s="1236" t="s">
        <v>66</v>
      </c>
      <c r="G1613" s="1236" t="s">
        <v>376</v>
      </c>
      <c r="H1613" s="1236" t="s">
        <v>368</v>
      </c>
      <c r="I1613" s="741" t="s">
        <v>2560</v>
      </c>
      <c r="J1613" s="1485" t="s">
        <v>2561</v>
      </c>
      <c r="K1613" s="1952">
        <v>8</v>
      </c>
      <c r="L1613" s="1947">
        <v>191000000</v>
      </c>
      <c r="M1613" s="1939">
        <v>4</v>
      </c>
      <c r="N1613" s="1969">
        <f>89386100</f>
        <v>89386100</v>
      </c>
      <c r="O1613" s="1970">
        <v>4</v>
      </c>
      <c r="P1613" s="1971">
        <v>85080735.5</v>
      </c>
      <c r="Q1613" s="1939">
        <v>2</v>
      </c>
      <c r="R1613" s="1940">
        <v>20963000</v>
      </c>
      <c r="S1613" s="64"/>
      <c r="T1613" s="64"/>
      <c r="U1613" s="64"/>
      <c r="V1613" s="64"/>
      <c r="W1613" s="64"/>
      <c r="X1613" s="64"/>
      <c r="Y1613" s="1939">
        <f t="shared" si="333"/>
        <v>2</v>
      </c>
      <c r="Z1613" s="1942">
        <f t="shared" si="333"/>
        <v>20963000</v>
      </c>
      <c r="AA1613" s="1939">
        <f>M1613+Q1613</f>
        <v>6</v>
      </c>
      <c r="AB1613" s="1944">
        <f>N1613+Z1613</f>
        <v>110349100</v>
      </c>
      <c r="AC1613" s="1945">
        <f t="shared" si="334"/>
        <v>75</v>
      </c>
      <c r="AD1613" s="1946">
        <f t="shared" si="334"/>
        <v>57.774397905759166</v>
      </c>
      <c r="AE1613" s="64" t="s">
        <v>2562</v>
      </c>
    </row>
    <row r="1614" spans="1:31" ht="51">
      <c r="A1614" s="497"/>
      <c r="B1614" s="383"/>
      <c r="C1614" s="1236" t="s">
        <v>66</v>
      </c>
      <c r="D1614" s="1236" t="s">
        <v>2558</v>
      </c>
      <c r="E1614" s="1236" t="s">
        <v>107</v>
      </c>
      <c r="F1614" s="1236" t="s">
        <v>66</v>
      </c>
      <c r="G1614" s="1236" t="s">
        <v>376</v>
      </c>
      <c r="H1614" s="1236" t="s">
        <v>373</v>
      </c>
      <c r="I1614" s="741" t="s">
        <v>2563</v>
      </c>
      <c r="J1614" s="1485" t="s">
        <v>2564</v>
      </c>
      <c r="K1614" s="1938">
        <v>6</v>
      </c>
      <c r="L1614" s="1947">
        <v>195000000</v>
      </c>
      <c r="M1614" s="1939">
        <v>3</v>
      </c>
      <c r="N1614" s="1940">
        <v>77714350</v>
      </c>
      <c r="O1614" s="1972">
        <v>3</v>
      </c>
      <c r="P1614" s="1971">
        <v>137670212.25</v>
      </c>
      <c r="Q1614" s="1939">
        <v>2</v>
      </c>
      <c r="R1614" s="1940">
        <v>14755000</v>
      </c>
      <c r="S1614" s="64"/>
      <c r="T1614" s="64"/>
      <c r="U1614" s="64"/>
      <c r="V1614" s="64"/>
      <c r="W1614" s="64"/>
      <c r="X1614" s="64"/>
      <c r="Y1614" s="1939">
        <f t="shared" si="333"/>
        <v>2</v>
      </c>
      <c r="Z1614" s="1942">
        <f t="shared" si="333"/>
        <v>14755000</v>
      </c>
      <c r="AA1614" s="1939">
        <f>M1614+Q1614</f>
        <v>5</v>
      </c>
      <c r="AB1614" s="1944">
        <f>N1614+Z1614</f>
        <v>92469350</v>
      </c>
      <c r="AC1614" s="1945">
        <f t="shared" si="334"/>
        <v>83.333333333333343</v>
      </c>
      <c r="AD1614" s="1946">
        <f t="shared" si="334"/>
        <v>47.420179487179489</v>
      </c>
      <c r="AE1614" s="64" t="s">
        <v>2562</v>
      </c>
    </row>
    <row r="1615" spans="1:31">
      <c r="A1615" s="4563" t="s">
        <v>2532</v>
      </c>
      <c r="B1615" s="4564"/>
      <c r="C1615" s="4564"/>
      <c r="D1615" s="4564"/>
      <c r="E1615" s="4564"/>
      <c r="F1615" s="4564"/>
      <c r="G1615" s="4564"/>
      <c r="H1615" s="4564"/>
      <c r="I1615" s="4564"/>
      <c r="J1615" s="4564"/>
      <c r="K1615" s="4564"/>
      <c r="L1615" s="4564"/>
      <c r="M1615" s="4564"/>
      <c r="N1615" s="4564"/>
      <c r="O1615" s="4564"/>
      <c r="P1615" s="4564"/>
      <c r="Q1615" s="4564"/>
      <c r="R1615" s="4564"/>
      <c r="S1615" s="4564"/>
      <c r="T1615" s="4564"/>
      <c r="U1615" s="4564"/>
      <c r="V1615" s="4564"/>
      <c r="W1615" s="4564"/>
      <c r="X1615" s="4564"/>
      <c r="Y1615" s="4564"/>
      <c r="Z1615" s="4564"/>
      <c r="AA1615" s="4564"/>
      <c r="AB1615" s="4565"/>
      <c r="AC1615" s="2027">
        <f>SUM(AC1613:AC1614)/2</f>
        <v>79.166666666666671</v>
      </c>
      <c r="AD1615" s="2027">
        <f>SUM(AD1613:AD1614)/2</f>
        <v>52.597288696469327</v>
      </c>
      <c r="AE1615" s="64"/>
    </row>
    <row r="1616" spans="1:31">
      <c r="A1616" s="4563" t="s">
        <v>2533</v>
      </c>
      <c r="B1616" s="4564"/>
      <c r="C1616" s="4564"/>
      <c r="D1616" s="4564"/>
      <c r="E1616" s="4564"/>
      <c r="F1616" s="4564"/>
      <c r="G1616" s="4564"/>
      <c r="H1616" s="4564"/>
      <c r="I1616" s="4564"/>
      <c r="J1616" s="4564"/>
      <c r="K1616" s="4564"/>
      <c r="L1616" s="4564"/>
      <c r="M1616" s="4564"/>
      <c r="N1616" s="4564"/>
      <c r="O1616" s="4564"/>
      <c r="P1616" s="4564"/>
      <c r="Q1616" s="4564"/>
      <c r="R1616" s="4564"/>
      <c r="S1616" s="4564"/>
      <c r="T1616" s="4564"/>
      <c r="U1616" s="4564"/>
      <c r="V1616" s="4564"/>
      <c r="W1616" s="4564"/>
      <c r="X1616" s="4564"/>
      <c r="Y1616" s="4564"/>
      <c r="Z1616" s="4564"/>
      <c r="AA1616" s="4564"/>
      <c r="AB1616" s="4565"/>
      <c r="AC1616" s="2026" t="s">
        <v>2565</v>
      </c>
      <c r="AD1616" s="2028" t="s">
        <v>2566</v>
      </c>
      <c r="AE1616" s="64"/>
    </row>
    <row r="1617" spans="1:31" ht="76.5">
      <c r="A1617" s="1922">
        <v>4</v>
      </c>
      <c r="B1617" s="1923" t="s">
        <v>2567</v>
      </c>
      <c r="C1617" s="1925" t="s">
        <v>161</v>
      </c>
      <c r="D1617" s="1925" t="s">
        <v>2558</v>
      </c>
      <c r="E1617" s="1925" t="s">
        <v>107</v>
      </c>
      <c r="F1617" s="1925" t="s">
        <v>66</v>
      </c>
      <c r="G1617" s="1925" t="s">
        <v>155</v>
      </c>
      <c r="H1617" s="1926"/>
      <c r="I1617" s="1926" t="s">
        <v>2568</v>
      </c>
      <c r="J1617" s="1973" t="s">
        <v>2569</v>
      </c>
      <c r="K1617" s="1974">
        <v>22</v>
      </c>
      <c r="L1617" s="1975">
        <f>L1618+L1619</f>
        <v>1781000000</v>
      </c>
      <c r="M1617" s="1932">
        <v>6</v>
      </c>
      <c r="N1617" s="1976">
        <f>N1618+N1619</f>
        <v>168029450</v>
      </c>
      <c r="O1617" s="1977">
        <v>3</v>
      </c>
      <c r="P1617" s="1965">
        <f>P1618+P1619</f>
        <v>158206611</v>
      </c>
      <c r="Q1617" s="1932">
        <v>1</v>
      </c>
      <c r="R1617" s="1933">
        <f>R1618+R1619</f>
        <v>106638850</v>
      </c>
      <c r="S1617" s="1957"/>
      <c r="T1617" s="1957"/>
      <c r="U1617" s="1957"/>
      <c r="V1617" s="1957"/>
      <c r="W1617" s="1957"/>
      <c r="X1617" s="1957"/>
      <c r="Y1617" s="1932">
        <f t="shared" ref="Y1617:Z1619" si="335">Q1617</f>
        <v>1</v>
      </c>
      <c r="Z1617" s="1933">
        <f t="shared" si="335"/>
        <v>106638850</v>
      </c>
      <c r="AA1617" s="1932">
        <f>M1617+Q1617</f>
        <v>7</v>
      </c>
      <c r="AB1617" s="1933">
        <f>N1617+Z1617</f>
        <v>274668300</v>
      </c>
      <c r="AC1617" s="1929">
        <f t="shared" ref="AC1617:AD1619" si="336">AA1617/K1617*100</f>
        <v>31.818181818181817</v>
      </c>
      <c r="AD1617" s="1934">
        <f t="shared" si="336"/>
        <v>15.4221392476137</v>
      </c>
      <c r="AE1617" s="1957"/>
    </row>
    <row r="1618" spans="1:31" ht="38.25">
      <c r="A1618" s="497"/>
      <c r="B1618" s="383"/>
      <c r="C1618" s="1236" t="s">
        <v>161</v>
      </c>
      <c r="D1618" s="1236" t="s">
        <v>2558</v>
      </c>
      <c r="E1618" s="1236" t="s">
        <v>107</v>
      </c>
      <c r="F1618" s="1236" t="s">
        <v>66</v>
      </c>
      <c r="G1618" s="1236" t="s">
        <v>155</v>
      </c>
      <c r="H1618" s="1236" t="s">
        <v>198</v>
      </c>
      <c r="I1618" s="1936" t="s">
        <v>2570</v>
      </c>
      <c r="J1618" s="1978" t="s">
        <v>2571</v>
      </c>
      <c r="K1618" s="1938">
        <v>30</v>
      </c>
      <c r="L1618" s="1947">
        <v>815000000</v>
      </c>
      <c r="M1618" s="1939">
        <v>10</v>
      </c>
      <c r="N1618" s="1940">
        <f>81853300+28419000</f>
        <v>110272300</v>
      </c>
      <c r="O1618" s="1938">
        <v>5</v>
      </c>
      <c r="P1618" s="1971">
        <v>94470619.25</v>
      </c>
      <c r="Q1618" s="64">
        <v>5</v>
      </c>
      <c r="R1618" s="1940">
        <v>77049500</v>
      </c>
      <c r="S1618" s="64"/>
      <c r="T1618" s="64"/>
      <c r="U1618" s="64"/>
      <c r="V1618" s="64"/>
      <c r="W1618" s="64"/>
      <c r="X1618" s="64"/>
      <c r="Y1618" s="1939">
        <f t="shared" si="335"/>
        <v>5</v>
      </c>
      <c r="Z1618" s="1942">
        <f t="shared" si="335"/>
        <v>77049500</v>
      </c>
      <c r="AA1618" s="1939">
        <f>M1618+Q1618</f>
        <v>15</v>
      </c>
      <c r="AB1618" s="1944">
        <f>N1618+Z1618</f>
        <v>187321800</v>
      </c>
      <c r="AC1618" s="1945">
        <f t="shared" si="336"/>
        <v>50</v>
      </c>
      <c r="AD1618" s="1946">
        <f t="shared" si="336"/>
        <v>22.984269938650307</v>
      </c>
      <c r="AE1618" s="64" t="s">
        <v>2572</v>
      </c>
    </row>
    <row r="1619" spans="1:31" ht="25.5">
      <c r="A1619" s="497"/>
      <c r="B1619" s="383"/>
      <c r="C1619" s="1236" t="s">
        <v>161</v>
      </c>
      <c r="D1619" s="1236" t="s">
        <v>2558</v>
      </c>
      <c r="E1619" s="1236" t="s">
        <v>107</v>
      </c>
      <c r="F1619" s="1236" t="s">
        <v>66</v>
      </c>
      <c r="G1619" s="1236" t="s">
        <v>155</v>
      </c>
      <c r="H1619" s="1236" t="s">
        <v>201</v>
      </c>
      <c r="I1619" s="1936" t="s">
        <v>2573</v>
      </c>
      <c r="J1619" s="741" t="s">
        <v>2574</v>
      </c>
      <c r="K1619" s="1952">
        <v>89</v>
      </c>
      <c r="L1619" s="1947">
        <v>966000000</v>
      </c>
      <c r="M1619" s="1939">
        <v>6</v>
      </c>
      <c r="N1619" s="1940">
        <v>57757150</v>
      </c>
      <c r="O1619" s="1952">
        <v>20</v>
      </c>
      <c r="P1619" s="1940">
        <v>63735991.75</v>
      </c>
      <c r="Q1619" s="1939">
        <v>7</v>
      </c>
      <c r="R1619" s="1940">
        <v>29589350</v>
      </c>
      <c r="S1619" s="64"/>
      <c r="T1619" s="64"/>
      <c r="U1619" s="64"/>
      <c r="V1619" s="64"/>
      <c r="W1619" s="64"/>
      <c r="X1619" s="64"/>
      <c r="Y1619" s="1939">
        <f t="shared" si="335"/>
        <v>7</v>
      </c>
      <c r="Z1619" s="1942">
        <f t="shared" si="335"/>
        <v>29589350</v>
      </c>
      <c r="AA1619" s="1939">
        <f>M1619+Q1619</f>
        <v>13</v>
      </c>
      <c r="AB1619" s="1944">
        <f>N1619+Z1619</f>
        <v>87346500</v>
      </c>
      <c r="AC1619" s="1945">
        <f t="shared" si="336"/>
        <v>14.606741573033707</v>
      </c>
      <c r="AD1619" s="1946">
        <f t="shared" si="336"/>
        <v>9.0420807453416145</v>
      </c>
      <c r="AE1619" s="64" t="s">
        <v>2572</v>
      </c>
    </row>
    <row r="1620" spans="1:31">
      <c r="A1620" s="4563" t="s">
        <v>2532</v>
      </c>
      <c r="B1620" s="4564"/>
      <c r="C1620" s="4564"/>
      <c r="D1620" s="4564"/>
      <c r="E1620" s="4564"/>
      <c r="F1620" s="4564"/>
      <c r="G1620" s="4564"/>
      <c r="H1620" s="4564"/>
      <c r="I1620" s="4564"/>
      <c r="J1620" s="4564"/>
      <c r="K1620" s="4564"/>
      <c r="L1620" s="4564"/>
      <c r="M1620" s="4564"/>
      <c r="N1620" s="4564"/>
      <c r="O1620" s="4564"/>
      <c r="P1620" s="4564"/>
      <c r="Q1620" s="4564"/>
      <c r="R1620" s="4564"/>
      <c r="S1620" s="4564"/>
      <c r="T1620" s="4564"/>
      <c r="U1620" s="4564"/>
      <c r="V1620" s="4564"/>
      <c r="W1620" s="4564"/>
      <c r="X1620" s="4564"/>
      <c r="Y1620" s="4564"/>
      <c r="Z1620" s="4564"/>
      <c r="AA1620" s="4564"/>
      <c r="AB1620" s="4565"/>
      <c r="AC1620" s="2029">
        <f>SUM(AC1618:AC1619)/2</f>
        <v>32.303370786516851</v>
      </c>
      <c r="AD1620" s="2029">
        <f>SUM(AD1618:AD1619)/2</f>
        <v>16.013175341995961</v>
      </c>
      <c r="AE1620" s="64"/>
    </row>
    <row r="1621" spans="1:31">
      <c r="A1621" s="4563" t="s">
        <v>2533</v>
      </c>
      <c r="B1621" s="4564"/>
      <c r="C1621" s="4564"/>
      <c r="D1621" s="4564"/>
      <c r="E1621" s="4564"/>
      <c r="F1621" s="4564"/>
      <c r="G1621" s="4564"/>
      <c r="H1621" s="4564"/>
      <c r="I1621" s="4564"/>
      <c r="J1621" s="4564"/>
      <c r="K1621" s="4564"/>
      <c r="L1621" s="4564"/>
      <c r="M1621" s="4564"/>
      <c r="N1621" s="4564"/>
      <c r="O1621" s="4564"/>
      <c r="P1621" s="4564"/>
      <c r="Q1621" s="4564"/>
      <c r="R1621" s="4564"/>
      <c r="S1621" s="4564"/>
      <c r="T1621" s="4564"/>
      <c r="U1621" s="4564"/>
      <c r="V1621" s="4564"/>
      <c r="W1621" s="4564"/>
      <c r="X1621" s="4564"/>
      <c r="Y1621" s="4564"/>
      <c r="Z1621" s="4564"/>
      <c r="AA1621" s="4564"/>
      <c r="AB1621" s="4565"/>
      <c r="AC1621" s="2026" t="s">
        <v>2534</v>
      </c>
      <c r="AD1621" s="2026" t="s">
        <v>2534</v>
      </c>
      <c r="AE1621" s="64"/>
    </row>
    <row r="1622" spans="1:31" ht="89.25">
      <c r="A1622" s="1922">
        <v>5</v>
      </c>
      <c r="B1622" s="1923" t="s">
        <v>2567</v>
      </c>
      <c r="C1622" s="1925" t="s">
        <v>161</v>
      </c>
      <c r="D1622" s="1925" t="s">
        <v>2558</v>
      </c>
      <c r="E1622" s="1925" t="s">
        <v>107</v>
      </c>
      <c r="F1622" s="1925" t="s">
        <v>66</v>
      </c>
      <c r="G1622" s="1925" t="s">
        <v>166</v>
      </c>
      <c r="H1622" s="1926"/>
      <c r="I1622" s="1926" t="s">
        <v>2575</v>
      </c>
      <c r="J1622" s="1923" t="s">
        <v>2576</v>
      </c>
      <c r="K1622" s="1979">
        <v>28</v>
      </c>
      <c r="L1622" s="1953">
        <f>L1624+L1625</f>
        <v>1560000000</v>
      </c>
      <c r="M1622" s="1932">
        <v>7</v>
      </c>
      <c r="N1622" s="1965">
        <f>N1624+N1625</f>
        <v>283753548</v>
      </c>
      <c r="O1622" s="1980">
        <v>4</v>
      </c>
      <c r="P1622" s="1965">
        <f>P1624+P1625</f>
        <v>147912275.25</v>
      </c>
      <c r="Q1622" s="1932">
        <v>1</v>
      </c>
      <c r="R1622" s="1933">
        <f>R1624+R1625</f>
        <v>5276500</v>
      </c>
      <c r="S1622" s="1957"/>
      <c r="T1622" s="1957"/>
      <c r="U1622" s="1957"/>
      <c r="V1622" s="1957"/>
      <c r="W1622" s="1957"/>
      <c r="X1622" s="1957"/>
      <c r="Y1622" s="1932">
        <f t="shared" ref="Y1622:Z1625" si="337">Q1622</f>
        <v>1</v>
      </c>
      <c r="Z1622" s="1933">
        <f t="shared" si="337"/>
        <v>5276500</v>
      </c>
      <c r="AA1622" s="1932">
        <f>M1622+Q1622</f>
        <v>8</v>
      </c>
      <c r="AB1622" s="1933">
        <f>N1622+Z1622</f>
        <v>289030048</v>
      </c>
      <c r="AC1622" s="1967">
        <f>AA1622/K1622*100</f>
        <v>28.571428571428569</v>
      </c>
      <c r="AD1622" s="1968">
        <f>AB1622/L1622*100</f>
        <v>18.527567179487178</v>
      </c>
      <c r="AE1622" s="1957"/>
    </row>
    <row r="1623" spans="1:31" ht="51">
      <c r="A1623" s="1113"/>
      <c r="B1623" s="1926"/>
      <c r="C1623" s="1925"/>
      <c r="D1623" s="1925"/>
      <c r="E1623" s="1925"/>
      <c r="F1623" s="1925"/>
      <c r="G1623" s="1926"/>
      <c r="H1623" s="1926"/>
      <c r="I1623" s="1926"/>
      <c r="J1623" s="1973" t="s">
        <v>2577</v>
      </c>
      <c r="K1623" s="1981">
        <v>505</v>
      </c>
      <c r="L1623" s="1957"/>
      <c r="M1623" s="1932">
        <f>75+80</f>
        <v>155</v>
      </c>
      <c r="N1623" s="1933"/>
      <c r="O1623" s="1981">
        <v>80</v>
      </c>
      <c r="P1623" s="1965"/>
      <c r="Q1623" s="1957">
        <v>20</v>
      </c>
      <c r="R1623" s="1933"/>
      <c r="S1623" s="1957"/>
      <c r="T1623" s="1957"/>
      <c r="U1623" s="1957"/>
      <c r="V1623" s="1957"/>
      <c r="W1623" s="1957"/>
      <c r="X1623" s="1957"/>
      <c r="Y1623" s="1932">
        <f t="shared" si="337"/>
        <v>20</v>
      </c>
      <c r="Z1623" s="1982">
        <f t="shared" si="337"/>
        <v>0</v>
      </c>
      <c r="AA1623" s="1932">
        <f>M1623+Q1623</f>
        <v>175</v>
      </c>
      <c r="AB1623" s="1982">
        <f>N1623+Z1623</f>
        <v>0</v>
      </c>
      <c r="AC1623" s="1929">
        <f>AA1623/K1623*100</f>
        <v>34.653465346534652</v>
      </c>
      <c r="AD1623" s="1968"/>
      <c r="AE1623" s="1957"/>
    </row>
    <row r="1624" spans="1:31">
      <c r="A1624" s="497"/>
      <c r="B1624" s="383"/>
      <c r="C1624" s="1236" t="s">
        <v>161</v>
      </c>
      <c r="D1624" s="1236" t="s">
        <v>2558</v>
      </c>
      <c r="E1624" s="1236" t="s">
        <v>107</v>
      </c>
      <c r="F1624" s="1236" t="s">
        <v>66</v>
      </c>
      <c r="G1624" s="1236" t="s">
        <v>166</v>
      </c>
      <c r="H1624" s="1236" t="s">
        <v>197</v>
      </c>
      <c r="I1624" s="1936" t="s">
        <v>2578</v>
      </c>
      <c r="J1624" s="741" t="s">
        <v>2579</v>
      </c>
      <c r="K1624" s="64">
        <v>55</v>
      </c>
      <c r="L1624" s="1698">
        <v>600000000</v>
      </c>
      <c r="M1624" s="1983">
        <v>35</v>
      </c>
      <c r="N1624" s="1940">
        <f>119809198+163944350</f>
        <v>283753548</v>
      </c>
      <c r="O1624" s="1952">
        <v>20</v>
      </c>
      <c r="P1624" s="1971">
        <v>106516843.5</v>
      </c>
      <c r="Q1624" s="1939">
        <v>2</v>
      </c>
      <c r="R1624" s="1940">
        <v>2986900</v>
      </c>
      <c r="S1624" s="64"/>
      <c r="T1624" s="64"/>
      <c r="U1624" s="64"/>
      <c r="V1624" s="64"/>
      <c r="W1624" s="64"/>
      <c r="X1624" s="64"/>
      <c r="Y1624" s="1939">
        <f t="shared" si="337"/>
        <v>2</v>
      </c>
      <c r="Z1624" s="1942">
        <f t="shared" si="337"/>
        <v>2986900</v>
      </c>
      <c r="AA1624" s="1939">
        <f>M1624+Q1624</f>
        <v>37</v>
      </c>
      <c r="AB1624" s="1944">
        <f>N1624+Z1624</f>
        <v>286740448</v>
      </c>
      <c r="AC1624" s="1945">
        <f>AA1624/K1624*100</f>
        <v>67.272727272727266</v>
      </c>
      <c r="AD1624" s="1946">
        <f>AB1624/L1624*100</f>
        <v>47.790074666666662</v>
      </c>
      <c r="AE1624" s="64" t="s">
        <v>2572</v>
      </c>
    </row>
    <row r="1625" spans="1:31" ht="63.75">
      <c r="A1625" s="497"/>
      <c r="B1625" s="383"/>
      <c r="C1625" s="1236" t="s">
        <v>161</v>
      </c>
      <c r="D1625" s="1236" t="s">
        <v>2558</v>
      </c>
      <c r="E1625" s="1236" t="s">
        <v>107</v>
      </c>
      <c r="F1625" s="1236" t="s">
        <v>66</v>
      </c>
      <c r="G1625" s="1236" t="s">
        <v>166</v>
      </c>
      <c r="H1625" s="1236" t="s">
        <v>1129</v>
      </c>
      <c r="I1625" s="741" t="s">
        <v>2580</v>
      </c>
      <c r="J1625" s="741" t="s">
        <v>2581</v>
      </c>
      <c r="K1625" s="1938">
        <v>14</v>
      </c>
      <c r="L1625" s="1947">
        <v>960000000</v>
      </c>
      <c r="M1625" s="1939">
        <v>0</v>
      </c>
      <c r="N1625" s="1940"/>
      <c r="O1625" s="1938">
        <v>3</v>
      </c>
      <c r="P1625" s="1971">
        <v>41395431.75</v>
      </c>
      <c r="Q1625" s="1939">
        <v>1</v>
      </c>
      <c r="R1625" s="1940">
        <v>2289600</v>
      </c>
      <c r="S1625" s="64"/>
      <c r="T1625" s="64"/>
      <c r="U1625" s="64"/>
      <c r="V1625" s="64"/>
      <c r="W1625" s="64"/>
      <c r="X1625" s="64"/>
      <c r="Y1625" s="1939">
        <f t="shared" si="337"/>
        <v>1</v>
      </c>
      <c r="Z1625" s="1942">
        <f t="shared" si="337"/>
        <v>2289600</v>
      </c>
      <c r="AA1625" s="1939">
        <f>M1625+Q1625</f>
        <v>1</v>
      </c>
      <c r="AB1625" s="1944">
        <f>N1625+Z1625</f>
        <v>2289600</v>
      </c>
      <c r="AC1625" s="1945">
        <f>AA1625/K1625*100</f>
        <v>7.1428571428571423</v>
      </c>
      <c r="AD1625" s="1946">
        <f>AB1625/L1625*100</f>
        <v>0.23849999999999999</v>
      </c>
      <c r="AE1625" s="64" t="s">
        <v>2572</v>
      </c>
    </row>
    <row r="1626" spans="1:31">
      <c r="A1626" s="4563" t="s">
        <v>2532</v>
      </c>
      <c r="B1626" s="4564"/>
      <c r="C1626" s="4564"/>
      <c r="D1626" s="4564"/>
      <c r="E1626" s="4564"/>
      <c r="F1626" s="4564"/>
      <c r="G1626" s="4564"/>
      <c r="H1626" s="4564"/>
      <c r="I1626" s="4564"/>
      <c r="J1626" s="4564"/>
      <c r="K1626" s="4564"/>
      <c r="L1626" s="4564"/>
      <c r="M1626" s="4564"/>
      <c r="N1626" s="4564"/>
      <c r="O1626" s="4564"/>
      <c r="P1626" s="4564"/>
      <c r="Q1626" s="4564"/>
      <c r="R1626" s="4564"/>
      <c r="S1626" s="4564"/>
      <c r="T1626" s="4564"/>
      <c r="U1626" s="4564"/>
      <c r="V1626" s="4564"/>
      <c r="W1626" s="4564"/>
      <c r="X1626" s="4564"/>
      <c r="Y1626" s="4564"/>
      <c r="Z1626" s="4564"/>
      <c r="AA1626" s="4564"/>
      <c r="AB1626" s="4565"/>
      <c r="AC1626" s="1963">
        <f>(AC1624+AC1625)/2</f>
        <v>37.207792207792203</v>
      </c>
      <c r="AD1626" s="1963">
        <f>(AD1624+AD1625)/2</f>
        <v>24.014287333333332</v>
      </c>
      <c r="AE1626" s="64"/>
    </row>
    <row r="1627" spans="1:31">
      <c r="A1627" s="4563" t="s">
        <v>2533</v>
      </c>
      <c r="B1627" s="4564"/>
      <c r="C1627" s="4564"/>
      <c r="D1627" s="4564"/>
      <c r="E1627" s="4564"/>
      <c r="F1627" s="4564"/>
      <c r="G1627" s="4564"/>
      <c r="H1627" s="4564"/>
      <c r="I1627" s="4564"/>
      <c r="J1627" s="4564"/>
      <c r="K1627" s="4564"/>
      <c r="L1627" s="4564"/>
      <c r="M1627" s="4564"/>
      <c r="N1627" s="4564"/>
      <c r="O1627" s="4564"/>
      <c r="P1627" s="4564"/>
      <c r="Q1627" s="4564"/>
      <c r="R1627" s="4564"/>
      <c r="S1627" s="4564"/>
      <c r="T1627" s="4564"/>
      <c r="U1627" s="4564"/>
      <c r="V1627" s="4564"/>
      <c r="W1627" s="4564"/>
      <c r="X1627" s="4564"/>
      <c r="Y1627" s="4564"/>
      <c r="Z1627" s="4564"/>
      <c r="AA1627" s="4564"/>
      <c r="AB1627" s="4565"/>
      <c r="AC1627" s="2026" t="s">
        <v>2534</v>
      </c>
      <c r="AD1627" s="2028" t="s">
        <v>2534</v>
      </c>
      <c r="AE1627" s="64"/>
    </row>
    <row r="1628" spans="1:31" ht="127.5">
      <c r="A1628" s="1922">
        <v>6</v>
      </c>
      <c r="B1628" s="1923" t="s">
        <v>2567</v>
      </c>
      <c r="C1628" s="1925" t="s">
        <v>161</v>
      </c>
      <c r="D1628" s="1925" t="s">
        <v>2558</v>
      </c>
      <c r="E1628" s="1925" t="s">
        <v>107</v>
      </c>
      <c r="F1628" s="1925" t="s">
        <v>66</v>
      </c>
      <c r="G1628" s="1925" t="s">
        <v>448</v>
      </c>
      <c r="H1628" s="1925"/>
      <c r="I1628" s="1926" t="s">
        <v>2582</v>
      </c>
      <c r="J1628" s="1923" t="s">
        <v>2583</v>
      </c>
      <c r="K1628" s="1984">
        <f>90*4</f>
        <v>360</v>
      </c>
      <c r="L1628" s="1985">
        <f>L1630+L1632+L1633+L1631</f>
        <v>4450000000</v>
      </c>
      <c r="M1628" s="1932"/>
      <c r="N1628" s="1985">
        <f>N1630+N1632+N1633+N1631</f>
        <v>730358109</v>
      </c>
      <c r="O1628" s="1986">
        <v>90</v>
      </c>
      <c r="P1628" s="1985">
        <f>P1630+P1632+P1633+P1631</f>
        <v>428720074.5</v>
      </c>
      <c r="Q1628" s="1931"/>
      <c r="R1628" s="1965">
        <f>R1630+R1632+R1633+R1631</f>
        <v>55952400</v>
      </c>
      <c r="S1628" s="1957"/>
      <c r="T1628" s="1957"/>
      <c r="U1628" s="1957"/>
      <c r="V1628" s="1957"/>
      <c r="W1628" s="1957"/>
      <c r="X1628" s="1957"/>
      <c r="Y1628" s="2000">
        <f t="shared" ref="Y1628:Z1634" si="338">Q1628</f>
        <v>0</v>
      </c>
      <c r="Z1628" s="1933">
        <f t="shared" si="338"/>
        <v>55952400</v>
      </c>
      <c r="AA1628" s="1932">
        <f t="shared" ref="AA1628:AA1633" si="339">M1628+Q1628</f>
        <v>0</v>
      </c>
      <c r="AB1628" s="1933">
        <f t="shared" ref="AB1628:AB1634" si="340">N1628+Z1628</f>
        <v>786310509</v>
      </c>
      <c r="AC1628" s="1967">
        <v>0</v>
      </c>
      <c r="AD1628" s="1968">
        <f>AB1628/L1628*100</f>
        <v>17.669899078651685</v>
      </c>
      <c r="AE1628" s="1957"/>
    </row>
    <row r="1629" spans="1:31" ht="89.25">
      <c r="A1629" s="1113"/>
      <c r="B1629" s="1926"/>
      <c r="C1629" s="1925"/>
      <c r="D1629" s="1925"/>
      <c r="E1629" s="1925"/>
      <c r="F1629" s="1925"/>
      <c r="G1629" s="1926"/>
      <c r="H1629" s="1926"/>
      <c r="I1629" s="1926"/>
      <c r="J1629" s="1923" t="s">
        <v>2584</v>
      </c>
      <c r="K1629" s="1986">
        <v>490</v>
      </c>
      <c r="L1629" s="1957"/>
      <c r="M1629" s="1932">
        <f>70+75</f>
        <v>145</v>
      </c>
      <c r="N1629" s="1957"/>
      <c r="O1629" s="1986">
        <v>80</v>
      </c>
      <c r="P1629" s="1965"/>
      <c r="Q1629" s="1957">
        <v>20</v>
      </c>
      <c r="R1629" s="1965"/>
      <c r="S1629" s="1957"/>
      <c r="T1629" s="1957"/>
      <c r="U1629" s="1957"/>
      <c r="V1629" s="1957"/>
      <c r="W1629" s="1957"/>
      <c r="X1629" s="1957"/>
      <c r="Y1629" s="1932">
        <f t="shared" si="338"/>
        <v>20</v>
      </c>
      <c r="Z1629" s="1982">
        <f t="shared" si="338"/>
        <v>0</v>
      </c>
      <c r="AA1629" s="1932">
        <f t="shared" si="339"/>
        <v>165</v>
      </c>
      <c r="AB1629" s="1982">
        <f t="shared" si="340"/>
        <v>0</v>
      </c>
      <c r="AC1629" s="1929">
        <f>AA1629/K1629*100</f>
        <v>33.673469387755098</v>
      </c>
      <c r="AD1629" s="1968"/>
      <c r="AE1629" s="1957"/>
    </row>
    <row r="1630" spans="1:31" ht="63.75">
      <c r="A1630" s="497"/>
      <c r="B1630" s="383"/>
      <c r="C1630" s="1236" t="s">
        <v>161</v>
      </c>
      <c r="D1630" s="1236" t="s">
        <v>2558</v>
      </c>
      <c r="E1630" s="1236" t="s">
        <v>107</v>
      </c>
      <c r="F1630" s="1236" t="s">
        <v>66</v>
      </c>
      <c r="G1630" s="1236" t="s">
        <v>448</v>
      </c>
      <c r="H1630" s="1236" t="s">
        <v>95</v>
      </c>
      <c r="I1630" s="1936" t="s">
        <v>2585</v>
      </c>
      <c r="J1630" s="741" t="s">
        <v>2586</v>
      </c>
      <c r="K1630" s="1938">
        <f>22*6</f>
        <v>132</v>
      </c>
      <c r="L1630" s="1947">
        <v>1480000000</v>
      </c>
      <c r="M1630" s="1939">
        <f>22+22</f>
        <v>44</v>
      </c>
      <c r="N1630" s="1940">
        <f>172872400+136969100</f>
        <v>309841500</v>
      </c>
      <c r="O1630" s="1938">
        <v>22</v>
      </c>
      <c r="P1630" s="1971">
        <v>145519457.5</v>
      </c>
      <c r="Q1630" s="1939">
        <v>4</v>
      </c>
      <c r="R1630" s="1940">
        <v>12456300</v>
      </c>
      <c r="S1630" s="64"/>
      <c r="T1630" s="64"/>
      <c r="U1630" s="64"/>
      <c r="V1630" s="64"/>
      <c r="W1630" s="64"/>
      <c r="X1630" s="64"/>
      <c r="Y1630" s="1939">
        <f t="shared" si="338"/>
        <v>4</v>
      </c>
      <c r="Z1630" s="1942">
        <f t="shared" si="338"/>
        <v>12456300</v>
      </c>
      <c r="AA1630" s="1939">
        <f t="shared" si="339"/>
        <v>48</v>
      </c>
      <c r="AB1630" s="1944">
        <f t="shared" si="340"/>
        <v>322297800</v>
      </c>
      <c r="AC1630" s="1945">
        <f>AA1630/K1630*100</f>
        <v>36.363636363636367</v>
      </c>
      <c r="AD1630" s="1946">
        <f>AB1630/L1630*100</f>
        <v>21.776878378378377</v>
      </c>
      <c r="AE1630" s="64" t="s">
        <v>2572</v>
      </c>
    </row>
    <row r="1631" spans="1:31" ht="25.5">
      <c r="A1631" s="497"/>
      <c r="B1631" s="383"/>
      <c r="C1631" s="1236" t="s">
        <v>161</v>
      </c>
      <c r="D1631" s="1236" t="s">
        <v>2558</v>
      </c>
      <c r="E1631" s="1236" t="s">
        <v>107</v>
      </c>
      <c r="F1631" s="1236" t="s">
        <v>66</v>
      </c>
      <c r="G1631" s="1236" t="s">
        <v>448</v>
      </c>
      <c r="H1631" s="1236" t="s">
        <v>161</v>
      </c>
      <c r="I1631" s="1936" t="s">
        <v>2587</v>
      </c>
      <c r="J1631" s="741" t="s">
        <v>2588</v>
      </c>
      <c r="K1631" s="1952">
        <v>50</v>
      </c>
      <c r="L1631" s="1947">
        <v>250000000</v>
      </c>
      <c r="M1631" s="1939">
        <v>10</v>
      </c>
      <c r="N1631" s="1940">
        <v>35104079</v>
      </c>
      <c r="O1631" s="1952">
        <v>10</v>
      </c>
      <c r="P1631" s="1940">
        <v>31691413</v>
      </c>
      <c r="Q1631" s="1939">
        <v>1</v>
      </c>
      <c r="R1631" s="1940">
        <v>1242000</v>
      </c>
      <c r="S1631" s="64"/>
      <c r="T1631" s="64"/>
      <c r="U1631" s="64"/>
      <c r="V1631" s="64"/>
      <c r="W1631" s="64"/>
      <c r="X1631" s="64"/>
      <c r="Y1631" s="1939">
        <f t="shared" si="338"/>
        <v>1</v>
      </c>
      <c r="Z1631" s="1942">
        <f t="shared" si="338"/>
        <v>1242000</v>
      </c>
      <c r="AA1631" s="1939">
        <f t="shared" si="339"/>
        <v>11</v>
      </c>
      <c r="AB1631" s="1944">
        <f t="shared" si="340"/>
        <v>36346079</v>
      </c>
      <c r="AC1631" s="1945">
        <f>AA1631/K1631*100</f>
        <v>22</v>
      </c>
      <c r="AD1631" s="1946">
        <f>AB1631/L1631*100</f>
        <v>14.538431600000001</v>
      </c>
      <c r="AE1631" s="64" t="s">
        <v>2589</v>
      </c>
    </row>
    <row r="1632" spans="1:31" ht="102">
      <c r="A1632" s="497"/>
      <c r="B1632" s="383"/>
      <c r="C1632" s="1236" t="s">
        <v>161</v>
      </c>
      <c r="D1632" s="1236" t="s">
        <v>2558</v>
      </c>
      <c r="E1632" s="1236" t="s">
        <v>107</v>
      </c>
      <c r="F1632" s="1236" t="s">
        <v>66</v>
      </c>
      <c r="G1632" s="1236" t="s">
        <v>448</v>
      </c>
      <c r="H1632" s="1236" t="s">
        <v>197</v>
      </c>
      <c r="I1632" s="1936" t="s">
        <v>2590</v>
      </c>
      <c r="J1632" s="741" t="s">
        <v>2591</v>
      </c>
      <c r="K1632" s="1938">
        <v>21</v>
      </c>
      <c r="L1632" s="1947">
        <v>1740000000</v>
      </c>
      <c r="M1632" s="1939">
        <v>4</v>
      </c>
      <c r="N1632" s="1940">
        <f>90725000+97740850</f>
        <v>188465850</v>
      </c>
      <c r="O1632" s="1938">
        <v>2</v>
      </c>
      <c r="P1632" s="1971">
        <v>55629907.75</v>
      </c>
      <c r="Q1632" s="1939">
        <v>2</v>
      </c>
      <c r="R1632" s="1940">
        <v>42254100</v>
      </c>
      <c r="S1632" s="64"/>
      <c r="T1632" s="64"/>
      <c r="U1632" s="64"/>
      <c r="V1632" s="64"/>
      <c r="W1632" s="64"/>
      <c r="X1632" s="64"/>
      <c r="Y1632" s="1939">
        <f t="shared" si="338"/>
        <v>2</v>
      </c>
      <c r="Z1632" s="1942">
        <f t="shared" si="338"/>
        <v>42254100</v>
      </c>
      <c r="AA1632" s="1940">
        <f t="shared" si="339"/>
        <v>6</v>
      </c>
      <c r="AB1632" s="1944">
        <f t="shared" si="340"/>
        <v>230719950</v>
      </c>
      <c r="AC1632" s="1945">
        <f>AA1632/K1632*100</f>
        <v>28.571428571428569</v>
      </c>
      <c r="AD1632" s="1946">
        <f>AB1632/L1632*100</f>
        <v>13.259767241379311</v>
      </c>
      <c r="AE1632" s="64" t="s">
        <v>2572</v>
      </c>
    </row>
    <row r="1633" spans="1:31" ht="38.25">
      <c r="A1633" s="497"/>
      <c r="B1633" s="383"/>
      <c r="C1633" s="1236" t="s">
        <v>161</v>
      </c>
      <c r="D1633" s="1236" t="s">
        <v>2558</v>
      </c>
      <c r="E1633" s="1236" t="s">
        <v>107</v>
      </c>
      <c r="F1633" s="1236" t="s">
        <v>66</v>
      </c>
      <c r="G1633" s="1236" t="s">
        <v>448</v>
      </c>
      <c r="H1633" s="1236" t="s">
        <v>67</v>
      </c>
      <c r="I1633" s="1936" t="s">
        <v>2592</v>
      </c>
      <c r="J1633" s="741" t="s">
        <v>2593</v>
      </c>
      <c r="K1633" s="1952">
        <f>1200*4</f>
        <v>4800</v>
      </c>
      <c r="L1633" s="1947">
        <v>980000000</v>
      </c>
      <c r="M1633" s="1939"/>
      <c r="N1633" s="1940">
        <f>196946680</f>
        <v>196946680</v>
      </c>
      <c r="O1633" s="1952">
        <v>1200</v>
      </c>
      <c r="P1633" s="1971">
        <v>195879296.25</v>
      </c>
      <c r="Q1633" s="1959"/>
      <c r="R1633" s="1940">
        <v>0</v>
      </c>
      <c r="S1633" s="64"/>
      <c r="T1633" s="64"/>
      <c r="U1633" s="64"/>
      <c r="V1633" s="64"/>
      <c r="W1633" s="64"/>
      <c r="X1633" s="64"/>
      <c r="Y1633" s="1959">
        <f t="shared" si="338"/>
        <v>0</v>
      </c>
      <c r="Z1633" s="1942">
        <f t="shared" si="338"/>
        <v>0</v>
      </c>
      <c r="AA1633" s="1940">
        <f t="shared" si="339"/>
        <v>0</v>
      </c>
      <c r="AB1633" s="1944">
        <f t="shared" si="340"/>
        <v>196946680</v>
      </c>
      <c r="AC1633" s="1945">
        <f>AA1633/K1633*100</f>
        <v>0</v>
      </c>
      <c r="AD1633" s="1946">
        <f>AB1633/L1633*100</f>
        <v>20.096600000000002</v>
      </c>
      <c r="AE1633" s="754" t="s">
        <v>2594</v>
      </c>
    </row>
    <row r="1634" spans="1:31" ht="25.5">
      <c r="A1634" s="497"/>
      <c r="B1634" s="383"/>
      <c r="C1634" s="1236"/>
      <c r="D1634" s="1236"/>
      <c r="E1634" s="1236"/>
      <c r="F1634" s="1236"/>
      <c r="G1634" s="383"/>
      <c r="H1634" s="383"/>
      <c r="I1634" s="1936"/>
      <c r="J1634" s="741" t="s">
        <v>2595</v>
      </c>
      <c r="K1634" s="1938">
        <v>1</v>
      </c>
      <c r="L1634" s="1947"/>
      <c r="M1634" s="1939"/>
      <c r="N1634" s="1940"/>
      <c r="O1634" s="1938">
        <v>1</v>
      </c>
      <c r="P1634" s="1971"/>
      <c r="Q1634" s="1959"/>
      <c r="R1634" s="1940"/>
      <c r="S1634" s="64"/>
      <c r="T1634" s="64"/>
      <c r="U1634" s="64"/>
      <c r="V1634" s="64"/>
      <c r="W1634" s="64"/>
      <c r="X1634" s="64"/>
      <c r="Y1634" s="1959">
        <f t="shared" si="338"/>
        <v>0</v>
      </c>
      <c r="Z1634" s="1942">
        <f t="shared" si="338"/>
        <v>0</v>
      </c>
      <c r="AA1634" s="1946"/>
      <c r="AB1634" s="1944">
        <f t="shared" si="340"/>
        <v>0</v>
      </c>
      <c r="AC1634" s="64"/>
      <c r="AD1634" s="1946"/>
      <c r="AE1634" s="64"/>
    </row>
    <row r="1635" spans="1:31">
      <c r="A1635" s="4563" t="s">
        <v>2532</v>
      </c>
      <c r="B1635" s="4564"/>
      <c r="C1635" s="4564"/>
      <c r="D1635" s="4564"/>
      <c r="E1635" s="4564"/>
      <c r="F1635" s="4564"/>
      <c r="G1635" s="4564"/>
      <c r="H1635" s="4564"/>
      <c r="I1635" s="4564"/>
      <c r="J1635" s="4564"/>
      <c r="K1635" s="4564"/>
      <c r="L1635" s="4564"/>
      <c r="M1635" s="4564"/>
      <c r="N1635" s="4564"/>
      <c r="O1635" s="4564"/>
      <c r="P1635" s="4564"/>
      <c r="Q1635" s="4564"/>
      <c r="R1635" s="4564"/>
      <c r="S1635" s="4564"/>
      <c r="T1635" s="4564"/>
      <c r="U1635" s="4564"/>
      <c r="V1635" s="4564"/>
      <c r="W1635" s="4564"/>
      <c r="X1635" s="4564"/>
      <c r="Y1635" s="4564"/>
      <c r="Z1635" s="4564"/>
      <c r="AA1635" s="4564"/>
      <c r="AB1635" s="4565"/>
      <c r="AC1635" s="1963">
        <f>SUM(AC1630:AC1634)/5</f>
        <v>17.387012987012987</v>
      </c>
      <c r="AD1635" s="1963">
        <f>SUM(AD1630:AD1634)/5</f>
        <v>13.934335443951539</v>
      </c>
      <c r="AE1635" s="64"/>
    </row>
    <row r="1636" spans="1:31">
      <c r="A1636" s="4563" t="s">
        <v>2533</v>
      </c>
      <c r="B1636" s="4564"/>
      <c r="C1636" s="4564"/>
      <c r="D1636" s="4564"/>
      <c r="E1636" s="4564"/>
      <c r="F1636" s="4564"/>
      <c r="G1636" s="4564"/>
      <c r="H1636" s="4564"/>
      <c r="I1636" s="4564"/>
      <c r="J1636" s="4564"/>
      <c r="K1636" s="4564"/>
      <c r="L1636" s="4564"/>
      <c r="M1636" s="4564"/>
      <c r="N1636" s="4564"/>
      <c r="O1636" s="4564"/>
      <c r="P1636" s="4564"/>
      <c r="Q1636" s="4564"/>
      <c r="R1636" s="4564"/>
      <c r="S1636" s="4564"/>
      <c r="T1636" s="4564"/>
      <c r="U1636" s="4564"/>
      <c r="V1636" s="4564"/>
      <c r="W1636" s="4564"/>
      <c r="X1636" s="4564"/>
      <c r="Y1636" s="4564"/>
      <c r="Z1636" s="4564"/>
      <c r="AA1636" s="4564"/>
      <c r="AB1636" s="4565"/>
      <c r="AC1636" s="1883" t="s">
        <v>2534</v>
      </c>
      <c r="AD1636" s="2030" t="s">
        <v>2534</v>
      </c>
      <c r="AE1636" s="64"/>
    </row>
    <row r="1637" spans="1:31" ht="76.5">
      <c r="A1637" s="1922">
        <v>7</v>
      </c>
      <c r="B1637" s="1923" t="s">
        <v>2567</v>
      </c>
      <c r="C1637" s="1925" t="s">
        <v>161</v>
      </c>
      <c r="D1637" s="1925" t="s">
        <v>2558</v>
      </c>
      <c r="E1637" s="1925" t="s">
        <v>107</v>
      </c>
      <c r="F1637" s="1925" t="s">
        <v>66</v>
      </c>
      <c r="G1637" s="1925" t="s">
        <v>357</v>
      </c>
      <c r="H1637" s="1926"/>
      <c r="I1637" s="1926" t="s">
        <v>2596</v>
      </c>
      <c r="J1637" s="1987" t="s">
        <v>2597</v>
      </c>
      <c r="K1637" s="1988">
        <v>28</v>
      </c>
      <c r="L1637" s="1953">
        <f>L1638</f>
        <v>1263000000</v>
      </c>
      <c r="M1637" s="1932">
        <v>7</v>
      </c>
      <c r="N1637" s="1933">
        <f>N1638</f>
        <v>195938400</v>
      </c>
      <c r="O1637" s="1980">
        <v>4</v>
      </c>
      <c r="P1637" s="1931">
        <f>P1638</f>
        <v>83600077.5</v>
      </c>
      <c r="Q1637" s="1989">
        <v>1</v>
      </c>
      <c r="R1637" s="1955">
        <f>R1638</f>
        <v>2979000</v>
      </c>
      <c r="S1637" s="1957"/>
      <c r="T1637" s="1957"/>
      <c r="U1637" s="1957"/>
      <c r="V1637" s="1957"/>
      <c r="W1637" s="1957"/>
      <c r="X1637" s="1957"/>
      <c r="Y1637" s="1989">
        <f>Q1637</f>
        <v>1</v>
      </c>
      <c r="Z1637" s="1982">
        <f>R1637</f>
        <v>2979000</v>
      </c>
      <c r="AA1637" s="1989">
        <f>M1637+Q1637</f>
        <v>8</v>
      </c>
      <c r="AB1637" s="1982">
        <f>N1637+Z1637</f>
        <v>198917400</v>
      </c>
      <c r="AC1637" s="1967">
        <f>AA1637/K1637*100</f>
        <v>28.571428571428569</v>
      </c>
      <c r="AD1637" s="1968">
        <f>AB1637/L1637*100</f>
        <v>15.749596199524941</v>
      </c>
      <c r="AE1637" s="1957"/>
    </row>
    <row r="1638" spans="1:31" ht="51">
      <c r="A1638" s="497"/>
      <c r="B1638" s="383"/>
      <c r="C1638" s="1236" t="s">
        <v>161</v>
      </c>
      <c r="D1638" s="1236" t="s">
        <v>2558</v>
      </c>
      <c r="E1638" s="1236" t="s">
        <v>107</v>
      </c>
      <c r="F1638" s="1236" t="s">
        <v>66</v>
      </c>
      <c r="G1638" s="1236" t="s">
        <v>357</v>
      </c>
      <c r="H1638" s="1236" t="s">
        <v>65</v>
      </c>
      <c r="I1638" s="1936" t="s">
        <v>2598</v>
      </c>
      <c r="J1638" s="741" t="s">
        <v>2599</v>
      </c>
      <c r="K1638" s="1938">
        <v>24</v>
      </c>
      <c r="L1638" s="1947">
        <v>1263000000</v>
      </c>
      <c r="M1638" s="1983">
        <v>8</v>
      </c>
      <c r="N1638" s="1940">
        <f>76943350+118995050</f>
        <v>195938400</v>
      </c>
      <c r="O1638" s="1938">
        <v>4</v>
      </c>
      <c r="P1638" s="1971">
        <v>83600077.5</v>
      </c>
      <c r="Q1638" s="1939">
        <v>1</v>
      </c>
      <c r="R1638" s="1940">
        <v>2979000</v>
      </c>
      <c r="S1638" s="64"/>
      <c r="T1638" s="64"/>
      <c r="U1638" s="64"/>
      <c r="V1638" s="64"/>
      <c r="W1638" s="64"/>
      <c r="X1638" s="64"/>
      <c r="Y1638" s="1939">
        <f>Q1638</f>
        <v>1</v>
      </c>
      <c r="Z1638" s="1942">
        <f>R1638</f>
        <v>2979000</v>
      </c>
      <c r="AA1638" s="1940">
        <f>M1638+Q1638</f>
        <v>9</v>
      </c>
      <c r="AB1638" s="1944">
        <f>N1638+Z1638</f>
        <v>198917400</v>
      </c>
      <c r="AC1638" s="1945">
        <f>AA1638/K1638*100</f>
        <v>37.5</v>
      </c>
      <c r="AD1638" s="1946">
        <f>AB1638/L1638*100</f>
        <v>15.749596199524941</v>
      </c>
      <c r="AE1638" s="64" t="s">
        <v>2572</v>
      </c>
    </row>
    <row r="1639" spans="1:31">
      <c r="A1639" s="4563" t="s">
        <v>2532</v>
      </c>
      <c r="B1639" s="4564"/>
      <c r="C1639" s="4564"/>
      <c r="D1639" s="4564"/>
      <c r="E1639" s="4564"/>
      <c r="F1639" s="4564"/>
      <c r="G1639" s="4564"/>
      <c r="H1639" s="4564"/>
      <c r="I1639" s="4564"/>
      <c r="J1639" s="4564"/>
      <c r="K1639" s="4564"/>
      <c r="L1639" s="4564"/>
      <c r="M1639" s="4564"/>
      <c r="N1639" s="4564"/>
      <c r="O1639" s="4564"/>
      <c r="P1639" s="4564"/>
      <c r="Q1639" s="4564"/>
      <c r="R1639" s="4564"/>
      <c r="S1639" s="4564"/>
      <c r="T1639" s="4564"/>
      <c r="U1639" s="4564"/>
      <c r="V1639" s="4564"/>
      <c r="W1639" s="4564"/>
      <c r="X1639" s="4564"/>
      <c r="Y1639" s="4564"/>
      <c r="Z1639" s="4564"/>
      <c r="AA1639" s="4564"/>
      <c r="AB1639" s="4565"/>
      <c r="AC1639" s="1963">
        <f>AC1638</f>
        <v>37.5</v>
      </c>
      <c r="AD1639" s="2031">
        <f>AD1638</f>
        <v>15.749596199524941</v>
      </c>
      <c r="AE1639" s="64"/>
    </row>
    <row r="1640" spans="1:31">
      <c r="A1640" s="4563" t="s">
        <v>2533</v>
      </c>
      <c r="B1640" s="4564"/>
      <c r="C1640" s="4564"/>
      <c r="D1640" s="4564"/>
      <c r="E1640" s="4564"/>
      <c r="F1640" s="4564"/>
      <c r="G1640" s="4564"/>
      <c r="H1640" s="4564"/>
      <c r="I1640" s="4564"/>
      <c r="J1640" s="4564"/>
      <c r="K1640" s="4564"/>
      <c r="L1640" s="4564"/>
      <c r="M1640" s="4564"/>
      <c r="N1640" s="4564"/>
      <c r="O1640" s="4564"/>
      <c r="P1640" s="4564"/>
      <c r="Q1640" s="4564"/>
      <c r="R1640" s="4564"/>
      <c r="S1640" s="4564"/>
      <c r="T1640" s="4564"/>
      <c r="U1640" s="4564"/>
      <c r="V1640" s="4564"/>
      <c r="W1640" s="4564"/>
      <c r="X1640" s="4564"/>
      <c r="Y1640" s="4564"/>
      <c r="Z1640" s="4564"/>
      <c r="AA1640" s="4564"/>
      <c r="AB1640" s="4565"/>
      <c r="AC1640" s="1883" t="s">
        <v>2534</v>
      </c>
      <c r="AD1640" s="2030" t="s">
        <v>2534</v>
      </c>
      <c r="AE1640" s="64"/>
    </row>
    <row r="1641" spans="1:31" s="63" customFormat="1" ht="102">
      <c r="A1641" s="495">
        <v>8</v>
      </c>
      <c r="B1641" s="344" t="s">
        <v>2600</v>
      </c>
      <c r="C1641" s="1236" t="s">
        <v>161</v>
      </c>
      <c r="D1641" s="1236" t="s">
        <v>2558</v>
      </c>
      <c r="E1641" s="1236" t="s">
        <v>107</v>
      </c>
      <c r="F1641" s="1236" t="s">
        <v>66</v>
      </c>
      <c r="G1641" s="1236" t="s">
        <v>376</v>
      </c>
      <c r="H1641" s="383"/>
      <c r="I1641" s="383" t="s">
        <v>2601</v>
      </c>
      <c r="J1641" s="618" t="s">
        <v>2602</v>
      </c>
      <c r="K1641" s="2168">
        <v>495</v>
      </c>
      <c r="L1641" s="2128">
        <f>L1642</f>
        <v>4358000000</v>
      </c>
      <c r="M1641" s="633">
        <f>75+70</f>
        <v>145</v>
      </c>
      <c r="N1641" s="2125">
        <f>N1642</f>
        <v>723739200</v>
      </c>
      <c r="O1641" s="2131">
        <v>80</v>
      </c>
      <c r="P1641" s="2123">
        <f>P1642</f>
        <v>432703267.25</v>
      </c>
      <c r="Q1641" s="633">
        <v>20</v>
      </c>
      <c r="R1641" s="2121">
        <f>R1642</f>
        <v>9488600</v>
      </c>
      <c r="S1641" s="616"/>
      <c r="T1641" s="616"/>
      <c r="U1641" s="616"/>
      <c r="V1641" s="616"/>
      <c r="W1641" s="616"/>
      <c r="X1641" s="616"/>
      <c r="Y1641" s="633">
        <f>Q1641</f>
        <v>20</v>
      </c>
      <c r="Z1641" s="1944">
        <f>R1641</f>
        <v>9488600</v>
      </c>
      <c r="AA1641" s="2129">
        <f>M1641+Q1641</f>
        <v>165</v>
      </c>
      <c r="AB1641" s="1944">
        <f>N1641+Z1641</f>
        <v>733227800</v>
      </c>
      <c r="AC1641" s="2126">
        <f>AA1641/K1641*100</f>
        <v>33.333333333333329</v>
      </c>
      <c r="AD1641" s="389">
        <f>AB1641/L1641*100</f>
        <v>16.824869206057823</v>
      </c>
      <c r="AE1641" s="616"/>
    </row>
    <row r="1642" spans="1:31" s="63" customFormat="1" ht="51">
      <c r="A1642" s="497"/>
      <c r="B1642" s="383"/>
      <c r="C1642" s="1236" t="s">
        <v>161</v>
      </c>
      <c r="D1642" s="1236" t="s">
        <v>2558</v>
      </c>
      <c r="E1642" s="1236" t="s">
        <v>107</v>
      </c>
      <c r="F1642" s="1236" t="s">
        <v>66</v>
      </c>
      <c r="G1642" s="1236" t="s">
        <v>376</v>
      </c>
      <c r="H1642" s="1236" t="s">
        <v>202</v>
      </c>
      <c r="I1642" s="384" t="s">
        <v>2603</v>
      </c>
      <c r="J1642" s="741" t="s">
        <v>2604</v>
      </c>
      <c r="K1642" s="2148">
        <v>120</v>
      </c>
      <c r="L1642" s="2144">
        <v>4358000000</v>
      </c>
      <c r="M1642" s="2165"/>
      <c r="N1642" s="2047">
        <f>286763900+436975300</f>
        <v>723739200</v>
      </c>
      <c r="O1642" s="2148">
        <v>30</v>
      </c>
      <c r="P1642" s="1941">
        <v>432703267.25</v>
      </c>
      <c r="Q1642" s="385">
        <v>15</v>
      </c>
      <c r="R1642" s="2047">
        <v>9488600</v>
      </c>
      <c r="S1642" s="385"/>
      <c r="T1642" s="385"/>
      <c r="U1642" s="385"/>
      <c r="V1642" s="385"/>
      <c r="W1642" s="385"/>
      <c r="X1642" s="385"/>
      <c r="Y1642" s="2129">
        <f>Q1642</f>
        <v>15</v>
      </c>
      <c r="Z1642" s="1944">
        <f>R1642</f>
        <v>9488600</v>
      </c>
      <c r="AA1642" s="2129">
        <f>M1642+Q1642</f>
        <v>15</v>
      </c>
      <c r="AB1642" s="1944">
        <f>N1642+Z1642</f>
        <v>733227800</v>
      </c>
      <c r="AC1642" s="2126">
        <f>AA1642/K1642*100</f>
        <v>12.5</v>
      </c>
      <c r="AD1642" s="389">
        <f>AB1642/L1642*100</f>
        <v>16.824869206057823</v>
      </c>
      <c r="AE1642" s="385" t="s">
        <v>2572</v>
      </c>
    </row>
    <row r="1643" spans="1:31" s="63" customFormat="1">
      <c r="A1643" s="4576" t="s">
        <v>2532</v>
      </c>
      <c r="B1643" s="4577"/>
      <c r="C1643" s="4577"/>
      <c r="D1643" s="4577"/>
      <c r="E1643" s="4577"/>
      <c r="F1643" s="4577"/>
      <c r="G1643" s="4577"/>
      <c r="H1643" s="4577"/>
      <c r="I1643" s="4577"/>
      <c r="J1643" s="4577"/>
      <c r="K1643" s="4577"/>
      <c r="L1643" s="4577"/>
      <c r="M1643" s="4577"/>
      <c r="N1643" s="4577"/>
      <c r="O1643" s="4577"/>
      <c r="P1643" s="4577"/>
      <c r="Q1643" s="4577"/>
      <c r="R1643" s="4577"/>
      <c r="S1643" s="4577"/>
      <c r="T1643" s="4577"/>
      <c r="U1643" s="4577"/>
      <c r="V1643" s="4577"/>
      <c r="W1643" s="4577"/>
      <c r="X1643" s="4577"/>
      <c r="Y1643" s="4577"/>
      <c r="Z1643" s="4577"/>
      <c r="AA1643" s="4577"/>
      <c r="AB1643" s="4578"/>
      <c r="AC1643" s="2169">
        <f>AC1642</f>
        <v>12.5</v>
      </c>
      <c r="AD1643" s="2169">
        <f>AD1642</f>
        <v>16.824869206057823</v>
      </c>
      <c r="AE1643" s="385"/>
    </row>
    <row r="1644" spans="1:31" s="63" customFormat="1">
      <c r="A1644" s="4576" t="s">
        <v>2533</v>
      </c>
      <c r="B1644" s="4577"/>
      <c r="C1644" s="4577"/>
      <c r="D1644" s="4577"/>
      <c r="E1644" s="4577"/>
      <c r="F1644" s="4577"/>
      <c r="G1644" s="4577"/>
      <c r="H1644" s="4577"/>
      <c r="I1644" s="4577"/>
      <c r="J1644" s="4577"/>
      <c r="K1644" s="4577"/>
      <c r="L1644" s="4577"/>
      <c r="M1644" s="4577"/>
      <c r="N1644" s="4577"/>
      <c r="O1644" s="4577"/>
      <c r="P1644" s="4577"/>
      <c r="Q1644" s="4577"/>
      <c r="R1644" s="4577"/>
      <c r="S1644" s="4577"/>
      <c r="T1644" s="4577"/>
      <c r="U1644" s="4577"/>
      <c r="V1644" s="4577"/>
      <c r="W1644" s="4577"/>
      <c r="X1644" s="4577"/>
      <c r="Y1644" s="4577"/>
      <c r="Z1644" s="4577"/>
      <c r="AA1644" s="4577"/>
      <c r="AB1644" s="4578"/>
      <c r="AC1644" s="2145" t="s">
        <v>2534</v>
      </c>
      <c r="AD1644" s="2145" t="s">
        <v>2534</v>
      </c>
      <c r="AE1644" s="385"/>
    </row>
    <row r="1645" spans="1:31" s="63" customFormat="1" ht="76.5">
      <c r="A1645" s="495">
        <v>9</v>
      </c>
      <c r="B1645" s="344" t="s">
        <v>2567</v>
      </c>
      <c r="C1645" s="1236" t="s">
        <v>161</v>
      </c>
      <c r="D1645" s="1236" t="s">
        <v>2558</v>
      </c>
      <c r="E1645" s="1236" t="s">
        <v>107</v>
      </c>
      <c r="F1645" s="1236" t="s">
        <v>66</v>
      </c>
      <c r="G1645" s="1236" t="s">
        <v>67</v>
      </c>
      <c r="H1645" s="383"/>
      <c r="I1645" s="2134" t="s">
        <v>2605</v>
      </c>
      <c r="J1645" s="344" t="s">
        <v>2606</v>
      </c>
      <c r="K1645" s="2170">
        <v>510</v>
      </c>
      <c r="L1645" s="2120">
        <f>L1646</f>
        <v>400000000</v>
      </c>
      <c r="M1645" s="633">
        <f>80+80</f>
        <v>160</v>
      </c>
      <c r="N1645" s="2125">
        <f>N1646+N1647</f>
        <v>156832800</v>
      </c>
      <c r="O1645" s="2170">
        <v>80</v>
      </c>
      <c r="P1645" s="2135">
        <f>P1646+P1647</f>
        <v>81697347.5</v>
      </c>
      <c r="Q1645" s="633">
        <v>20</v>
      </c>
      <c r="R1645" s="2125">
        <f>R1646+R1647</f>
        <v>8376500</v>
      </c>
      <c r="S1645" s="616"/>
      <c r="T1645" s="616"/>
      <c r="U1645" s="616"/>
      <c r="V1645" s="616"/>
      <c r="W1645" s="616"/>
      <c r="X1645" s="616"/>
      <c r="Y1645" s="633">
        <f t="shared" ref="Y1645:Z1647" si="341">Q1645</f>
        <v>20</v>
      </c>
      <c r="Z1645" s="1944">
        <f t="shared" si="341"/>
        <v>8376500</v>
      </c>
      <c r="AA1645" s="2129">
        <f>M1645+Q1645</f>
        <v>180</v>
      </c>
      <c r="AB1645" s="1944">
        <f>N1645+Z1645</f>
        <v>165209300</v>
      </c>
      <c r="AC1645" s="2126">
        <f t="shared" ref="AC1645:AD1647" si="342">AA1645/K1645*100</f>
        <v>35.294117647058826</v>
      </c>
      <c r="AD1645" s="389">
        <f t="shared" si="342"/>
        <v>41.302325000000003</v>
      </c>
      <c r="AE1645" s="616"/>
    </row>
    <row r="1646" spans="1:31" s="63" customFormat="1" ht="51">
      <c r="A1646" s="497"/>
      <c r="B1646" s="383"/>
      <c r="C1646" s="1236" t="s">
        <v>161</v>
      </c>
      <c r="D1646" s="1236" t="s">
        <v>2558</v>
      </c>
      <c r="E1646" s="1236" t="s">
        <v>107</v>
      </c>
      <c r="F1646" s="1236" t="s">
        <v>66</v>
      </c>
      <c r="G1646" s="1236" t="s">
        <v>67</v>
      </c>
      <c r="H1646" s="1236" t="s">
        <v>202</v>
      </c>
      <c r="I1646" s="1936" t="s">
        <v>2607</v>
      </c>
      <c r="J1646" s="741" t="s">
        <v>2608</v>
      </c>
      <c r="K1646" s="2148">
        <v>193</v>
      </c>
      <c r="L1646" s="2144">
        <v>400000000</v>
      </c>
      <c r="M1646" s="2165">
        <v>29</v>
      </c>
      <c r="N1646" s="2047">
        <f>28529800+27814100</f>
        <v>56343900</v>
      </c>
      <c r="O1646" s="2148">
        <v>29</v>
      </c>
      <c r="P1646" s="1941">
        <v>58791992.25</v>
      </c>
      <c r="Q1646" s="2129">
        <v>5</v>
      </c>
      <c r="R1646" s="2047">
        <v>5686900</v>
      </c>
      <c r="S1646" s="385"/>
      <c r="T1646" s="385"/>
      <c r="U1646" s="385"/>
      <c r="V1646" s="385"/>
      <c r="W1646" s="385"/>
      <c r="X1646" s="385"/>
      <c r="Y1646" s="2129">
        <f t="shared" si="341"/>
        <v>5</v>
      </c>
      <c r="Z1646" s="1944">
        <f t="shared" si="341"/>
        <v>5686900</v>
      </c>
      <c r="AA1646" s="2129">
        <f>M1646+Q1646</f>
        <v>34</v>
      </c>
      <c r="AB1646" s="1944">
        <f>N1646+Z1646</f>
        <v>62030800</v>
      </c>
      <c r="AC1646" s="2126">
        <f t="shared" si="342"/>
        <v>17.616580310880828</v>
      </c>
      <c r="AD1646" s="389">
        <f t="shared" si="342"/>
        <v>15.5077</v>
      </c>
      <c r="AE1646" s="385" t="s">
        <v>2572</v>
      </c>
    </row>
    <row r="1647" spans="1:31" s="63" customFormat="1" ht="51">
      <c r="A1647" s="497"/>
      <c r="B1647" s="383"/>
      <c r="C1647" s="1236" t="s">
        <v>161</v>
      </c>
      <c r="D1647" s="1236" t="s">
        <v>2558</v>
      </c>
      <c r="E1647" s="1236" t="s">
        <v>107</v>
      </c>
      <c r="F1647" s="1236" t="s">
        <v>66</v>
      </c>
      <c r="G1647" s="1236" t="s">
        <v>67</v>
      </c>
      <c r="H1647" s="1236" t="s">
        <v>417</v>
      </c>
      <c r="I1647" s="1936" t="s">
        <v>2609</v>
      </c>
      <c r="J1647" s="1990" t="s">
        <v>2610</v>
      </c>
      <c r="K1647" s="385">
        <v>33</v>
      </c>
      <c r="L1647" s="2155">
        <v>295000000</v>
      </c>
      <c r="M1647" s="2165">
        <v>22</v>
      </c>
      <c r="N1647" s="2047">
        <f>45539800+54949100</f>
        <v>100488900</v>
      </c>
      <c r="O1647" s="2148">
        <v>11</v>
      </c>
      <c r="P1647" s="1941">
        <v>22905355.25</v>
      </c>
      <c r="Q1647" s="2129">
        <v>11</v>
      </c>
      <c r="R1647" s="2047">
        <v>2689600</v>
      </c>
      <c r="S1647" s="385"/>
      <c r="T1647" s="385"/>
      <c r="U1647" s="385"/>
      <c r="V1647" s="385"/>
      <c r="W1647" s="385"/>
      <c r="X1647" s="385"/>
      <c r="Y1647" s="2129">
        <f t="shared" si="341"/>
        <v>11</v>
      </c>
      <c r="Z1647" s="1944">
        <f t="shared" si="341"/>
        <v>2689600</v>
      </c>
      <c r="AA1647" s="2129">
        <f>M1647+Q1647</f>
        <v>33</v>
      </c>
      <c r="AB1647" s="1944">
        <f>N1647+Z1647</f>
        <v>103178500</v>
      </c>
      <c r="AC1647" s="2126">
        <f t="shared" si="342"/>
        <v>100</v>
      </c>
      <c r="AD1647" s="389">
        <f t="shared" si="342"/>
        <v>34.975762711864405</v>
      </c>
      <c r="AE1647" s="385" t="s">
        <v>2572</v>
      </c>
    </row>
    <row r="1648" spans="1:31" s="63" customFormat="1">
      <c r="A1648" s="4576" t="s">
        <v>2532</v>
      </c>
      <c r="B1648" s="4577"/>
      <c r="C1648" s="4577"/>
      <c r="D1648" s="4577"/>
      <c r="E1648" s="4577"/>
      <c r="F1648" s="4577"/>
      <c r="G1648" s="4577"/>
      <c r="H1648" s="4577"/>
      <c r="I1648" s="4577"/>
      <c r="J1648" s="4577"/>
      <c r="K1648" s="4577"/>
      <c r="L1648" s="4577"/>
      <c r="M1648" s="4577"/>
      <c r="N1648" s="4577"/>
      <c r="O1648" s="4577"/>
      <c r="P1648" s="4577"/>
      <c r="Q1648" s="4577"/>
      <c r="R1648" s="4577"/>
      <c r="S1648" s="4577"/>
      <c r="T1648" s="4577"/>
      <c r="U1648" s="4577"/>
      <c r="V1648" s="4577"/>
      <c r="W1648" s="4577"/>
      <c r="X1648" s="4577"/>
      <c r="Y1648" s="4577"/>
      <c r="Z1648" s="4577"/>
      <c r="AA1648" s="4577"/>
      <c r="AB1648" s="4578"/>
      <c r="AC1648" s="2171">
        <f>(AC1647+AC1646)/2</f>
        <v>58.808290155440417</v>
      </c>
      <c r="AD1648" s="2171">
        <f>(AD1647+AD1646)/2</f>
        <v>25.241731355932203</v>
      </c>
      <c r="AE1648" s="385"/>
    </row>
    <row r="1649" spans="1:31" s="63" customFormat="1">
      <c r="A1649" s="4576" t="s">
        <v>2533</v>
      </c>
      <c r="B1649" s="4577"/>
      <c r="C1649" s="4577"/>
      <c r="D1649" s="4577"/>
      <c r="E1649" s="4577"/>
      <c r="F1649" s="4577"/>
      <c r="G1649" s="4577"/>
      <c r="H1649" s="4577"/>
      <c r="I1649" s="4577"/>
      <c r="J1649" s="4577"/>
      <c r="K1649" s="4577"/>
      <c r="L1649" s="4577"/>
      <c r="M1649" s="4577"/>
      <c r="N1649" s="4577"/>
      <c r="O1649" s="4577"/>
      <c r="P1649" s="4577"/>
      <c r="Q1649" s="4577"/>
      <c r="R1649" s="4577"/>
      <c r="S1649" s="4577"/>
      <c r="T1649" s="4577"/>
      <c r="U1649" s="4577"/>
      <c r="V1649" s="4577"/>
      <c r="W1649" s="4577"/>
      <c r="X1649" s="4577"/>
      <c r="Y1649" s="4577"/>
      <c r="Z1649" s="4577"/>
      <c r="AA1649" s="4577"/>
      <c r="AB1649" s="4578"/>
      <c r="AC1649" s="2145" t="s">
        <v>2566</v>
      </c>
      <c r="AD1649" s="697" t="s">
        <v>2534</v>
      </c>
      <c r="AE1649" s="385"/>
    </row>
    <row r="1650" spans="1:31" s="63" customFormat="1" ht="114.75">
      <c r="A1650" s="1907">
        <v>10</v>
      </c>
      <c r="B1650" s="344" t="s">
        <v>2611</v>
      </c>
      <c r="C1650" s="2172" t="s">
        <v>197</v>
      </c>
      <c r="D1650" s="2172" t="s">
        <v>2558</v>
      </c>
      <c r="E1650" s="2172" t="s">
        <v>107</v>
      </c>
      <c r="F1650" s="2172" t="s">
        <v>66</v>
      </c>
      <c r="G1650" s="2172" t="s">
        <v>166</v>
      </c>
      <c r="H1650" s="57"/>
      <c r="I1650" s="365" t="s">
        <v>2612</v>
      </c>
      <c r="J1650" s="2173" t="s">
        <v>2613</v>
      </c>
      <c r="K1650" s="2174">
        <v>300</v>
      </c>
      <c r="L1650" s="2175">
        <f>L1651+L1652</f>
        <v>308000000</v>
      </c>
      <c r="M1650" s="2176">
        <v>200</v>
      </c>
      <c r="N1650" s="2177">
        <f>N1651+N1652</f>
        <v>144161700</v>
      </c>
      <c r="O1650" s="2178">
        <v>100</v>
      </c>
      <c r="P1650" s="2177">
        <f>P1651+P1652</f>
        <v>109422350</v>
      </c>
      <c r="Q1650" s="2176">
        <v>24</v>
      </c>
      <c r="R1650" s="2179">
        <f>R1651+R1652</f>
        <v>24670000</v>
      </c>
      <c r="S1650" s="630"/>
      <c r="T1650" s="630"/>
      <c r="U1650" s="630"/>
      <c r="V1650" s="630"/>
      <c r="W1650" s="630"/>
      <c r="X1650" s="630"/>
      <c r="Y1650" s="2180">
        <f t="shared" ref="Y1650:Z1652" si="343">Q1650</f>
        <v>24</v>
      </c>
      <c r="Z1650" s="2181">
        <f t="shared" si="343"/>
        <v>24670000</v>
      </c>
      <c r="AA1650" s="2129">
        <f>M1650+Q1650</f>
        <v>224</v>
      </c>
      <c r="AB1650" s="2181">
        <f>N1650+Z1650</f>
        <v>168831700</v>
      </c>
      <c r="AC1650" s="2126">
        <f t="shared" ref="AC1650:AD1652" si="344">AA1650/K1650*100</f>
        <v>74.666666666666671</v>
      </c>
      <c r="AD1650" s="389">
        <f t="shared" si="344"/>
        <v>54.815487012987006</v>
      </c>
      <c r="AE1650" s="630"/>
    </row>
    <row r="1651" spans="1:31" s="63" customFormat="1" ht="51">
      <c r="A1651" s="497"/>
      <c r="B1651" s="383"/>
      <c r="C1651" s="1236" t="s">
        <v>197</v>
      </c>
      <c r="D1651" s="1236" t="s">
        <v>2558</v>
      </c>
      <c r="E1651" s="1236" t="s">
        <v>107</v>
      </c>
      <c r="F1651" s="1236" t="s">
        <v>66</v>
      </c>
      <c r="G1651" s="1236" t="s">
        <v>166</v>
      </c>
      <c r="H1651" s="1236" t="s">
        <v>360</v>
      </c>
      <c r="I1651" s="741" t="s">
        <v>2614</v>
      </c>
      <c r="J1651" s="1485" t="s">
        <v>2615</v>
      </c>
      <c r="K1651" s="2182">
        <f>95+95</f>
        <v>190</v>
      </c>
      <c r="L1651" s="2155">
        <v>258000000</v>
      </c>
      <c r="M1651" s="388">
        <v>95</v>
      </c>
      <c r="N1651" s="2047">
        <f>64726700+79435000</f>
        <v>144161700</v>
      </c>
      <c r="O1651" s="2183">
        <v>95</v>
      </c>
      <c r="P1651" s="1941">
        <v>60143100</v>
      </c>
      <c r="Q1651" s="2129">
        <v>20</v>
      </c>
      <c r="R1651" s="2047">
        <v>8553500</v>
      </c>
      <c r="S1651" s="385"/>
      <c r="T1651" s="385"/>
      <c r="U1651" s="385"/>
      <c r="V1651" s="385"/>
      <c r="W1651" s="385"/>
      <c r="X1651" s="385"/>
      <c r="Y1651" s="2129">
        <f t="shared" si="343"/>
        <v>20</v>
      </c>
      <c r="Z1651" s="1944">
        <f t="shared" si="343"/>
        <v>8553500</v>
      </c>
      <c r="AA1651" s="2129">
        <f>M1651+Q1651</f>
        <v>115</v>
      </c>
      <c r="AB1651" s="1944">
        <f>N1651+Z1651</f>
        <v>152715200</v>
      </c>
      <c r="AC1651" s="2126">
        <f t="shared" si="344"/>
        <v>60.526315789473685</v>
      </c>
      <c r="AD1651" s="389">
        <f t="shared" si="344"/>
        <v>59.191937984496121</v>
      </c>
      <c r="AE1651" s="385" t="s">
        <v>2616</v>
      </c>
    </row>
    <row r="1652" spans="1:31" s="63" customFormat="1" ht="38.25">
      <c r="A1652" s="497"/>
      <c r="B1652" s="383"/>
      <c r="C1652" s="1236" t="s">
        <v>197</v>
      </c>
      <c r="D1652" s="1236" t="s">
        <v>2558</v>
      </c>
      <c r="E1652" s="1236" t="s">
        <v>107</v>
      </c>
      <c r="F1652" s="1236" t="s">
        <v>66</v>
      </c>
      <c r="G1652" s="1236" t="s">
        <v>166</v>
      </c>
      <c r="H1652" s="1236" t="s">
        <v>459</v>
      </c>
      <c r="I1652" s="741" t="s">
        <v>2617</v>
      </c>
      <c r="J1652" s="1485" t="s">
        <v>2618</v>
      </c>
      <c r="K1652" s="2184">
        <v>60</v>
      </c>
      <c r="L1652" s="2155">
        <v>50000000</v>
      </c>
      <c r="M1652" s="2129"/>
      <c r="N1652" s="2047"/>
      <c r="O1652" s="2185">
        <v>60</v>
      </c>
      <c r="P1652" s="1941">
        <v>49279250</v>
      </c>
      <c r="Q1652" s="2129">
        <v>15</v>
      </c>
      <c r="R1652" s="2047">
        <v>16116500</v>
      </c>
      <c r="S1652" s="385"/>
      <c r="T1652" s="385"/>
      <c r="U1652" s="385"/>
      <c r="V1652" s="385"/>
      <c r="W1652" s="385"/>
      <c r="X1652" s="385"/>
      <c r="Y1652" s="2129">
        <f t="shared" si="343"/>
        <v>15</v>
      </c>
      <c r="Z1652" s="1944">
        <f t="shared" si="343"/>
        <v>16116500</v>
      </c>
      <c r="AA1652" s="2129">
        <f>M1652+Q1652</f>
        <v>15</v>
      </c>
      <c r="AB1652" s="1944">
        <f>N1652+Z1652</f>
        <v>16116500</v>
      </c>
      <c r="AC1652" s="2126">
        <f t="shared" si="344"/>
        <v>25</v>
      </c>
      <c r="AD1652" s="389">
        <f t="shared" si="344"/>
        <v>32.233000000000004</v>
      </c>
      <c r="AE1652" s="385" t="s">
        <v>2616</v>
      </c>
    </row>
    <row r="1653" spans="1:31" s="63" customFormat="1">
      <c r="A1653" s="4576" t="s">
        <v>2532</v>
      </c>
      <c r="B1653" s="4577"/>
      <c r="C1653" s="4577"/>
      <c r="D1653" s="4577"/>
      <c r="E1653" s="4577"/>
      <c r="F1653" s="4577"/>
      <c r="G1653" s="4577"/>
      <c r="H1653" s="4577"/>
      <c r="I1653" s="4577"/>
      <c r="J1653" s="4577"/>
      <c r="K1653" s="4577"/>
      <c r="L1653" s="4577"/>
      <c r="M1653" s="4577"/>
      <c r="N1653" s="4577"/>
      <c r="O1653" s="4577"/>
      <c r="P1653" s="4577"/>
      <c r="Q1653" s="4577"/>
      <c r="R1653" s="4577"/>
      <c r="S1653" s="4577"/>
      <c r="T1653" s="4577"/>
      <c r="U1653" s="4577"/>
      <c r="V1653" s="4577"/>
      <c r="W1653" s="4577"/>
      <c r="X1653" s="4577"/>
      <c r="Y1653" s="4577"/>
      <c r="Z1653" s="4577"/>
      <c r="AA1653" s="4577"/>
      <c r="AB1653" s="4578"/>
      <c r="AC1653" s="2169">
        <f>SUM(AC1651:AC1652)/2</f>
        <v>42.763157894736842</v>
      </c>
      <c r="AD1653" s="2169">
        <f>SUM(AD1651:AD1652)/2</f>
        <v>45.712468992248063</v>
      </c>
      <c r="AE1653" s="385"/>
    </row>
    <row r="1654" spans="1:31" s="63" customFormat="1">
      <c r="A1654" s="4576" t="s">
        <v>2533</v>
      </c>
      <c r="B1654" s="4577"/>
      <c r="C1654" s="4577"/>
      <c r="D1654" s="4577"/>
      <c r="E1654" s="4577"/>
      <c r="F1654" s="4577"/>
      <c r="G1654" s="4577"/>
      <c r="H1654" s="4577"/>
      <c r="I1654" s="4577"/>
      <c r="J1654" s="4577"/>
      <c r="K1654" s="4577"/>
      <c r="L1654" s="4577"/>
      <c r="M1654" s="4577"/>
      <c r="N1654" s="4577"/>
      <c r="O1654" s="4577"/>
      <c r="P1654" s="4577"/>
      <c r="Q1654" s="4577"/>
      <c r="R1654" s="4577"/>
      <c r="S1654" s="4577"/>
      <c r="T1654" s="4577"/>
      <c r="U1654" s="4577"/>
      <c r="V1654" s="4577"/>
      <c r="W1654" s="4577"/>
      <c r="X1654" s="4577"/>
      <c r="Y1654" s="4577"/>
      <c r="Z1654" s="4577"/>
      <c r="AA1654" s="4577"/>
      <c r="AB1654" s="4578"/>
      <c r="AC1654" s="2145" t="s">
        <v>2534</v>
      </c>
      <c r="AD1654" s="697" t="s">
        <v>2534</v>
      </c>
      <c r="AE1654" s="385"/>
    </row>
    <row r="1655" spans="1:31" s="63" customFormat="1" ht="63.75">
      <c r="A1655" s="495">
        <v>11</v>
      </c>
      <c r="B1655" s="344" t="s">
        <v>2619</v>
      </c>
      <c r="C1655" s="1236" t="s">
        <v>197</v>
      </c>
      <c r="D1655" s="1236" t="s">
        <v>2558</v>
      </c>
      <c r="E1655" s="1236" t="s">
        <v>107</v>
      </c>
      <c r="F1655" s="1236" t="s">
        <v>66</v>
      </c>
      <c r="G1655" s="1236" t="s">
        <v>67</v>
      </c>
      <c r="H1655" s="383"/>
      <c r="I1655" s="2134" t="s">
        <v>2620</v>
      </c>
      <c r="J1655" s="1471" t="s">
        <v>2621</v>
      </c>
      <c r="K1655" s="2131">
        <v>270</v>
      </c>
      <c r="L1655" s="2120">
        <f>SUM(L1656:L1663)</f>
        <v>3005800000</v>
      </c>
      <c r="M1655" s="2143">
        <f>90+90</f>
        <v>180</v>
      </c>
      <c r="N1655" s="2120">
        <f>SUM(N1656:N1663)</f>
        <v>1145181766</v>
      </c>
      <c r="O1655" s="2131">
        <v>90</v>
      </c>
      <c r="P1655" s="2123">
        <f>SUM(P1656:P1663)</f>
        <v>1164412768.5</v>
      </c>
      <c r="Q1655" s="633">
        <v>25</v>
      </c>
      <c r="R1655" s="2125">
        <f>SUM(R1656:R1663)</f>
        <v>146041500</v>
      </c>
      <c r="S1655" s="616"/>
      <c r="T1655" s="616"/>
      <c r="U1655" s="616"/>
      <c r="V1655" s="616"/>
      <c r="W1655" s="616"/>
      <c r="X1655" s="616"/>
      <c r="Y1655" s="2129">
        <f t="shared" ref="Y1655:Z1663" si="345">Q1655</f>
        <v>25</v>
      </c>
      <c r="Z1655" s="1944">
        <f t="shared" si="345"/>
        <v>146041500</v>
      </c>
      <c r="AA1655" s="2129">
        <f t="shared" ref="AA1655:AA1663" si="346">M1655+Q1655</f>
        <v>205</v>
      </c>
      <c r="AB1655" s="1944">
        <f t="shared" ref="AB1655:AB1663" si="347">N1655+Z1655</f>
        <v>1291223266</v>
      </c>
      <c r="AC1655" s="2126">
        <f t="shared" ref="AC1655:AD1663" si="348">AA1655/K1655*100</f>
        <v>75.925925925925924</v>
      </c>
      <c r="AD1655" s="389">
        <f t="shared" si="348"/>
        <v>42.957723933728126</v>
      </c>
      <c r="AE1655" s="616"/>
    </row>
    <row r="1656" spans="1:31" ht="25.5">
      <c r="A1656" s="497"/>
      <c r="B1656" s="383"/>
      <c r="C1656" s="1236" t="s">
        <v>197</v>
      </c>
      <c r="D1656" s="1236" t="s">
        <v>2558</v>
      </c>
      <c r="E1656" s="1236" t="s">
        <v>107</v>
      </c>
      <c r="F1656" s="1236" t="s">
        <v>66</v>
      </c>
      <c r="G1656" s="1236" t="s">
        <v>67</v>
      </c>
      <c r="H1656" s="1236" t="s">
        <v>376</v>
      </c>
      <c r="I1656" s="1936" t="s">
        <v>2622</v>
      </c>
      <c r="J1656" s="1485" t="s">
        <v>2623</v>
      </c>
      <c r="K1656" s="1938">
        <v>115</v>
      </c>
      <c r="L1656" s="1947">
        <v>801800000</v>
      </c>
      <c r="M1656" s="1939">
        <v>55</v>
      </c>
      <c r="N1656" s="1940">
        <f>383367800</f>
        <v>383367800</v>
      </c>
      <c r="O1656" s="1992">
        <v>60</v>
      </c>
      <c r="P1656" s="1971">
        <v>389895050.75</v>
      </c>
      <c r="Q1656" s="1959"/>
      <c r="R1656" s="1940">
        <v>900000</v>
      </c>
      <c r="S1656" s="64"/>
      <c r="T1656" s="64"/>
      <c r="U1656" s="64"/>
      <c r="V1656" s="64"/>
      <c r="W1656" s="64"/>
      <c r="X1656" s="64"/>
      <c r="Y1656" s="1959">
        <f t="shared" si="345"/>
        <v>0</v>
      </c>
      <c r="Z1656" s="1942">
        <f t="shared" si="345"/>
        <v>900000</v>
      </c>
      <c r="AA1656" s="1939">
        <f t="shared" si="346"/>
        <v>55</v>
      </c>
      <c r="AB1656" s="1944">
        <f t="shared" si="347"/>
        <v>384267800</v>
      </c>
      <c r="AC1656" s="1945">
        <f t="shared" si="348"/>
        <v>47.826086956521742</v>
      </c>
      <c r="AD1656" s="1946">
        <f t="shared" si="348"/>
        <v>47.925642304814168</v>
      </c>
      <c r="AE1656" s="64" t="s">
        <v>2562</v>
      </c>
    </row>
    <row r="1657" spans="1:31" ht="25.5">
      <c r="A1657" s="497"/>
      <c r="B1657" s="383"/>
      <c r="C1657" s="1236" t="s">
        <v>197</v>
      </c>
      <c r="D1657" s="1236" t="s">
        <v>2558</v>
      </c>
      <c r="E1657" s="1236" t="s">
        <v>107</v>
      </c>
      <c r="F1657" s="1236" t="s">
        <v>66</v>
      </c>
      <c r="G1657" s="1236" t="s">
        <v>67</v>
      </c>
      <c r="H1657" s="1236" t="s">
        <v>67</v>
      </c>
      <c r="I1657" s="1936" t="s">
        <v>2624</v>
      </c>
      <c r="J1657" s="1485" t="s">
        <v>2625</v>
      </c>
      <c r="K1657" s="1949">
        <v>10</v>
      </c>
      <c r="L1657" s="1947">
        <v>500000000</v>
      </c>
      <c r="M1657" s="1939"/>
      <c r="N1657" s="1993"/>
      <c r="O1657" s="1992">
        <v>10</v>
      </c>
      <c r="P1657" s="1940">
        <v>155808794</v>
      </c>
      <c r="Q1657" s="1959"/>
      <c r="R1657" s="1940">
        <v>90753800</v>
      </c>
      <c r="S1657" s="64"/>
      <c r="T1657" s="64"/>
      <c r="U1657" s="64"/>
      <c r="V1657" s="64"/>
      <c r="W1657" s="64"/>
      <c r="X1657" s="64"/>
      <c r="Y1657" s="1959">
        <f t="shared" si="345"/>
        <v>0</v>
      </c>
      <c r="Z1657" s="1942">
        <f t="shared" si="345"/>
        <v>90753800</v>
      </c>
      <c r="AA1657" s="1939">
        <f t="shared" si="346"/>
        <v>0</v>
      </c>
      <c r="AB1657" s="1944">
        <f t="shared" si="347"/>
        <v>90753800</v>
      </c>
      <c r="AC1657" s="1945">
        <f t="shared" si="348"/>
        <v>0</v>
      </c>
      <c r="AD1657" s="1946">
        <f t="shared" si="348"/>
        <v>18.150759999999998</v>
      </c>
      <c r="AE1657" s="64" t="s">
        <v>2562</v>
      </c>
    </row>
    <row r="1658" spans="1:31" ht="25.5">
      <c r="A1658" s="497"/>
      <c r="B1658" s="383"/>
      <c r="C1658" s="1236" t="s">
        <v>197</v>
      </c>
      <c r="D1658" s="1236" t="s">
        <v>2558</v>
      </c>
      <c r="E1658" s="1236" t="s">
        <v>107</v>
      </c>
      <c r="F1658" s="1236" t="s">
        <v>66</v>
      </c>
      <c r="G1658" s="1236" t="s">
        <v>67</v>
      </c>
      <c r="H1658" s="1236" t="s">
        <v>163</v>
      </c>
      <c r="I1658" s="1936" t="s">
        <v>2626</v>
      </c>
      <c r="J1658" s="1485" t="s">
        <v>2627</v>
      </c>
      <c r="K1658" s="1994">
        <v>310</v>
      </c>
      <c r="L1658" s="1947">
        <v>453000000</v>
      </c>
      <c r="M1658" s="1939">
        <f>100+105</f>
        <v>205</v>
      </c>
      <c r="N1658" s="1969">
        <f>143437050+121164099</f>
        <v>264601149</v>
      </c>
      <c r="O1658" s="1992">
        <v>105</v>
      </c>
      <c r="P1658" s="1940">
        <v>168077545.25</v>
      </c>
      <c r="Q1658" s="1959"/>
      <c r="R1658" s="1940"/>
      <c r="S1658" s="64"/>
      <c r="T1658" s="64"/>
      <c r="U1658" s="64"/>
      <c r="V1658" s="64"/>
      <c r="W1658" s="64"/>
      <c r="X1658" s="64"/>
      <c r="Y1658" s="1959">
        <f t="shared" si="345"/>
        <v>0</v>
      </c>
      <c r="Z1658" s="1942">
        <f t="shared" si="345"/>
        <v>0</v>
      </c>
      <c r="AA1658" s="1939">
        <f t="shared" si="346"/>
        <v>205</v>
      </c>
      <c r="AB1658" s="1944">
        <f t="shared" si="347"/>
        <v>264601149</v>
      </c>
      <c r="AC1658" s="1945">
        <f t="shared" si="348"/>
        <v>66.129032258064512</v>
      </c>
      <c r="AD1658" s="1946">
        <f t="shared" si="348"/>
        <v>58.410849668874178</v>
      </c>
      <c r="AE1658" s="64" t="s">
        <v>2562</v>
      </c>
    </row>
    <row r="1659" spans="1:31" ht="25.5">
      <c r="A1659" s="497"/>
      <c r="B1659" s="383"/>
      <c r="C1659" s="1236" t="s">
        <v>197</v>
      </c>
      <c r="D1659" s="1236" t="s">
        <v>2558</v>
      </c>
      <c r="E1659" s="1236" t="s">
        <v>107</v>
      </c>
      <c r="F1659" s="1236" t="s">
        <v>66</v>
      </c>
      <c r="G1659" s="1236" t="s">
        <v>67</v>
      </c>
      <c r="H1659" s="1236" t="s">
        <v>360</v>
      </c>
      <c r="I1659" s="741" t="s">
        <v>2628</v>
      </c>
      <c r="J1659" s="1485" t="s">
        <v>2623</v>
      </c>
      <c r="K1659" s="1938">
        <v>30</v>
      </c>
      <c r="L1659" s="1947">
        <v>210000000</v>
      </c>
      <c r="M1659" s="1939">
        <v>15</v>
      </c>
      <c r="N1659" s="1940">
        <v>95122000</v>
      </c>
      <c r="O1659" s="1952">
        <v>15</v>
      </c>
      <c r="P1659" s="1971">
        <v>89779047.25</v>
      </c>
      <c r="Q1659" s="1939">
        <v>6</v>
      </c>
      <c r="R1659" s="1940">
        <v>4946000</v>
      </c>
      <c r="S1659" s="64"/>
      <c r="T1659" s="64"/>
      <c r="U1659" s="64"/>
      <c r="V1659" s="64"/>
      <c r="W1659" s="64"/>
      <c r="X1659" s="64"/>
      <c r="Y1659" s="1939">
        <f t="shared" si="345"/>
        <v>6</v>
      </c>
      <c r="Z1659" s="1942">
        <f t="shared" si="345"/>
        <v>4946000</v>
      </c>
      <c r="AA1659" s="1939">
        <f t="shared" si="346"/>
        <v>21</v>
      </c>
      <c r="AB1659" s="1944">
        <f t="shared" si="347"/>
        <v>100068000</v>
      </c>
      <c r="AC1659" s="1945">
        <f t="shared" si="348"/>
        <v>70</v>
      </c>
      <c r="AD1659" s="1946">
        <f t="shared" si="348"/>
        <v>47.651428571428575</v>
      </c>
      <c r="AE1659" s="64" t="s">
        <v>2562</v>
      </c>
    </row>
    <row r="1660" spans="1:31" ht="38.25">
      <c r="A1660" s="497"/>
      <c r="B1660" s="383"/>
      <c r="C1660" s="1236" t="s">
        <v>197</v>
      </c>
      <c r="D1660" s="1236" t="s">
        <v>2558</v>
      </c>
      <c r="E1660" s="1236" t="s">
        <v>107</v>
      </c>
      <c r="F1660" s="1236" t="s">
        <v>66</v>
      </c>
      <c r="G1660" s="1236" t="s">
        <v>67</v>
      </c>
      <c r="H1660" s="1236" t="s">
        <v>165</v>
      </c>
      <c r="I1660" s="741" t="s">
        <v>2629</v>
      </c>
      <c r="J1660" s="1485" t="s">
        <v>2630</v>
      </c>
      <c r="K1660" s="1938">
        <f>37+37</f>
        <v>74</v>
      </c>
      <c r="L1660" s="1947">
        <v>120000000</v>
      </c>
      <c r="M1660" s="1939">
        <v>37</v>
      </c>
      <c r="N1660" s="1940">
        <v>23865450</v>
      </c>
      <c r="O1660" s="1938">
        <v>37</v>
      </c>
      <c r="P1660" s="1971">
        <v>79361272</v>
      </c>
      <c r="Q1660" s="1959"/>
      <c r="R1660" s="1940"/>
      <c r="S1660" s="64"/>
      <c r="T1660" s="64"/>
      <c r="U1660" s="64"/>
      <c r="V1660" s="64"/>
      <c r="W1660" s="64"/>
      <c r="X1660" s="64"/>
      <c r="Y1660" s="1959">
        <f t="shared" si="345"/>
        <v>0</v>
      </c>
      <c r="Z1660" s="1942">
        <f t="shared" si="345"/>
        <v>0</v>
      </c>
      <c r="AA1660" s="1939">
        <f t="shared" si="346"/>
        <v>37</v>
      </c>
      <c r="AB1660" s="1944">
        <f t="shared" si="347"/>
        <v>23865450</v>
      </c>
      <c r="AC1660" s="1945">
        <f t="shared" si="348"/>
        <v>50</v>
      </c>
      <c r="AD1660" s="1946">
        <f t="shared" si="348"/>
        <v>19.887875000000001</v>
      </c>
      <c r="AE1660" s="64" t="s">
        <v>2562</v>
      </c>
    </row>
    <row r="1661" spans="1:31" ht="38.25">
      <c r="A1661" s="497"/>
      <c r="B1661" s="383"/>
      <c r="C1661" s="1236" t="s">
        <v>197</v>
      </c>
      <c r="D1661" s="1236" t="s">
        <v>2558</v>
      </c>
      <c r="E1661" s="1236" t="s">
        <v>107</v>
      </c>
      <c r="F1661" s="1236" t="s">
        <v>66</v>
      </c>
      <c r="G1661" s="1236" t="s">
        <v>67</v>
      </c>
      <c r="H1661" s="1236" t="s">
        <v>515</v>
      </c>
      <c r="I1661" s="1936" t="s">
        <v>2631</v>
      </c>
      <c r="J1661" s="1485" t="s">
        <v>2632</v>
      </c>
      <c r="K1661" s="1938">
        <f>12*3</f>
        <v>36</v>
      </c>
      <c r="L1661" s="1947">
        <v>675000000</v>
      </c>
      <c r="M1661" s="1939">
        <v>24</v>
      </c>
      <c r="N1661" s="1940">
        <f>170097657+162704410</f>
        <v>332802067</v>
      </c>
      <c r="O1661" s="1995">
        <v>12</v>
      </c>
      <c r="P1661" s="1971">
        <v>117091246.75</v>
      </c>
      <c r="Q1661" s="1959"/>
      <c r="R1661" s="1940">
        <v>18490700</v>
      </c>
      <c r="S1661" s="64"/>
      <c r="T1661" s="64"/>
      <c r="U1661" s="64"/>
      <c r="V1661" s="64"/>
      <c r="W1661" s="64"/>
      <c r="X1661" s="64"/>
      <c r="Y1661" s="1959">
        <f t="shared" si="345"/>
        <v>0</v>
      </c>
      <c r="Z1661" s="1942">
        <f t="shared" si="345"/>
        <v>18490700</v>
      </c>
      <c r="AA1661" s="1939">
        <f t="shared" si="346"/>
        <v>24</v>
      </c>
      <c r="AB1661" s="1944">
        <f t="shared" si="347"/>
        <v>351292767</v>
      </c>
      <c r="AC1661" s="1945">
        <f t="shared" si="348"/>
        <v>66.666666666666657</v>
      </c>
      <c r="AD1661" s="1946">
        <f t="shared" si="348"/>
        <v>52.043372888888882</v>
      </c>
      <c r="AE1661" s="64" t="s">
        <v>2562</v>
      </c>
    </row>
    <row r="1662" spans="1:31" ht="25.5">
      <c r="A1662" s="497"/>
      <c r="B1662" s="383"/>
      <c r="C1662" s="1236" t="s">
        <v>197</v>
      </c>
      <c r="D1662" s="1236" t="s">
        <v>2558</v>
      </c>
      <c r="E1662" s="1236" t="s">
        <v>107</v>
      </c>
      <c r="F1662" s="1236" t="s">
        <v>66</v>
      </c>
      <c r="G1662" s="1236" t="s">
        <v>67</v>
      </c>
      <c r="H1662" s="1236" t="s">
        <v>459</v>
      </c>
      <c r="I1662" s="1936" t="s">
        <v>2633</v>
      </c>
      <c r="J1662" s="1485" t="s">
        <v>2634</v>
      </c>
      <c r="K1662" s="1996">
        <f>150*2</f>
        <v>300</v>
      </c>
      <c r="L1662" s="1947">
        <v>116000000</v>
      </c>
      <c r="M1662" s="1939">
        <v>150</v>
      </c>
      <c r="N1662" s="1940">
        <f>19725850+25697450</f>
        <v>45423300</v>
      </c>
      <c r="O1662" s="1952">
        <v>150</v>
      </c>
      <c r="P1662" s="1971">
        <v>42299812.5</v>
      </c>
      <c r="Q1662" s="1939">
        <v>50</v>
      </c>
      <c r="R1662" s="1940">
        <v>20811000</v>
      </c>
      <c r="S1662" s="64"/>
      <c r="T1662" s="64"/>
      <c r="U1662" s="64"/>
      <c r="V1662" s="64"/>
      <c r="W1662" s="64"/>
      <c r="X1662" s="64"/>
      <c r="Y1662" s="1939">
        <f t="shared" si="345"/>
        <v>50</v>
      </c>
      <c r="Z1662" s="1942">
        <f t="shared" si="345"/>
        <v>20811000</v>
      </c>
      <c r="AA1662" s="1939">
        <f t="shared" si="346"/>
        <v>200</v>
      </c>
      <c r="AB1662" s="1944">
        <f t="shared" si="347"/>
        <v>66234300</v>
      </c>
      <c r="AC1662" s="1945">
        <f t="shared" si="348"/>
        <v>66.666666666666657</v>
      </c>
      <c r="AD1662" s="1946">
        <f t="shared" si="348"/>
        <v>57.098534482758623</v>
      </c>
      <c r="AE1662" s="64" t="s">
        <v>2562</v>
      </c>
    </row>
    <row r="1663" spans="1:31" ht="51">
      <c r="A1663" s="497"/>
      <c r="B1663" s="383"/>
      <c r="C1663" s="1236" t="s">
        <v>197</v>
      </c>
      <c r="D1663" s="1236" t="s">
        <v>2558</v>
      </c>
      <c r="E1663" s="1236" t="s">
        <v>107</v>
      </c>
      <c r="F1663" s="1236" t="s">
        <v>66</v>
      </c>
      <c r="G1663" s="1236" t="s">
        <v>67</v>
      </c>
      <c r="H1663" s="1236" t="s">
        <v>178</v>
      </c>
      <c r="I1663" s="1936" t="s">
        <v>2635</v>
      </c>
      <c r="J1663" s="1485" t="s">
        <v>2636</v>
      </c>
      <c r="K1663" s="1938">
        <v>15</v>
      </c>
      <c r="L1663" s="1947">
        <v>130000000</v>
      </c>
      <c r="M1663" s="1939"/>
      <c r="N1663" s="64"/>
      <c r="O1663" s="1938">
        <v>15</v>
      </c>
      <c r="P1663" s="1971">
        <v>122100000</v>
      </c>
      <c r="Q1663" s="1959"/>
      <c r="R1663" s="1940">
        <v>10140000</v>
      </c>
      <c r="S1663" s="64"/>
      <c r="T1663" s="64"/>
      <c r="U1663" s="64"/>
      <c r="V1663" s="64"/>
      <c r="W1663" s="64"/>
      <c r="X1663" s="64"/>
      <c r="Y1663" s="1959">
        <f t="shared" si="345"/>
        <v>0</v>
      </c>
      <c r="Z1663" s="1942">
        <f t="shared" si="345"/>
        <v>10140000</v>
      </c>
      <c r="AA1663" s="1939">
        <f t="shared" si="346"/>
        <v>0</v>
      </c>
      <c r="AB1663" s="1944">
        <f t="shared" si="347"/>
        <v>10140000</v>
      </c>
      <c r="AC1663" s="1945">
        <f t="shared" si="348"/>
        <v>0</v>
      </c>
      <c r="AD1663" s="1946">
        <f t="shared" si="348"/>
        <v>7.8</v>
      </c>
      <c r="AE1663" s="64" t="s">
        <v>2562</v>
      </c>
    </row>
    <row r="1664" spans="1:31">
      <c r="A1664" s="4563" t="s">
        <v>2532</v>
      </c>
      <c r="B1664" s="4564"/>
      <c r="C1664" s="4564"/>
      <c r="D1664" s="4564"/>
      <c r="E1664" s="4564"/>
      <c r="F1664" s="4564"/>
      <c r="G1664" s="4564"/>
      <c r="H1664" s="4564"/>
      <c r="I1664" s="4564"/>
      <c r="J1664" s="4564"/>
      <c r="K1664" s="4564"/>
      <c r="L1664" s="4564"/>
      <c r="M1664" s="4564"/>
      <c r="N1664" s="4564"/>
      <c r="O1664" s="4564"/>
      <c r="P1664" s="4564"/>
      <c r="Q1664" s="4564"/>
      <c r="R1664" s="4564"/>
      <c r="S1664" s="4564"/>
      <c r="T1664" s="4564"/>
      <c r="U1664" s="4564"/>
      <c r="V1664" s="4564"/>
      <c r="W1664" s="4564"/>
      <c r="X1664" s="4564"/>
      <c r="Y1664" s="4564"/>
      <c r="Z1664" s="4564"/>
      <c r="AA1664" s="4564"/>
      <c r="AB1664" s="4565"/>
      <c r="AC1664" s="2031">
        <f>SUM(AC1656:AC1663)/8</f>
        <v>45.91105656848994</v>
      </c>
      <c r="AD1664" s="2031">
        <f>SUM(AD1656:AD1663)/8</f>
        <v>38.621057864595556</v>
      </c>
      <c r="AE1664" s="64"/>
    </row>
    <row r="1665" spans="1:31">
      <c r="A1665" s="4563" t="s">
        <v>2533</v>
      </c>
      <c r="B1665" s="4564"/>
      <c r="C1665" s="4564"/>
      <c r="D1665" s="4564"/>
      <c r="E1665" s="4564"/>
      <c r="F1665" s="4564"/>
      <c r="G1665" s="4564"/>
      <c r="H1665" s="4564"/>
      <c r="I1665" s="4564"/>
      <c r="J1665" s="4564"/>
      <c r="K1665" s="4564"/>
      <c r="L1665" s="4564"/>
      <c r="M1665" s="4564"/>
      <c r="N1665" s="4564"/>
      <c r="O1665" s="4564"/>
      <c r="P1665" s="4564"/>
      <c r="Q1665" s="4564"/>
      <c r="R1665" s="4564"/>
      <c r="S1665" s="4564"/>
      <c r="T1665" s="4564"/>
      <c r="U1665" s="4564"/>
      <c r="V1665" s="4564"/>
      <c r="W1665" s="4564"/>
      <c r="X1665" s="4564"/>
      <c r="Y1665" s="4564"/>
      <c r="Z1665" s="4564"/>
      <c r="AA1665" s="4564"/>
      <c r="AB1665" s="4565"/>
      <c r="AC1665" s="2026" t="s">
        <v>2534</v>
      </c>
      <c r="AD1665" s="2026" t="s">
        <v>2534</v>
      </c>
      <c r="AE1665" s="64"/>
    </row>
    <row r="1666" spans="1:31" ht="114.75">
      <c r="A1666" s="1922">
        <v>12</v>
      </c>
      <c r="B1666" s="1923" t="s">
        <v>2611</v>
      </c>
      <c r="C1666" s="1924">
        <v>10</v>
      </c>
      <c r="D1666" s="1925" t="s">
        <v>2558</v>
      </c>
      <c r="E1666" s="1925" t="s">
        <v>107</v>
      </c>
      <c r="F1666" s="1925" t="s">
        <v>66</v>
      </c>
      <c r="G1666" s="1925" t="s">
        <v>167</v>
      </c>
      <c r="H1666" s="1925"/>
      <c r="I1666" s="1923" t="s">
        <v>2637</v>
      </c>
      <c r="J1666" s="1964" t="s">
        <v>2638</v>
      </c>
      <c r="K1666" s="1997">
        <v>160</v>
      </c>
      <c r="L1666" s="1933">
        <f>SUM(L1667:L1670)</f>
        <v>11070000000</v>
      </c>
      <c r="M1666" s="1998">
        <f>25+27</f>
        <v>52</v>
      </c>
      <c r="N1666" s="1931">
        <f>SUM(N1667:N1670)</f>
        <v>3046661947</v>
      </c>
      <c r="O1666" s="1997">
        <v>27</v>
      </c>
      <c r="P1666" s="1931">
        <f>SUM(P1667:P1670)</f>
        <v>750362759</v>
      </c>
      <c r="Q1666" s="1932">
        <v>8</v>
      </c>
      <c r="R1666" s="1931">
        <f>SUM(R1667:R1670)</f>
        <v>94803646</v>
      </c>
      <c r="S1666" s="1957"/>
      <c r="T1666" s="1957"/>
      <c r="U1666" s="1957"/>
      <c r="V1666" s="1957"/>
      <c r="W1666" s="1957"/>
      <c r="X1666" s="1957"/>
      <c r="Y1666" s="1932">
        <f t="shared" ref="Y1666:Z1670" si="349">Q1666</f>
        <v>8</v>
      </c>
      <c r="Z1666" s="1933">
        <f t="shared" si="349"/>
        <v>94803646</v>
      </c>
      <c r="AA1666" s="1934">
        <f>M1666+Q1666</f>
        <v>60</v>
      </c>
      <c r="AB1666" s="1933">
        <f>N1666+Z1666</f>
        <v>3141465593</v>
      </c>
      <c r="AC1666" s="1967">
        <f t="shared" ref="AC1666:AD1669" si="350">AA1666/K1666*100</f>
        <v>37.5</v>
      </c>
      <c r="AD1666" s="1968">
        <f t="shared" si="350"/>
        <v>28.378189638663052</v>
      </c>
      <c r="AE1666" s="1957"/>
    </row>
    <row r="1667" spans="1:31" ht="38.25">
      <c r="A1667" s="497"/>
      <c r="B1667" s="383"/>
      <c r="C1667" s="1935">
        <v>10</v>
      </c>
      <c r="D1667" s="1236" t="s">
        <v>2558</v>
      </c>
      <c r="E1667" s="1236" t="s">
        <v>107</v>
      </c>
      <c r="F1667" s="1236" t="s">
        <v>66</v>
      </c>
      <c r="G1667" s="1236" t="s">
        <v>167</v>
      </c>
      <c r="H1667" s="1236" t="s">
        <v>66</v>
      </c>
      <c r="I1667" s="741" t="s">
        <v>2639</v>
      </c>
      <c r="J1667" s="1485" t="s">
        <v>2640</v>
      </c>
      <c r="K1667" s="1952">
        <v>160</v>
      </c>
      <c r="L1667" s="1947">
        <v>4100000000</v>
      </c>
      <c r="M1667" s="1983">
        <f>25+27</f>
        <v>52</v>
      </c>
      <c r="N1667" s="1940">
        <f>636878350+529505010</f>
        <v>1166383360</v>
      </c>
      <c r="O1667" s="1952">
        <v>27</v>
      </c>
      <c r="P1667" s="1971">
        <v>268363355</v>
      </c>
      <c r="Q1667" s="1939">
        <v>8</v>
      </c>
      <c r="R1667" s="1940">
        <v>5318821</v>
      </c>
      <c r="S1667" s="64"/>
      <c r="T1667" s="64"/>
      <c r="U1667" s="64"/>
      <c r="V1667" s="64"/>
      <c r="W1667" s="64"/>
      <c r="X1667" s="64"/>
      <c r="Y1667" s="1939">
        <f t="shared" si="349"/>
        <v>8</v>
      </c>
      <c r="Z1667" s="1942">
        <f t="shared" si="349"/>
        <v>5318821</v>
      </c>
      <c r="AA1667" s="1939">
        <f>M1667+Q1667</f>
        <v>60</v>
      </c>
      <c r="AB1667" s="1944">
        <f>N1667+Z1667</f>
        <v>1171702181</v>
      </c>
      <c r="AC1667" s="1945">
        <f t="shared" si="350"/>
        <v>37.5</v>
      </c>
      <c r="AD1667" s="1946">
        <f t="shared" si="350"/>
        <v>28.578101975609755</v>
      </c>
      <c r="AE1667" s="754" t="s">
        <v>2641</v>
      </c>
    </row>
    <row r="1668" spans="1:31" ht="38.25">
      <c r="A1668" s="497"/>
      <c r="B1668" s="383"/>
      <c r="C1668" s="1935">
        <v>10</v>
      </c>
      <c r="D1668" s="1236" t="s">
        <v>2558</v>
      </c>
      <c r="E1668" s="1236" t="s">
        <v>107</v>
      </c>
      <c r="F1668" s="1236" t="s">
        <v>66</v>
      </c>
      <c r="G1668" s="1236" t="s">
        <v>167</v>
      </c>
      <c r="H1668" s="1236" t="s">
        <v>95</v>
      </c>
      <c r="I1668" s="741" t="s">
        <v>2642</v>
      </c>
      <c r="J1668" s="1485" t="s">
        <v>2643</v>
      </c>
      <c r="K1668" s="1949">
        <v>14700</v>
      </c>
      <c r="L1668" s="1947">
        <v>1800000000</v>
      </c>
      <c r="M1668" s="1983">
        <f>2400+2400</f>
        <v>4800</v>
      </c>
      <c r="N1668" s="1940">
        <f>132216226+208600385</f>
        <v>340816611</v>
      </c>
      <c r="O1668" s="1999">
        <v>2400</v>
      </c>
      <c r="P1668" s="1971">
        <v>135705690</v>
      </c>
      <c r="Q1668" s="1939">
        <v>1000</v>
      </c>
      <c r="R1668" s="1940">
        <v>16020835</v>
      </c>
      <c r="S1668" s="64"/>
      <c r="T1668" s="64"/>
      <c r="U1668" s="64"/>
      <c r="V1668" s="64"/>
      <c r="W1668" s="64"/>
      <c r="X1668" s="64"/>
      <c r="Y1668" s="1939">
        <f t="shared" si="349"/>
        <v>1000</v>
      </c>
      <c r="Z1668" s="1942">
        <f t="shared" si="349"/>
        <v>16020835</v>
      </c>
      <c r="AA1668" s="1939">
        <f>M1668+Q1668</f>
        <v>5800</v>
      </c>
      <c r="AB1668" s="1944">
        <f>N1668+Z1668</f>
        <v>356837446</v>
      </c>
      <c r="AC1668" s="1945">
        <f t="shared" si="350"/>
        <v>39.455782312925166</v>
      </c>
      <c r="AD1668" s="1946">
        <f t="shared" si="350"/>
        <v>19.824302555555555</v>
      </c>
      <c r="AE1668" s="754" t="s">
        <v>2641</v>
      </c>
    </row>
    <row r="1669" spans="1:31" ht="25.5">
      <c r="A1669" s="497"/>
      <c r="B1669" s="383"/>
      <c r="C1669" s="1935">
        <v>10</v>
      </c>
      <c r="D1669" s="1236" t="s">
        <v>2558</v>
      </c>
      <c r="E1669" s="1236" t="s">
        <v>107</v>
      </c>
      <c r="F1669" s="1236" t="s">
        <v>66</v>
      </c>
      <c r="G1669" s="1236" t="s">
        <v>167</v>
      </c>
      <c r="H1669" s="1236" t="s">
        <v>198</v>
      </c>
      <c r="I1669" s="741" t="s">
        <v>649</v>
      </c>
      <c r="J1669" s="1485" t="s">
        <v>2644</v>
      </c>
      <c r="K1669" s="1938">
        <v>320</v>
      </c>
      <c r="L1669" s="1947">
        <v>4800000000</v>
      </c>
      <c r="M1669" s="1983">
        <f>40+50</f>
        <v>90</v>
      </c>
      <c r="N1669" s="1940">
        <f>728365964+811096012</f>
        <v>1539461976</v>
      </c>
      <c r="O1669" s="1938">
        <v>50</v>
      </c>
      <c r="P1669" s="1971">
        <v>285789262</v>
      </c>
      <c r="Q1669" s="1939">
        <v>20</v>
      </c>
      <c r="R1669" s="1940">
        <v>73463990</v>
      </c>
      <c r="S1669" s="64"/>
      <c r="T1669" s="64"/>
      <c r="U1669" s="64"/>
      <c r="V1669" s="64"/>
      <c r="W1669" s="64"/>
      <c r="X1669" s="64"/>
      <c r="Y1669" s="1939">
        <f t="shared" si="349"/>
        <v>20</v>
      </c>
      <c r="Z1669" s="1942">
        <f t="shared" si="349"/>
        <v>73463990</v>
      </c>
      <c r="AA1669" s="1939">
        <f>M1669+Q1669</f>
        <v>110</v>
      </c>
      <c r="AB1669" s="1944">
        <f>N1669+Z1669</f>
        <v>1612925966</v>
      </c>
      <c r="AC1669" s="1945">
        <f t="shared" si="350"/>
        <v>34.375</v>
      </c>
      <c r="AD1669" s="1946">
        <f t="shared" si="350"/>
        <v>33.602624291666665</v>
      </c>
      <c r="AE1669" s="754" t="s">
        <v>2641</v>
      </c>
    </row>
    <row r="1670" spans="1:31" ht="51">
      <c r="A1670" s="497"/>
      <c r="B1670" s="383"/>
      <c r="C1670" s="1935">
        <v>10</v>
      </c>
      <c r="D1670" s="1236" t="s">
        <v>2558</v>
      </c>
      <c r="E1670" s="1236" t="s">
        <v>107</v>
      </c>
      <c r="F1670" s="1236" t="s">
        <v>66</v>
      </c>
      <c r="G1670" s="1236" t="s">
        <v>167</v>
      </c>
      <c r="H1670" s="1236" t="s">
        <v>93</v>
      </c>
      <c r="I1670" s="741" t="s">
        <v>2645</v>
      </c>
      <c r="J1670" s="1485" t="s">
        <v>2646</v>
      </c>
      <c r="K1670" s="1938">
        <v>130</v>
      </c>
      <c r="L1670" s="1947">
        <v>370000000</v>
      </c>
      <c r="M1670" s="1939"/>
      <c r="N1670" s="64"/>
      <c r="O1670" s="1938">
        <v>30</v>
      </c>
      <c r="P1670" s="1971">
        <v>60504452</v>
      </c>
      <c r="Q1670" s="1939"/>
      <c r="R1670" s="1940"/>
      <c r="S1670" s="64"/>
      <c r="T1670" s="64"/>
      <c r="U1670" s="64"/>
      <c r="V1670" s="64"/>
      <c r="W1670" s="64"/>
      <c r="X1670" s="64"/>
      <c r="Y1670" s="1959">
        <f t="shared" si="349"/>
        <v>0</v>
      </c>
      <c r="Z1670" s="1942">
        <f t="shared" si="349"/>
        <v>0</v>
      </c>
      <c r="AA1670" s="1939">
        <f>M1670+Q1670</f>
        <v>0</v>
      </c>
      <c r="AB1670" s="1944">
        <f>N1670+Z1670</f>
        <v>0</v>
      </c>
      <c r="AC1670" s="64"/>
      <c r="AD1670" s="1946"/>
      <c r="AE1670" s="754" t="s">
        <v>2641</v>
      </c>
    </row>
    <row r="1671" spans="1:31">
      <c r="A1671" s="4563" t="s">
        <v>2532</v>
      </c>
      <c r="B1671" s="4564"/>
      <c r="C1671" s="4564"/>
      <c r="D1671" s="4564"/>
      <c r="E1671" s="4564"/>
      <c r="F1671" s="4564"/>
      <c r="G1671" s="4564"/>
      <c r="H1671" s="4564"/>
      <c r="I1671" s="4564"/>
      <c r="J1671" s="4564"/>
      <c r="K1671" s="4564"/>
      <c r="L1671" s="4564"/>
      <c r="M1671" s="4564"/>
      <c r="N1671" s="4564"/>
      <c r="O1671" s="4564"/>
      <c r="P1671" s="4564"/>
      <c r="Q1671" s="4564"/>
      <c r="R1671" s="4564"/>
      <c r="S1671" s="4564"/>
      <c r="T1671" s="4564"/>
      <c r="U1671" s="4564"/>
      <c r="V1671" s="4564"/>
      <c r="W1671" s="4564"/>
      <c r="X1671" s="4564"/>
      <c r="Y1671" s="4564"/>
      <c r="Z1671" s="4564"/>
      <c r="AA1671" s="4564"/>
      <c r="AB1671" s="4565"/>
      <c r="AC1671" s="2029">
        <f>SUM(AC1667:AC1670)/4</f>
        <v>27.832695578231291</v>
      </c>
      <c r="AD1671" s="2029">
        <f>SUM(AD1667:AD1670)/4</f>
        <v>20.501257205707994</v>
      </c>
      <c r="AE1671" s="64"/>
    </row>
    <row r="1672" spans="1:31">
      <c r="A1672" s="4563" t="s">
        <v>2533</v>
      </c>
      <c r="B1672" s="4564"/>
      <c r="C1672" s="4564"/>
      <c r="D1672" s="4564"/>
      <c r="E1672" s="4564"/>
      <c r="F1672" s="4564"/>
      <c r="G1672" s="4564"/>
      <c r="H1672" s="4564"/>
      <c r="I1672" s="4564"/>
      <c r="J1672" s="4564"/>
      <c r="K1672" s="4564"/>
      <c r="L1672" s="4564"/>
      <c r="M1672" s="4564"/>
      <c r="N1672" s="4564"/>
      <c r="O1672" s="4564"/>
      <c r="P1672" s="4564"/>
      <c r="Q1672" s="4564"/>
      <c r="R1672" s="4564"/>
      <c r="S1672" s="4564"/>
      <c r="T1672" s="4564"/>
      <c r="U1672" s="4564"/>
      <c r="V1672" s="4564"/>
      <c r="W1672" s="4564"/>
      <c r="X1672" s="4564"/>
      <c r="Y1672" s="4564"/>
      <c r="Z1672" s="4564"/>
      <c r="AA1672" s="4564"/>
      <c r="AB1672" s="4565"/>
      <c r="AC1672" s="1883" t="s">
        <v>2534</v>
      </c>
      <c r="AD1672" s="1883" t="s">
        <v>2534</v>
      </c>
      <c r="AE1672" s="64"/>
    </row>
    <row r="1673" spans="1:31" ht="63.75">
      <c r="A1673" s="495">
        <v>13</v>
      </c>
      <c r="B1673" s="344" t="s">
        <v>2557</v>
      </c>
      <c r="C1673" s="1935" t="s">
        <v>391</v>
      </c>
      <c r="D1673" s="1236" t="s">
        <v>2558</v>
      </c>
      <c r="E1673" s="1236" t="s">
        <v>107</v>
      </c>
      <c r="F1673" s="1236" t="s">
        <v>66</v>
      </c>
      <c r="G1673" s="1236" t="s">
        <v>166</v>
      </c>
      <c r="H1673" s="1236"/>
      <c r="I1673" s="344" t="s">
        <v>2479</v>
      </c>
      <c r="J1673" s="1471" t="s">
        <v>2647</v>
      </c>
      <c r="K1673" s="2119">
        <v>69</v>
      </c>
      <c r="L1673" s="2120" t="e">
        <f>#REF!</f>
        <v>#REF!</v>
      </c>
      <c r="M1673" s="633">
        <v>6</v>
      </c>
      <c r="N1673" s="2121" t="e">
        <f>#REF!</f>
        <v>#REF!</v>
      </c>
      <c r="O1673" s="2122">
        <v>3</v>
      </c>
      <c r="P1673" s="2123" t="e">
        <f>#REF!</f>
        <v>#REF!</v>
      </c>
      <c r="Q1673" s="2124"/>
      <c r="R1673" s="2121" t="e">
        <f>#REF!</f>
        <v>#REF!</v>
      </c>
      <c r="S1673" s="385"/>
      <c r="T1673" s="385"/>
      <c r="U1673" s="385"/>
      <c r="V1673" s="385"/>
      <c r="W1673" s="385"/>
      <c r="X1673" s="385"/>
      <c r="Y1673" s="2123">
        <f>Q1673</f>
        <v>0</v>
      </c>
      <c r="Z1673" s="2125" t="e">
        <f>R1673</f>
        <v>#REF!</v>
      </c>
      <c r="AA1673" s="633">
        <f>M1673+Q1673</f>
        <v>6</v>
      </c>
      <c r="AB1673" s="2125" t="e">
        <f>N1673+Z1673</f>
        <v>#REF!</v>
      </c>
      <c r="AC1673" s="2126">
        <f>AA1673/K1673*100</f>
        <v>8.695652173913043</v>
      </c>
      <c r="AD1673" s="389" t="e">
        <f>AB1673/L1673*100</f>
        <v>#REF!</v>
      </c>
      <c r="AE1673" s="385"/>
    </row>
    <row r="1674" spans="1:31">
      <c r="A1674" s="4563" t="s">
        <v>2532</v>
      </c>
      <c r="B1674" s="4564"/>
      <c r="C1674" s="4564"/>
      <c r="D1674" s="4564"/>
      <c r="E1674" s="4564"/>
      <c r="F1674" s="4564"/>
      <c r="G1674" s="4564"/>
      <c r="H1674" s="4564"/>
      <c r="I1674" s="4564"/>
      <c r="J1674" s="4564"/>
      <c r="K1674" s="4564"/>
      <c r="L1674" s="4564"/>
      <c r="M1674" s="4564"/>
      <c r="N1674" s="4564"/>
      <c r="O1674" s="4564"/>
      <c r="P1674" s="4564"/>
      <c r="Q1674" s="4564"/>
      <c r="R1674" s="4564"/>
      <c r="S1674" s="4564"/>
      <c r="T1674" s="4564"/>
      <c r="U1674" s="4564"/>
      <c r="V1674" s="4564"/>
      <c r="W1674" s="4564"/>
      <c r="X1674" s="4564"/>
      <c r="Y1674" s="4564"/>
      <c r="Z1674" s="4564"/>
      <c r="AA1674" s="4564"/>
      <c r="AB1674" s="4565"/>
      <c r="AC1674" s="2031" t="e">
        <f>#REF!</f>
        <v>#REF!</v>
      </c>
      <c r="AD1674" s="2031" t="e">
        <f>#REF!</f>
        <v>#REF!</v>
      </c>
      <c r="AE1674" s="64"/>
    </row>
    <row r="1675" spans="1:31">
      <c r="A1675" s="4563" t="s">
        <v>2533</v>
      </c>
      <c r="B1675" s="4564"/>
      <c r="C1675" s="4564"/>
      <c r="D1675" s="4564"/>
      <c r="E1675" s="4564"/>
      <c r="F1675" s="4564"/>
      <c r="G1675" s="4564"/>
      <c r="H1675" s="4564"/>
      <c r="I1675" s="4564"/>
      <c r="J1675" s="4564"/>
      <c r="K1675" s="4564"/>
      <c r="L1675" s="4564"/>
      <c r="M1675" s="4564"/>
      <c r="N1675" s="4564"/>
      <c r="O1675" s="4564"/>
      <c r="P1675" s="4564"/>
      <c r="Q1675" s="4564"/>
      <c r="R1675" s="4564"/>
      <c r="S1675" s="4564"/>
      <c r="T1675" s="4564"/>
      <c r="U1675" s="4564"/>
      <c r="V1675" s="4564"/>
      <c r="W1675" s="4564"/>
      <c r="X1675" s="4564"/>
      <c r="Y1675" s="4564"/>
      <c r="Z1675" s="4564"/>
      <c r="AA1675" s="4564"/>
      <c r="AB1675" s="4565"/>
      <c r="AC1675" s="2026" t="s">
        <v>2534</v>
      </c>
      <c r="AD1675" s="2026" t="s">
        <v>2534</v>
      </c>
      <c r="AE1675" s="64"/>
    </row>
    <row r="1676" spans="1:31" ht="63.75">
      <c r="A1676" s="495">
        <v>14</v>
      </c>
      <c r="B1676" s="344" t="s">
        <v>2557</v>
      </c>
      <c r="C1676" s="1935" t="s">
        <v>391</v>
      </c>
      <c r="D1676" s="1236" t="s">
        <v>2558</v>
      </c>
      <c r="E1676" s="1236" t="s">
        <v>107</v>
      </c>
      <c r="F1676" s="1236" t="s">
        <v>66</v>
      </c>
      <c r="G1676" s="1236" t="s">
        <v>376</v>
      </c>
      <c r="H1676" s="1236"/>
      <c r="I1676" s="344" t="s">
        <v>2648</v>
      </c>
      <c r="J1676" s="1471" t="s">
        <v>2649</v>
      </c>
      <c r="K1676" s="2127">
        <v>555</v>
      </c>
      <c r="L1676" s="2128">
        <f>L1677</f>
        <v>295000000</v>
      </c>
      <c r="M1676" s="633">
        <f>85+90</f>
        <v>175</v>
      </c>
      <c r="N1676" s="2121">
        <f>N1677</f>
        <v>50089800</v>
      </c>
      <c r="O1676" s="2127">
        <v>95</v>
      </c>
      <c r="P1676" s="2123">
        <f>P1677</f>
        <v>33738400.75</v>
      </c>
      <c r="Q1676" s="633">
        <v>50</v>
      </c>
      <c r="R1676" s="2121">
        <f>R1677</f>
        <v>5150000</v>
      </c>
      <c r="S1676" s="385"/>
      <c r="T1676" s="385"/>
      <c r="U1676" s="385"/>
      <c r="V1676" s="385"/>
      <c r="W1676" s="385"/>
      <c r="X1676" s="385"/>
      <c r="Y1676" s="633">
        <f>Q1676</f>
        <v>50</v>
      </c>
      <c r="Z1676" s="1944">
        <f>R1676</f>
        <v>5150000</v>
      </c>
      <c r="AA1676" s="2129">
        <f>M1676+Q1676</f>
        <v>225</v>
      </c>
      <c r="AB1676" s="1944">
        <f>N1676+Z1676</f>
        <v>55239800</v>
      </c>
      <c r="AC1676" s="2126">
        <f>AA1676/K1676*100</f>
        <v>40.54054054054054</v>
      </c>
      <c r="AD1676" s="389">
        <f>AB1676/L1676*100</f>
        <v>18.725355932203389</v>
      </c>
      <c r="AE1676" s="385"/>
    </row>
    <row r="1677" spans="1:31" ht="38.25">
      <c r="A1677" s="497"/>
      <c r="B1677" s="383"/>
      <c r="C1677" s="1935" t="s">
        <v>391</v>
      </c>
      <c r="D1677" s="1236" t="s">
        <v>2558</v>
      </c>
      <c r="E1677" s="1236" t="s">
        <v>107</v>
      </c>
      <c r="F1677" s="1236" t="s">
        <v>66</v>
      </c>
      <c r="G1677" s="1236" t="s">
        <v>376</v>
      </c>
      <c r="H1677" s="1236" t="s">
        <v>167</v>
      </c>
      <c r="I1677" s="741" t="s">
        <v>2650</v>
      </c>
      <c r="J1677" s="741" t="s">
        <v>2651</v>
      </c>
      <c r="K1677" s="1938">
        <f>24*6</f>
        <v>144</v>
      </c>
      <c r="L1677" s="1947">
        <v>295000000</v>
      </c>
      <c r="M1677" s="1939">
        <f>24*2</f>
        <v>48</v>
      </c>
      <c r="N1677" s="1940">
        <f>22191000+27898800</f>
        <v>50089800</v>
      </c>
      <c r="O1677" s="1938">
        <v>24</v>
      </c>
      <c r="P1677" s="1971">
        <v>33738400.75</v>
      </c>
      <c r="Q1677" s="1939">
        <v>6</v>
      </c>
      <c r="R1677" s="1940">
        <v>5150000</v>
      </c>
      <c r="S1677" s="64"/>
      <c r="T1677" s="64"/>
      <c r="U1677" s="64"/>
      <c r="V1677" s="64"/>
      <c r="W1677" s="64"/>
      <c r="X1677" s="64"/>
      <c r="Y1677" s="1943">
        <f>Q1677</f>
        <v>6</v>
      </c>
      <c r="Z1677" s="1942">
        <f>R1677</f>
        <v>5150000</v>
      </c>
      <c r="AA1677" s="1939">
        <f>M1677+Q1677</f>
        <v>54</v>
      </c>
      <c r="AB1677" s="1944">
        <f>N1677+Z1677</f>
        <v>55239800</v>
      </c>
      <c r="AC1677" s="1945">
        <f>AA1677/K1677*100</f>
        <v>37.5</v>
      </c>
      <c r="AD1677" s="1946">
        <f>AB1677/L1677*100</f>
        <v>18.725355932203389</v>
      </c>
      <c r="AE1677" s="64" t="s">
        <v>2562</v>
      </c>
    </row>
    <row r="1678" spans="1:31">
      <c r="A1678" s="4563" t="s">
        <v>2532</v>
      </c>
      <c r="B1678" s="4564"/>
      <c r="C1678" s="4564"/>
      <c r="D1678" s="4564"/>
      <c r="E1678" s="4564"/>
      <c r="F1678" s="4564"/>
      <c r="G1678" s="4564"/>
      <c r="H1678" s="4564"/>
      <c r="I1678" s="4564"/>
      <c r="J1678" s="4564"/>
      <c r="K1678" s="4564"/>
      <c r="L1678" s="4564"/>
      <c r="M1678" s="4564"/>
      <c r="N1678" s="4564"/>
      <c r="O1678" s="4564"/>
      <c r="P1678" s="4564"/>
      <c r="Q1678" s="4564"/>
      <c r="R1678" s="4564"/>
      <c r="S1678" s="4564"/>
      <c r="T1678" s="4564"/>
      <c r="U1678" s="4564"/>
      <c r="V1678" s="4564"/>
      <c r="W1678" s="4564"/>
      <c r="X1678" s="4564"/>
      <c r="Y1678" s="4564"/>
      <c r="Z1678" s="4564"/>
      <c r="AA1678" s="4564"/>
      <c r="AB1678" s="4565"/>
      <c r="AC1678" s="2031">
        <f>AC1677</f>
        <v>37.5</v>
      </c>
      <c r="AD1678" s="2031">
        <f>AD1677</f>
        <v>18.725355932203389</v>
      </c>
      <c r="AE1678" s="64"/>
    </row>
    <row r="1679" spans="1:31">
      <c r="A1679" s="4563" t="s">
        <v>2533</v>
      </c>
      <c r="B1679" s="4564"/>
      <c r="C1679" s="4564"/>
      <c r="D1679" s="4564"/>
      <c r="E1679" s="4564"/>
      <c r="F1679" s="4564"/>
      <c r="G1679" s="4564"/>
      <c r="H1679" s="4564"/>
      <c r="I1679" s="4564"/>
      <c r="J1679" s="4564"/>
      <c r="K1679" s="4564"/>
      <c r="L1679" s="4564"/>
      <c r="M1679" s="4564"/>
      <c r="N1679" s="4564"/>
      <c r="O1679" s="4564"/>
      <c r="P1679" s="4564"/>
      <c r="Q1679" s="4564"/>
      <c r="R1679" s="4564"/>
      <c r="S1679" s="4564"/>
      <c r="T1679" s="4564"/>
      <c r="U1679" s="4564"/>
      <c r="V1679" s="4564"/>
      <c r="W1679" s="4564"/>
      <c r="X1679" s="4564"/>
      <c r="Y1679" s="4564"/>
      <c r="Z1679" s="4564"/>
      <c r="AA1679" s="4564"/>
      <c r="AB1679" s="4565"/>
      <c r="AC1679" s="2026" t="s">
        <v>2534</v>
      </c>
      <c r="AD1679" s="2026" t="s">
        <v>2534</v>
      </c>
      <c r="AE1679" s="64"/>
    </row>
    <row r="1680" spans="1:31" s="63" customFormat="1" ht="51">
      <c r="A1680" s="495">
        <v>15</v>
      </c>
      <c r="B1680" s="344" t="s">
        <v>2510</v>
      </c>
      <c r="C1680" s="1935" t="s">
        <v>167</v>
      </c>
      <c r="D1680" s="1236" t="s">
        <v>2558</v>
      </c>
      <c r="E1680" s="1236" t="s">
        <v>107</v>
      </c>
      <c r="F1680" s="1236" t="s">
        <v>66</v>
      </c>
      <c r="G1680" s="1236" t="s">
        <v>166</v>
      </c>
      <c r="H1680" s="1236"/>
      <c r="I1680" s="344" t="s">
        <v>2652</v>
      </c>
      <c r="J1680" s="2130" t="s">
        <v>2653</v>
      </c>
      <c r="K1680" s="2131">
        <v>490</v>
      </c>
      <c r="L1680" s="2120">
        <f>L1681</f>
        <v>1385000000</v>
      </c>
      <c r="M1680" s="633">
        <f>70+75</f>
        <v>145</v>
      </c>
      <c r="N1680" s="2125">
        <f>N1681</f>
        <v>268296673</v>
      </c>
      <c r="O1680" s="2131">
        <v>80</v>
      </c>
      <c r="P1680" s="2123">
        <f>P1681</f>
        <v>60795772</v>
      </c>
      <c r="Q1680" s="633">
        <v>40</v>
      </c>
      <c r="R1680" s="2125">
        <f>R1681</f>
        <v>5032000</v>
      </c>
      <c r="S1680" s="616"/>
      <c r="T1680" s="616"/>
      <c r="U1680" s="616"/>
      <c r="V1680" s="616"/>
      <c r="W1680" s="616"/>
      <c r="X1680" s="616"/>
      <c r="Y1680" s="633">
        <f t="shared" ref="Y1680:Z1685" si="351">Q1680</f>
        <v>40</v>
      </c>
      <c r="Z1680" s="2125">
        <f t="shared" si="351"/>
        <v>5032000</v>
      </c>
      <c r="AA1680" s="633">
        <f>M1680+Q1680</f>
        <v>185</v>
      </c>
      <c r="AB1680" s="2125">
        <f>N1680+Z1680</f>
        <v>273328673</v>
      </c>
      <c r="AC1680" s="2132">
        <f>AA1680/K1680*100</f>
        <v>37.755102040816325</v>
      </c>
      <c r="AD1680" s="493">
        <f>AB1680/L1680*100</f>
        <v>19.734922238267146</v>
      </c>
      <c r="AE1680" s="616"/>
    </row>
    <row r="1681" spans="1:31" ht="25.5">
      <c r="A1681" s="497"/>
      <c r="B1681" s="383"/>
      <c r="C1681" s="1935" t="s">
        <v>167</v>
      </c>
      <c r="D1681" s="1236" t="s">
        <v>2558</v>
      </c>
      <c r="E1681" s="1236" t="s">
        <v>107</v>
      </c>
      <c r="F1681" s="1236" t="s">
        <v>66</v>
      </c>
      <c r="G1681" s="1236" t="s">
        <v>166</v>
      </c>
      <c r="H1681" s="1236" t="s">
        <v>65</v>
      </c>
      <c r="I1681" s="741" t="s">
        <v>2654</v>
      </c>
      <c r="J1681" s="741" t="s">
        <v>2655</v>
      </c>
      <c r="K1681" s="1952">
        <v>14000</v>
      </c>
      <c r="L1681" s="1947">
        <v>1385000000</v>
      </c>
      <c r="M1681" s="1939">
        <f>2000+2000</f>
        <v>4000</v>
      </c>
      <c r="N1681" s="1940">
        <f>119109000+149187673</f>
        <v>268296673</v>
      </c>
      <c r="O1681" s="1952">
        <v>2500</v>
      </c>
      <c r="P1681" s="1941">
        <v>60795772</v>
      </c>
      <c r="Q1681" s="1939">
        <v>1000</v>
      </c>
      <c r="R1681" s="1940">
        <v>5032000</v>
      </c>
      <c r="S1681" s="64"/>
      <c r="T1681" s="64"/>
      <c r="U1681" s="64"/>
      <c r="V1681" s="64"/>
      <c r="W1681" s="64"/>
      <c r="X1681" s="64"/>
      <c r="Y1681" s="1939">
        <f t="shared" si="351"/>
        <v>1000</v>
      </c>
      <c r="Z1681" s="1942">
        <f t="shared" si="351"/>
        <v>5032000</v>
      </c>
      <c r="AA1681" s="1939">
        <f>M1681+Q1681</f>
        <v>5000</v>
      </c>
      <c r="AB1681" s="1944">
        <f>N1681+Z1681</f>
        <v>273328673</v>
      </c>
      <c r="AC1681" s="1945">
        <f>AA1681/K1681*100</f>
        <v>35.714285714285715</v>
      </c>
      <c r="AD1681" s="1946">
        <f>AB1681/L1681*100</f>
        <v>19.734922238267146</v>
      </c>
      <c r="AE1681" s="64" t="s">
        <v>2513</v>
      </c>
    </row>
    <row r="1682" spans="1:31">
      <c r="A1682" s="4563" t="s">
        <v>2532</v>
      </c>
      <c r="B1682" s="4564"/>
      <c r="C1682" s="4564"/>
      <c r="D1682" s="4564"/>
      <c r="E1682" s="4564"/>
      <c r="F1682" s="4564"/>
      <c r="G1682" s="4564"/>
      <c r="H1682" s="4564"/>
      <c r="I1682" s="4564"/>
      <c r="J1682" s="4564"/>
      <c r="K1682" s="4564"/>
      <c r="L1682" s="4564"/>
      <c r="M1682" s="4564"/>
      <c r="N1682" s="4564"/>
      <c r="O1682" s="4564"/>
      <c r="P1682" s="4564"/>
      <c r="Q1682" s="4564"/>
      <c r="R1682" s="4564"/>
      <c r="S1682" s="4564"/>
      <c r="T1682" s="4564"/>
      <c r="U1682" s="4564"/>
      <c r="V1682" s="4564"/>
      <c r="W1682" s="4564"/>
      <c r="X1682" s="4564"/>
      <c r="Y1682" s="4564"/>
      <c r="Z1682" s="4564"/>
      <c r="AA1682" s="4564"/>
      <c r="AB1682" s="4565"/>
      <c r="AC1682" s="2031">
        <f>AC1681</f>
        <v>35.714285714285715</v>
      </c>
      <c r="AD1682" s="2031">
        <f>AD1681</f>
        <v>19.734922238267146</v>
      </c>
      <c r="AE1682" s="64"/>
    </row>
    <row r="1683" spans="1:31">
      <c r="A1683" s="4563" t="s">
        <v>2533</v>
      </c>
      <c r="B1683" s="4564"/>
      <c r="C1683" s="4564"/>
      <c r="D1683" s="4564"/>
      <c r="E1683" s="4564"/>
      <c r="F1683" s="4564"/>
      <c r="G1683" s="4564"/>
      <c r="H1683" s="4564"/>
      <c r="I1683" s="4564"/>
      <c r="J1683" s="4564"/>
      <c r="K1683" s="4564"/>
      <c r="L1683" s="4564"/>
      <c r="M1683" s="4564"/>
      <c r="N1683" s="4564"/>
      <c r="O1683" s="4564"/>
      <c r="P1683" s="4564"/>
      <c r="Q1683" s="4564"/>
      <c r="R1683" s="4564"/>
      <c r="S1683" s="4564"/>
      <c r="T1683" s="4564"/>
      <c r="U1683" s="4564"/>
      <c r="V1683" s="4564"/>
      <c r="W1683" s="4564"/>
      <c r="X1683" s="4564"/>
      <c r="Y1683" s="4564"/>
      <c r="Z1683" s="4564"/>
      <c r="AA1683" s="4564"/>
      <c r="AB1683" s="4565"/>
      <c r="AC1683" s="2026" t="s">
        <v>2534</v>
      </c>
      <c r="AD1683" s="2026" t="s">
        <v>2534</v>
      </c>
      <c r="AE1683" s="64"/>
    </row>
    <row r="1684" spans="1:31" s="63" customFormat="1" ht="122.25" customHeight="1">
      <c r="A1684" s="495">
        <v>16</v>
      </c>
      <c r="B1684" s="344" t="s">
        <v>2611</v>
      </c>
      <c r="C1684" s="1935" t="s">
        <v>197</v>
      </c>
      <c r="D1684" s="1236" t="s">
        <v>2558</v>
      </c>
      <c r="E1684" s="1236" t="s">
        <v>107</v>
      </c>
      <c r="F1684" s="1236" t="s">
        <v>66</v>
      </c>
      <c r="G1684" s="1236" t="s">
        <v>167</v>
      </c>
      <c r="H1684" s="1236"/>
      <c r="I1684" s="383" t="s">
        <v>2656</v>
      </c>
      <c r="J1684" s="1471" t="s">
        <v>2657</v>
      </c>
      <c r="K1684" s="2133">
        <v>3</v>
      </c>
      <c r="L1684" s="2128">
        <f>L1685</f>
        <v>440000000</v>
      </c>
      <c r="M1684" s="633"/>
      <c r="N1684" s="616"/>
      <c r="O1684" s="616"/>
      <c r="P1684" s="2123">
        <f>P1685</f>
        <v>45651400</v>
      </c>
      <c r="Q1684" s="2129">
        <v>1</v>
      </c>
      <c r="R1684" s="2121">
        <f>R1685</f>
        <v>3289000</v>
      </c>
      <c r="S1684" s="616"/>
      <c r="T1684" s="616"/>
      <c r="U1684" s="616"/>
      <c r="V1684" s="616"/>
      <c r="W1684" s="616"/>
      <c r="X1684" s="616"/>
      <c r="Y1684" s="633">
        <f t="shared" si="351"/>
        <v>1</v>
      </c>
      <c r="Z1684" s="2125">
        <f t="shared" si="351"/>
        <v>3289000</v>
      </c>
      <c r="AA1684" s="633">
        <f>M1684+Q1684</f>
        <v>1</v>
      </c>
      <c r="AB1684" s="2125">
        <f>N1684+Z1684</f>
        <v>3289000</v>
      </c>
      <c r="AC1684" s="2126">
        <f>AA1684/K1684*100</f>
        <v>33.333333333333329</v>
      </c>
      <c r="AD1684" s="389">
        <f>AB1684/L1684*100</f>
        <v>0.74749999999999994</v>
      </c>
      <c r="AE1684" s="616"/>
    </row>
    <row r="1685" spans="1:31" ht="51">
      <c r="A1685" s="497"/>
      <c r="B1685" s="383"/>
      <c r="C1685" s="1935" t="s">
        <v>197</v>
      </c>
      <c r="D1685" s="1236" t="s">
        <v>2558</v>
      </c>
      <c r="E1685" s="1236" t="s">
        <v>107</v>
      </c>
      <c r="F1685" s="1236" t="s">
        <v>66</v>
      </c>
      <c r="G1685" s="1236" t="s">
        <v>167</v>
      </c>
      <c r="H1685" s="1236" t="s">
        <v>2658</v>
      </c>
      <c r="I1685" s="754" t="s">
        <v>2659</v>
      </c>
      <c r="J1685" s="1485" t="s">
        <v>2660</v>
      </c>
      <c r="K1685" s="1952">
        <v>90</v>
      </c>
      <c r="L1685" s="1947">
        <v>440000000</v>
      </c>
      <c r="M1685" s="1939"/>
      <c r="N1685" s="64"/>
      <c r="O1685" s="1952">
        <v>15</v>
      </c>
      <c r="P1685" s="1971">
        <v>45651400</v>
      </c>
      <c r="Q1685" s="1939">
        <v>2</v>
      </c>
      <c r="R1685" s="1940">
        <v>3289000</v>
      </c>
      <c r="S1685" s="64"/>
      <c r="T1685" s="64"/>
      <c r="U1685" s="64"/>
      <c r="V1685" s="64"/>
      <c r="W1685" s="64"/>
      <c r="X1685" s="64"/>
      <c r="Y1685" s="1939">
        <f t="shared" si="351"/>
        <v>2</v>
      </c>
      <c r="Z1685" s="1942">
        <f t="shared" si="351"/>
        <v>3289000</v>
      </c>
      <c r="AA1685" s="1939">
        <f>M1685+Q1685</f>
        <v>2</v>
      </c>
      <c r="AB1685" s="1944">
        <f>N1685+Z1685</f>
        <v>3289000</v>
      </c>
      <c r="AC1685" s="1945">
        <f>AA1685/K1685*100</f>
        <v>2.2222222222222223</v>
      </c>
      <c r="AD1685" s="1946">
        <f>AB1685/L1685*100</f>
        <v>0.74749999999999994</v>
      </c>
      <c r="AE1685" s="64" t="s">
        <v>2616</v>
      </c>
    </row>
    <row r="1686" spans="1:31">
      <c r="A1686" s="4563" t="s">
        <v>2532</v>
      </c>
      <c r="B1686" s="4564"/>
      <c r="C1686" s="4564"/>
      <c r="D1686" s="4564"/>
      <c r="E1686" s="4564"/>
      <c r="F1686" s="4564"/>
      <c r="G1686" s="4564"/>
      <c r="H1686" s="4564"/>
      <c r="I1686" s="4564"/>
      <c r="J1686" s="4564"/>
      <c r="K1686" s="4564"/>
      <c r="L1686" s="4564"/>
      <c r="M1686" s="4564"/>
      <c r="N1686" s="4564"/>
      <c r="O1686" s="4564"/>
      <c r="P1686" s="4564"/>
      <c r="Q1686" s="4564"/>
      <c r="R1686" s="4564"/>
      <c r="S1686" s="4564"/>
      <c r="T1686" s="4564"/>
      <c r="U1686" s="4564"/>
      <c r="V1686" s="4564"/>
      <c r="W1686" s="4564"/>
      <c r="X1686" s="4564"/>
      <c r="Y1686" s="4564"/>
      <c r="Z1686" s="4564"/>
      <c r="AA1686" s="4564"/>
      <c r="AB1686" s="4565"/>
      <c r="AC1686" s="1963">
        <f>AC1685</f>
        <v>2.2222222222222223</v>
      </c>
      <c r="AD1686" s="2032">
        <f>AD1685</f>
        <v>0.74749999999999994</v>
      </c>
      <c r="AE1686" s="64"/>
    </row>
    <row r="1687" spans="1:31">
      <c r="A1687" s="4563" t="s">
        <v>2533</v>
      </c>
      <c r="B1687" s="4564"/>
      <c r="C1687" s="4564"/>
      <c r="D1687" s="4564"/>
      <c r="E1687" s="4564"/>
      <c r="F1687" s="4564"/>
      <c r="G1687" s="4564"/>
      <c r="H1687" s="4564"/>
      <c r="I1687" s="4564"/>
      <c r="J1687" s="4564"/>
      <c r="K1687" s="4564"/>
      <c r="L1687" s="4564"/>
      <c r="M1687" s="4564"/>
      <c r="N1687" s="4564"/>
      <c r="O1687" s="4564"/>
      <c r="P1687" s="4564"/>
      <c r="Q1687" s="4564"/>
      <c r="R1687" s="4564"/>
      <c r="S1687" s="4564"/>
      <c r="T1687" s="4564"/>
      <c r="U1687" s="4564"/>
      <c r="V1687" s="4564"/>
      <c r="W1687" s="4564"/>
      <c r="X1687" s="4564"/>
      <c r="Y1687" s="4564"/>
      <c r="Z1687" s="4564"/>
      <c r="AA1687" s="4564"/>
      <c r="AB1687" s="4565"/>
      <c r="AC1687" s="2026" t="s">
        <v>2534</v>
      </c>
      <c r="AD1687" s="2028" t="s">
        <v>2534</v>
      </c>
      <c r="AE1687" s="64"/>
    </row>
    <row r="1688" spans="1:31">
      <c r="A1688" s="2033"/>
      <c r="B1688" s="2034"/>
      <c r="C1688" s="2034"/>
      <c r="D1688" s="2034"/>
      <c r="E1688" s="2034"/>
      <c r="F1688" s="2034"/>
      <c r="G1688" s="2034"/>
      <c r="H1688" s="2034"/>
      <c r="I1688" s="2034"/>
      <c r="J1688" s="2034"/>
      <c r="K1688" s="2034"/>
      <c r="L1688" s="2034"/>
      <c r="M1688" s="2034"/>
      <c r="N1688" s="2034"/>
      <c r="O1688" s="2034"/>
      <c r="P1688" s="2034"/>
      <c r="Q1688" s="2001"/>
      <c r="R1688" s="2002"/>
      <c r="S1688" s="2035"/>
      <c r="T1688" s="2036"/>
      <c r="U1688" s="2036"/>
      <c r="V1688" s="2036"/>
      <c r="W1688" s="2036"/>
      <c r="X1688" s="2036"/>
      <c r="Y1688" s="2037"/>
      <c r="Z1688" s="2038"/>
      <c r="AA1688" s="2039"/>
      <c r="AB1688" s="2040"/>
      <c r="AC1688" s="2036"/>
      <c r="AD1688" s="2039"/>
      <c r="AE1688" s="2036"/>
    </row>
    <row r="1689" spans="1:31" s="63" customFormat="1" ht="114.75">
      <c r="A1689" s="495">
        <v>17</v>
      </c>
      <c r="B1689" s="344" t="s">
        <v>2611</v>
      </c>
      <c r="C1689" s="1935" t="s">
        <v>66</v>
      </c>
      <c r="D1689" s="1236" t="s">
        <v>2558</v>
      </c>
      <c r="E1689" s="1236" t="s">
        <v>107</v>
      </c>
      <c r="F1689" s="1236" t="s">
        <v>66</v>
      </c>
      <c r="G1689" s="1236" t="s">
        <v>376</v>
      </c>
      <c r="H1689" s="1236"/>
      <c r="I1689" s="383" t="s">
        <v>2661</v>
      </c>
      <c r="J1689" s="1471" t="s">
        <v>2662</v>
      </c>
      <c r="K1689" s="633">
        <v>450</v>
      </c>
      <c r="L1689" s="2125">
        <f>SUM(L1690:L1694)</f>
        <v>5490000000</v>
      </c>
      <c r="M1689" s="633">
        <f>75+75</f>
        <v>150</v>
      </c>
      <c r="N1689" s="2125">
        <f>SUM(N1690:N1694)</f>
        <v>1374303662</v>
      </c>
      <c r="O1689" s="633">
        <v>75</v>
      </c>
      <c r="P1689" s="2123">
        <f>SUM(P1690:P1694)</f>
        <v>312333192.25</v>
      </c>
      <c r="Q1689" s="633">
        <v>50</v>
      </c>
      <c r="R1689" s="2123">
        <f>SUM(R1690:R1694)</f>
        <v>79602700</v>
      </c>
      <c r="S1689" s="616"/>
      <c r="T1689" s="616"/>
      <c r="U1689" s="616"/>
      <c r="V1689" s="616"/>
      <c r="W1689" s="616"/>
      <c r="X1689" s="616"/>
      <c r="Y1689" s="633">
        <f t="shared" ref="Y1689:Z1694" si="352">Q1689</f>
        <v>50</v>
      </c>
      <c r="Z1689" s="1944">
        <f t="shared" si="352"/>
        <v>79602700</v>
      </c>
      <c r="AA1689" s="2129">
        <f t="shared" ref="AA1689:AA1694" si="353">M1689+Q1689</f>
        <v>200</v>
      </c>
      <c r="AB1689" s="1944">
        <f t="shared" ref="AB1689:AB1703" si="354">N1689+Z1689</f>
        <v>1453906362</v>
      </c>
      <c r="AC1689" s="2126">
        <f t="shared" ref="AC1689:AD1703" si="355">AA1689/K1689*100</f>
        <v>44.444444444444443</v>
      </c>
      <c r="AD1689" s="389">
        <f t="shared" si="355"/>
        <v>26.482811693989071</v>
      </c>
      <c r="AE1689" s="616"/>
    </row>
    <row r="1690" spans="1:31" ht="51">
      <c r="A1690" s="497"/>
      <c r="B1690" s="383"/>
      <c r="C1690" s="1935" t="s">
        <v>66</v>
      </c>
      <c r="D1690" s="1236" t="s">
        <v>2558</v>
      </c>
      <c r="E1690" s="1236" t="s">
        <v>107</v>
      </c>
      <c r="F1690" s="1236" t="s">
        <v>66</v>
      </c>
      <c r="G1690" s="1236" t="s">
        <v>376</v>
      </c>
      <c r="H1690" s="1236" t="s">
        <v>376</v>
      </c>
      <c r="I1690" s="2003" t="s">
        <v>2663</v>
      </c>
      <c r="J1690" s="2004" t="s">
        <v>2664</v>
      </c>
      <c r="K1690" s="1938">
        <f>12*6</f>
        <v>72</v>
      </c>
      <c r="L1690" s="1947">
        <v>900000000</v>
      </c>
      <c r="M1690" s="1939">
        <v>24</v>
      </c>
      <c r="N1690" s="1940">
        <f>115713381+134311484</f>
        <v>250024865</v>
      </c>
      <c r="O1690" s="1938">
        <v>12</v>
      </c>
      <c r="P1690" s="1971">
        <v>59829797.75</v>
      </c>
      <c r="Q1690" s="1939">
        <v>3</v>
      </c>
      <c r="R1690" s="1940">
        <v>15991800</v>
      </c>
      <c r="S1690" s="64"/>
      <c r="T1690" s="64"/>
      <c r="U1690" s="64"/>
      <c r="V1690" s="64"/>
      <c r="W1690" s="64"/>
      <c r="X1690" s="64"/>
      <c r="Y1690" s="1939">
        <f t="shared" si="352"/>
        <v>3</v>
      </c>
      <c r="Z1690" s="1942">
        <f t="shared" si="352"/>
        <v>15991800</v>
      </c>
      <c r="AA1690" s="1939">
        <f t="shared" si="353"/>
        <v>27</v>
      </c>
      <c r="AB1690" s="1944">
        <f t="shared" si="354"/>
        <v>266016665</v>
      </c>
      <c r="AC1690" s="1945">
        <f t="shared" si="355"/>
        <v>37.5</v>
      </c>
      <c r="AD1690" s="1946">
        <f t="shared" si="355"/>
        <v>29.557407222222221</v>
      </c>
      <c r="AE1690" s="64" t="s">
        <v>2665</v>
      </c>
    </row>
    <row r="1691" spans="1:31" ht="76.5">
      <c r="A1691" s="497"/>
      <c r="B1691" s="383"/>
      <c r="C1691" s="1935" t="s">
        <v>66</v>
      </c>
      <c r="D1691" s="1236" t="s">
        <v>2558</v>
      </c>
      <c r="E1691" s="1236" t="s">
        <v>107</v>
      </c>
      <c r="F1691" s="1236" t="s">
        <v>66</v>
      </c>
      <c r="G1691" s="1236" t="s">
        <v>376</v>
      </c>
      <c r="H1691" s="1236" t="s">
        <v>363</v>
      </c>
      <c r="I1691" s="741" t="s">
        <v>2666</v>
      </c>
      <c r="J1691" s="1485" t="s">
        <v>2667</v>
      </c>
      <c r="K1691" s="1938">
        <v>24</v>
      </c>
      <c r="L1691" s="1947">
        <v>730000000</v>
      </c>
      <c r="M1691" s="1939">
        <v>8</v>
      </c>
      <c r="N1691" s="1940">
        <f>62549618+54806400</f>
        <v>117356018</v>
      </c>
      <c r="O1691" s="1938">
        <v>4</v>
      </c>
      <c r="P1691" s="1971">
        <v>72959900</v>
      </c>
      <c r="Q1691" s="1939">
        <v>1</v>
      </c>
      <c r="R1691" s="1940">
        <v>9834700</v>
      </c>
      <c r="S1691" s="64"/>
      <c r="T1691" s="64"/>
      <c r="U1691" s="64"/>
      <c r="V1691" s="64"/>
      <c r="W1691" s="64"/>
      <c r="X1691" s="64"/>
      <c r="Y1691" s="1939">
        <f t="shared" si="352"/>
        <v>1</v>
      </c>
      <c r="Z1691" s="1942">
        <f t="shared" si="352"/>
        <v>9834700</v>
      </c>
      <c r="AA1691" s="1939">
        <f t="shared" si="353"/>
        <v>9</v>
      </c>
      <c r="AB1691" s="1944">
        <f t="shared" si="354"/>
        <v>127190718</v>
      </c>
      <c r="AC1691" s="1945">
        <f t="shared" si="355"/>
        <v>37.5</v>
      </c>
      <c r="AD1691" s="1946">
        <f t="shared" si="355"/>
        <v>17.42338602739726</v>
      </c>
      <c r="AE1691" s="754" t="s">
        <v>2668</v>
      </c>
    </row>
    <row r="1692" spans="1:31" ht="25.5">
      <c r="A1692" s="497"/>
      <c r="B1692" s="383"/>
      <c r="C1692" s="1935" t="s">
        <v>66</v>
      </c>
      <c r="D1692" s="1236" t="s">
        <v>2558</v>
      </c>
      <c r="E1692" s="1236" t="s">
        <v>107</v>
      </c>
      <c r="F1692" s="1236" t="s">
        <v>66</v>
      </c>
      <c r="G1692" s="1236" t="s">
        <v>376</v>
      </c>
      <c r="H1692" s="1236" t="s">
        <v>178</v>
      </c>
      <c r="I1692" s="2003" t="s">
        <v>2669</v>
      </c>
      <c r="J1692" s="1958" t="s">
        <v>2670</v>
      </c>
      <c r="K1692" s="1952">
        <v>72</v>
      </c>
      <c r="L1692" s="1947">
        <v>2060000000</v>
      </c>
      <c r="M1692" s="1939">
        <v>24</v>
      </c>
      <c r="N1692" s="1940">
        <f>260880650+234037920</f>
        <v>494918570</v>
      </c>
      <c r="O1692" s="1952">
        <v>12</v>
      </c>
      <c r="P1692" s="1971">
        <v>59839474.5</v>
      </c>
      <c r="Q1692" s="1939">
        <v>3</v>
      </c>
      <c r="R1692" s="1940">
        <v>30398000</v>
      </c>
      <c r="S1692" s="64"/>
      <c r="T1692" s="64"/>
      <c r="U1692" s="64"/>
      <c r="V1692" s="64"/>
      <c r="W1692" s="64"/>
      <c r="X1692" s="64"/>
      <c r="Y1692" s="1939">
        <f t="shared" si="352"/>
        <v>3</v>
      </c>
      <c r="Z1692" s="1942">
        <f t="shared" si="352"/>
        <v>30398000</v>
      </c>
      <c r="AA1692" s="1939">
        <f t="shared" si="353"/>
        <v>27</v>
      </c>
      <c r="AB1692" s="1944">
        <f t="shared" si="354"/>
        <v>525316570</v>
      </c>
      <c r="AC1692" s="1945">
        <f t="shared" si="355"/>
        <v>37.5</v>
      </c>
      <c r="AD1692" s="1946">
        <f t="shared" si="355"/>
        <v>25.500804368932041</v>
      </c>
      <c r="AE1692" s="64" t="s">
        <v>2671</v>
      </c>
    </row>
    <row r="1693" spans="1:31" ht="38.25">
      <c r="A1693" s="497"/>
      <c r="B1693" s="383"/>
      <c r="C1693" s="1935" t="s">
        <v>66</v>
      </c>
      <c r="D1693" s="1236" t="s">
        <v>2558</v>
      </c>
      <c r="E1693" s="1236" t="s">
        <v>107</v>
      </c>
      <c r="F1693" s="1236" t="s">
        <v>66</v>
      </c>
      <c r="G1693" s="1236" t="s">
        <v>376</v>
      </c>
      <c r="H1693" s="1236" t="s">
        <v>368</v>
      </c>
      <c r="I1693" s="2003" t="s">
        <v>2672</v>
      </c>
      <c r="J1693" s="2004" t="s">
        <v>2673</v>
      </c>
      <c r="K1693" s="1938">
        <v>72</v>
      </c>
      <c r="L1693" s="1947">
        <v>900000000</v>
      </c>
      <c r="M1693" s="1939">
        <v>24</v>
      </c>
      <c r="N1693" s="1940">
        <f>111455774+137666254</f>
        <v>249122028</v>
      </c>
      <c r="O1693" s="1938">
        <v>12</v>
      </c>
      <c r="P1693" s="1971">
        <v>59855384</v>
      </c>
      <c r="Q1693" s="1939">
        <v>3</v>
      </c>
      <c r="R1693" s="1940">
        <v>2964200</v>
      </c>
      <c r="S1693" s="64"/>
      <c r="T1693" s="64"/>
      <c r="U1693" s="64"/>
      <c r="V1693" s="64"/>
      <c r="W1693" s="64"/>
      <c r="X1693" s="64"/>
      <c r="Y1693" s="1939">
        <f t="shared" si="352"/>
        <v>3</v>
      </c>
      <c r="Z1693" s="1942">
        <f t="shared" si="352"/>
        <v>2964200</v>
      </c>
      <c r="AA1693" s="1939">
        <f t="shared" si="353"/>
        <v>27</v>
      </c>
      <c r="AB1693" s="1944">
        <f t="shared" si="354"/>
        <v>252086228</v>
      </c>
      <c r="AC1693" s="1945">
        <f t="shared" si="355"/>
        <v>37.5</v>
      </c>
      <c r="AD1693" s="1946">
        <f t="shared" si="355"/>
        <v>28.009580888888891</v>
      </c>
      <c r="AE1693" s="64" t="s">
        <v>2674</v>
      </c>
    </row>
    <row r="1694" spans="1:31" ht="63.75">
      <c r="A1694" s="497"/>
      <c r="B1694" s="383"/>
      <c r="C1694" s="1935" t="s">
        <v>66</v>
      </c>
      <c r="D1694" s="1236" t="s">
        <v>2558</v>
      </c>
      <c r="E1694" s="1236" t="s">
        <v>107</v>
      </c>
      <c r="F1694" s="1236" t="s">
        <v>66</v>
      </c>
      <c r="G1694" s="1236" t="s">
        <v>376</v>
      </c>
      <c r="H1694" s="1236" t="s">
        <v>373</v>
      </c>
      <c r="I1694" s="2003" t="s">
        <v>2675</v>
      </c>
      <c r="J1694" s="2004" t="s">
        <v>2676</v>
      </c>
      <c r="K1694" s="1938">
        <v>72</v>
      </c>
      <c r="L1694" s="1938">
        <v>900000000</v>
      </c>
      <c r="M1694" s="1939">
        <v>24</v>
      </c>
      <c r="N1694" s="1940">
        <f>125581620+137300561</f>
        <v>262882181</v>
      </c>
      <c r="O1694" s="1938">
        <v>12</v>
      </c>
      <c r="P1694" s="1971">
        <v>59848636</v>
      </c>
      <c r="Q1694" s="1939">
        <v>3</v>
      </c>
      <c r="R1694" s="1940">
        <v>20414000</v>
      </c>
      <c r="S1694" s="64"/>
      <c r="T1694" s="64"/>
      <c r="U1694" s="64"/>
      <c r="V1694" s="64"/>
      <c r="W1694" s="64"/>
      <c r="X1694" s="64"/>
      <c r="Y1694" s="1939">
        <f t="shared" si="352"/>
        <v>3</v>
      </c>
      <c r="Z1694" s="1942">
        <f t="shared" si="352"/>
        <v>20414000</v>
      </c>
      <c r="AA1694" s="1939">
        <f t="shared" si="353"/>
        <v>27</v>
      </c>
      <c r="AB1694" s="1944">
        <f t="shared" si="354"/>
        <v>283296181</v>
      </c>
      <c r="AC1694" s="1945">
        <f t="shared" si="355"/>
        <v>37.5</v>
      </c>
      <c r="AD1694" s="1946">
        <f t="shared" si="355"/>
        <v>31.477353444444446</v>
      </c>
      <c r="AE1694" s="64" t="s">
        <v>2677</v>
      </c>
    </row>
    <row r="1695" spans="1:31" s="63" customFormat="1" ht="63.75">
      <c r="A1695" s="495">
        <v>18</v>
      </c>
      <c r="B1695" s="344" t="s">
        <v>2678</v>
      </c>
      <c r="C1695" s="1935" t="s">
        <v>66</v>
      </c>
      <c r="D1695" s="1236" t="s">
        <v>2558</v>
      </c>
      <c r="E1695" s="1236" t="s">
        <v>107</v>
      </c>
      <c r="F1695" s="1236" t="s">
        <v>66</v>
      </c>
      <c r="G1695" s="1236" t="s">
        <v>163</v>
      </c>
      <c r="H1695" s="1236"/>
      <c r="I1695" s="2134" t="s">
        <v>2679</v>
      </c>
      <c r="J1695" s="1471" t="s">
        <v>2680</v>
      </c>
      <c r="K1695" s="2131">
        <v>564</v>
      </c>
      <c r="L1695" s="2125">
        <f>L1697+L1698+L1699+L1700+L1701+L1702+L1703</f>
        <v>4990593573</v>
      </c>
      <c r="M1695" s="633">
        <f>92+92</f>
        <v>184</v>
      </c>
      <c r="N1695" s="2125">
        <f>N1697+N1698+N1699+N1700+N1701+N1702+N1703</f>
        <v>659265875</v>
      </c>
      <c r="O1695" s="633">
        <v>95</v>
      </c>
      <c r="P1695" s="2125">
        <f>P1697+P1698+P1699+P1700+P1701+P1702+P1703</f>
        <v>670922559.25</v>
      </c>
      <c r="Q1695" s="633">
        <v>35</v>
      </c>
      <c r="R1695" s="2125">
        <f>R1697+R1698+R1699+R1700+R1701+R1702+R1703</f>
        <v>45773100</v>
      </c>
      <c r="S1695" s="616"/>
      <c r="T1695" s="616"/>
      <c r="U1695" s="616"/>
      <c r="V1695" s="616"/>
      <c r="W1695" s="616"/>
      <c r="X1695" s="616"/>
      <c r="Y1695" s="633">
        <f>Q1695</f>
        <v>35</v>
      </c>
      <c r="Z1695" s="2125">
        <f>R1695</f>
        <v>45773100</v>
      </c>
      <c r="AA1695" s="633">
        <f>M1695+Q1695</f>
        <v>219</v>
      </c>
      <c r="AB1695" s="2125">
        <f t="shared" si="354"/>
        <v>705038975</v>
      </c>
      <c r="AC1695" s="2132">
        <f t="shared" si="355"/>
        <v>38.829787234042549</v>
      </c>
      <c r="AD1695" s="493">
        <f t="shared" si="355"/>
        <v>14.127357090635199</v>
      </c>
      <c r="AE1695" s="616"/>
    </row>
    <row r="1696" spans="1:31" s="63" customFormat="1" ht="63.75">
      <c r="A1696" s="497"/>
      <c r="B1696" s="383"/>
      <c r="C1696" s="1236"/>
      <c r="D1696" s="1236"/>
      <c r="E1696" s="1236"/>
      <c r="F1696" s="1236"/>
      <c r="G1696" s="1236"/>
      <c r="H1696" s="1236"/>
      <c r="I1696" s="2134"/>
      <c r="J1696" s="1471" t="s">
        <v>2681</v>
      </c>
      <c r="K1696" s="2131">
        <v>195</v>
      </c>
      <c r="L1696" s="616"/>
      <c r="M1696" s="633">
        <v>45</v>
      </c>
      <c r="N1696" s="616"/>
      <c r="O1696" s="633">
        <v>35</v>
      </c>
      <c r="P1696" s="2125"/>
      <c r="Q1696" s="616">
        <v>35</v>
      </c>
      <c r="R1696" s="2125"/>
      <c r="S1696" s="616"/>
      <c r="T1696" s="616"/>
      <c r="U1696" s="616"/>
      <c r="V1696" s="616"/>
      <c r="W1696" s="616"/>
      <c r="X1696" s="616"/>
      <c r="Y1696" s="633">
        <f t="shared" ref="Y1696:Z1703" si="356">Q1696</f>
        <v>35</v>
      </c>
      <c r="Z1696" s="616"/>
      <c r="AA1696" s="633">
        <f>M1696+Q1696</f>
        <v>80</v>
      </c>
      <c r="AB1696" s="1944">
        <f t="shared" si="354"/>
        <v>0</v>
      </c>
      <c r="AC1696" s="2132">
        <f t="shared" si="355"/>
        <v>41.025641025641022</v>
      </c>
      <c r="AD1696" s="493"/>
      <c r="AE1696" s="616"/>
    </row>
    <row r="1697" spans="1:31" ht="63.75">
      <c r="A1697" s="497"/>
      <c r="B1697" s="383"/>
      <c r="C1697" s="1935" t="s">
        <v>66</v>
      </c>
      <c r="D1697" s="1236" t="s">
        <v>2558</v>
      </c>
      <c r="E1697" s="1236" t="s">
        <v>107</v>
      </c>
      <c r="F1697" s="1236" t="s">
        <v>66</v>
      </c>
      <c r="G1697" s="1236" t="s">
        <v>163</v>
      </c>
      <c r="H1697" s="1236" t="s">
        <v>65</v>
      </c>
      <c r="I1697" s="741" t="s">
        <v>2682</v>
      </c>
      <c r="J1697" s="1485" t="s">
        <v>2683</v>
      </c>
      <c r="K1697" s="1952">
        <f>150*4+12</f>
        <v>612</v>
      </c>
      <c r="L1697" s="1947">
        <v>685000000</v>
      </c>
      <c r="M1697" s="1939">
        <f>12+150</f>
        <v>162</v>
      </c>
      <c r="N1697" s="1940">
        <v>79120958</v>
      </c>
      <c r="O1697" s="1952">
        <v>150</v>
      </c>
      <c r="P1697" s="1940">
        <v>180225444.5</v>
      </c>
      <c r="Q1697" s="1939">
        <v>80</v>
      </c>
      <c r="R1697" s="1940">
        <v>5660100</v>
      </c>
      <c r="S1697" s="64"/>
      <c r="T1697" s="64"/>
      <c r="U1697" s="64"/>
      <c r="V1697" s="64"/>
      <c r="W1697" s="64"/>
      <c r="X1697" s="64"/>
      <c r="Y1697" s="1939">
        <f t="shared" si="356"/>
        <v>80</v>
      </c>
      <c r="Z1697" s="1942">
        <f t="shared" si="356"/>
        <v>5660100</v>
      </c>
      <c r="AA1697" s="1939">
        <f t="shared" ref="AA1697:AA1703" si="357">M1697+Q1697</f>
        <v>242</v>
      </c>
      <c r="AB1697" s="1944">
        <f t="shared" si="354"/>
        <v>84781058</v>
      </c>
      <c r="AC1697" s="1945">
        <f t="shared" si="355"/>
        <v>39.542483660130721</v>
      </c>
      <c r="AD1697" s="1946">
        <f t="shared" si="355"/>
        <v>12.376796788321167</v>
      </c>
      <c r="AE1697" s="754" t="s">
        <v>2684</v>
      </c>
    </row>
    <row r="1698" spans="1:31" ht="51">
      <c r="A1698" s="497"/>
      <c r="B1698" s="383"/>
      <c r="C1698" s="1935" t="s">
        <v>66</v>
      </c>
      <c r="D1698" s="1236" t="s">
        <v>2558</v>
      </c>
      <c r="E1698" s="1236" t="s">
        <v>107</v>
      </c>
      <c r="F1698" s="1236" t="s">
        <v>66</v>
      </c>
      <c r="G1698" s="1236" t="s">
        <v>163</v>
      </c>
      <c r="H1698" s="1236" t="s">
        <v>95</v>
      </c>
      <c r="I1698" s="1936" t="s">
        <v>2685</v>
      </c>
      <c r="J1698" s="741" t="s">
        <v>2686</v>
      </c>
      <c r="K1698" s="1938">
        <v>144</v>
      </c>
      <c r="L1698" s="1947">
        <v>439750000</v>
      </c>
      <c r="M1698" s="1939">
        <v>24</v>
      </c>
      <c r="N1698" s="1940">
        <f>26230000+28641800</f>
        <v>54871800</v>
      </c>
      <c r="O1698" s="1938">
        <v>24</v>
      </c>
      <c r="P1698" s="1940">
        <v>16348950</v>
      </c>
      <c r="Q1698" s="1939">
        <v>1</v>
      </c>
      <c r="R1698" s="1940">
        <v>1012000</v>
      </c>
      <c r="S1698" s="64"/>
      <c r="T1698" s="64"/>
      <c r="U1698" s="64"/>
      <c r="V1698" s="64"/>
      <c r="W1698" s="64"/>
      <c r="X1698" s="64"/>
      <c r="Y1698" s="1939">
        <f t="shared" si="356"/>
        <v>1</v>
      </c>
      <c r="Z1698" s="1942">
        <f t="shared" si="356"/>
        <v>1012000</v>
      </c>
      <c r="AA1698" s="1939">
        <f t="shared" si="357"/>
        <v>25</v>
      </c>
      <c r="AB1698" s="1944">
        <f t="shared" si="354"/>
        <v>55883800</v>
      </c>
      <c r="AC1698" s="1945">
        <f t="shared" si="355"/>
        <v>17.361111111111111</v>
      </c>
      <c r="AD1698" s="1946">
        <f t="shared" si="355"/>
        <v>12.708084138715178</v>
      </c>
      <c r="AE1698" s="754" t="s">
        <v>2687</v>
      </c>
    </row>
    <row r="1699" spans="1:31" ht="89.25">
      <c r="A1699" s="497"/>
      <c r="B1699" s="383"/>
      <c r="C1699" s="1935" t="s">
        <v>66</v>
      </c>
      <c r="D1699" s="1236" t="s">
        <v>2558</v>
      </c>
      <c r="E1699" s="1236" t="s">
        <v>107</v>
      </c>
      <c r="F1699" s="1236" t="s">
        <v>66</v>
      </c>
      <c r="G1699" s="1236" t="s">
        <v>163</v>
      </c>
      <c r="H1699" s="1236" t="s">
        <v>198</v>
      </c>
      <c r="I1699" s="741" t="s">
        <v>2688</v>
      </c>
      <c r="J1699" s="2005" t="s">
        <v>2689</v>
      </c>
      <c r="K1699" s="1938">
        <f>45*3</f>
        <v>135</v>
      </c>
      <c r="L1699" s="1947">
        <v>745843573</v>
      </c>
      <c r="M1699" s="1939">
        <f>45*2</f>
        <v>90</v>
      </c>
      <c r="N1699" s="1940">
        <f>219259400+195485430</f>
        <v>414744830</v>
      </c>
      <c r="O1699" s="2006">
        <v>45</v>
      </c>
      <c r="P1699" s="1940">
        <v>182254697.75</v>
      </c>
      <c r="Q1699" s="1939">
        <v>45</v>
      </c>
      <c r="R1699" s="1940">
        <v>13693000</v>
      </c>
      <c r="S1699" s="64"/>
      <c r="T1699" s="64"/>
      <c r="U1699" s="64"/>
      <c r="V1699" s="64"/>
      <c r="W1699" s="64"/>
      <c r="X1699" s="64"/>
      <c r="Y1699" s="1939">
        <f t="shared" si="356"/>
        <v>45</v>
      </c>
      <c r="Z1699" s="1942">
        <f t="shared" si="356"/>
        <v>13693000</v>
      </c>
      <c r="AA1699" s="1939">
        <f t="shared" si="357"/>
        <v>135</v>
      </c>
      <c r="AB1699" s="1944">
        <f t="shared" si="354"/>
        <v>428437830</v>
      </c>
      <c r="AC1699" s="1939">
        <f t="shared" si="355"/>
        <v>100</v>
      </c>
      <c r="AD1699" s="2041">
        <f t="shared" si="355"/>
        <v>57.443389674419031</v>
      </c>
      <c r="AE1699" s="754" t="s">
        <v>2687</v>
      </c>
    </row>
    <row r="1700" spans="1:31" ht="25.5">
      <c r="A1700" s="497"/>
      <c r="B1700" s="383"/>
      <c r="C1700" s="1935" t="s">
        <v>66</v>
      </c>
      <c r="D1700" s="1236" t="s">
        <v>2558</v>
      </c>
      <c r="E1700" s="1236" t="s">
        <v>107</v>
      </c>
      <c r="F1700" s="1236" t="s">
        <v>66</v>
      </c>
      <c r="G1700" s="1236" t="s">
        <v>163</v>
      </c>
      <c r="H1700" s="1236" t="s">
        <v>93</v>
      </c>
      <c r="I1700" s="754" t="s">
        <v>2690</v>
      </c>
      <c r="J1700" s="1485" t="s">
        <v>2691</v>
      </c>
      <c r="K1700" s="1952">
        <v>725</v>
      </c>
      <c r="L1700" s="1947">
        <v>1025000000</v>
      </c>
      <c r="M1700" s="1939"/>
      <c r="N1700" s="64"/>
      <c r="O1700" s="1952">
        <v>150</v>
      </c>
      <c r="P1700" s="1940">
        <v>118175411</v>
      </c>
      <c r="Q1700" s="1939">
        <v>80</v>
      </c>
      <c r="R1700" s="1940">
        <v>18162600</v>
      </c>
      <c r="S1700" s="64"/>
      <c r="T1700" s="64"/>
      <c r="U1700" s="64"/>
      <c r="V1700" s="64"/>
      <c r="W1700" s="64"/>
      <c r="X1700" s="64"/>
      <c r="Y1700" s="1939">
        <f t="shared" si="356"/>
        <v>80</v>
      </c>
      <c r="Z1700" s="1942">
        <f t="shared" si="356"/>
        <v>18162600</v>
      </c>
      <c r="AA1700" s="1939">
        <f t="shared" si="357"/>
        <v>80</v>
      </c>
      <c r="AB1700" s="1944">
        <f t="shared" si="354"/>
        <v>18162600</v>
      </c>
      <c r="AC1700" s="1939">
        <f t="shared" si="355"/>
        <v>11.03448275862069</v>
      </c>
      <c r="AD1700" s="2041">
        <f t="shared" si="355"/>
        <v>1.7719609756097561</v>
      </c>
      <c r="AE1700" s="754" t="s">
        <v>2684</v>
      </c>
    </row>
    <row r="1701" spans="1:31" ht="51">
      <c r="A1701" s="497"/>
      <c r="B1701" s="383"/>
      <c r="C1701" s="1935" t="s">
        <v>66</v>
      </c>
      <c r="D1701" s="1236" t="s">
        <v>2558</v>
      </c>
      <c r="E1701" s="1236" t="s">
        <v>107</v>
      </c>
      <c r="F1701" s="1236" t="s">
        <v>66</v>
      </c>
      <c r="G1701" s="1236" t="s">
        <v>163</v>
      </c>
      <c r="H1701" s="1236" t="s">
        <v>417</v>
      </c>
      <c r="I1701" s="754" t="s">
        <v>2692</v>
      </c>
      <c r="J1701" s="1485" t="s">
        <v>2693</v>
      </c>
      <c r="K1701" s="1952">
        <v>4</v>
      </c>
      <c r="L1701" s="1947">
        <v>470000000</v>
      </c>
      <c r="M1701" s="1939"/>
      <c r="N1701" s="64"/>
      <c r="O1701" s="1952">
        <v>1</v>
      </c>
      <c r="P1701" s="1940">
        <v>50675521.5</v>
      </c>
      <c r="Q1701" s="1959"/>
      <c r="R1701" s="1940">
        <v>1267700</v>
      </c>
      <c r="S1701" s="64"/>
      <c r="T1701" s="64"/>
      <c r="U1701" s="64"/>
      <c r="V1701" s="64"/>
      <c r="W1701" s="64"/>
      <c r="X1701" s="64"/>
      <c r="Y1701" s="1959">
        <f t="shared" si="356"/>
        <v>0</v>
      </c>
      <c r="Z1701" s="1942">
        <f t="shared" si="356"/>
        <v>1267700</v>
      </c>
      <c r="AA1701" s="1939">
        <f t="shared" si="357"/>
        <v>0</v>
      </c>
      <c r="AB1701" s="1944">
        <f t="shared" si="354"/>
        <v>1267700</v>
      </c>
      <c r="AC1701" s="1939">
        <f t="shared" si="355"/>
        <v>0</v>
      </c>
      <c r="AD1701" s="2041">
        <f t="shared" si="355"/>
        <v>0.26972340425531915</v>
      </c>
      <c r="AE1701" s="754" t="s">
        <v>2684</v>
      </c>
    </row>
    <row r="1702" spans="1:31" ht="38.25">
      <c r="A1702" s="497"/>
      <c r="B1702" s="383"/>
      <c r="C1702" s="1935" t="s">
        <v>66</v>
      </c>
      <c r="D1702" s="1236" t="s">
        <v>2558</v>
      </c>
      <c r="E1702" s="1236" t="s">
        <v>107</v>
      </c>
      <c r="F1702" s="1236" t="s">
        <v>66</v>
      </c>
      <c r="G1702" s="1236" t="s">
        <v>163</v>
      </c>
      <c r="H1702" s="1236" t="s">
        <v>160</v>
      </c>
      <c r="I1702" s="754" t="s">
        <v>2694</v>
      </c>
      <c r="J1702" s="1485" t="s">
        <v>2695</v>
      </c>
      <c r="K1702" s="1938">
        <v>90</v>
      </c>
      <c r="L1702" s="1947">
        <v>805000000</v>
      </c>
      <c r="M1702" s="1939">
        <v>15</v>
      </c>
      <c r="N1702" s="1940">
        <v>110528287</v>
      </c>
      <c r="O1702" s="1938">
        <v>15</v>
      </c>
      <c r="P1702" s="1940">
        <v>83475552.5</v>
      </c>
      <c r="Q1702" s="1959"/>
      <c r="R1702" s="1940">
        <v>4250100</v>
      </c>
      <c r="S1702" s="64"/>
      <c r="T1702" s="64"/>
      <c r="U1702" s="64"/>
      <c r="V1702" s="64"/>
      <c r="W1702" s="64"/>
      <c r="X1702" s="64"/>
      <c r="Y1702" s="1959">
        <f t="shared" si="356"/>
        <v>0</v>
      </c>
      <c r="Z1702" s="1942">
        <f t="shared" si="356"/>
        <v>4250100</v>
      </c>
      <c r="AA1702" s="1939">
        <f t="shared" si="357"/>
        <v>15</v>
      </c>
      <c r="AB1702" s="1944">
        <f t="shared" si="354"/>
        <v>114778387</v>
      </c>
      <c r="AC1702" s="1939">
        <f t="shared" si="355"/>
        <v>16.666666666666664</v>
      </c>
      <c r="AD1702" s="2041">
        <f t="shared" si="355"/>
        <v>14.258184720496894</v>
      </c>
      <c r="AE1702" s="754" t="s">
        <v>2684</v>
      </c>
    </row>
    <row r="1703" spans="1:31" ht="51">
      <c r="A1703" s="497"/>
      <c r="B1703" s="383"/>
      <c r="C1703" s="1935" t="s">
        <v>66</v>
      </c>
      <c r="D1703" s="1236" t="s">
        <v>2558</v>
      </c>
      <c r="E1703" s="1236" t="s">
        <v>107</v>
      </c>
      <c r="F1703" s="1236" t="s">
        <v>66</v>
      </c>
      <c r="G1703" s="1236" t="s">
        <v>163</v>
      </c>
      <c r="H1703" s="1236" t="s">
        <v>391</v>
      </c>
      <c r="I1703" s="384" t="s">
        <v>2696</v>
      </c>
      <c r="J1703" s="1485" t="s">
        <v>2697</v>
      </c>
      <c r="K1703" s="1952">
        <v>9</v>
      </c>
      <c r="L1703" s="1947">
        <v>820000000</v>
      </c>
      <c r="M1703" s="1939">
        <v>0</v>
      </c>
      <c r="N1703" s="64"/>
      <c r="O1703" s="1952">
        <v>1</v>
      </c>
      <c r="P1703" s="1940">
        <v>39766982</v>
      </c>
      <c r="Q1703" s="1959"/>
      <c r="R1703" s="1940">
        <v>1727600</v>
      </c>
      <c r="S1703" s="64"/>
      <c r="T1703" s="64"/>
      <c r="U1703" s="64"/>
      <c r="V1703" s="64"/>
      <c r="W1703" s="64"/>
      <c r="X1703" s="64"/>
      <c r="Y1703" s="1959">
        <f t="shared" si="356"/>
        <v>0</v>
      </c>
      <c r="Z1703" s="1942">
        <f t="shared" si="356"/>
        <v>1727600</v>
      </c>
      <c r="AA1703" s="1939">
        <f t="shared" si="357"/>
        <v>0</v>
      </c>
      <c r="AB1703" s="1944">
        <f t="shared" si="354"/>
        <v>1727600</v>
      </c>
      <c r="AC1703" s="1939">
        <f t="shared" si="355"/>
        <v>0</v>
      </c>
      <c r="AD1703" s="2041">
        <f t="shared" si="355"/>
        <v>0.21068292682926829</v>
      </c>
      <c r="AE1703" s="754" t="s">
        <v>2684</v>
      </c>
    </row>
    <row r="1704" spans="1:31">
      <c r="A1704" s="4563" t="s">
        <v>2532</v>
      </c>
      <c r="B1704" s="4564"/>
      <c r="C1704" s="4564"/>
      <c r="D1704" s="4564"/>
      <c r="E1704" s="4564"/>
      <c r="F1704" s="4564"/>
      <c r="G1704" s="4564"/>
      <c r="H1704" s="4564"/>
      <c r="I1704" s="4564"/>
      <c r="J1704" s="4564"/>
      <c r="K1704" s="4564"/>
      <c r="L1704" s="4564"/>
      <c r="M1704" s="4564"/>
      <c r="N1704" s="4564"/>
      <c r="O1704" s="4564"/>
      <c r="P1704" s="4564"/>
      <c r="Q1704" s="4564"/>
      <c r="R1704" s="4564"/>
      <c r="S1704" s="4564"/>
      <c r="T1704" s="4564"/>
      <c r="U1704" s="4564"/>
      <c r="V1704" s="4564"/>
      <c r="W1704" s="4564"/>
      <c r="X1704" s="4564"/>
      <c r="Y1704" s="4564"/>
      <c r="Z1704" s="4564"/>
      <c r="AA1704" s="4564"/>
      <c r="AB1704" s="4565"/>
      <c r="AC1704" s="2031">
        <f>SUM(AC1697:AC1703)/7</f>
        <v>26.372106313789885</v>
      </c>
      <c r="AD1704" s="2031">
        <f>SUM(AD1697:AD1703)/7</f>
        <v>14.148403232663801</v>
      </c>
      <c r="AE1704" s="64"/>
    </row>
    <row r="1705" spans="1:31">
      <c r="A1705" s="4563" t="s">
        <v>2533</v>
      </c>
      <c r="B1705" s="4564"/>
      <c r="C1705" s="4564"/>
      <c r="D1705" s="4564"/>
      <c r="E1705" s="4564"/>
      <c r="F1705" s="4564"/>
      <c r="G1705" s="4564"/>
      <c r="H1705" s="4564"/>
      <c r="I1705" s="4564"/>
      <c r="J1705" s="4564"/>
      <c r="K1705" s="4564"/>
      <c r="L1705" s="4564"/>
      <c r="M1705" s="4564"/>
      <c r="N1705" s="4564"/>
      <c r="O1705" s="4564"/>
      <c r="P1705" s="4564"/>
      <c r="Q1705" s="4564"/>
      <c r="R1705" s="4564"/>
      <c r="S1705" s="4564"/>
      <c r="T1705" s="4564"/>
      <c r="U1705" s="4564"/>
      <c r="V1705" s="4564"/>
      <c r="W1705" s="4564"/>
      <c r="X1705" s="4564"/>
      <c r="Y1705" s="4564"/>
      <c r="Z1705" s="4564"/>
      <c r="AA1705" s="4564"/>
      <c r="AB1705" s="4565"/>
      <c r="AC1705" s="2026" t="s">
        <v>2534</v>
      </c>
      <c r="AD1705" s="2026" t="s">
        <v>2534</v>
      </c>
      <c r="AE1705" s="64"/>
    </row>
    <row r="1706" spans="1:31" s="63" customFormat="1" ht="114.75">
      <c r="A1706" s="495">
        <v>19</v>
      </c>
      <c r="B1706" s="344" t="s">
        <v>2611</v>
      </c>
      <c r="C1706" s="1935" t="s">
        <v>65</v>
      </c>
      <c r="D1706" s="1236" t="s">
        <v>2558</v>
      </c>
      <c r="E1706" s="1236" t="s">
        <v>107</v>
      </c>
      <c r="F1706" s="1236" t="s">
        <v>66</v>
      </c>
      <c r="G1706" s="1236" t="s">
        <v>163</v>
      </c>
      <c r="H1706" s="1236"/>
      <c r="I1706" s="383" t="s">
        <v>2698</v>
      </c>
      <c r="J1706" s="1471" t="s">
        <v>2699</v>
      </c>
      <c r="K1706" s="2131">
        <v>270</v>
      </c>
      <c r="L1706" s="2120">
        <f>L1707+L1708</f>
        <v>356000000</v>
      </c>
      <c r="M1706" s="633">
        <f>85+90</f>
        <v>175</v>
      </c>
      <c r="N1706" s="2125">
        <f>N1707+N1708</f>
        <v>146372221</v>
      </c>
      <c r="O1706" s="2131">
        <v>95</v>
      </c>
      <c r="P1706" s="2135">
        <f>P1707+P1708</f>
        <v>196912500</v>
      </c>
      <c r="Q1706" s="633">
        <v>30</v>
      </c>
      <c r="R1706" s="2125">
        <f>R1708</f>
        <v>12343700</v>
      </c>
      <c r="S1706" s="616"/>
      <c r="T1706" s="616"/>
      <c r="U1706" s="616"/>
      <c r="V1706" s="616"/>
      <c r="W1706" s="616"/>
      <c r="X1706" s="616"/>
      <c r="Y1706" s="633">
        <f t="shared" ref="Y1706:Z1708" si="358">Q1706</f>
        <v>30</v>
      </c>
      <c r="Z1706" s="2125">
        <f t="shared" si="358"/>
        <v>12343700</v>
      </c>
      <c r="AA1706" s="633">
        <f>M1706+Q1706</f>
        <v>205</v>
      </c>
      <c r="AB1706" s="2125">
        <f>N1706+Z1706</f>
        <v>158715921</v>
      </c>
      <c r="AC1706" s="2129">
        <f t="shared" ref="AC1706:AD1708" si="359">AA1706/K1706*100</f>
        <v>75.925925925925924</v>
      </c>
      <c r="AD1706" s="2136">
        <f t="shared" si="359"/>
        <v>44.583123876404493</v>
      </c>
      <c r="AE1706" s="616"/>
    </row>
    <row r="1707" spans="1:31" ht="25.5">
      <c r="A1707" s="497"/>
      <c r="B1707" s="383"/>
      <c r="C1707" s="1935" t="s">
        <v>65</v>
      </c>
      <c r="D1707" s="1236" t="s">
        <v>2558</v>
      </c>
      <c r="E1707" s="1236" t="s">
        <v>107</v>
      </c>
      <c r="F1707" s="1236" t="s">
        <v>66</v>
      </c>
      <c r="G1707" s="1236" t="s">
        <v>163</v>
      </c>
      <c r="H1707" s="1236" t="s">
        <v>165</v>
      </c>
      <c r="I1707" s="754" t="s">
        <v>2700</v>
      </c>
      <c r="J1707" s="1485" t="s">
        <v>2701</v>
      </c>
      <c r="K1707" s="64">
        <v>2</v>
      </c>
      <c r="L1707" s="1698">
        <v>281000000</v>
      </c>
      <c r="M1707" s="2007">
        <v>1</v>
      </c>
      <c r="N1707" s="1940">
        <v>146372221</v>
      </c>
      <c r="O1707" s="64">
        <v>1</v>
      </c>
      <c r="P1707" s="1971">
        <v>129271500</v>
      </c>
      <c r="Q1707" s="1959"/>
      <c r="R1707" s="64"/>
      <c r="S1707" s="64"/>
      <c r="T1707" s="64"/>
      <c r="U1707" s="64"/>
      <c r="V1707" s="64"/>
      <c r="W1707" s="64"/>
      <c r="X1707" s="64"/>
      <c r="Y1707" s="1959">
        <f t="shared" si="358"/>
        <v>0</v>
      </c>
      <c r="Z1707" s="1942">
        <f t="shared" si="358"/>
        <v>0</v>
      </c>
      <c r="AA1707" s="1939">
        <f>M1707+Q1707</f>
        <v>1</v>
      </c>
      <c r="AB1707" s="1944">
        <f>N1707+Z1707</f>
        <v>146372221</v>
      </c>
      <c r="AC1707" s="1939">
        <f t="shared" si="359"/>
        <v>50</v>
      </c>
      <c r="AD1707" s="2041">
        <f t="shared" si="359"/>
        <v>52.089758362989322</v>
      </c>
      <c r="AE1707" s="64" t="s">
        <v>2616</v>
      </c>
    </row>
    <row r="1708" spans="1:31" ht="51">
      <c r="A1708" s="497"/>
      <c r="B1708" s="383"/>
      <c r="C1708" s="1935" t="s">
        <v>65</v>
      </c>
      <c r="D1708" s="1236" t="s">
        <v>2558</v>
      </c>
      <c r="E1708" s="1236" t="s">
        <v>107</v>
      </c>
      <c r="F1708" s="1236" t="s">
        <v>66</v>
      </c>
      <c r="G1708" s="1236" t="s">
        <v>163</v>
      </c>
      <c r="H1708" s="1236" t="s">
        <v>459</v>
      </c>
      <c r="I1708" s="754" t="s">
        <v>2702</v>
      </c>
      <c r="J1708" s="1485" t="s">
        <v>2703</v>
      </c>
      <c r="K1708" s="64">
        <v>4</v>
      </c>
      <c r="L1708" s="1698">
        <v>75000000</v>
      </c>
      <c r="M1708" s="2007"/>
      <c r="N1708" s="1940"/>
      <c r="O1708" s="1947">
        <v>4</v>
      </c>
      <c r="P1708" s="1971">
        <v>67641000</v>
      </c>
      <c r="Q1708" s="1939">
        <v>1</v>
      </c>
      <c r="R1708" s="1940">
        <v>12343700</v>
      </c>
      <c r="S1708" s="64"/>
      <c r="T1708" s="64"/>
      <c r="U1708" s="64"/>
      <c r="V1708" s="64"/>
      <c r="W1708" s="64"/>
      <c r="X1708" s="64"/>
      <c r="Y1708" s="1939">
        <f t="shared" si="358"/>
        <v>1</v>
      </c>
      <c r="Z1708" s="1942">
        <f t="shared" si="358"/>
        <v>12343700</v>
      </c>
      <c r="AA1708" s="1939">
        <f>M1708+Q1708</f>
        <v>1</v>
      </c>
      <c r="AB1708" s="1944">
        <f>N1708+Z1708</f>
        <v>12343700</v>
      </c>
      <c r="AC1708" s="1939">
        <f t="shared" si="359"/>
        <v>25</v>
      </c>
      <c r="AD1708" s="2041">
        <f t="shared" si="359"/>
        <v>16.458266666666667</v>
      </c>
      <c r="AE1708" s="64" t="s">
        <v>2616</v>
      </c>
    </row>
    <row r="1709" spans="1:31">
      <c r="A1709" s="4563" t="s">
        <v>2532</v>
      </c>
      <c r="B1709" s="4564"/>
      <c r="C1709" s="4564"/>
      <c r="D1709" s="4564"/>
      <c r="E1709" s="4564"/>
      <c r="F1709" s="4564"/>
      <c r="G1709" s="4564"/>
      <c r="H1709" s="4564"/>
      <c r="I1709" s="4564"/>
      <c r="J1709" s="4564"/>
      <c r="K1709" s="4564"/>
      <c r="L1709" s="4564"/>
      <c r="M1709" s="4564"/>
      <c r="N1709" s="4564"/>
      <c r="O1709" s="4564"/>
      <c r="P1709" s="4564"/>
      <c r="Q1709" s="4564"/>
      <c r="R1709" s="4564"/>
      <c r="S1709" s="4564"/>
      <c r="T1709" s="4564"/>
      <c r="U1709" s="4564"/>
      <c r="V1709" s="4564"/>
      <c r="W1709" s="4564"/>
      <c r="X1709" s="4564"/>
      <c r="Y1709" s="4564"/>
      <c r="Z1709" s="4564"/>
      <c r="AA1709" s="4564"/>
      <c r="AB1709" s="4565"/>
      <c r="AC1709" s="2026">
        <f>SUM(AC1707:AC1708)/2</f>
        <v>37.5</v>
      </c>
      <c r="AD1709" s="2043">
        <f>SUM(AD1707:AD1708)/2</f>
        <v>34.274012514827994</v>
      </c>
      <c r="AE1709" s="64"/>
    </row>
    <row r="1710" spans="1:31">
      <c r="A1710" s="4563" t="s">
        <v>2533</v>
      </c>
      <c r="B1710" s="4564"/>
      <c r="C1710" s="4564"/>
      <c r="D1710" s="4564"/>
      <c r="E1710" s="4564"/>
      <c r="F1710" s="4564"/>
      <c r="G1710" s="4564"/>
      <c r="H1710" s="4564"/>
      <c r="I1710" s="4564"/>
      <c r="J1710" s="4564"/>
      <c r="K1710" s="4564"/>
      <c r="L1710" s="4564"/>
      <c r="M1710" s="4564"/>
      <c r="N1710" s="4564"/>
      <c r="O1710" s="4564"/>
      <c r="P1710" s="4564"/>
      <c r="Q1710" s="4564"/>
      <c r="R1710" s="4564"/>
      <c r="S1710" s="4564"/>
      <c r="T1710" s="4564"/>
      <c r="U1710" s="4564"/>
      <c r="V1710" s="4564"/>
      <c r="W1710" s="4564"/>
      <c r="X1710" s="4564"/>
      <c r="Y1710" s="4564"/>
      <c r="Z1710" s="4564"/>
      <c r="AA1710" s="4564"/>
      <c r="AB1710" s="4565"/>
      <c r="AC1710" s="2026" t="s">
        <v>2534</v>
      </c>
      <c r="AD1710" s="2026" t="s">
        <v>2534</v>
      </c>
      <c r="AE1710" s="64"/>
    </row>
    <row r="1711" spans="1:31" ht="51">
      <c r="A1711" s="1922">
        <v>20</v>
      </c>
      <c r="B1711" s="1923" t="s">
        <v>2510</v>
      </c>
      <c r="C1711" s="1924" t="s">
        <v>196</v>
      </c>
      <c r="D1711" s="1925" t="s">
        <v>2558</v>
      </c>
      <c r="E1711" s="1925" t="s">
        <v>107</v>
      </c>
      <c r="F1711" s="1925" t="s">
        <v>66</v>
      </c>
      <c r="G1711" s="1925" t="s">
        <v>448</v>
      </c>
      <c r="H1711" s="1925"/>
      <c r="I1711" s="1923" t="s">
        <v>2704</v>
      </c>
      <c r="J1711" s="1923" t="s">
        <v>2705</v>
      </c>
      <c r="K1711" s="1928">
        <v>520</v>
      </c>
      <c r="L1711" s="2008">
        <f>SUM(L1712:L1715)</f>
        <v>2135000000</v>
      </c>
      <c r="M1711" s="1930">
        <f>80+80</f>
        <v>160</v>
      </c>
      <c r="N1711" s="2008">
        <f>SUM(N1712:N1715)</f>
        <v>638560470</v>
      </c>
      <c r="O1711" s="1928">
        <v>85</v>
      </c>
      <c r="P1711" s="1931">
        <f>SUM(P1712:P1715)</f>
        <v>454986085.5</v>
      </c>
      <c r="Q1711" s="1932">
        <v>25</v>
      </c>
      <c r="R1711" s="1931">
        <f>SUM(R1712:R1715)</f>
        <v>85713060</v>
      </c>
      <c r="S1711" s="2025"/>
      <c r="T1711" s="2025"/>
      <c r="U1711" s="2025"/>
      <c r="V1711" s="2025"/>
      <c r="W1711" s="2025"/>
      <c r="X1711" s="2025"/>
      <c r="Y1711" s="1932">
        <f t="shared" ref="Y1711:Z1715" si="360">Q1711</f>
        <v>25</v>
      </c>
      <c r="Z1711" s="1982">
        <f t="shared" si="360"/>
        <v>85713060</v>
      </c>
      <c r="AA1711" s="1932">
        <f>M1711+Q1711</f>
        <v>185</v>
      </c>
      <c r="AB1711" s="1982">
        <f>N1711+Z1711</f>
        <v>724273530</v>
      </c>
      <c r="AC1711" s="1989">
        <f t="shared" ref="AC1711:AD1715" si="361">AA1711/K1711*100</f>
        <v>35.57692307692308</v>
      </c>
      <c r="AD1711" s="2042">
        <f t="shared" si="361"/>
        <v>33.923818735363</v>
      </c>
      <c r="AE1711" s="2025"/>
    </row>
    <row r="1712" spans="1:31" ht="38.25">
      <c r="A1712" s="497"/>
      <c r="B1712" s="383"/>
      <c r="C1712" s="1935" t="s">
        <v>196</v>
      </c>
      <c r="D1712" s="1236" t="s">
        <v>2558</v>
      </c>
      <c r="E1712" s="1236" t="s">
        <v>107</v>
      </c>
      <c r="F1712" s="1236" t="s">
        <v>66</v>
      </c>
      <c r="G1712" s="1236" t="s">
        <v>448</v>
      </c>
      <c r="H1712" s="1236" t="s">
        <v>469</v>
      </c>
      <c r="I1712" s="741" t="s">
        <v>2706</v>
      </c>
      <c r="J1712" s="741" t="s">
        <v>2707</v>
      </c>
      <c r="K1712" s="1952">
        <f>4*6</f>
        <v>24</v>
      </c>
      <c r="L1712" s="1947">
        <v>1505000000</v>
      </c>
      <c r="M1712" s="1939">
        <v>8</v>
      </c>
      <c r="N1712" s="1940">
        <f>171172972+149545050</f>
        <v>320718022</v>
      </c>
      <c r="O1712" s="1952">
        <v>4</v>
      </c>
      <c r="P1712" s="1971">
        <v>278703163.25</v>
      </c>
      <c r="Q1712" s="1939">
        <v>2</v>
      </c>
      <c r="R1712" s="1940">
        <v>79115400</v>
      </c>
      <c r="S1712" s="64"/>
      <c r="T1712" s="64"/>
      <c r="U1712" s="64"/>
      <c r="V1712" s="64"/>
      <c r="W1712" s="64"/>
      <c r="X1712" s="64"/>
      <c r="Y1712" s="1939">
        <f t="shared" si="360"/>
        <v>2</v>
      </c>
      <c r="Z1712" s="1942">
        <f t="shared" si="360"/>
        <v>79115400</v>
      </c>
      <c r="AA1712" s="1939">
        <f>M1712+Q1712</f>
        <v>10</v>
      </c>
      <c r="AB1712" s="1944">
        <f>N1712+Z1712</f>
        <v>399833422</v>
      </c>
      <c r="AC1712" s="1939">
        <f t="shared" si="361"/>
        <v>41.666666666666671</v>
      </c>
      <c r="AD1712" s="2041">
        <f t="shared" si="361"/>
        <v>26.567004784053154</v>
      </c>
      <c r="AE1712" s="64" t="s">
        <v>2516</v>
      </c>
    </row>
    <row r="1713" spans="1:31" ht="25.5">
      <c r="A1713" s="497"/>
      <c r="B1713" s="383"/>
      <c r="C1713" s="1935" t="s">
        <v>196</v>
      </c>
      <c r="D1713" s="1236" t="s">
        <v>2558</v>
      </c>
      <c r="E1713" s="1236" t="s">
        <v>107</v>
      </c>
      <c r="F1713" s="1236" t="s">
        <v>66</v>
      </c>
      <c r="G1713" s="1236" t="s">
        <v>448</v>
      </c>
      <c r="H1713" s="1236" t="s">
        <v>68</v>
      </c>
      <c r="I1713" s="741" t="s">
        <v>2708</v>
      </c>
      <c r="J1713" s="741" t="s">
        <v>2709</v>
      </c>
      <c r="K1713" s="1952">
        <v>3</v>
      </c>
      <c r="L1713" s="1947">
        <v>210000000</v>
      </c>
      <c r="M1713" s="1939">
        <v>2</v>
      </c>
      <c r="N1713" s="1940">
        <f>46586500+51413400</f>
        <v>97999900</v>
      </c>
      <c r="O1713" s="1952">
        <v>1</v>
      </c>
      <c r="P1713" s="1940">
        <v>89562974</v>
      </c>
      <c r="Q1713" s="1939">
        <v>1</v>
      </c>
      <c r="R1713" s="1940">
        <v>1118900</v>
      </c>
      <c r="S1713" s="64"/>
      <c r="T1713" s="64"/>
      <c r="U1713" s="64"/>
      <c r="V1713" s="64"/>
      <c r="W1713" s="64"/>
      <c r="X1713" s="64"/>
      <c r="Y1713" s="1939">
        <f t="shared" si="360"/>
        <v>1</v>
      </c>
      <c r="Z1713" s="1942">
        <f t="shared" si="360"/>
        <v>1118900</v>
      </c>
      <c r="AA1713" s="1939">
        <f>M1713+Q1713</f>
        <v>3</v>
      </c>
      <c r="AB1713" s="1944">
        <f>N1713+Z1713</f>
        <v>99118800</v>
      </c>
      <c r="AC1713" s="1939">
        <f t="shared" si="361"/>
        <v>100</v>
      </c>
      <c r="AD1713" s="2041">
        <f t="shared" si="361"/>
        <v>47.19942857142857</v>
      </c>
      <c r="AE1713" s="64" t="s">
        <v>2687</v>
      </c>
    </row>
    <row r="1714" spans="1:31" ht="76.5">
      <c r="A1714" s="497"/>
      <c r="B1714" s="383"/>
      <c r="C1714" s="1935" t="s">
        <v>196</v>
      </c>
      <c r="D1714" s="1236" t="s">
        <v>2558</v>
      </c>
      <c r="E1714" s="1236" t="s">
        <v>107</v>
      </c>
      <c r="F1714" s="1236" t="s">
        <v>66</v>
      </c>
      <c r="G1714" s="1236" t="s">
        <v>448</v>
      </c>
      <c r="H1714" s="1236" t="s">
        <v>476</v>
      </c>
      <c r="I1714" s="741" t="s">
        <v>2710</v>
      </c>
      <c r="J1714" s="1485" t="s">
        <v>2711</v>
      </c>
      <c r="K1714" s="1952">
        <f>12*3</f>
        <v>36</v>
      </c>
      <c r="L1714" s="1947">
        <v>240000000</v>
      </c>
      <c r="M1714" s="1939">
        <v>24</v>
      </c>
      <c r="N1714" s="1940">
        <f>68239360+54523588</f>
        <v>122762948</v>
      </c>
      <c r="O1714" s="1952">
        <v>12</v>
      </c>
      <c r="P1714" s="1940">
        <v>47819461.25</v>
      </c>
      <c r="Q1714" s="1939">
        <v>1</v>
      </c>
      <c r="R1714" s="1940">
        <v>2255200</v>
      </c>
      <c r="S1714" s="64"/>
      <c r="T1714" s="64"/>
      <c r="U1714" s="64"/>
      <c r="V1714" s="64"/>
      <c r="W1714" s="64"/>
      <c r="X1714" s="64"/>
      <c r="Y1714" s="1939">
        <f t="shared" si="360"/>
        <v>1</v>
      </c>
      <c r="Z1714" s="1942">
        <f t="shared" si="360"/>
        <v>2255200</v>
      </c>
      <c r="AA1714" s="1939">
        <f>M1714+Q1714</f>
        <v>25</v>
      </c>
      <c r="AB1714" s="1944">
        <f>N1714+Z1714</f>
        <v>125018148</v>
      </c>
      <c r="AC1714" s="1939">
        <f t="shared" si="361"/>
        <v>69.444444444444443</v>
      </c>
      <c r="AD1714" s="2041">
        <f t="shared" si="361"/>
        <v>52.090895000000003</v>
      </c>
      <c r="AE1714" s="64" t="s">
        <v>2687</v>
      </c>
    </row>
    <row r="1715" spans="1:31" ht="38.25">
      <c r="A1715" s="497"/>
      <c r="B1715" s="383"/>
      <c r="C1715" s="1935" t="s">
        <v>196</v>
      </c>
      <c r="D1715" s="1236" t="s">
        <v>2558</v>
      </c>
      <c r="E1715" s="1236" t="s">
        <v>107</v>
      </c>
      <c r="F1715" s="1236" t="s">
        <v>66</v>
      </c>
      <c r="G1715" s="1236" t="s">
        <v>448</v>
      </c>
      <c r="H1715" s="1236" t="s">
        <v>1095</v>
      </c>
      <c r="I1715" s="741" t="s">
        <v>2712</v>
      </c>
      <c r="J1715" s="1485" t="s">
        <v>2713</v>
      </c>
      <c r="K1715" s="1952">
        <v>3</v>
      </c>
      <c r="L1715" s="1947">
        <v>180000000</v>
      </c>
      <c r="M1715" s="1939">
        <v>2</v>
      </c>
      <c r="N1715" s="1940">
        <f>52658000+44421600</f>
        <v>97079600</v>
      </c>
      <c r="O1715" s="1952">
        <v>1</v>
      </c>
      <c r="P1715" s="1940">
        <v>38900487</v>
      </c>
      <c r="Q1715" s="1939">
        <v>1</v>
      </c>
      <c r="R1715" s="1940">
        <v>3223560</v>
      </c>
      <c r="S1715" s="64"/>
      <c r="T1715" s="64"/>
      <c r="U1715" s="64"/>
      <c r="V1715" s="64"/>
      <c r="W1715" s="64"/>
      <c r="X1715" s="64"/>
      <c r="Y1715" s="1939">
        <f t="shared" si="360"/>
        <v>1</v>
      </c>
      <c r="Z1715" s="1942">
        <f t="shared" si="360"/>
        <v>3223560</v>
      </c>
      <c r="AA1715" s="1939">
        <f>M1715+Q1715</f>
        <v>3</v>
      </c>
      <c r="AB1715" s="1944">
        <f>N1715+Z1715</f>
        <v>100303160</v>
      </c>
      <c r="AC1715" s="1939">
        <f t="shared" si="361"/>
        <v>100</v>
      </c>
      <c r="AD1715" s="2041">
        <f t="shared" si="361"/>
        <v>55.723977777777776</v>
      </c>
      <c r="AE1715" s="64" t="s">
        <v>2687</v>
      </c>
    </row>
    <row r="1716" spans="1:31">
      <c r="A1716" s="4563" t="s">
        <v>2532</v>
      </c>
      <c r="B1716" s="4564"/>
      <c r="C1716" s="4564"/>
      <c r="D1716" s="4564"/>
      <c r="E1716" s="4564"/>
      <c r="F1716" s="4564"/>
      <c r="G1716" s="4564"/>
      <c r="H1716" s="4564"/>
      <c r="I1716" s="4564"/>
      <c r="J1716" s="4564"/>
      <c r="K1716" s="4564"/>
      <c r="L1716" s="4564"/>
      <c r="M1716" s="4564"/>
      <c r="N1716" s="4564"/>
      <c r="O1716" s="4564"/>
      <c r="P1716" s="4564"/>
      <c r="Q1716" s="4564"/>
      <c r="R1716" s="4564"/>
      <c r="S1716" s="4564"/>
      <c r="T1716" s="4564"/>
      <c r="U1716" s="4564"/>
      <c r="V1716" s="4564"/>
      <c r="W1716" s="4564"/>
      <c r="X1716" s="4564"/>
      <c r="Y1716" s="4564"/>
      <c r="Z1716" s="4564"/>
      <c r="AA1716" s="4564"/>
      <c r="AB1716" s="4565"/>
      <c r="AC1716" s="2044">
        <f>SUM(AC1712:AC1715)/4</f>
        <v>77.777777777777786</v>
      </c>
      <c r="AD1716" s="2045">
        <f>SUM(AD1712:AD1715)/4</f>
        <v>45.395326533314872</v>
      </c>
      <c r="AE1716" s="64"/>
    </row>
    <row r="1717" spans="1:31">
      <c r="A1717" s="4563" t="s">
        <v>2533</v>
      </c>
      <c r="B1717" s="4564"/>
      <c r="C1717" s="4564"/>
      <c r="D1717" s="4564"/>
      <c r="E1717" s="4564"/>
      <c r="F1717" s="4564"/>
      <c r="G1717" s="4564"/>
      <c r="H1717" s="4564"/>
      <c r="I1717" s="4564"/>
      <c r="J1717" s="4564"/>
      <c r="K1717" s="4564"/>
      <c r="L1717" s="4564"/>
      <c r="M1717" s="4564"/>
      <c r="N1717" s="4564"/>
      <c r="O1717" s="4564"/>
      <c r="P1717" s="4564"/>
      <c r="Q1717" s="4564"/>
      <c r="R1717" s="4564"/>
      <c r="S1717" s="4564"/>
      <c r="T1717" s="4564"/>
      <c r="U1717" s="4564"/>
      <c r="V1717" s="4564"/>
      <c r="W1717" s="4564"/>
      <c r="X1717" s="4564"/>
      <c r="Y1717" s="4564"/>
      <c r="Z1717" s="4564"/>
      <c r="AA1717" s="4564"/>
      <c r="AB1717" s="4565"/>
      <c r="AC1717" s="2026" t="s">
        <v>2714</v>
      </c>
      <c r="AD1717" s="2028" t="s">
        <v>2534</v>
      </c>
      <c r="AE1717" s="64"/>
    </row>
    <row r="1718" spans="1:31" s="63" customFormat="1" ht="51">
      <c r="A1718" s="1904">
        <v>21</v>
      </c>
      <c r="B1718" s="344" t="s">
        <v>2510</v>
      </c>
      <c r="C1718" s="1935" t="s">
        <v>95</v>
      </c>
      <c r="D1718" s="1236" t="s">
        <v>2558</v>
      </c>
      <c r="E1718" s="1236" t="s">
        <v>107</v>
      </c>
      <c r="F1718" s="1236" t="s">
        <v>66</v>
      </c>
      <c r="G1718" s="1236" t="s">
        <v>399</v>
      </c>
      <c r="H1718" s="1236"/>
      <c r="I1718" s="344" t="s">
        <v>1246</v>
      </c>
      <c r="J1718" s="344" t="s">
        <v>2715</v>
      </c>
      <c r="K1718" s="2137">
        <v>6</v>
      </c>
      <c r="L1718" s="2120">
        <f>L1719+L1720</f>
        <v>1036000000</v>
      </c>
      <c r="M1718" s="2138"/>
      <c r="N1718" s="2125">
        <f>N1719+N1720</f>
        <v>572853226</v>
      </c>
      <c r="O1718" s="2137">
        <v>6</v>
      </c>
      <c r="P1718" s="2123">
        <f>SUM(P1719:P1720)</f>
        <v>183894308.25</v>
      </c>
      <c r="Q1718" s="2124"/>
      <c r="R1718" s="2123">
        <f>SUM(R1719:R1720)</f>
        <v>27208804</v>
      </c>
      <c r="S1718" s="616"/>
      <c r="T1718" s="616"/>
      <c r="U1718" s="616"/>
      <c r="V1718" s="616"/>
      <c r="W1718" s="616"/>
      <c r="X1718" s="616"/>
      <c r="Y1718" s="2124">
        <f t="shared" ref="Y1718:Z1720" si="362">Q1718</f>
        <v>0</v>
      </c>
      <c r="Z1718" s="1944">
        <f t="shared" si="362"/>
        <v>27208804</v>
      </c>
      <c r="AA1718" s="389">
        <f>M1718+Q1718</f>
        <v>0</v>
      </c>
      <c r="AB1718" s="1944">
        <f>N1718+Z1718</f>
        <v>600062030</v>
      </c>
      <c r="AC1718" s="2129">
        <f t="shared" ref="AC1718:AD1720" si="363">AA1718/K1718*100</f>
        <v>0</v>
      </c>
      <c r="AD1718" s="2136">
        <f t="shared" si="363"/>
        <v>57.921045366795369</v>
      </c>
      <c r="AE1718" s="616"/>
    </row>
    <row r="1719" spans="1:31" ht="63.75">
      <c r="A1719" s="497"/>
      <c r="B1719" s="383"/>
      <c r="C1719" s="1935" t="s">
        <v>95</v>
      </c>
      <c r="D1719" s="1236" t="s">
        <v>2558</v>
      </c>
      <c r="E1719" s="1236" t="s">
        <v>107</v>
      </c>
      <c r="F1719" s="1236" t="s">
        <v>66</v>
      </c>
      <c r="G1719" s="1236" t="s">
        <v>399</v>
      </c>
      <c r="H1719" s="1236" t="s">
        <v>399</v>
      </c>
      <c r="I1719" s="1936" t="s">
        <v>2716</v>
      </c>
      <c r="J1719" s="1485" t="s">
        <v>2717</v>
      </c>
      <c r="K1719" s="1991">
        <v>300</v>
      </c>
      <c r="L1719" s="1698">
        <v>315000000</v>
      </c>
      <c r="M1719" s="1939">
        <v>200</v>
      </c>
      <c r="N1719" s="1940">
        <f>59911444+81383050</f>
        <v>141294494</v>
      </c>
      <c r="O1719" s="2010">
        <v>100</v>
      </c>
      <c r="P1719" s="1971">
        <v>44144249.25</v>
      </c>
      <c r="Q1719" s="1939">
        <v>25</v>
      </c>
      <c r="R1719" s="1940">
        <v>8073897</v>
      </c>
      <c r="S1719" s="64"/>
      <c r="T1719" s="64"/>
      <c r="U1719" s="64"/>
      <c r="V1719" s="64"/>
      <c r="W1719" s="64"/>
      <c r="X1719" s="64"/>
      <c r="Y1719" s="1939">
        <f t="shared" si="362"/>
        <v>25</v>
      </c>
      <c r="Z1719" s="1942">
        <f t="shared" si="362"/>
        <v>8073897</v>
      </c>
      <c r="AA1719" s="1939">
        <f>M1719+Q1719</f>
        <v>225</v>
      </c>
      <c r="AB1719" s="1944">
        <f>N1719+Z1719</f>
        <v>149368391</v>
      </c>
      <c r="AC1719" s="1939">
        <f t="shared" si="363"/>
        <v>75</v>
      </c>
      <c r="AD1719" s="2041">
        <f t="shared" si="363"/>
        <v>47.418536825396821</v>
      </c>
      <c r="AE1719" s="64" t="s">
        <v>2718</v>
      </c>
    </row>
    <row r="1720" spans="1:31" ht="25.5">
      <c r="A1720" s="497"/>
      <c r="B1720" s="383"/>
      <c r="C1720" s="1935" t="s">
        <v>95</v>
      </c>
      <c r="D1720" s="1236" t="s">
        <v>2558</v>
      </c>
      <c r="E1720" s="1236" t="s">
        <v>107</v>
      </c>
      <c r="F1720" s="1236" t="s">
        <v>66</v>
      </c>
      <c r="G1720" s="1236" t="s">
        <v>399</v>
      </c>
      <c r="H1720" s="1236" t="s">
        <v>181</v>
      </c>
      <c r="I1720" s="1936" t="s">
        <v>2719</v>
      </c>
      <c r="J1720" s="1485" t="s">
        <v>2720</v>
      </c>
      <c r="K1720" s="1938">
        <f>12*3</f>
        <v>36</v>
      </c>
      <c r="L1720" s="1698">
        <v>721000000</v>
      </c>
      <c r="M1720" s="1939">
        <v>24</v>
      </c>
      <c r="N1720" s="1940">
        <f>237645332+193913400</f>
        <v>431558732</v>
      </c>
      <c r="O1720" s="1938">
        <v>12</v>
      </c>
      <c r="P1720" s="1940">
        <v>139750059</v>
      </c>
      <c r="Q1720" s="1939">
        <v>3</v>
      </c>
      <c r="R1720" s="1940">
        <v>19134907</v>
      </c>
      <c r="S1720" s="64"/>
      <c r="T1720" s="64"/>
      <c r="U1720" s="64"/>
      <c r="V1720" s="64"/>
      <c r="W1720" s="64"/>
      <c r="X1720" s="64"/>
      <c r="Y1720" s="1939">
        <f t="shared" si="362"/>
        <v>3</v>
      </c>
      <c r="Z1720" s="1942">
        <f t="shared" si="362"/>
        <v>19134907</v>
      </c>
      <c r="AA1720" s="1939">
        <f>M1720+Q1720</f>
        <v>27</v>
      </c>
      <c r="AB1720" s="1944">
        <f>N1720+Z1720</f>
        <v>450693639</v>
      </c>
      <c r="AC1720" s="1939">
        <f t="shared" si="363"/>
        <v>75</v>
      </c>
      <c r="AD1720" s="2041">
        <f t="shared" si="363"/>
        <v>62.509519972260755</v>
      </c>
      <c r="AE1720" s="64" t="s">
        <v>2721</v>
      </c>
    </row>
    <row r="1721" spans="1:31">
      <c r="A1721" s="4563" t="s">
        <v>2532</v>
      </c>
      <c r="B1721" s="4564"/>
      <c r="C1721" s="4564"/>
      <c r="D1721" s="4564"/>
      <c r="E1721" s="4564"/>
      <c r="F1721" s="4564"/>
      <c r="G1721" s="4564"/>
      <c r="H1721" s="4564"/>
      <c r="I1721" s="4564"/>
      <c r="J1721" s="4564"/>
      <c r="K1721" s="4564"/>
      <c r="L1721" s="4564"/>
      <c r="M1721" s="4564"/>
      <c r="N1721" s="4564"/>
      <c r="O1721" s="4564"/>
      <c r="P1721" s="4564"/>
      <c r="Q1721" s="4564"/>
      <c r="R1721" s="4564"/>
      <c r="S1721" s="4564"/>
      <c r="T1721" s="4564"/>
      <c r="U1721" s="4564"/>
      <c r="V1721" s="4564"/>
      <c r="W1721" s="4564"/>
      <c r="X1721" s="4564"/>
      <c r="Y1721" s="4564"/>
      <c r="Z1721" s="4564"/>
      <c r="AA1721" s="4564"/>
      <c r="AB1721" s="4565"/>
      <c r="AC1721" s="2026">
        <f>SUM(AC1719:AC1720)/2</f>
        <v>75</v>
      </c>
      <c r="AD1721" s="2043">
        <f>SUM(AD1719:AD1720)/2</f>
        <v>54.964028398828788</v>
      </c>
      <c r="AE1721" s="64"/>
    </row>
    <row r="1722" spans="1:31">
      <c r="A1722" s="4563" t="s">
        <v>2533</v>
      </c>
      <c r="B1722" s="4564"/>
      <c r="C1722" s="4564"/>
      <c r="D1722" s="4564"/>
      <c r="E1722" s="4564"/>
      <c r="F1722" s="4564"/>
      <c r="G1722" s="4564"/>
      <c r="H1722" s="4564"/>
      <c r="I1722" s="4564"/>
      <c r="J1722" s="4564"/>
      <c r="K1722" s="4564"/>
      <c r="L1722" s="4564"/>
      <c r="M1722" s="4564"/>
      <c r="N1722" s="4564"/>
      <c r="O1722" s="4564"/>
      <c r="P1722" s="4564"/>
      <c r="Q1722" s="4564"/>
      <c r="R1722" s="4564"/>
      <c r="S1722" s="4564"/>
      <c r="T1722" s="4564"/>
      <c r="U1722" s="4564"/>
      <c r="V1722" s="4564"/>
      <c r="W1722" s="4564"/>
      <c r="X1722" s="4564"/>
      <c r="Y1722" s="4564"/>
      <c r="Z1722" s="4564"/>
      <c r="AA1722" s="4564"/>
      <c r="AB1722" s="4565"/>
      <c r="AC1722" s="2026" t="s">
        <v>2714</v>
      </c>
      <c r="AD1722" s="2028" t="s">
        <v>2566</v>
      </c>
      <c r="AE1722" s="64"/>
    </row>
    <row r="1723" spans="1:31" s="63" customFormat="1" ht="114.75">
      <c r="A1723" s="495">
        <v>22</v>
      </c>
      <c r="B1723" s="344" t="s">
        <v>2611</v>
      </c>
      <c r="C1723" s="1935" t="s">
        <v>66</v>
      </c>
      <c r="D1723" s="1236" t="s">
        <v>2558</v>
      </c>
      <c r="E1723" s="1236" t="s">
        <v>107</v>
      </c>
      <c r="F1723" s="1236" t="s">
        <v>66</v>
      </c>
      <c r="G1723" s="1236" t="s">
        <v>166</v>
      </c>
      <c r="H1723" s="1236"/>
      <c r="I1723" s="344" t="s">
        <v>2722</v>
      </c>
      <c r="J1723" s="1471" t="s">
        <v>2723</v>
      </c>
      <c r="K1723" s="2139">
        <v>315</v>
      </c>
      <c r="L1723" s="2120">
        <f>L1724</f>
        <v>2075000000</v>
      </c>
      <c r="M1723" s="633">
        <v>100</v>
      </c>
      <c r="N1723" s="1944">
        <f>N1724</f>
        <v>755299800</v>
      </c>
      <c r="O1723" s="2139">
        <v>50</v>
      </c>
      <c r="P1723" s="2123">
        <f>P1724</f>
        <v>229224100</v>
      </c>
      <c r="Q1723" s="633">
        <v>15</v>
      </c>
      <c r="R1723" s="2121">
        <f>R1724</f>
        <v>31608000</v>
      </c>
      <c r="S1723" s="385"/>
      <c r="T1723" s="385"/>
      <c r="U1723" s="385"/>
      <c r="V1723" s="385"/>
      <c r="W1723" s="385"/>
      <c r="X1723" s="385"/>
      <c r="Y1723" s="633">
        <f>Q1723</f>
        <v>15</v>
      </c>
      <c r="Z1723" s="2125">
        <f>R1723</f>
        <v>31608000</v>
      </c>
      <c r="AA1723" s="633">
        <f>M1723+Q1723</f>
        <v>115</v>
      </c>
      <c r="AB1723" s="2125">
        <f>N1723+Z1723</f>
        <v>786907800</v>
      </c>
      <c r="AC1723" s="633">
        <f>AA1723/K1723*100</f>
        <v>36.507936507936506</v>
      </c>
      <c r="AD1723" s="2140">
        <f>AB1723/L1723*100</f>
        <v>37.923267469879519</v>
      </c>
      <c r="AE1723" s="385"/>
    </row>
    <row r="1724" spans="1:31" ht="63.75">
      <c r="A1724" s="497"/>
      <c r="B1724" s="383"/>
      <c r="C1724" s="1935" t="s">
        <v>66</v>
      </c>
      <c r="D1724" s="1236" t="s">
        <v>2558</v>
      </c>
      <c r="E1724" s="1236" t="s">
        <v>107</v>
      </c>
      <c r="F1724" s="1236" t="s">
        <v>66</v>
      </c>
      <c r="G1724" s="1236" t="s">
        <v>166</v>
      </c>
      <c r="H1724" s="1236" t="s">
        <v>66</v>
      </c>
      <c r="I1724" s="741" t="s">
        <v>2724</v>
      </c>
      <c r="J1724" s="1485" t="s">
        <v>2725</v>
      </c>
      <c r="K1724" s="1938">
        <v>220</v>
      </c>
      <c r="L1724" s="1947">
        <v>2075000000</v>
      </c>
      <c r="M1724" s="1939">
        <v>140</v>
      </c>
      <c r="N1724" s="1940">
        <f>315794400+439505400</f>
        <v>755299800</v>
      </c>
      <c r="O1724" s="1938">
        <v>70</v>
      </c>
      <c r="P1724" s="1971">
        <v>229224100</v>
      </c>
      <c r="Q1724" s="1939">
        <v>15</v>
      </c>
      <c r="R1724" s="1940">
        <v>31608000</v>
      </c>
      <c r="S1724" s="64"/>
      <c r="T1724" s="64"/>
      <c r="U1724" s="64"/>
      <c r="V1724" s="64"/>
      <c r="W1724" s="64"/>
      <c r="X1724" s="64"/>
      <c r="Y1724" s="1939">
        <f>Q1724</f>
        <v>15</v>
      </c>
      <c r="Z1724" s="1942">
        <f>R1724</f>
        <v>31608000</v>
      </c>
      <c r="AA1724" s="1939">
        <f>M1724+Q1724</f>
        <v>155</v>
      </c>
      <c r="AB1724" s="1944">
        <f>N1724+Z1724</f>
        <v>786907800</v>
      </c>
      <c r="AC1724" s="1939">
        <f>AA1724/K1724*100</f>
        <v>70.454545454545453</v>
      </c>
      <c r="AD1724" s="2041">
        <f>AB1724/L1724*100</f>
        <v>37.923267469879519</v>
      </c>
      <c r="AE1724" s="64" t="s">
        <v>2513</v>
      </c>
    </row>
    <row r="1725" spans="1:31">
      <c r="A1725" s="4563" t="s">
        <v>2532</v>
      </c>
      <c r="B1725" s="4564"/>
      <c r="C1725" s="4564"/>
      <c r="D1725" s="4564"/>
      <c r="E1725" s="4564"/>
      <c r="F1725" s="4564"/>
      <c r="G1725" s="4564"/>
      <c r="H1725" s="4564"/>
      <c r="I1725" s="4564"/>
      <c r="J1725" s="4564"/>
      <c r="K1725" s="4564"/>
      <c r="L1725" s="4564"/>
      <c r="M1725" s="4564"/>
      <c r="N1725" s="4564"/>
      <c r="O1725" s="4564"/>
      <c r="P1725" s="4564"/>
      <c r="Q1725" s="4564"/>
      <c r="R1725" s="4564"/>
      <c r="S1725" s="4564"/>
      <c r="T1725" s="4564"/>
      <c r="U1725" s="4564"/>
      <c r="V1725" s="4564"/>
      <c r="W1725" s="4564"/>
      <c r="X1725" s="4564"/>
      <c r="Y1725" s="4564"/>
      <c r="Z1725" s="4564"/>
      <c r="AA1725" s="4564"/>
      <c r="AB1725" s="4565"/>
      <c r="AC1725" s="2044">
        <f>AC1724</f>
        <v>70.454545454545453</v>
      </c>
      <c r="AD1725" s="2046">
        <f>AD1724</f>
        <v>37.923267469879519</v>
      </c>
      <c r="AE1725" s="64"/>
    </row>
    <row r="1726" spans="1:31">
      <c r="A1726" s="4563" t="s">
        <v>2533</v>
      </c>
      <c r="B1726" s="4564"/>
      <c r="C1726" s="4564"/>
      <c r="D1726" s="4564"/>
      <c r="E1726" s="4564"/>
      <c r="F1726" s="4564"/>
      <c r="G1726" s="4564"/>
      <c r="H1726" s="4564"/>
      <c r="I1726" s="4564"/>
      <c r="J1726" s="4564"/>
      <c r="K1726" s="4564"/>
      <c r="L1726" s="4564"/>
      <c r="M1726" s="4564"/>
      <c r="N1726" s="4564"/>
      <c r="O1726" s="4564"/>
      <c r="P1726" s="4564"/>
      <c r="Q1726" s="4564"/>
      <c r="R1726" s="4564"/>
      <c r="S1726" s="4564"/>
      <c r="T1726" s="4564"/>
      <c r="U1726" s="4564"/>
      <c r="V1726" s="4564"/>
      <c r="W1726" s="4564"/>
      <c r="X1726" s="4564"/>
      <c r="Y1726" s="4564"/>
      <c r="Z1726" s="4564"/>
      <c r="AA1726" s="4564"/>
      <c r="AB1726" s="4565"/>
      <c r="AC1726" s="2026" t="s">
        <v>2714</v>
      </c>
      <c r="AD1726" s="2028" t="s">
        <v>2534</v>
      </c>
      <c r="AE1726" s="64"/>
    </row>
    <row r="1727" spans="1:31" s="63" customFormat="1" ht="114.75">
      <c r="A1727" s="495">
        <v>23</v>
      </c>
      <c r="B1727" s="344" t="s">
        <v>2611</v>
      </c>
      <c r="C1727" s="1935" t="s">
        <v>66</v>
      </c>
      <c r="D1727" s="1236" t="s">
        <v>2558</v>
      </c>
      <c r="E1727" s="1236" t="s">
        <v>107</v>
      </c>
      <c r="F1727" s="1236" t="s">
        <v>66</v>
      </c>
      <c r="G1727" s="1236" t="s">
        <v>459</v>
      </c>
      <c r="H1727" s="1236"/>
      <c r="I1727" s="383" t="s">
        <v>2726</v>
      </c>
      <c r="J1727" s="618" t="s">
        <v>2727</v>
      </c>
      <c r="K1727" s="2127">
        <v>550</v>
      </c>
      <c r="L1727" s="2120">
        <f>L1729+L1730+L1731+L1732</f>
        <v>2160000000</v>
      </c>
      <c r="M1727" s="633">
        <f>90+85</f>
        <v>175</v>
      </c>
      <c r="N1727" s="2125">
        <f>SUM(N1729:N1732)</f>
        <v>1154523108</v>
      </c>
      <c r="O1727" s="2127">
        <v>95</v>
      </c>
      <c r="P1727" s="2125">
        <f>SUM(P1729:P1732)</f>
        <v>448726269</v>
      </c>
      <c r="Q1727" s="633">
        <v>30</v>
      </c>
      <c r="R1727" s="2125">
        <f>SUM(R1729:R1732)</f>
        <v>31153100</v>
      </c>
      <c r="S1727" s="616"/>
      <c r="T1727" s="616"/>
      <c r="U1727" s="616"/>
      <c r="V1727" s="616"/>
      <c r="W1727" s="616"/>
      <c r="X1727" s="616"/>
      <c r="Y1727" s="2121">
        <f>Q1727</f>
        <v>30</v>
      </c>
      <c r="Z1727" s="2121">
        <f>R1727</f>
        <v>31153100</v>
      </c>
      <c r="AA1727" s="2121">
        <f t="shared" ref="AA1727:AA1732" si="364">M1727+Q1727</f>
        <v>205</v>
      </c>
      <c r="AB1727" s="2121">
        <f t="shared" ref="AB1727:AB1732" si="365">N1727+Z1727</f>
        <v>1185676208</v>
      </c>
      <c r="AC1727" s="633">
        <f t="shared" ref="AC1727:AC1732" si="366">AA1727/K1727*100</f>
        <v>37.272727272727273</v>
      </c>
      <c r="AD1727" s="2141">
        <f>AB1727/L1727*100</f>
        <v>54.892417037037035</v>
      </c>
      <c r="AE1727" s="633"/>
    </row>
    <row r="1728" spans="1:31" s="63" customFormat="1" ht="38.25">
      <c r="A1728" s="497"/>
      <c r="B1728" s="383"/>
      <c r="C1728" s="1935"/>
      <c r="D1728" s="1236"/>
      <c r="E1728" s="1236"/>
      <c r="F1728" s="1236"/>
      <c r="G1728" s="1236"/>
      <c r="H1728" s="1236"/>
      <c r="I1728" s="383"/>
      <c r="J1728" s="618" t="s">
        <v>2728</v>
      </c>
      <c r="K1728" s="2142">
        <v>570</v>
      </c>
      <c r="L1728" s="616"/>
      <c r="M1728" s="633">
        <f>95+95</f>
        <v>190</v>
      </c>
      <c r="N1728" s="616"/>
      <c r="O1728" s="2142">
        <v>95</v>
      </c>
      <c r="P1728" s="2125"/>
      <c r="Q1728" s="633">
        <v>30</v>
      </c>
      <c r="R1728" s="2125"/>
      <c r="S1728" s="616"/>
      <c r="T1728" s="616"/>
      <c r="U1728" s="616"/>
      <c r="V1728" s="616"/>
      <c r="W1728" s="616"/>
      <c r="X1728" s="616"/>
      <c r="Y1728" s="2121">
        <f>Q1728</f>
        <v>30</v>
      </c>
      <c r="Z1728" s="2121"/>
      <c r="AA1728" s="2121">
        <f t="shared" si="364"/>
        <v>220</v>
      </c>
      <c r="AB1728" s="2047">
        <f t="shared" si="365"/>
        <v>0</v>
      </c>
      <c r="AC1728" s="633">
        <f t="shared" si="366"/>
        <v>38.596491228070171</v>
      </c>
      <c r="AD1728" s="2141"/>
      <c r="AE1728" s="633"/>
    </row>
    <row r="1729" spans="1:31" ht="25.5">
      <c r="A1729" s="497"/>
      <c r="B1729" s="383"/>
      <c r="C1729" s="1935" t="s">
        <v>66</v>
      </c>
      <c r="D1729" s="1236" t="s">
        <v>2558</v>
      </c>
      <c r="E1729" s="1236" t="s">
        <v>107</v>
      </c>
      <c r="F1729" s="1236" t="s">
        <v>66</v>
      </c>
      <c r="G1729" s="1236" t="s">
        <v>459</v>
      </c>
      <c r="H1729" s="1236" t="s">
        <v>66</v>
      </c>
      <c r="I1729" s="384" t="s">
        <v>2729</v>
      </c>
      <c r="J1729" s="1485" t="s">
        <v>2730</v>
      </c>
      <c r="K1729" s="64">
        <v>100</v>
      </c>
      <c r="L1729" s="2011">
        <v>780000000</v>
      </c>
      <c r="M1729" s="2012">
        <v>50</v>
      </c>
      <c r="N1729" s="2013">
        <f>236041650+275239550</f>
        <v>511281200</v>
      </c>
      <c r="O1729" s="2014">
        <v>50</v>
      </c>
      <c r="P1729" s="1940">
        <v>193437389</v>
      </c>
      <c r="Q1729" s="1939">
        <v>51</v>
      </c>
      <c r="R1729" s="1940">
        <v>11466000</v>
      </c>
      <c r="S1729" s="64"/>
      <c r="T1729" s="64"/>
      <c r="U1729" s="64"/>
      <c r="V1729" s="64"/>
      <c r="W1729" s="64"/>
      <c r="X1729" s="64"/>
      <c r="Y1729" s="1940">
        <f>Q1729</f>
        <v>51</v>
      </c>
      <c r="Z1729" s="1940">
        <f>R1729</f>
        <v>11466000</v>
      </c>
      <c r="AA1729" s="1940">
        <f t="shared" si="364"/>
        <v>101</v>
      </c>
      <c r="AB1729" s="2047">
        <f t="shared" si="365"/>
        <v>522747200</v>
      </c>
      <c r="AC1729" s="1939">
        <f t="shared" si="366"/>
        <v>101</v>
      </c>
      <c r="AD1729" s="2048">
        <f>AB1729/L1729*100</f>
        <v>67.018871794871799</v>
      </c>
      <c r="AE1729" s="1939" t="s">
        <v>2589</v>
      </c>
    </row>
    <row r="1730" spans="1:31" ht="38.25">
      <c r="A1730" s="497"/>
      <c r="B1730" s="383"/>
      <c r="C1730" s="1935" t="s">
        <v>66</v>
      </c>
      <c r="D1730" s="1236" t="s">
        <v>2558</v>
      </c>
      <c r="E1730" s="1236" t="s">
        <v>107</v>
      </c>
      <c r="F1730" s="1236" t="s">
        <v>66</v>
      </c>
      <c r="G1730" s="1236" t="s">
        <v>459</v>
      </c>
      <c r="H1730" s="1236" t="s">
        <v>65</v>
      </c>
      <c r="I1730" s="384" t="s">
        <v>2731</v>
      </c>
      <c r="J1730" s="1485" t="s">
        <v>2732</v>
      </c>
      <c r="K1730" s="64">
        <v>26</v>
      </c>
      <c r="L1730" s="2011">
        <v>810000000</v>
      </c>
      <c r="M1730" s="2015">
        <v>18</v>
      </c>
      <c r="N1730" s="2016">
        <f>201408023+132817840</f>
        <v>334225863</v>
      </c>
      <c r="O1730" s="2014">
        <v>8</v>
      </c>
      <c r="P1730" s="1940">
        <v>103857590</v>
      </c>
      <c r="Q1730" s="1939">
        <v>3</v>
      </c>
      <c r="R1730" s="1940">
        <v>6663100</v>
      </c>
      <c r="S1730" s="64"/>
      <c r="T1730" s="64"/>
      <c r="U1730" s="64"/>
      <c r="V1730" s="64"/>
      <c r="W1730" s="64"/>
      <c r="X1730" s="64"/>
      <c r="Y1730" s="1940">
        <f>Q1730</f>
        <v>3</v>
      </c>
      <c r="Z1730" s="1940">
        <f>R1730</f>
        <v>6663100</v>
      </c>
      <c r="AA1730" s="1940">
        <f t="shared" si="364"/>
        <v>21</v>
      </c>
      <c r="AB1730" s="2047">
        <f t="shared" si="365"/>
        <v>340888963</v>
      </c>
      <c r="AC1730" s="1939">
        <f t="shared" si="366"/>
        <v>80.769230769230774</v>
      </c>
      <c r="AD1730" s="2048">
        <f>AB1730/L1730*100</f>
        <v>42.085057160493825</v>
      </c>
      <c r="AE1730" s="1939" t="s">
        <v>2589</v>
      </c>
    </row>
    <row r="1731" spans="1:31" ht="25.5">
      <c r="A1731" s="497"/>
      <c r="B1731" s="383"/>
      <c r="C1731" s="1935" t="s">
        <v>66</v>
      </c>
      <c r="D1731" s="1236" t="s">
        <v>2558</v>
      </c>
      <c r="E1731" s="1236" t="s">
        <v>107</v>
      </c>
      <c r="F1731" s="1236" t="s">
        <v>66</v>
      </c>
      <c r="G1731" s="1236" t="s">
        <v>459</v>
      </c>
      <c r="H1731" s="1236" t="s">
        <v>196</v>
      </c>
      <c r="I1731" s="384" t="s">
        <v>2733</v>
      </c>
      <c r="J1731" s="741" t="s">
        <v>2734</v>
      </c>
      <c r="K1731" s="64">
        <v>1020</v>
      </c>
      <c r="L1731" s="2011">
        <v>390000000</v>
      </c>
      <c r="M1731" s="2017">
        <f>500+260</f>
        <v>760</v>
      </c>
      <c r="N1731" s="2018">
        <f>84271920+75100000</f>
        <v>159371920</v>
      </c>
      <c r="O1731" s="2014">
        <v>260</v>
      </c>
      <c r="P1731" s="1940">
        <v>77393461</v>
      </c>
      <c r="Q1731" s="1959"/>
      <c r="R1731" s="1940">
        <v>2013000</v>
      </c>
      <c r="S1731" s="64"/>
      <c r="T1731" s="64"/>
      <c r="U1731" s="64"/>
      <c r="V1731" s="64"/>
      <c r="W1731" s="64"/>
      <c r="X1731" s="64"/>
      <c r="Y1731" s="1940">
        <f>Q1731</f>
        <v>0</v>
      </c>
      <c r="Z1731" s="1940">
        <f>R1731</f>
        <v>2013000</v>
      </c>
      <c r="AA1731" s="1940">
        <f t="shared" si="364"/>
        <v>760</v>
      </c>
      <c r="AB1731" s="2047">
        <f t="shared" si="365"/>
        <v>161384920</v>
      </c>
      <c r="AC1731" s="1939">
        <f t="shared" si="366"/>
        <v>74.509803921568633</v>
      </c>
      <c r="AD1731" s="2048">
        <f>AB1731/L1731*100</f>
        <v>41.38074871794872</v>
      </c>
      <c r="AE1731" s="1939" t="s">
        <v>2589</v>
      </c>
    </row>
    <row r="1732" spans="1:31" ht="38.25">
      <c r="A1732" s="497"/>
      <c r="B1732" s="383"/>
      <c r="C1732" s="1935" t="s">
        <v>66</v>
      </c>
      <c r="D1732" s="1236" t="s">
        <v>2558</v>
      </c>
      <c r="E1732" s="1236" t="s">
        <v>107</v>
      </c>
      <c r="F1732" s="1236" t="s">
        <v>66</v>
      </c>
      <c r="G1732" s="1236" t="s">
        <v>459</v>
      </c>
      <c r="H1732" s="1236" t="s">
        <v>95</v>
      </c>
      <c r="I1732" s="384" t="s">
        <v>2735</v>
      </c>
      <c r="J1732" s="741" t="s">
        <v>2736</v>
      </c>
      <c r="K1732" s="64">
        <v>58</v>
      </c>
      <c r="L1732" s="1698">
        <v>180000000</v>
      </c>
      <c r="M1732" s="1939">
        <f>15+20</f>
        <v>35</v>
      </c>
      <c r="N1732" s="1940">
        <f>106221325+43422800</f>
        <v>149644125</v>
      </c>
      <c r="O1732" s="729">
        <v>23</v>
      </c>
      <c r="P1732" s="1940">
        <v>74037829</v>
      </c>
      <c r="Q1732" s="1939">
        <v>2</v>
      </c>
      <c r="R1732" s="1940">
        <v>11011000</v>
      </c>
      <c r="S1732" s="64"/>
      <c r="T1732" s="64"/>
      <c r="U1732" s="64"/>
      <c r="V1732" s="64"/>
      <c r="W1732" s="64"/>
      <c r="X1732" s="64"/>
      <c r="Y1732" s="1940">
        <f>Q1732</f>
        <v>2</v>
      </c>
      <c r="Z1732" s="1940">
        <f>R1732</f>
        <v>11011000</v>
      </c>
      <c r="AA1732" s="1940">
        <f t="shared" si="364"/>
        <v>37</v>
      </c>
      <c r="AB1732" s="2047">
        <f t="shared" si="365"/>
        <v>160655125</v>
      </c>
      <c r="AC1732" s="1939">
        <f t="shared" si="366"/>
        <v>63.793103448275865</v>
      </c>
      <c r="AD1732" s="2048">
        <f>AB1732/L1732*100</f>
        <v>89.252847222222215</v>
      </c>
      <c r="AE1732" s="1939" t="s">
        <v>2589</v>
      </c>
    </row>
    <row r="1733" spans="1:31">
      <c r="A1733" s="4563" t="s">
        <v>2532</v>
      </c>
      <c r="B1733" s="4564"/>
      <c r="C1733" s="4564"/>
      <c r="D1733" s="4564"/>
      <c r="E1733" s="4564"/>
      <c r="F1733" s="4564"/>
      <c r="G1733" s="4564"/>
      <c r="H1733" s="4564"/>
      <c r="I1733" s="4564"/>
      <c r="J1733" s="4564"/>
      <c r="K1733" s="4564"/>
      <c r="L1733" s="4564"/>
      <c r="M1733" s="4564"/>
      <c r="N1733" s="4564"/>
      <c r="O1733" s="4564"/>
      <c r="P1733" s="4564"/>
      <c r="Q1733" s="4564"/>
      <c r="R1733" s="4564"/>
      <c r="S1733" s="4564"/>
      <c r="T1733" s="4564"/>
      <c r="U1733" s="4564"/>
      <c r="V1733" s="4564"/>
      <c r="W1733" s="4564"/>
      <c r="X1733" s="4564"/>
      <c r="Y1733" s="4564"/>
      <c r="Z1733" s="4564"/>
      <c r="AA1733" s="4564"/>
      <c r="AB1733" s="4565"/>
      <c r="AC1733" s="2049">
        <f>SUM(AC1729:AC1732)/4</f>
        <v>80.018034534768816</v>
      </c>
      <c r="AD1733" s="1107">
        <f>SUM(AD1729:AD1732)/4</f>
        <v>59.934381223884145</v>
      </c>
      <c r="AE1733" s="64"/>
    </row>
    <row r="1734" spans="1:31">
      <c r="A1734" s="4563" t="s">
        <v>2533</v>
      </c>
      <c r="B1734" s="4564"/>
      <c r="C1734" s="4564"/>
      <c r="D1734" s="4564"/>
      <c r="E1734" s="4564"/>
      <c r="F1734" s="4564"/>
      <c r="G1734" s="4564"/>
      <c r="H1734" s="4564"/>
      <c r="I1734" s="4564"/>
      <c r="J1734" s="4564"/>
      <c r="K1734" s="4564"/>
      <c r="L1734" s="4564"/>
      <c r="M1734" s="4564"/>
      <c r="N1734" s="4564"/>
      <c r="O1734" s="4564"/>
      <c r="P1734" s="4564"/>
      <c r="Q1734" s="4564"/>
      <c r="R1734" s="4564"/>
      <c r="S1734" s="4564"/>
      <c r="T1734" s="4564"/>
      <c r="U1734" s="4564"/>
      <c r="V1734" s="4564"/>
      <c r="W1734" s="4564"/>
      <c r="X1734" s="4564"/>
      <c r="Y1734" s="4564"/>
      <c r="Z1734" s="4564"/>
      <c r="AA1734" s="4564"/>
      <c r="AB1734" s="4565"/>
      <c r="AC1734" s="1883" t="s">
        <v>2565</v>
      </c>
      <c r="AD1734" s="2030" t="s">
        <v>2566</v>
      </c>
      <c r="AE1734" s="64"/>
    </row>
    <row r="1735" spans="1:31" ht="63.75">
      <c r="A1735" s="2009">
        <v>24</v>
      </c>
      <c r="B1735" s="2019" t="s">
        <v>2510</v>
      </c>
      <c r="C1735" s="1924" t="s">
        <v>66</v>
      </c>
      <c r="D1735" s="1925" t="s">
        <v>2558</v>
      </c>
      <c r="E1735" s="1925" t="s">
        <v>107</v>
      </c>
      <c r="F1735" s="1925" t="s">
        <v>66</v>
      </c>
      <c r="G1735" s="1925" t="s">
        <v>178</v>
      </c>
      <c r="H1735" s="1925"/>
      <c r="I1735" s="1926" t="s">
        <v>2737</v>
      </c>
      <c r="J1735" s="1926" t="s">
        <v>2738</v>
      </c>
      <c r="K1735" s="1930">
        <v>535</v>
      </c>
      <c r="L1735" s="1953">
        <f>L1736+L1737+L1738+L1739</f>
        <v>1640000000</v>
      </c>
      <c r="M1735" s="1930">
        <f>80+80</f>
        <v>160</v>
      </c>
      <c r="N1735" s="1933">
        <f>N1737</f>
        <v>122933575</v>
      </c>
      <c r="O1735" s="1928">
        <v>90</v>
      </c>
      <c r="P1735" s="1985">
        <f>P1736+P1737+P1739+P1738</f>
        <v>291332345.5</v>
      </c>
      <c r="Q1735" s="2020"/>
      <c r="R1735" s="1985">
        <f>R1736+R1737+R1739+R1738</f>
        <v>38408674</v>
      </c>
      <c r="S1735" s="1957"/>
      <c r="T1735" s="1957"/>
      <c r="U1735" s="1957"/>
      <c r="V1735" s="1957"/>
      <c r="W1735" s="1957"/>
      <c r="X1735" s="1957"/>
      <c r="Y1735" s="2000">
        <f t="shared" ref="Y1735:Z1738" si="367">Q1735</f>
        <v>0</v>
      </c>
      <c r="Z1735" s="1982">
        <f t="shared" si="367"/>
        <v>38408674</v>
      </c>
      <c r="AA1735" s="1989">
        <f>M1735+Q1735</f>
        <v>160</v>
      </c>
      <c r="AB1735" s="1982">
        <f>N1735+Z1735</f>
        <v>161342249</v>
      </c>
      <c r="AC1735" s="1989">
        <f t="shared" ref="AC1735:AD1739" si="368">AA1735/K1735*100</f>
        <v>29.906542056074763</v>
      </c>
      <c r="AD1735" s="1968">
        <f t="shared" si="368"/>
        <v>9.8379420121951213</v>
      </c>
      <c r="AE1735" s="1957"/>
    </row>
    <row r="1736" spans="1:31" ht="38.25">
      <c r="A1736" s="497"/>
      <c r="B1736" s="383"/>
      <c r="C1736" s="1935" t="s">
        <v>66</v>
      </c>
      <c r="D1736" s="1236" t="s">
        <v>2558</v>
      </c>
      <c r="E1736" s="1236" t="s">
        <v>107</v>
      </c>
      <c r="F1736" s="1236" t="s">
        <v>66</v>
      </c>
      <c r="G1736" s="1236" t="s">
        <v>178</v>
      </c>
      <c r="H1736" s="1236" t="s">
        <v>95</v>
      </c>
      <c r="I1736" s="384" t="s">
        <v>2739</v>
      </c>
      <c r="J1736" s="754" t="s">
        <v>2740</v>
      </c>
      <c r="K1736" s="64">
        <v>45</v>
      </c>
      <c r="L1736" s="1938">
        <v>550000000</v>
      </c>
      <c r="M1736" s="1939"/>
      <c r="N1736" s="64"/>
      <c r="O1736" s="64">
        <v>45</v>
      </c>
      <c r="P1736" s="1971">
        <v>99054498.5</v>
      </c>
      <c r="Q1736" s="1959"/>
      <c r="R1736" s="1940">
        <v>13833318</v>
      </c>
      <c r="S1736" s="64"/>
      <c r="T1736" s="64"/>
      <c r="U1736" s="64"/>
      <c r="V1736" s="64"/>
      <c r="W1736" s="64"/>
      <c r="X1736" s="64"/>
      <c r="Y1736" s="1959">
        <f t="shared" si="367"/>
        <v>0</v>
      </c>
      <c r="Z1736" s="1942">
        <f t="shared" si="367"/>
        <v>13833318</v>
      </c>
      <c r="AA1736" s="1939">
        <f>M1736+Q1736</f>
        <v>0</v>
      </c>
      <c r="AB1736" s="1944">
        <f>N1736+Z1736</f>
        <v>13833318</v>
      </c>
      <c r="AC1736" s="1939">
        <f t="shared" si="368"/>
        <v>0</v>
      </c>
      <c r="AD1736" s="2041">
        <f t="shared" si="368"/>
        <v>2.5151487272727273</v>
      </c>
      <c r="AE1736" s="64" t="s">
        <v>2718</v>
      </c>
    </row>
    <row r="1737" spans="1:31" ht="63.75">
      <c r="A1737" s="497"/>
      <c r="B1737" s="383"/>
      <c r="C1737" s="1935" t="s">
        <v>66</v>
      </c>
      <c r="D1737" s="1236" t="s">
        <v>2558</v>
      </c>
      <c r="E1737" s="1236" t="s">
        <v>107</v>
      </c>
      <c r="F1737" s="1236" t="s">
        <v>66</v>
      </c>
      <c r="G1737" s="1236" t="s">
        <v>178</v>
      </c>
      <c r="H1737" s="1236" t="s">
        <v>93</v>
      </c>
      <c r="I1737" s="384" t="s">
        <v>2741</v>
      </c>
      <c r="J1737" s="754" t="s">
        <v>2742</v>
      </c>
      <c r="K1737" s="1938">
        <f>12*3</f>
        <v>36</v>
      </c>
      <c r="L1737" s="1947">
        <v>220000000</v>
      </c>
      <c r="M1737" s="1939">
        <v>24</v>
      </c>
      <c r="N1737" s="1940">
        <f>67515113+55418462</f>
        <v>122933575</v>
      </c>
      <c r="O1737" s="1938">
        <v>12</v>
      </c>
      <c r="P1737" s="1971">
        <v>42117862.25</v>
      </c>
      <c r="Q1737" s="1959"/>
      <c r="R1737" s="1940">
        <v>2213980</v>
      </c>
      <c r="S1737" s="64"/>
      <c r="T1737" s="64"/>
      <c r="U1737" s="64"/>
      <c r="V1737" s="64"/>
      <c r="W1737" s="64"/>
      <c r="X1737" s="64"/>
      <c r="Y1737" s="1959">
        <f t="shared" si="367"/>
        <v>0</v>
      </c>
      <c r="Z1737" s="1942">
        <f t="shared" si="367"/>
        <v>2213980</v>
      </c>
      <c r="AA1737" s="1939">
        <f>M1737+Q1737</f>
        <v>24</v>
      </c>
      <c r="AB1737" s="1944">
        <f>N1737+Z1737</f>
        <v>125147555</v>
      </c>
      <c r="AC1737" s="1939">
        <f t="shared" si="368"/>
        <v>66.666666666666657</v>
      </c>
      <c r="AD1737" s="2041">
        <f t="shared" si="368"/>
        <v>56.885252272727271</v>
      </c>
      <c r="AE1737" s="754" t="s">
        <v>2668</v>
      </c>
    </row>
    <row r="1738" spans="1:31" ht="51">
      <c r="A1738" s="497"/>
      <c r="B1738" s="383"/>
      <c r="C1738" s="1935" t="s">
        <v>66</v>
      </c>
      <c r="D1738" s="1236" t="s">
        <v>2558</v>
      </c>
      <c r="E1738" s="1236" t="s">
        <v>107</v>
      </c>
      <c r="F1738" s="1236" t="s">
        <v>66</v>
      </c>
      <c r="G1738" s="1236" t="s">
        <v>178</v>
      </c>
      <c r="H1738" s="1236" t="s">
        <v>201</v>
      </c>
      <c r="I1738" s="384" t="s">
        <v>2743</v>
      </c>
      <c r="J1738" s="754" t="s">
        <v>2744</v>
      </c>
      <c r="K1738" s="2021">
        <v>80</v>
      </c>
      <c r="L1738" s="2022">
        <v>660000000</v>
      </c>
      <c r="M1738" s="1939">
        <v>20</v>
      </c>
      <c r="N1738" s="1940">
        <v>81589450</v>
      </c>
      <c r="O1738" s="754">
        <v>60</v>
      </c>
      <c r="P1738" s="1941">
        <v>101803084.75</v>
      </c>
      <c r="Q1738" s="1959"/>
      <c r="R1738" s="1940">
        <v>7272576</v>
      </c>
      <c r="S1738" s="64"/>
      <c r="T1738" s="64"/>
      <c r="U1738" s="64"/>
      <c r="V1738" s="64"/>
      <c r="W1738" s="64"/>
      <c r="X1738" s="64"/>
      <c r="Y1738" s="1959">
        <f t="shared" si="367"/>
        <v>0</v>
      </c>
      <c r="Z1738" s="1942">
        <f t="shared" si="367"/>
        <v>7272576</v>
      </c>
      <c r="AA1738" s="1939">
        <f>M1738+Q1738</f>
        <v>20</v>
      </c>
      <c r="AB1738" s="1944">
        <f>N1738+Z1738</f>
        <v>88862026</v>
      </c>
      <c r="AC1738" s="1939">
        <f t="shared" si="368"/>
        <v>25</v>
      </c>
      <c r="AD1738" s="2041">
        <f t="shared" si="368"/>
        <v>13.463943333333333</v>
      </c>
      <c r="AE1738" s="64" t="s">
        <v>2718</v>
      </c>
    </row>
    <row r="1739" spans="1:31" ht="25.5">
      <c r="A1739" s="497"/>
      <c r="B1739" s="383"/>
      <c r="C1739" s="1935" t="s">
        <v>66</v>
      </c>
      <c r="D1739" s="1236" t="s">
        <v>2558</v>
      </c>
      <c r="E1739" s="1236" t="s">
        <v>107</v>
      </c>
      <c r="F1739" s="1236" t="s">
        <v>66</v>
      </c>
      <c r="G1739" s="1236" t="s">
        <v>178</v>
      </c>
      <c r="H1739" s="1236" t="s">
        <v>155</v>
      </c>
      <c r="I1739" s="384" t="s">
        <v>2745</v>
      </c>
      <c r="J1739" s="754" t="s">
        <v>2746</v>
      </c>
      <c r="K1739" s="1938">
        <v>6</v>
      </c>
      <c r="L1739" s="1947">
        <v>210000000</v>
      </c>
      <c r="M1739" s="1939">
        <v>4</v>
      </c>
      <c r="N1739" s="1940">
        <f>49137581+58779224</f>
        <v>107916805</v>
      </c>
      <c r="O1739" s="64">
        <v>2</v>
      </c>
      <c r="P1739" s="1941">
        <v>48356900</v>
      </c>
      <c r="Q1739" s="1959"/>
      <c r="R1739" s="1940">
        <v>15088800</v>
      </c>
      <c r="S1739" s="64"/>
      <c r="T1739" s="64"/>
      <c r="U1739" s="64"/>
      <c r="V1739" s="64"/>
      <c r="W1739" s="64"/>
      <c r="X1739" s="64"/>
      <c r="Y1739" s="1959">
        <f>Q1739</f>
        <v>0</v>
      </c>
      <c r="Z1739" s="64"/>
      <c r="AA1739" s="1939">
        <f>M1739+Q1739</f>
        <v>4</v>
      </c>
      <c r="AB1739" s="1944">
        <f>N1739+Z1739</f>
        <v>107916805</v>
      </c>
      <c r="AC1739" s="1939">
        <f t="shared" si="368"/>
        <v>66.666666666666657</v>
      </c>
      <c r="AD1739" s="2041">
        <f t="shared" si="368"/>
        <v>51.388954761904756</v>
      </c>
      <c r="AE1739" s="754" t="s">
        <v>2616</v>
      </c>
    </row>
    <row r="1740" spans="1:31">
      <c r="A1740" s="4563" t="s">
        <v>2532</v>
      </c>
      <c r="B1740" s="4564"/>
      <c r="C1740" s="4564"/>
      <c r="D1740" s="4564"/>
      <c r="E1740" s="4564"/>
      <c r="F1740" s="4564"/>
      <c r="G1740" s="4564"/>
      <c r="H1740" s="4564"/>
      <c r="I1740" s="4564"/>
      <c r="J1740" s="4564"/>
      <c r="K1740" s="4564"/>
      <c r="L1740" s="4564"/>
      <c r="M1740" s="4564"/>
      <c r="N1740" s="4564"/>
      <c r="O1740" s="4564"/>
      <c r="P1740" s="4564"/>
      <c r="Q1740" s="4564"/>
      <c r="R1740" s="4564"/>
      <c r="S1740" s="4564"/>
      <c r="T1740" s="4564"/>
      <c r="U1740" s="4564"/>
      <c r="V1740" s="4564"/>
      <c r="W1740" s="4564"/>
      <c r="X1740" s="4564"/>
      <c r="Y1740" s="4564"/>
      <c r="Z1740" s="4564"/>
      <c r="AA1740" s="4564"/>
      <c r="AB1740" s="4565"/>
      <c r="AC1740" s="2026">
        <f>SUM(AC1736:AC1739)/4</f>
        <v>39.583333333333329</v>
      </c>
      <c r="AD1740" s="2043">
        <f>SUM(AD1736:AD1739)/4</f>
        <v>31.063324773809523</v>
      </c>
      <c r="AE1740" s="64"/>
    </row>
    <row r="1741" spans="1:31">
      <c r="A1741" s="4563" t="s">
        <v>2533</v>
      </c>
      <c r="B1741" s="4564"/>
      <c r="C1741" s="4564"/>
      <c r="D1741" s="4564"/>
      <c r="E1741" s="4564"/>
      <c r="F1741" s="4564"/>
      <c r="G1741" s="4564"/>
      <c r="H1741" s="4564"/>
      <c r="I1741" s="4564"/>
      <c r="J1741" s="4564"/>
      <c r="K1741" s="4564"/>
      <c r="L1741" s="4564"/>
      <c r="M1741" s="4564"/>
      <c r="N1741" s="4564"/>
      <c r="O1741" s="4564"/>
      <c r="P1741" s="4564"/>
      <c r="Q1741" s="4564"/>
      <c r="R1741" s="4564"/>
      <c r="S1741" s="4564"/>
      <c r="T1741" s="4564"/>
      <c r="U1741" s="4564"/>
      <c r="V1741" s="4564"/>
      <c r="W1741" s="4564"/>
      <c r="X1741" s="4564"/>
      <c r="Y1741" s="4564"/>
      <c r="Z1741" s="4564"/>
      <c r="AA1741" s="4564"/>
      <c r="AB1741" s="4565"/>
      <c r="AC1741" s="2026" t="s">
        <v>2534</v>
      </c>
      <c r="AD1741" s="2028" t="s">
        <v>2534</v>
      </c>
      <c r="AE1741" s="64"/>
    </row>
    <row r="1742" spans="1:31" s="63" customFormat="1" ht="76.5">
      <c r="A1742" s="495">
        <v>25</v>
      </c>
      <c r="B1742" s="741" t="s">
        <v>2510</v>
      </c>
      <c r="C1742" s="1935" t="s">
        <v>66</v>
      </c>
      <c r="D1742" s="1236" t="s">
        <v>2558</v>
      </c>
      <c r="E1742" s="1236" t="s">
        <v>107</v>
      </c>
      <c r="F1742" s="1236" t="s">
        <v>66</v>
      </c>
      <c r="G1742" s="1236" t="s">
        <v>1133</v>
      </c>
      <c r="H1742" s="1236"/>
      <c r="I1742" s="344" t="s">
        <v>2747</v>
      </c>
      <c r="J1742" s="344" t="s">
        <v>2748</v>
      </c>
      <c r="K1742" s="2131">
        <v>500</v>
      </c>
      <c r="L1742" s="2120">
        <f>L1743+L1744</f>
        <v>12100000000</v>
      </c>
      <c r="M1742" s="2143">
        <f>70+75</f>
        <v>145</v>
      </c>
      <c r="N1742" s="2120">
        <f>N1743+N1744</f>
        <v>3300748088</v>
      </c>
      <c r="O1742" s="2131">
        <v>80</v>
      </c>
      <c r="P1742" s="2125">
        <f>SUM(P1743:P1744)</f>
        <v>1601746500</v>
      </c>
      <c r="Q1742" s="633">
        <v>25</v>
      </c>
      <c r="R1742" s="2125">
        <f>R1743+R1744</f>
        <v>130903800</v>
      </c>
      <c r="S1742" s="616"/>
      <c r="T1742" s="616"/>
      <c r="U1742" s="616"/>
      <c r="V1742" s="616"/>
      <c r="W1742" s="616"/>
      <c r="X1742" s="616"/>
      <c r="Y1742" s="2138">
        <f t="shared" ref="Y1742:Z1744" si="369">Q1742</f>
        <v>25</v>
      </c>
      <c r="Z1742" s="2125">
        <f t="shared" si="369"/>
        <v>130903800</v>
      </c>
      <c r="AA1742" s="633">
        <f>M1742+Q1742</f>
        <v>170</v>
      </c>
      <c r="AB1742" s="2125">
        <f>N1742+Z1742</f>
        <v>3431651888</v>
      </c>
      <c r="AC1742" s="2129">
        <f t="shared" ref="AC1742:AD1744" si="370">AA1742/K1742*100</f>
        <v>34</v>
      </c>
      <c r="AD1742" s="493">
        <f t="shared" si="370"/>
        <v>28.360759404958678</v>
      </c>
      <c r="AE1742" s="616"/>
    </row>
    <row r="1743" spans="1:31" s="63" customFormat="1" ht="51">
      <c r="A1743" s="497"/>
      <c r="B1743" s="383"/>
      <c r="C1743" s="1935" t="s">
        <v>66</v>
      </c>
      <c r="D1743" s="1236" t="s">
        <v>2558</v>
      </c>
      <c r="E1743" s="1236" t="s">
        <v>107</v>
      </c>
      <c r="F1743" s="1236" t="s">
        <v>66</v>
      </c>
      <c r="G1743" s="1236" t="s">
        <v>1133</v>
      </c>
      <c r="H1743" s="1236" t="s">
        <v>66</v>
      </c>
      <c r="I1743" s="741" t="s">
        <v>2749</v>
      </c>
      <c r="J1743" s="1485" t="s">
        <v>2750</v>
      </c>
      <c r="K1743" s="2119">
        <f>12*6</f>
        <v>72</v>
      </c>
      <c r="L1743" s="2144">
        <v>600000000</v>
      </c>
      <c r="M1743" s="2129">
        <v>24</v>
      </c>
      <c r="N1743" s="2047">
        <f>95998500+67814100</f>
        <v>163812600</v>
      </c>
      <c r="O1743" s="2119">
        <v>12</v>
      </c>
      <c r="P1743" s="2047">
        <v>65002500</v>
      </c>
      <c r="Q1743" s="2129">
        <v>3</v>
      </c>
      <c r="R1743" s="2047">
        <v>1400000</v>
      </c>
      <c r="S1743" s="385"/>
      <c r="T1743" s="385"/>
      <c r="U1743" s="385"/>
      <c r="V1743" s="385"/>
      <c r="W1743" s="385"/>
      <c r="X1743" s="385"/>
      <c r="Y1743" s="2129">
        <f t="shared" si="369"/>
        <v>3</v>
      </c>
      <c r="Z1743" s="1944">
        <f t="shared" si="369"/>
        <v>1400000</v>
      </c>
      <c r="AA1743" s="2129">
        <f>M1743+Q1743</f>
        <v>27</v>
      </c>
      <c r="AB1743" s="1944">
        <f>N1743+Z1743</f>
        <v>165212600</v>
      </c>
      <c r="AC1743" s="2129">
        <f t="shared" si="370"/>
        <v>37.5</v>
      </c>
      <c r="AD1743" s="2136">
        <f t="shared" si="370"/>
        <v>27.53543333333333</v>
      </c>
      <c r="AE1743" s="385" t="s">
        <v>2513</v>
      </c>
    </row>
    <row r="1744" spans="1:31" s="63" customFormat="1" ht="38.25">
      <c r="A1744" s="497"/>
      <c r="B1744" s="383"/>
      <c r="C1744" s="1935" t="s">
        <v>66</v>
      </c>
      <c r="D1744" s="1236" t="s">
        <v>2558</v>
      </c>
      <c r="E1744" s="1236" t="s">
        <v>107</v>
      </c>
      <c r="F1744" s="1236" t="s">
        <v>66</v>
      </c>
      <c r="G1744" s="1236" t="s">
        <v>1133</v>
      </c>
      <c r="H1744" s="1236" t="s">
        <v>95</v>
      </c>
      <c r="I1744" s="741" t="s">
        <v>158</v>
      </c>
      <c r="J1744" s="1485" t="s">
        <v>2751</v>
      </c>
      <c r="K1744" s="2119">
        <v>72</v>
      </c>
      <c r="L1744" s="2144">
        <v>11500000000</v>
      </c>
      <c r="M1744" s="2129">
        <v>24</v>
      </c>
      <c r="N1744" s="2047">
        <f>1616906826+1520028662</f>
        <v>3136935488</v>
      </c>
      <c r="O1744" s="2119">
        <v>12</v>
      </c>
      <c r="P1744" s="2047">
        <v>1536744000</v>
      </c>
      <c r="Q1744" s="2129">
        <v>3</v>
      </c>
      <c r="R1744" s="2047">
        <v>129503800</v>
      </c>
      <c r="S1744" s="385"/>
      <c r="T1744" s="385"/>
      <c r="U1744" s="385"/>
      <c r="V1744" s="385"/>
      <c r="W1744" s="385"/>
      <c r="X1744" s="385"/>
      <c r="Y1744" s="2129">
        <f t="shared" si="369"/>
        <v>3</v>
      </c>
      <c r="Z1744" s="1944">
        <f t="shared" si="369"/>
        <v>129503800</v>
      </c>
      <c r="AA1744" s="2129">
        <f>M1744+Q1744</f>
        <v>27</v>
      </c>
      <c r="AB1744" s="1944">
        <f>N1744+Z1744</f>
        <v>3266439288</v>
      </c>
      <c r="AC1744" s="2129">
        <f t="shared" si="370"/>
        <v>37.5</v>
      </c>
      <c r="AD1744" s="2136">
        <f t="shared" si="370"/>
        <v>28.40381989565217</v>
      </c>
      <c r="AE1744" s="385" t="s">
        <v>2513</v>
      </c>
    </row>
    <row r="1745" spans="1:31" s="63" customFormat="1">
      <c r="A1745" s="4576" t="s">
        <v>2532</v>
      </c>
      <c r="B1745" s="4577"/>
      <c r="C1745" s="4577"/>
      <c r="D1745" s="4577"/>
      <c r="E1745" s="4577"/>
      <c r="F1745" s="4577"/>
      <c r="G1745" s="4577"/>
      <c r="H1745" s="4577"/>
      <c r="I1745" s="4577"/>
      <c r="J1745" s="4577"/>
      <c r="K1745" s="4577"/>
      <c r="L1745" s="4577"/>
      <c r="M1745" s="4577"/>
      <c r="N1745" s="4577"/>
      <c r="O1745" s="4577"/>
      <c r="P1745" s="4577"/>
      <c r="Q1745" s="4577"/>
      <c r="R1745" s="4577"/>
      <c r="S1745" s="4577"/>
      <c r="T1745" s="4577"/>
      <c r="U1745" s="4577"/>
      <c r="V1745" s="4577"/>
      <c r="W1745" s="4577"/>
      <c r="X1745" s="4577"/>
      <c r="Y1745" s="4577"/>
      <c r="Z1745" s="4577"/>
      <c r="AA1745" s="4577"/>
      <c r="AB1745" s="4578"/>
      <c r="AC1745" s="2145">
        <f>SUM(AC1743:AC1744)/2</f>
        <v>37.5</v>
      </c>
      <c r="AD1745" s="2146">
        <f>SUM(AD1743:AD1744)/2</f>
        <v>27.96962661449275</v>
      </c>
      <c r="AE1745" s="385"/>
    </row>
    <row r="1746" spans="1:31" s="63" customFormat="1">
      <c r="A1746" s="4576" t="s">
        <v>2533</v>
      </c>
      <c r="B1746" s="4577"/>
      <c r="C1746" s="4577"/>
      <c r="D1746" s="4577"/>
      <c r="E1746" s="4577"/>
      <c r="F1746" s="4577"/>
      <c r="G1746" s="4577"/>
      <c r="H1746" s="4577"/>
      <c r="I1746" s="4577"/>
      <c r="J1746" s="4577"/>
      <c r="K1746" s="4577"/>
      <c r="L1746" s="4577"/>
      <c r="M1746" s="4577"/>
      <c r="N1746" s="4577"/>
      <c r="O1746" s="4577"/>
      <c r="P1746" s="4577"/>
      <c r="Q1746" s="4577"/>
      <c r="R1746" s="4577"/>
      <c r="S1746" s="4577"/>
      <c r="T1746" s="4577"/>
      <c r="U1746" s="4577"/>
      <c r="V1746" s="4577"/>
      <c r="W1746" s="4577"/>
      <c r="X1746" s="4577"/>
      <c r="Y1746" s="4577"/>
      <c r="Z1746" s="4577"/>
      <c r="AA1746" s="4577"/>
      <c r="AB1746" s="4578"/>
      <c r="AC1746" s="2145" t="s">
        <v>2534</v>
      </c>
      <c r="AD1746" s="697" t="s">
        <v>2534</v>
      </c>
      <c r="AE1746" s="385"/>
    </row>
    <row r="1747" spans="1:31" s="63" customFormat="1" ht="38.25">
      <c r="A1747" s="495">
        <v>26</v>
      </c>
      <c r="B1747" s="741" t="s">
        <v>2510</v>
      </c>
      <c r="C1747" s="1935" t="s">
        <v>66</v>
      </c>
      <c r="D1747" s="1236" t="s">
        <v>2558</v>
      </c>
      <c r="E1747" s="1236" t="s">
        <v>107</v>
      </c>
      <c r="F1747" s="1236" t="s">
        <v>66</v>
      </c>
      <c r="G1747" s="1236" t="s">
        <v>403</v>
      </c>
      <c r="H1747" s="1236"/>
      <c r="I1747" s="344" t="s">
        <v>2752</v>
      </c>
      <c r="J1747" s="1471" t="s">
        <v>2753</v>
      </c>
      <c r="K1747" s="2131">
        <v>500</v>
      </c>
      <c r="L1747" s="2120">
        <f>L1748</f>
        <v>1679000000</v>
      </c>
      <c r="M1747" s="2143">
        <f>70+75</f>
        <v>145</v>
      </c>
      <c r="N1747" s="2125">
        <f>N1748</f>
        <v>557651858</v>
      </c>
      <c r="O1747" s="2131">
        <v>80</v>
      </c>
      <c r="P1747" s="2125">
        <f>P1748</f>
        <v>226500000</v>
      </c>
      <c r="Q1747" s="633">
        <v>25</v>
      </c>
      <c r="R1747" s="2125">
        <f>R1748</f>
        <v>22000000</v>
      </c>
      <c r="S1747" s="616"/>
      <c r="T1747" s="616"/>
      <c r="U1747" s="616"/>
      <c r="V1747" s="616"/>
      <c r="W1747" s="616"/>
      <c r="X1747" s="616"/>
      <c r="Y1747" s="633">
        <f>Q1747</f>
        <v>25</v>
      </c>
      <c r="Z1747" s="1944">
        <f>R1747</f>
        <v>22000000</v>
      </c>
      <c r="AA1747" s="2129">
        <f>M1747+Q1747</f>
        <v>170</v>
      </c>
      <c r="AB1747" s="1944">
        <f>N1747+Z1747</f>
        <v>579651858</v>
      </c>
      <c r="AC1747" s="2129">
        <f>AA1747/K1747*100</f>
        <v>34</v>
      </c>
      <c r="AD1747" s="2136">
        <f>AB1747/L1747*100</f>
        <v>34.523636569386539</v>
      </c>
      <c r="AE1747" s="616"/>
    </row>
    <row r="1748" spans="1:31" s="63" customFormat="1" ht="38.25">
      <c r="A1748" s="497"/>
      <c r="B1748" s="383"/>
      <c r="C1748" s="1935" t="s">
        <v>66</v>
      </c>
      <c r="D1748" s="1236" t="s">
        <v>2558</v>
      </c>
      <c r="E1748" s="1236" t="s">
        <v>107</v>
      </c>
      <c r="F1748" s="1236" t="s">
        <v>66</v>
      </c>
      <c r="G1748" s="1236" t="s">
        <v>403</v>
      </c>
      <c r="H1748" s="1236" t="s">
        <v>66</v>
      </c>
      <c r="I1748" s="741" t="s">
        <v>2754</v>
      </c>
      <c r="J1748" s="1485" t="s">
        <v>2755</v>
      </c>
      <c r="K1748" s="2119">
        <v>400</v>
      </c>
      <c r="L1748" s="2144">
        <v>1679000000</v>
      </c>
      <c r="M1748" s="2147">
        <v>130</v>
      </c>
      <c r="N1748" s="2047">
        <f>290902290+266749568</f>
        <v>557651858</v>
      </c>
      <c r="O1748" s="2119">
        <v>65</v>
      </c>
      <c r="P1748" s="2047">
        <v>226500000</v>
      </c>
      <c r="Q1748" s="2129">
        <v>15</v>
      </c>
      <c r="R1748" s="2047">
        <v>22000000</v>
      </c>
      <c r="S1748" s="385"/>
      <c r="T1748" s="385"/>
      <c r="U1748" s="385"/>
      <c r="V1748" s="385"/>
      <c r="W1748" s="385"/>
      <c r="X1748" s="385"/>
      <c r="Y1748" s="2129">
        <f>Q1748</f>
        <v>15</v>
      </c>
      <c r="Z1748" s="1944">
        <f>R1748</f>
        <v>22000000</v>
      </c>
      <c r="AA1748" s="2129">
        <f>M1748+Q1748</f>
        <v>145</v>
      </c>
      <c r="AB1748" s="1944">
        <f>N1748+Z1748</f>
        <v>579651858</v>
      </c>
      <c r="AC1748" s="2129">
        <f>AA1748/K1748*100</f>
        <v>36.25</v>
      </c>
      <c r="AD1748" s="2136">
        <f>AB1748/L1748*100</f>
        <v>34.523636569386539</v>
      </c>
      <c r="AE1748" s="385" t="s">
        <v>2513</v>
      </c>
    </row>
    <row r="1749" spans="1:31" s="63" customFormat="1">
      <c r="A1749" s="4576" t="s">
        <v>2532</v>
      </c>
      <c r="B1749" s="4577"/>
      <c r="C1749" s="4577"/>
      <c r="D1749" s="4577"/>
      <c r="E1749" s="4577"/>
      <c r="F1749" s="4577"/>
      <c r="G1749" s="4577"/>
      <c r="H1749" s="4577"/>
      <c r="I1749" s="4577"/>
      <c r="J1749" s="4577"/>
      <c r="K1749" s="4577"/>
      <c r="L1749" s="4577"/>
      <c r="M1749" s="4577"/>
      <c r="N1749" s="4577"/>
      <c r="O1749" s="4577"/>
      <c r="P1749" s="4577"/>
      <c r="Q1749" s="4577"/>
      <c r="R1749" s="4577"/>
      <c r="S1749" s="4577"/>
      <c r="T1749" s="4577"/>
      <c r="U1749" s="4577"/>
      <c r="V1749" s="4577"/>
      <c r="W1749" s="4577"/>
      <c r="X1749" s="4577"/>
      <c r="Y1749" s="4577"/>
      <c r="Z1749" s="4577"/>
      <c r="AA1749" s="4577"/>
      <c r="AB1749" s="4578"/>
      <c r="AC1749" s="616">
        <f>AC1748</f>
        <v>36.25</v>
      </c>
      <c r="AD1749" s="2140">
        <f>AD1748</f>
        <v>34.523636569386539</v>
      </c>
      <c r="AE1749" s="385"/>
    </row>
    <row r="1750" spans="1:31" s="63" customFormat="1">
      <c r="A1750" s="4576" t="s">
        <v>2533</v>
      </c>
      <c r="B1750" s="4577"/>
      <c r="C1750" s="4577"/>
      <c r="D1750" s="4577"/>
      <c r="E1750" s="4577"/>
      <c r="F1750" s="4577"/>
      <c r="G1750" s="4577"/>
      <c r="H1750" s="4577"/>
      <c r="I1750" s="4577"/>
      <c r="J1750" s="4577"/>
      <c r="K1750" s="4577"/>
      <c r="L1750" s="4577"/>
      <c r="M1750" s="4577"/>
      <c r="N1750" s="4577"/>
      <c r="O1750" s="4577"/>
      <c r="P1750" s="4577"/>
      <c r="Q1750" s="4577"/>
      <c r="R1750" s="4577"/>
      <c r="S1750" s="4577"/>
      <c r="T1750" s="4577"/>
      <c r="U1750" s="4577"/>
      <c r="V1750" s="4577"/>
      <c r="W1750" s="4577"/>
      <c r="X1750" s="4577"/>
      <c r="Y1750" s="4577"/>
      <c r="Z1750" s="4577"/>
      <c r="AA1750" s="4577"/>
      <c r="AB1750" s="4578"/>
      <c r="AC1750" s="2145" t="s">
        <v>2534</v>
      </c>
      <c r="AD1750" s="697" t="s">
        <v>2534</v>
      </c>
      <c r="AE1750" s="385"/>
    </row>
    <row r="1751" spans="1:31" s="63" customFormat="1" ht="102">
      <c r="A1751" s="495">
        <v>27</v>
      </c>
      <c r="B1751" s="741" t="s">
        <v>2611</v>
      </c>
      <c r="C1751" s="1935" t="s">
        <v>66</v>
      </c>
      <c r="D1751" s="1236" t="s">
        <v>2558</v>
      </c>
      <c r="E1751" s="1236" t="s">
        <v>107</v>
      </c>
      <c r="F1751" s="1236" t="s">
        <v>66</v>
      </c>
      <c r="G1751" s="1236" t="s">
        <v>1087</v>
      </c>
      <c r="H1751" s="1236"/>
      <c r="I1751" s="383" t="s">
        <v>2756</v>
      </c>
      <c r="J1751" s="1471" t="s">
        <v>2757</v>
      </c>
      <c r="K1751" s="2131">
        <v>510</v>
      </c>
      <c r="L1751" s="2120">
        <f>L1752</f>
        <v>2350000000</v>
      </c>
      <c r="M1751" s="2131">
        <f>70+75</f>
        <v>145</v>
      </c>
      <c r="N1751" s="2125">
        <f>N1752</f>
        <v>450993872</v>
      </c>
      <c r="O1751" s="2131">
        <v>85</v>
      </c>
      <c r="P1751" s="2125">
        <f>P1752</f>
        <v>94304068</v>
      </c>
      <c r="Q1751" s="633">
        <v>50</v>
      </c>
      <c r="R1751" s="2121">
        <f>R1752</f>
        <v>13783200</v>
      </c>
      <c r="S1751" s="616"/>
      <c r="T1751" s="616"/>
      <c r="U1751" s="616"/>
      <c r="V1751" s="616"/>
      <c r="W1751" s="616"/>
      <c r="X1751" s="616"/>
      <c r="Y1751" s="633">
        <f>Q1751</f>
        <v>50</v>
      </c>
      <c r="Z1751" s="2125">
        <f>R1751</f>
        <v>13783200</v>
      </c>
      <c r="AA1751" s="633">
        <f>M1751+Q1751</f>
        <v>195</v>
      </c>
      <c r="AB1751" s="2125">
        <f>N1751+Z1751</f>
        <v>464777072</v>
      </c>
      <c r="AC1751" s="633">
        <f>AA1751/K1751*100</f>
        <v>38.235294117647058</v>
      </c>
      <c r="AD1751" s="2140">
        <f>AB1751/L1751*100</f>
        <v>19.777747744680852</v>
      </c>
      <c r="AE1751" s="616"/>
    </row>
    <row r="1752" spans="1:31" s="63" customFormat="1" ht="38.25">
      <c r="A1752" s="497"/>
      <c r="B1752" s="383"/>
      <c r="C1752" s="1935" t="s">
        <v>66</v>
      </c>
      <c r="D1752" s="1236" t="s">
        <v>2558</v>
      </c>
      <c r="E1752" s="1236" t="s">
        <v>107</v>
      </c>
      <c r="F1752" s="1236" t="s">
        <v>66</v>
      </c>
      <c r="G1752" s="1236" t="s">
        <v>1087</v>
      </c>
      <c r="H1752" s="1236" t="s">
        <v>66</v>
      </c>
      <c r="I1752" s="384" t="s">
        <v>2758</v>
      </c>
      <c r="J1752" s="1485" t="s">
        <v>2759</v>
      </c>
      <c r="K1752" s="2148">
        <v>58</v>
      </c>
      <c r="L1752" s="2144">
        <v>2350000000</v>
      </c>
      <c r="M1752" s="2149">
        <v>12</v>
      </c>
      <c r="N1752" s="2047">
        <f>237987414+213006458</f>
        <v>450993872</v>
      </c>
      <c r="O1752" s="2148">
        <v>6</v>
      </c>
      <c r="P1752" s="2047">
        <v>94304068</v>
      </c>
      <c r="Q1752" s="2129">
        <v>3</v>
      </c>
      <c r="R1752" s="2047">
        <v>13783200</v>
      </c>
      <c r="S1752" s="385"/>
      <c r="T1752" s="385"/>
      <c r="U1752" s="385"/>
      <c r="V1752" s="385"/>
      <c r="W1752" s="385"/>
      <c r="X1752" s="385"/>
      <c r="Y1752" s="2129">
        <f>Q1752</f>
        <v>3</v>
      </c>
      <c r="Z1752" s="1944">
        <f>R1752</f>
        <v>13783200</v>
      </c>
      <c r="AA1752" s="2129">
        <f>M1752+Q1752</f>
        <v>15</v>
      </c>
      <c r="AB1752" s="1944">
        <f>N1752+Z1752</f>
        <v>464777072</v>
      </c>
      <c r="AC1752" s="2129">
        <f>AA1752/K1752*100</f>
        <v>25.862068965517242</v>
      </c>
      <c r="AD1752" s="2136">
        <f>AB1752/L1752*100</f>
        <v>19.777747744680852</v>
      </c>
      <c r="AE1752" s="385" t="s">
        <v>2589</v>
      </c>
    </row>
    <row r="1753" spans="1:31" s="63" customFormat="1">
      <c r="A1753" s="4576" t="s">
        <v>2532</v>
      </c>
      <c r="B1753" s="4577"/>
      <c r="C1753" s="4577"/>
      <c r="D1753" s="4577"/>
      <c r="E1753" s="4577"/>
      <c r="F1753" s="4577"/>
      <c r="G1753" s="4577"/>
      <c r="H1753" s="4577"/>
      <c r="I1753" s="4577"/>
      <c r="J1753" s="4577"/>
      <c r="K1753" s="4577"/>
      <c r="L1753" s="4577"/>
      <c r="M1753" s="4577"/>
      <c r="N1753" s="4577"/>
      <c r="O1753" s="4577"/>
      <c r="P1753" s="4577"/>
      <c r="Q1753" s="4577"/>
      <c r="R1753" s="4577"/>
      <c r="S1753" s="4577"/>
      <c r="T1753" s="4577"/>
      <c r="U1753" s="4577"/>
      <c r="V1753" s="4577"/>
      <c r="W1753" s="4577"/>
      <c r="X1753" s="4577"/>
      <c r="Y1753" s="4577"/>
      <c r="Z1753" s="4577"/>
      <c r="AA1753" s="4577"/>
      <c r="AB1753" s="4578"/>
      <c r="AC1753" s="2145">
        <f>AC1752</f>
        <v>25.862068965517242</v>
      </c>
      <c r="AD1753" s="2150">
        <f>AD1752</f>
        <v>19.777747744680852</v>
      </c>
      <c r="AE1753" s="385"/>
    </row>
    <row r="1754" spans="1:31" s="63" customFormat="1">
      <c r="A1754" s="4576" t="s">
        <v>2533</v>
      </c>
      <c r="B1754" s="4577"/>
      <c r="C1754" s="4577"/>
      <c r="D1754" s="4577"/>
      <c r="E1754" s="4577"/>
      <c r="F1754" s="4577"/>
      <c r="G1754" s="4577"/>
      <c r="H1754" s="4577"/>
      <c r="I1754" s="4577"/>
      <c r="J1754" s="4577"/>
      <c r="K1754" s="4577"/>
      <c r="L1754" s="4577"/>
      <c r="M1754" s="4577"/>
      <c r="N1754" s="4577"/>
      <c r="O1754" s="4577"/>
      <c r="P1754" s="4577"/>
      <c r="Q1754" s="4577"/>
      <c r="R1754" s="4577"/>
      <c r="S1754" s="4577"/>
      <c r="T1754" s="4577"/>
      <c r="U1754" s="4577"/>
      <c r="V1754" s="4577"/>
      <c r="W1754" s="4577"/>
      <c r="X1754" s="4577"/>
      <c r="Y1754" s="4577"/>
      <c r="Z1754" s="4577"/>
      <c r="AA1754" s="4577"/>
      <c r="AB1754" s="4578"/>
      <c r="AC1754" s="2145" t="s">
        <v>2534</v>
      </c>
      <c r="AD1754" s="2145" t="s">
        <v>2534</v>
      </c>
      <c r="AE1754" s="385"/>
    </row>
    <row r="1755" spans="1:31" s="63" customFormat="1" ht="102">
      <c r="A1755" s="495">
        <v>28</v>
      </c>
      <c r="B1755" s="741" t="s">
        <v>2611</v>
      </c>
      <c r="C1755" s="1935" t="s">
        <v>66</v>
      </c>
      <c r="D1755" s="1236" t="s">
        <v>2558</v>
      </c>
      <c r="E1755" s="1236" t="s">
        <v>107</v>
      </c>
      <c r="F1755" s="1236" t="s">
        <v>66</v>
      </c>
      <c r="G1755" s="1236" t="s">
        <v>347</v>
      </c>
      <c r="H1755" s="1236"/>
      <c r="I1755" s="383" t="s">
        <v>2760</v>
      </c>
      <c r="J1755" s="1471" t="s">
        <v>2761</v>
      </c>
      <c r="K1755" s="2131">
        <v>190</v>
      </c>
      <c r="L1755" s="2151">
        <f>SUM(L1761:L1777)</f>
        <v>5269000000</v>
      </c>
      <c r="M1755" s="2131"/>
      <c r="N1755" s="2151">
        <f>SUM(N1761:N1777)</f>
        <v>1153023825</v>
      </c>
      <c r="O1755" s="2131">
        <v>30</v>
      </c>
      <c r="P1755" s="2123">
        <f>SUM(P1761:P1777)</f>
        <v>675696388.45000005</v>
      </c>
      <c r="Q1755" s="633">
        <v>15</v>
      </c>
      <c r="R1755" s="2123">
        <f>SUM(R1761:R1777)</f>
        <v>93024500</v>
      </c>
      <c r="S1755" s="616"/>
      <c r="T1755" s="616"/>
      <c r="U1755" s="616"/>
      <c r="V1755" s="616"/>
      <c r="W1755" s="616"/>
      <c r="X1755" s="616"/>
      <c r="Y1755" s="633">
        <f>Q1755</f>
        <v>15</v>
      </c>
      <c r="Z1755" s="1944">
        <f>R1755</f>
        <v>93024500</v>
      </c>
      <c r="AA1755" s="2129">
        <f t="shared" ref="AA1755:AA1763" si="371">M1755+Q1755</f>
        <v>15</v>
      </c>
      <c r="AB1755" s="2123">
        <f>SUM(AB1761:AB1777)</f>
        <v>1246048325</v>
      </c>
      <c r="AC1755" s="493">
        <f t="shared" ref="AC1755:AC1763" si="372">AA1755/K1755*100</f>
        <v>7.8947368421052628</v>
      </c>
      <c r="AD1755" s="2152">
        <f>AB1755/L1755*100</f>
        <v>23.648668153349782</v>
      </c>
      <c r="AE1755" s="616"/>
    </row>
    <row r="1756" spans="1:31" s="63" customFormat="1" ht="51">
      <c r="A1756" s="497"/>
      <c r="B1756" s="383"/>
      <c r="C1756" s="1935"/>
      <c r="D1756" s="1236"/>
      <c r="E1756" s="1236"/>
      <c r="F1756" s="1236"/>
      <c r="G1756" s="1236"/>
      <c r="H1756" s="1236"/>
      <c r="I1756" s="2153"/>
      <c r="J1756" s="1471" t="s">
        <v>2762</v>
      </c>
      <c r="K1756" s="2131">
        <v>400</v>
      </c>
      <c r="L1756" s="495"/>
      <c r="M1756" s="2143"/>
      <c r="N1756" s="495"/>
      <c r="O1756" s="2131">
        <v>100</v>
      </c>
      <c r="P1756" s="2123"/>
      <c r="Q1756" s="616">
        <v>40</v>
      </c>
      <c r="R1756" s="2123"/>
      <c r="S1756" s="616"/>
      <c r="T1756" s="616"/>
      <c r="U1756" s="616"/>
      <c r="V1756" s="616"/>
      <c r="W1756" s="616"/>
      <c r="X1756" s="616"/>
      <c r="Y1756" s="633">
        <f t="shared" ref="Y1756:Y1762" si="373">Q1756</f>
        <v>40</v>
      </c>
      <c r="Z1756" s="616"/>
      <c r="AA1756" s="633">
        <f t="shared" si="371"/>
        <v>40</v>
      </c>
      <c r="AB1756" s="2123"/>
      <c r="AC1756" s="633">
        <f t="shared" si="372"/>
        <v>10</v>
      </c>
      <c r="AD1756" s="2152"/>
      <c r="AE1756" s="616"/>
    </row>
    <row r="1757" spans="1:31" s="63" customFormat="1" ht="25.5">
      <c r="A1757" s="497"/>
      <c r="B1757" s="383"/>
      <c r="C1757" s="1935"/>
      <c r="D1757" s="1236"/>
      <c r="E1757" s="1236"/>
      <c r="F1757" s="1236"/>
      <c r="G1757" s="1236"/>
      <c r="H1757" s="1236"/>
      <c r="I1757" s="2153"/>
      <c r="J1757" s="1471" t="s">
        <v>2763</v>
      </c>
      <c r="K1757" s="2131">
        <v>80</v>
      </c>
      <c r="L1757" s="495"/>
      <c r="M1757" s="2143"/>
      <c r="N1757" s="495"/>
      <c r="O1757" s="2131">
        <v>17</v>
      </c>
      <c r="P1757" s="2123"/>
      <c r="Q1757" s="616">
        <v>5</v>
      </c>
      <c r="R1757" s="2123"/>
      <c r="S1757" s="616"/>
      <c r="T1757" s="616"/>
      <c r="U1757" s="616"/>
      <c r="V1757" s="616"/>
      <c r="W1757" s="616"/>
      <c r="X1757" s="616"/>
      <c r="Y1757" s="633">
        <f t="shared" si="373"/>
        <v>5</v>
      </c>
      <c r="Z1757" s="616"/>
      <c r="AA1757" s="633">
        <f t="shared" si="371"/>
        <v>5</v>
      </c>
      <c r="AB1757" s="2123"/>
      <c r="AC1757" s="633">
        <f t="shared" si="372"/>
        <v>6.25</v>
      </c>
      <c r="AD1757" s="389"/>
      <c r="AE1757" s="616"/>
    </row>
    <row r="1758" spans="1:31" s="63" customFormat="1" ht="63.75">
      <c r="A1758" s="497"/>
      <c r="B1758" s="383"/>
      <c r="C1758" s="1935"/>
      <c r="D1758" s="1236"/>
      <c r="E1758" s="1236"/>
      <c r="F1758" s="1236"/>
      <c r="G1758" s="1236"/>
      <c r="H1758" s="1236"/>
      <c r="I1758" s="2153"/>
      <c r="J1758" s="1471" t="s">
        <v>2764</v>
      </c>
      <c r="K1758" s="2131">
        <v>399</v>
      </c>
      <c r="L1758" s="495"/>
      <c r="M1758" s="2143"/>
      <c r="N1758" s="495"/>
      <c r="O1758" s="2131">
        <v>67</v>
      </c>
      <c r="P1758" s="2123"/>
      <c r="Q1758" s="616">
        <v>25</v>
      </c>
      <c r="R1758" s="2123"/>
      <c r="S1758" s="616"/>
      <c r="T1758" s="616"/>
      <c r="U1758" s="616"/>
      <c r="V1758" s="616"/>
      <c r="W1758" s="616"/>
      <c r="X1758" s="616"/>
      <c r="Y1758" s="633">
        <f t="shared" si="373"/>
        <v>25</v>
      </c>
      <c r="Z1758" s="616"/>
      <c r="AA1758" s="633">
        <f t="shared" si="371"/>
        <v>25</v>
      </c>
      <c r="AB1758" s="2123"/>
      <c r="AC1758" s="493">
        <f t="shared" si="372"/>
        <v>6.2656641604010019</v>
      </c>
      <c r="AD1758" s="389"/>
      <c r="AE1758" s="616"/>
    </row>
    <row r="1759" spans="1:31" s="63" customFormat="1" ht="38.25">
      <c r="A1759" s="497"/>
      <c r="B1759" s="383"/>
      <c r="C1759" s="1935"/>
      <c r="D1759" s="1236"/>
      <c r="E1759" s="1236"/>
      <c r="F1759" s="1236"/>
      <c r="G1759" s="1236"/>
      <c r="H1759" s="1236"/>
      <c r="I1759" s="2153"/>
      <c r="J1759" s="1471" t="s">
        <v>2765</v>
      </c>
      <c r="K1759" s="1855">
        <v>78</v>
      </c>
      <c r="L1759" s="495"/>
      <c r="M1759" s="2131">
        <v>1</v>
      </c>
      <c r="N1759" s="495"/>
      <c r="O1759" s="1855">
        <v>14</v>
      </c>
      <c r="P1759" s="2123"/>
      <c r="Q1759" s="616">
        <v>1</v>
      </c>
      <c r="R1759" s="2123"/>
      <c r="S1759" s="616"/>
      <c r="T1759" s="616"/>
      <c r="U1759" s="616"/>
      <c r="V1759" s="616"/>
      <c r="W1759" s="616"/>
      <c r="X1759" s="616"/>
      <c r="Y1759" s="2129">
        <f t="shared" si="373"/>
        <v>1</v>
      </c>
      <c r="Z1759" s="616"/>
      <c r="AA1759" s="633">
        <f t="shared" si="371"/>
        <v>2</v>
      </c>
      <c r="AB1759" s="2123"/>
      <c r="AC1759" s="493">
        <f t="shared" si="372"/>
        <v>2.5641025641025639</v>
      </c>
      <c r="AD1759" s="389"/>
      <c r="AE1759" s="616"/>
    </row>
    <row r="1760" spans="1:31" s="63" customFormat="1" ht="63.75">
      <c r="A1760" s="497"/>
      <c r="B1760" s="383"/>
      <c r="C1760" s="1935"/>
      <c r="D1760" s="1236"/>
      <c r="E1760" s="1236"/>
      <c r="F1760" s="1236"/>
      <c r="G1760" s="1236"/>
      <c r="H1760" s="1236"/>
      <c r="I1760" s="2153"/>
      <c r="J1760" s="1471" t="s">
        <v>2766</v>
      </c>
      <c r="K1760" s="2131">
        <v>450</v>
      </c>
      <c r="L1760" s="2154"/>
      <c r="M1760" s="2131">
        <v>90</v>
      </c>
      <c r="N1760" s="495"/>
      <c r="O1760" s="2131">
        <v>90</v>
      </c>
      <c r="P1760" s="2123"/>
      <c r="Q1760" s="616"/>
      <c r="R1760" s="2123"/>
      <c r="S1760" s="616"/>
      <c r="T1760" s="616"/>
      <c r="U1760" s="616"/>
      <c r="V1760" s="616"/>
      <c r="W1760" s="616"/>
      <c r="X1760" s="616"/>
      <c r="Y1760" s="2129">
        <f t="shared" si="373"/>
        <v>0</v>
      </c>
      <c r="Z1760" s="616"/>
      <c r="AA1760" s="633">
        <f t="shared" si="371"/>
        <v>90</v>
      </c>
      <c r="AB1760" s="2123"/>
      <c r="AC1760" s="493">
        <f t="shared" si="372"/>
        <v>20</v>
      </c>
      <c r="AD1760" s="389"/>
      <c r="AE1760" s="616"/>
    </row>
    <row r="1761" spans="1:31" s="63" customFormat="1" ht="38.25">
      <c r="A1761" s="497"/>
      <c r="B1761" s="383"/>
      <c r="C1761" s="1935" t="s">
        <v>66</v>
      </c>
      <c r="D1761" s="1236" t="s">
        <v>2558</v>
      </c>
      <c r="E1761" s="1236" t="s">
        <v>107</v>
      </c>
      <c r="F1761" s="1236" t="s">
        <v>66</v>
      </c>
      <c r="G1761" s="1236" t="s">
        <v>347</v>
      </c>
      <c r="H1761" s="1236" t="s">
        <v>66</v>
      </c>
      <c r="I1761" s="384" t="s">
        <v>2767</v>
      </c>
      <c r="J1761" s="1990" t="s">
        <v>2768</v>
      </c>
      <c r="K1761" s="2119">
        <v>10</v>
      </c>
      <c r="L1761" s="2144">
        <v>597000000</v>
      </c>
      <c r="M1761" s="2129">
        <v>2</v>
      </c>
      <c r="N1761" s="2047">
        <f>63582900</f>
        <v>63582900</v>
      </c>
      <c r="O1761" s="2119">
        <v>2</v>
      </c>
      <c r="P1761" s="1941">
        <v>62260879.75</v>
      </c>
      <c r="Q1761" s="2129">
        <v>1</v>
      </c>
      <c r="R1761" s="2047">
        <v>2324500</v>
      </c>
      <c r="S1761" s="385"/>
      <c r="T1761" s="385"/>
      <c r="U1761" s="385"/>
      <c r="V1761" s="385"/>
      <c r="W1761" s="385"/>
      <c r="X1761" s="385"/>
      <c r="Y1761" s="2129">
        <f t="shared" si="373"/>
        <v>1</v>
      </c>
      <c r="Z1761" s="1944">
        <f>R1761</f>
        <v>2324500</v>
      </c>
      <c r="AA1761" s="2129">
        <f t="shared" si="371"/>
        <v>3</v>
      </c>
      <c r="AB1761" s="1944">
        <f>N1761+Z1761</f>
        <v>65907400</v>
      </c>
      <c r="AC1761" s="2129">
        <f t="shared" si="372"/>
        <v>30</v>
      </c>
      <c r="AD1761" s="2136">
        <f>AB1761/L1761*100</f>
        <v>11.039765494137352</v>
      </c>
      <c r="AE1761" s="384" t="s">
        <v>2594</v>
      </c>
    </row>
    <row r="1762" spans="1:31" s="63" customFormat="1" ht="38.25">
      <c r="A1762" s="497"/>
      <c r="B1762" s="383"/>
      <c r="C1762" s="1935"/>
      <c r="D1762" s="1236"/>
      <c r="E1762" s="1236"/>
      <c r="F1762" s="1236"/>
      <c r="G1762" s="1236"/>
      <c r="H1762" s="1236"/>
      <c r="I1762" s="384"/>
      <c r="J1762" s="1990" t="s">
        <v>2769</v>
      </c>
      <c r="K1762" s="2119">
        <v>9</v>
      </c>
      <c r="L1762" s="2144"/>
      <c r="M1762" s="2129"/>
      <c r="N1762" s="385"/>
      <c r="O1762" s="385"/>
      <c r="P1762" s="1941"/>
      <c r="Q1762" s="385"/>
      <c r="R1762" s="2047"/>
      <c r="S1762" s="385"/>
      <c r="T1762" s="385"/>
      <c r="U1762" s="385"/>
      <c r="V1762" s="385"/>
      <c r="W1762" s="385"/>
      <c r="X1762" s="385"/>
      <c r="Y1762" s="2129">
        <f t="shared" si="373"/>
        <v>0</v>
      </c>
      <c r="Z1762" s="1944"/>
      <c r="AA1762" s="2129">
        <f t="shared" si="371"/>
        <v>0</v>
      </c>
      <c r="AB1762" s="1944"/>
      <c r="AC1762" s="2129">
        <f t="shared" si="372"/>
        <v>0</v>
      </c>
      <c r="AD1762" s="389"/>
      <c r="AE1762" s="385"/>
    </row>
    <row r="1763" spans="1:31" s="63" customFormat="1" ht="51">
      <c r="A1763" s="497"/>
      <c r="B1763" s="383"/>
      <c r="C1763" s="1935" t="s">
        <v>66</v>
      </c>
      <c r="D1763" s="1236" t="s">
        <v>2558</v>
      </c>
      <c r="E1763" s="1236" t="s">
        <v>107</v>
      </c>
      <c r="F1763" s="1236" t="s">
        <v>66</v>
      </c>
      <c r="G1763" s="1236" t="s">
        <v>347</v>
      </c>
      <c r="H1763" s="1236" t="s">
        <v>65</v>
      </c>
      <c r="I1763" s="384" t="s">
        <v>2770</v>
      </c>
      <c r="J1763" s="741" t="s">
        <v>2771</v>
      </c>
      <c r="K1763" s="2119">
        <f>4*6</f>
        <v>24</v>
      </c>
      <c r="L1763" s="2144">
        <v>1200000000</v>
      </c>
      <c r="M1763" s="2129">
        <v>8</v>
      </c>
      <c r="N1763" s="2047">
        <f>135677700+178656404</f>
        <v>314334104</v>
      </c>
      <c r="O1763" s="2119">
        <v>4</v>
      </c>
      <c r="P1763" s="1941">
        <v>99539854</v>
      </c>
      <c r="Q1763" s="2129">
        <v>2</v>
      </c>
      <c r="R1763" s="2047">
        <v>21394700</v>
      </c>
      <c r="S1763" s="385"/>
      <c r="T1763" s="385"/>
      <c r="U1763" s="385"/>
      <c r="V1763" s="385"/>
      <c r="W1763" s="385"/>
      <c r="X1763" s="385"/>
      <c r="Y1763" s="2129">
        <f>Q1763</f>
        <v>2</v>
      </c>
      <c r="Z1763" s="1944">
        <f>R1763</f>
        <v>21394700</v>
      </c>
      <c r="AA1763" s="2129">
        <f t="shared" si="371"/>
        <v>10</v>
      </c>
      <c r="AB1763" s="1944">
        <f>N1763+Z1763</f>
        <v>335728804</v>
      </c>
      <c r="AC1763" s="2129">
        <f t="shared" si="372"/>
        <v>41.666666666666671</v>
      </c>
      <c r="AD1763" s="2136">
        <f>AB1763/L1763*100</f>
        <v>27.977400333333335</v>
      </c>
      <c r="AE1763" s="384" t="s">
        <v>2594</v>
      </c>
    </row>
    <row r="1764" spans="1:31" s="63" customFormat="1" ht="25.5">
      <c r="A1764" s="497"/>
      <c r="B1764" s="383"/>
      <c r="C1764" s="1935"/>
      <c r="D1764" s="1236"/>
      <c r="E1764" s="1236"/>
      <c r="F1764" s="1236"/>
      <c r="G1764" s="1236"/>
      <c r="H1764" s="1236"/>
      <c r="I1764" s="384"/>
      <c r="J1764" s="741" t="s">
        <v>2772</v>
      </c>
      <c r="K1764" s="385"/>
      <c r="L1764" s="385"/>
      <c r="M1764" s="2129"/>
      <c r="N1764" s="385"/>
      <c r="O1764" s="385"/>
      <c r="P1764" s="1941"/>
      <c r="Q1764" s="385"/>
      <c r="R1764" s="2047"/>
      <c r="S1764" s="385"/>
      <c r="T1764" s="385"/>
      <c r="U1764" s="385"/>
      <c r="V1764" s="385"/>
      <c r="W1764" s="385"/>
      <c r="X1764" s="385"/>
      <c r="Y1764" s="2124"/>
      <c r="Z1764" s="1944"/>
      <c r="AA1764" s="389"/>
      <c r="AB1764" s="1944"/>
      <c r="AC1764" s="385"/>
      <c r="AD1764" s="389"/>
      <c r="AE1764" s="385"/>
    </row>
    <row r="1765" spans="1:31" s="63" customFormat="1" ht="38.25">
      <c r="A1765" s="497"/>
      <c r="B1765" s="383"/>
      <c r="C1765" s="1935"/>
      <c r="D1765" s="1236"/>
      <c r="E1765" s="1236"/>
      <c r="F1765" s="1236"/>
      <c r="G1765" s="1236"/>
      <c r="H1765" s="1236"/>
      <c r="I1765" s="384"/>
      <c r="J1765" s="741" t="s">
        <v>2773</v>
      </c>
      <c r="K1765" s="385"/>
      <c r="L1765" s="385"/>
      <c r="M1765" s="2129"/>
      <c r="N1765" s="385"/>
      <c r="O1765" s="385"/>
      <c r="P1765" s="1941"/>
      <c r="Q1765" s="385"/>
      <c r="R1765" s="2047"/>
      <c r="S1765" s="385"/>
      <c r="T1765" s="385"/>
      <c r="U1765" s="385"/>
      <c r="V1765" s="385"/>
      <c r="W1765" s="385"/>
      <c r="X1765" s="385"/>
      <c r="Y1765" s="2124"/>
      <c r="Z1765" s="1944"/>
      <c r="AA1765" s="389"/>
      <c r="AB1765" s="1944"/>
      <c r="AC1765" s="385"/>
      <c r="AD1765" s="389"/>
      <c r="AE1765" s="385"/>
    </row>
    <row r="1766" spans="1:31" s="63" customFormat="1" ht="38.25">
      <c r="A1766" s="497"/>
      <c r="B1766" s="383"/>
      <c r="C1766" s="1935" t="s">
        <v>66</v>
      </c>
      <c r="D1766" s="1236" t="s">
        <v>2558</v>
      </c>
      <c r="E1766" s="1236" t="s">
        <v>107</v>
      </c>
      <c r="F1766" s="1236" t="s">
        <v>66</v>
      </c>
      <c r="G1766" s="1236" t="s">
        <v>347</v>
      </c>
      <c r="H1766" s="1236" t="s">
        <v>196</v>
      </c>
      <c r="I1766" s="384" t="s">
        <v>2774</v>
      </c>
      <c r="J1766" s="741" t="s">
        <v>2775</v>
      </c>
      <c r="K1766" s="2119">
        <v>90</v>
      </c>
      <c r="L1766" s="2144">
        <v>1180000000</v>
      </c>
      <c r="M1766" s="2129">
        <v>30</v>
      </c>
      <c r="N1766" s="2119">
        <f>127025300+161638647</f>
        <v>288663947</v>
      </c>
      <c r="O1766" s="2119">
        <v>15</v>
      </c>
      <c r="P1766" s="1941">
        <v>46463665.5</v>
      </c>
      <c r="Q1766" s="2129">
        <v>4</v>
      </c>
      <c r="R1766" s="2047">
        <v>9026000</v>
      </c>
      <c r="S1766" s="385"/>
      <c r="T1766" s="385"/>
      <c r="U1766" s="385"/>
      <c r="V1766" s="385"/>
      <c r="W1766" s="385"/>
      <c r="X1766" s="385"/>
      <c r="Y1766" s="2129">
        <f t="shared" ref="Y1766:Z1769" si="374">Q1766</f>
        <v>4</v>
      </c>
      <c r="Z1766" s="1944">
        <f t="shared" si="374"/>
        <v>9026000</v>
      </c>
      <c r="AA1766" s="2129">
        <f>M1766+Q1766</f>
        <v>34</v>
      </c>
      <c r="AB1766" s="1944">
        <f>N1766+Z1766</f>
        <v>297689947</v>
      </c>
      <c r="AC1766" s="2129">
        <f>AA1766/K1766*100</f>
        <v>37.777777777777779</v>
      </c>
      <c r="AD1766" s="2136">
        <f>AB1766/L1766*100</f>
        <v>25.227961610169491</v>
      </c>
      <c r="AE1766" s="384" t="s">
        <v>2594</v>
      </c>
    </row>
    <row r="1767" spans="1:31" s="63" customFormat="1" ht="38.25">
      <c r="A1767" s="497"/>
      <c r="B1767" s="383"/>
      <c r="C1767" s="1935"/>
      <c r="D1767" s="1236"/>
      <c r="E1767" s="1236"/>
      <c r="F1767" s="1236"/>
      <c r="G1767" s="1236"/>
      <c r="H1767" s="1236"/>
      <c r="I1767" s="384"/>
      <c r="J1767" s="741" t="s">
        <v>2776</v>
      </c>
      <c r="K1767" s="2148"/>
      <c r="L1767" s="2144"/>
      <c r="M1767" s="2129"/>
      <c r="N1767" s="2148"/>
      <c r="O1767" s="2148"/>
      <c r="P1767" s="1941"/>
      <c r="Q1767" s="385"/>
      <c r="R1767" s="2047"/>
      <c r="S1767" s="385"/>
      <c r="T1767" s="385"/>
      <c r="U1767" s="385"/>
      <c r="V1767" s="385"/>
      <c r="W1767" s="385"/>
      <c r="X1767" s="385"/>
      <c r="Y1767" s="2124">
        <f t="shared" si="374"/>
        <v>0</v>
      </c>
      <c r="Z1767" s="1944">
        <f t="shared" si="374"/>
        <v>0</v>
      </c>
      <c r="AA1767" s="389"/>
      <c r="AB1767" s="1944">
        <f>N1767+Z1767</f>
        <v>0</v>
      </c>
      <c r="AC1767" s="385"/>
      <c r="AD1767" s="389"/>
      <c r="AE1767" s="385"/>
    </row>
    <row r="1768" spans="1:31" s="63" customFormat="1" ht="38.25">
      <c r="A1768" s="497"/>
      <c r="B1768" s="383"/>
      <c r="C1768" s="1935" t="s">
        <v>66</v>
      </c>
      <c r="D1768" s="1236" t="s">
        <v>2558</v>
      </c>
      <c r="E1768" s="1236" t="s">
        <v>107</v>
      </c>
      <c r="F1768" s="1236" t="s">
        <v>66</v>
      </c>
      <c r="G1768" s="1236" t="s">
        <v>347</v>
      </c>
      <c r="H1768" s="1236" t="s">
        <v>93</v>
      </c>
      <c r="I1768" s="384" t="s">
        <v>2777</v>
      </c>
      <c r="J1768" s="741" t="s">
        <v>2778</v>
      </c>
      <c r="K1768" s="2148">
        <v>3</v>
      </c>
      <c r="L1768" s="2155">
        <v>237000000</v>
      </c>
      <c r="M1768" s="2129">
        <v>2</v>
      </c>
      <c r="N1768" s="2047">
        <f>69652800+76491427</f>
        <v>146144227</v>
      </c>
      <c r="O1768" s="2148">
        <v>1</v>
      </c>
      <c r="P1768" s="1941">
        <v>58162656.25</v>
      </c>
      <c r="Q1768" s="2129">
        <v>1</v>
      </c>
      <c r="R1768" s="2047">
        <v>20651800</v>
      </c>
      <c r="S1768" s="385"/>
      <c r="T1768" s="385"/>
      <c r="U1768" s="385"/>
      <c r="V1768" s="385"/>
      <c r="W1768" s="385"/>
      <c r="X1768" s="385"/>
      <c r="Y1768" s="2129">
        <f t="shared" si="374"/>
        <v>1</v>
      </c>
      <c r="Z1768" s="1944">
        <f t="shared" si="374"/>
        <v>20651800</v>
      </c>
      <c r="AA1768" s="2129">
        <f>M1768+Q1768</f>
        <v>3</v>
      </c>
      <c r="AB1768" s="1944">
        <f>N1768+Z1768</f>
        <v>166796027</v>
      </c>
      <c r="AC1768" s="2129">
        <f>AA1768/K1768*100</f>
        <v>100</v>
      </c>
      <c r="AD1768" s="2136">
        <f>AB1768/L1768*100</f>
        <v>70.378070464135021</v>
      </c>
      <c r="AE1768" s="384" t="s">
        <v>2594</v>
      </c>
    </row>
    <row r="1769" spans="1:31" s="63" customFormat="1" ht="38.25">
      <c r="A1769" s="497"/>
      <c r="B1769" s="383"/>
      <c r="C1769" s="1935" t="s">
        <v>66</v>
      </c>
      <c r="D1769" s="1236" t="s">
        <v>2558</v>
      </c>
      <c r="E1769" s="1236" t="s">
        <v>107</v>
      </c>
      <c r="F1769" s="1236" t="s">
        <v>66</v>
      </c>
      <c r="G1769" s="1236" t="s">
        <v>347</v>
      </c>
      <c r="H1769" s="1236" t="s">
        <v>201</v>
      </c>
      <c r="I1769" s="384" t="s">
        <v>2779</v>
      </c>
      <c r="J1769" s="741" t="s">
        <v>2780</v>
      </c>
      <c r="K1769" s="1994">
        <f>8*4+1</f>
        <v>33</v>
      </c>
      <c r="L1769" s="2144">
        <v>100000000</v>
      </c>
      <c r="M1769" s="2129">
        <v>1</v>
      </c>
      <c r="N1769" s="2047">
        <v>78521841</v>
      </c>
      <c r="O1769" s="2023">
        <v>8</v>
      </c>
      <c r="P1769" s="1941">
        <v>48879711.5</v>
      </c>
      <c r="Q1769" s="2129">
        <v>1</v>
      </c>
      <c r="R1769" s="2047">
        <v>5720000</v>
      </c>
      <c r="S1769" s="385"/>
      <c r="T1769" s="385"/>
      <c r="U1769" s="385"/>
      <c r="V1769" s="385"/>
      <c r="W1769" s="385"/>
      <c r="X1769" s="385"/>
      <c r="Y1769" s="2129">
        <f t="shared" si="374"/>
        <v>1</v>
      </c>
      <c r="Z1769" s="1944">
        <f t="shared" si="374"/>
        <v>5720000</v>
      </c>
      <c r="AA1769" s="2129">
        <f>M1769+Q1769</f>
        <v>2</v>
      </c>
      <c r="AB1769" s="1944">
        <f>N1769+Z1769</f>
        <v>84241841</v>
      </c>
      <c r="AC1769" s="2129">
        <f>AA1769/K1769*100</f>
        <v>6.0606060606060606</v>
      </c>
      <c r="AD1769" s="2136">
        <f>AB1769/L1769*100</f>
        <v>84.241840999999994</v>
      </c>
      <c r="AE1769" s="384" t="s">
        <v>2594</v>
      </c>
    </row>
    <row r="1770" spans="1:31" s="63" customFormat="1" ht="38.25">
      <c r="A1770" s="497"/>
      <c r="B1770" s="383"/>
      <c r="C1770" s="1935"/>
      <c r="D1770" s="1236"/>
      <c r="E1770" s="1236"/>
      <c r="F1770" s="1236"/>
      <c r="G1770" s="1236"/>
      <c r="H1770" s="1236"/>
      <c r="I1770" s="384"/>
      <c r="J1770" s="741" t="s">
        <v>2781</v>
      </c>
      <c r="K1770" s="2024"/>
      <c r="L1770" s="2144"/>
      <c r="M1770" s="2129"/>
      <c r="N1770" s="385"/>
      <c r="O1770" s="2024"/>
      <c r="P1770" s="1941"/>
      <c r="Q1770" s="385"/>
      <c r="R1770" s="2047"/>
      <c r="S1770" s="385"/>
      <c r="T1770" s="385"/>
      <c r="U1770" s="385"/>
      <c r="V1770" s="385"/>
      <c r="W1770" s="385"/>
      <c r="X1770" s="385"/>
      <c r="Y1770" s="2124"/>
      <c r="Z1770" s="1944"/>
      <c r="AA1770" s="389"/>
      <c r="AB1770" s="1944"/>
      <c r="AC1770" s="385"/>
      <c r="AD1770" s="389"/>
      <c r="AE1770" s="385"/>
    </row>
    <row r="1771" spans="1:31" s="63" customFormat="1" ht="38.25">
      <c r="A1771" s="497"/>
      <c r="B1771" s="383"/>
      <c r="C1771" s="1935" t="s">
        <v>66</v>
      </c>
      <c r="D1771" s="1236" t="s">
        <v>2558</v>
      </c>
      <c r="E1771" s="1236" t="s">
        <v>107</v>
      </c>
      <c r="F1771" s="1236" t="s">
        <v>66</v>
      </c>
      <c r="G1771" s="1236" t="s">
        <v>347</v>
      </c>
      <c r="H1771" s="1236" t="s">
        <v>202</v>
      </c>
      <c r="I1771" s="741" t="s">
        <v>2782</v>
      </c>
      <c r="J1771" s="741" t="s">
        <v>2783</v>
      </c>
      <c r="K1771" s="385">
        <v>6</v>
      </c>
      <c r="L1771" s="2155">
        <v>340000000</v>
      </c>
      <c r="M1771" s="2129">
        <v>3</v>
      </c>
      <c r="N1771" s="2156">
        <f>132655856</f>
        <v>132655856</v>
      </c>
      <c r="O1771" s="2148">
        <v>3</v>
      </c>
      <c r="P1771" s="1941">
        <v>160786958.19999999</v>
      </c>
      <c r="Q1771" s="2124"/>
      <c r="R1771" s="2047">
        <v>952000</v>
      </c>
      <c r="S1771" s="385"/>
      <c r="T1771" s="385"/>
      <c r="U1771" s="385"/>
      <c r="V1771" s="385"/>
      <c r="W1771" s="385"/>
      <c r="X1771" s="385"/>
      <c r="Y1771" s="2124">
        <f>Q1771</f>
        <v>0</v>
      </c>
      <c r="Z1771" s="1944">
        <f>R1771</f>
        <v>952000</v>
      </c>
      <c r="AA1771" s="2129">
        <f>M1771+Q1771</f>
        <v>3</v>
      </c>
      <c r="AB1771" s="1944">
        <f>N1771+Z1771</f>
        <v>133607856</v>
      </c>
      <c r="AC1771" s="2129">
        <f>AA1771/K1771*100</f>
        <v>50</v>
      </c>
      <c r="AD1771" s="2136">
        <f>AB1771/L1771*100</f>
        <v>39.296428235294115</v>
      </c>
      <c r="AE1771" s="384" t="s">
        <v>2594</v>
      </c>
    </row>
    <row r="1772" spans="1:31" s="63" customFormat="1" ht="25.5">
      <c r="A1772" s="497"/>
      <c r="B1772" s="383"/>
      <c r="C1772" s="1935"/>
      <c r="D1772" s="1236"/>
      <c r="E1772" s="1236"/>
      <c r="F1772" s="1236"/>
      <c r="G1772" s="1236"/>
      <c r="H1772" s="1236"/>
      <c r="I1772" s="384"/>
      <c r="J1772" s="741" t="s">
        <v>2784</v>
      </c>
      <c r="K1772" s="385"/>
      <c r="L1772" s="385"/>
      <c r="M1772" s="2129"/>
      <c r="N1772" s="385"/>
      <c r="O1772" s="2148" t="s">
        <v>2785</v>
      </c>
      <c r="P1772" s="1941"/>
      <c r="Q1772" s="385"/>
      <c r="R1772" s="2047"/>
      <c r="S1772" s="385"/>
      <c r="T1772" s="385"/>
      <c r="U1772" s="385"/>
      <c r="V1772" s="385"/>
      <c r="W1772" s="385"/>
      <c r="X1772" s="385"/>
      <c r="Y1772" s="2124"/>
      <c r="Z1772" s="1944"/>
      <c r="AA1772" s="389"/>
      <c r="AB1772" s="1944"/>
      <c r="AC1772" s="385"/>
      <c r="AD1772" s="389"/>
      <c r="AE1772" s="385"/>
    </row>
    <row r="1773" spans="1:31" s="63" customFormat="1" ht="25.5">
      <c r="A1773" s="497"/>
      <c r="B1773" s="383"/>
      <c r="C1773" s="1935"/>
      <c r="D1773" s="1236"/>
      <c r="E1773" s="1236"/>
      <c r="F1773" s="1236"/>
      <c r="G1773" s="1236"/>
      <c r="H1773" s="1236"/>
      <c r="I1773" s="384"/>
      <c r="J1773" s="741" t="s">
        <v>2786</v>
      </c>
      <c r="K1773" s="385"/>
      <c r="L1773" s="385"/>
      <c r="M1773" s="2129"/>
      <c r="N1773" s="385"/>
      <c r="O1773" s="2148" t="s">
        <v>2787</v>
      </c>
      <c r="P1773" s="1941"/>
      <c r="Q1773" s="385"/>
      <c r="R1773" s="2047"/>
      <c r="S1773" s="385"/>
      <c r="T1773" s="385"/>
      <c r="U1773" s="385"/>
      <c r="V1773" s="385"/>
      <c r="W1773" s="385"/>
      <c r="X1773" s="385"/>
      <c r="Y1773" s="2124"/>
      <c r="Z1773" s="1944"/>
      <c r="AA1773" s="389"/>
      <c r="AB1773" s="1944"/>
      <c r="AC1773" s="385"/>
      <c r="AD1773" s="389"/>
      <c r="AE1773" s="385"/>
    </row>
    <row r="1774" spans="1:31" s="63" customFormat="1" ht="38.25">
      <c r="A1774" s="497"/>
      <c r="B1774" s="383"/>
      <c r="C1774" s="1935" t="s">
        <v>66</v>
      </c>
      <c r="D1774" s="1236" t="s">
        <v>2558</v>
      </c>
      <c r="E1774" s="1236" t="s">
        <v>107</v>
      </c>
      <c r="F1774" s="1236" t="s">
        <v>66</v>
      </c>
      <c r="G1774" s="1236" t="s">
        <v>347</v>
      </c>
      <c r="H1774" s="1236" t="s">
        <v>160</v>
      </c>
      <c r="I1774" s="384" t="s">
        <v>2788</v>
      </c>
      <c r="J1774" s="741" t="s">
        <v>2789</v>
      </c>
      <c r="K1774" s="2148">
        <v>5</v>
      </c>
      <c r="L1774" s="2144">
        <v>495000000</v>
      </c>
      <c r="M1774" s="2129">
        <v>1</v>
      </c>
      <c r="N1774" s="2047">
        <f>129120950</f>
        <v>129120950</v>
      </c>
      <c r="O1774" s="2148">
        <v>1</v>
      </c>
      <c r="P1774" s="1941">
        <v>46343569.25</v>
      </c>
      <c r="Q1774" s="2124"/>
      <c r="R1774" s="2047"/>
      <c r="S1774" s="385"/>
      <c r="T1774" s="385"/>
      <c r="U1774" s="385"/>
      <c r="V1774" s="385"/>
      <c r="W1774" s="385"/>
      <c r="X1774" s="385"/>
      <c r="Y1774" s="2124">
        <f t="shared" ref="Y1774:Z1777" si="375">Q1774</f>
        <v>0</v>
      </c>
      <c r="Z1774" s="1944">
        <f t="shared" si="375"/>
        <v>0</v>
      </c>
      <c r="AA1774" s="2129">
        <f>M1774+Q1774</f>
        <v>1</v>
      </c>
      <c r="AB1774" s="1944">
        <f>N1774+Z1774</f>
        <v>129120950</v>
      </c>
      <c r="AC1774" s="2129">
        <f t="shared" ref="AC1774:AD1777" si="376">AA1774/K1774*100</f>
        <v>20</v>
      </c>
      <c r="AD1774" s="2136">
        <f t="shared" si="376"/>
        <v>26.085040404040406</v>
      </c>
      <c r="AE1774" s="384" t="s">
        <v>2594</v>
      </c>
    </row>
    <row r="1775" spans="1:31" s="63" customFormat="1" ht="51">
      <c r="A1775" s="497"/>
      <c r="B1775" s="383"/>
      <c r="C1775" s="1935" t="s">
        <v>66</v>
      </c>
      <c r="D1775" s="1236" t="s">
        <v>2558</v>
      </c>
      <c r="E1775" s="1236" t="s">
        <v>107</v>
      </c>
      <c r="F1775" s="1236" t="s">
        <v>66</v>
      </c>
      <c r="G1775" s="1236" t="s">
        <v>347</v>
      </c>
      <c r="H1775" s="1236" t="s">
        <v>391</v>
      </c>
      <c r="I1775" s="384" t="s">
        <v>2790</v>
      </c>
      <c r="J1775" s="741" t="s">
        <v>2791</v>
      </c>
      <c r="K1775" s="2148">
        <v>70</v>
      </c>
      <c r="L1775" s="2144">
        <v>520000000</v>
      </c>
      <c r="M1775" s="2129">
        <v>0</v>
      </c>
      <c r="N1775" s="385"/>
      <c r="O1775" s="2148">
        <v>10</v>
      </c>
      <c r="P1775" s="1941">
        <v>51940078.75</v>
      </c>
      <c r="Q1775" s="2129">
        <v>40</v>
      </c>
      <c r="R1775" s="2047">
        <v>11695500</v>
      </c>
      <c r="S1775" s="385"/>
      <c r="T1775" s="385"/>
      <c r="U1775" s="385"/>
      <c r="V1775" s="385"/>
      <c r="W1775" s="385"/>
      <c r="X1775" s="385"/>
      <c r="Y1775" s="2129">
        <f t="shared" si="375"/>
        <v>40</v>
      </c>
      <c r="Z1775" s="1944">
        <f t="shared" si="375"/>
        <v>11695500</v>
      </c>
      <c r="AA1775" s="2129">
        <f>M1775+Q1775</f>
        <v>40</v>
      </c>
      <c r="AB1775" s="1944">
        <f>N1775+Z1775</f>
        <v>11695500</v>
      </c>
      <c r="AC1775" s="2129">
        <f t="shared" si="376"/>
        <v>57.142857142857139</v>
      </c>
      <c r="AD1775" s="2136">
        <f t="shared" si="376"/>
        <v>2.2491346153846155</v>
      </c>
      <c r="AE1775" s="384" t="s">
        <v>2594</v>
      </c>
    </row>
    <row r="1776" spans="1:31" s="63" customFormat="1" ht="38.25">
      <c r="A1776" s="497"/>
      <c r="B1776" s="383"/>
      <c r="C1776" s="1935" t="s">
        <v>66</v>
      </c>
      <c r="D1776" s="1236" t="s">
        <v>2558</v>
      </c>
      <c r="E1776" s="1236" t="s">
        <v>107</v>
      </c>
      <c r="F1776" s="1236" t="s">
        <v>66</v>
      </c>
      <c r="G1776" s="1236" t="s">
        <v>347</v>
      </c>
      <c r="H1776" s="1236" t="s">
        <v>396</v>
      </c>
      <c r="I1776" s="741" t="s">
        <v>2792</v>
      </c>
      <c r="J1776" s="741" t="s">
        <v>2793</v>
      </c>
      <c r="K1776" s="385">
        <v>1</v>
      </c>
      <c r="L1776" s="2155">
        <v>50000000</v>
      </c>
      <c r="M1776" s="2129"/>
      <c r="N1776" s="385"/>
      <c r="O1776" s="2148">
        <v>1</v>
      </c>
      <c r="P1776" s="1941">
        <v>48682581.75</v>
      </c>
      <c r="Q1776" s="2129">
        <v>1</v>
      </c>
      <c r="R1776" s="2047">
        <v>15218000</v>
      </c>
      <c r="S1776" s="385"/>
      <c r="T1776" s="385"/>
      <c r="U1776" s="385"/>
      <c r="V1776" s="385"/>
      <c r="W1776" s="385"/>
      <c r="X1776" s="385"/>
      <c r="Y1776" s="2129">
        <f t="shared" si="375"/>
        <v>1</v>
      </c>
      <c r="Z1776" s="1944">
        <f t="shared" si="375"/>
        <v>15218000</v>
      </c>
      <c r="AA1776" s="2129">
        <f>M1776+Q1776</f>
        <v>1</v>
      </c>
      <c r="AB1776" s="1944">
        <f>N1776+Z1776</f>
        <v>15218000</v>
      </c>
      <c r="AC1776" s="2129">
        <f t="shared" si="376"/>
        <v>100</v>
      </c>
      <c r="AD1776" s="2136">
        <f t="shared" si="376"/>
        <v>30.436000000000003</v>
      </c>
      <c r="AE1776" s="384" t="s">
        <v>2594</v>
      </c>
    </row>
    <row r="1777" spans="1:31" s="63" customFormat="1" ht="51">
      <c r="A1777" s="497"/>
      <c r="B1777" s="383"/>
      <c r="C1777" s="1935" t="s">
        <v>66</v>
      </c>
      <c r="D1777" s="1236" t="s">
        <v>2558</v>
      </c>
      <c r="E1777" s="1236" t="s">
        <v>107</v>
      </c>
      <c r="F1777" s="1236" t="s">
        <v>66</v>
      </c>
      <c r="G1777" s="1236" t="s">
        <v>347</v>
      </c>
      <c r="H1777" s="1236" t="s">
        <v>155</v>
      </c>
      <c r="I1777" s="384" t="s">
        <v>2794</v>
      </c>
      <c r="J1777" s="741" t="s">
        <v>2795</v>
      </c>
      <c r="K1777" s="2119">
        <v>12</v>
      </c>
      <c r="L1777" s="2144">
        <v>550000000</v>
      </c>
      <c r="M1777" s="2129"/>
      <c r="N1777" s="385"/>
      <c r="O1777" s="2119">
        <v>3</v>
      </c>
      <c r="P1777" s="1941">
        <v>52636433.5</v>
      </c>
      <c r="Q1777" s="2129">
        <v>1</v>
      </c>
      <c r="R1777" s="2047">
        <v>6042000</v>
      </c>
      <c r="S1777" s="385"/>
      <c r="T1777" s="385"/>
      <c r="U1777" s="385"/>
      <c r="V1777" s="385"/>
      <c r="W1777" s="385"/>
      <c r="X1777" s="385"/>
      <c r="Y1777" s="2129">
        <f t="shared" si="375"/>
        <v>1</v>
      </c>
      <c r="Z1777" s="1944">
        <f t="shared" si="375"/>
        <v>6042000</v>
      </c>
      <c r="AA1777" s="2129">
        <f>M1777+Q1777</f>
        <v>1</v>
      </c>
      <c r="AB1777" s="1944">
        <f>N1777+Z1777</f>
        <v>6042000</v>
      </c>
      <c r="AC1777" s="389">
        <f t="shared" si="376"/>
        <v>8.3333333333333321</v>
      </c>
      <c r="AD1777" s="389">
        <f t="shared" si="376"/>
        <v>1.0985454545454545</v>
      </c>
      <c r="AE1777" s="384" t="s">
        <v>2594</v>
      </c>
    </row>
    <row r="1778" spans="1:31" s="63" customFormat="1">
      <c r="A1778" s="4576" t="s">
        <v>2532</v>
      </c>
      <c r="B1778" s="4577"/>
      <c r="C1778" s="4577"/>
      <c r="D1778" s="4577"/>
      <c r="E1778" s="4577"/>
      <c r="F1778" s="4577"/>
      <c r="G1778" s="4577"/>
      <c r="H1778" s="4577"/>
      <c r="I1778" s="4577"/>
      <c r="J1778" s="4577"/>
      <c r="K1778" s="4577"/>
      <c r="L1778" s="4577"/>
      <c r="M1778" s="4577"/>
      <c r="N1778" s="4577"/>
      <c r="O1778" s="4577"/>
      <c r="P1778" s="4577"/>
      <c r="Q1778" s="4577"/>
      <c r="R1778" s="4577"/>
      <c r="S1778" s="4577"/>
      <c r="T1778" s="4577"/>
      <c r="U1778" s="4577"/>
      <c r="V1778" s="4577"/>
      <c r="W1778" s="4577"/>
      <c r="X1778" s="4577"/>
      <c r="Y1778" s="4577"/>
      <c r="Z1778" s="4577"/>
      <c r="AA1778" s="4577"/>
      <c r="AB1778" s="4578"/>
      <c r="AC1778" s="2145">
        <f>SUM(AC1761:AC1777)/10</f>
        <v>45.098124098124103</v>
      </c>
      <c r="AD1778" s="2146">
        <f>SUM(AD1761:AD1777)/10</f>
        <v>31.803018761103971</v>
      </c>
      <c r="AE1778" s="385"/>
    </row>
    <row r="1779" spans="1:31" s="63" customFormat="1">
      <c r="A1779" s="4576" t="s">
        <v>2533</v>
      </c>
      <c r="B1779" s="4577"/>
      <c r="C1779" s="4577"/>
      <c r="D1779" s="4577"/>
      <c r="E1779" s="4577"/>
      <c r="F1779" s="4577"/>
      <c r="G1779" s="4577"/>
      <c r="H1779" s="4577"/>
      <c r="I1779" s="4577"/>
      <c r="J1779" s="4577"/>
      <c r="K1779" s="4577"/>
      <c r="L1779" s="4577"/>
      <c r="M1779" s="4577"/>
      <c r="N1779" s="4577"/>
      <c r="O1779" s="4577"/>
      <c r="P1779" s="4577"/>
      <c r="Q1779" s="4577"/>
      <c r="R1779" s="4577"/>
      <c r="S1779" s="4577"/>
      <c r="T1779" s="4577"/>
      <c r="U1779" s="4577"/>
      <c r="V1779" s="4577"/>
      <c r="W1779" s="4577"/>
      <c r="X1779" s="4577"/>
      <c r="Y1779" s="4577"/>
      <c r="Z1779" s="4577"/>
      <c r="AA1779" s="4577"/>
      <c r="AB1779" s="4578"/>
      <c r="AC1779" s="2145" t="s">
        <v>2534</v>
      </c>
      <c r="AD1779" s="2145" t="s">
        <v>2534</v>
      </c>
      <c r="AE1779" s="385"/>
    </row>
    <row r="1780" spans="1:31" s="63" customFormat="1" ht="63.75">
      <c r="A1780" s="495">
        <v>29</v>
      </c>
      <c r="B1780" s="344" t="s">
        <v>2619</v>
      </c>
      <c r="C1780" s="1935" t="s">
        <v>66</v>
      </c>
      <c r="D1780" s="1236" t="s">
        <v>2558</v>
      </c>
      <c r="E1780" s="1236" t="s">
        <v>107</v>
      </c>
      <c r="F1780" s="1236" t="s">
        <v>66</v>
      </c>
      <c r="G1780" s="1236" t="s">
        <v>479</v>
      </c>
      <c r="H1780" s="1236"/>
      <c r="I1780" s="2134" t="s">
        <v>2796</v>
      </c>
      <c r="J1780" s="1471" t="s">
        <v>2797</v>
      </c>
      <c r="K1780" s="2157">
        <v>580</v>
      </c>
      <c r="L1780" s="2120">
        <f>L1784</f>
        <v>1450000000</v>
      </c>
      <c r="M1780" s="2158">
        <f>90+90</f>
        <v>180</v>
      </c>
      <c r="N1780" s="2123">
        <f>N1784</f>
        <v>341863118</v>
      </c>
      <c r="O1780" s="2158">
        <v>100</v>
      </c>
      <c r="P1780" s="2123">
        <f>P1784</f>
        <v>126472964</v>
      </c>
      <c r="Q1780" s="2124"/>
      <c r="R1780" s="2121">
        <f>R1784</f>
        <v>15920000</v>
      </c>
      <c r="S1780" s="616"/>
      <c r="T1780" s="616"/>
      <c r="U1780" s="616"/>
      <c r="V1780" s="616"/>
      <c r="W1780" s="616"/>
      <c r="X1780" s="616"/>
      <c r="Y1780" s="2124">
        <f t="shared" ref="Y1780:Z1784" si="377">Q1780</f>
        <v>0</v>
      </c>
      <c r="Z1780" s="1944">
        <f t="shared" si="377"/>
        <v>15920000</v>
      </c>
      <c r="AA1780" s="2129">
        <f>M1780+Q1780</f>
        <v>180</v>
      </c>
      <c r="AB1780" s="1944">
        <f>N1780+Z1780</f>
        <v>357783118</v>
      </c>
      <c r="AC1780" s="493">
        <f>AA1780/K1780*100</f>
        <v>31.03448275862069</v>
      </c>
      <c r="AD1780" s="2152">
        <f>AB1780/L1780*100</f>
        <v>24.674697793103448</v>
      </c>
      <c r="AE1780" s="616"/>
    </row>
    <row r="1781" spans="1:31" s="63" customFormat="1" ht="25.5">
      <c r="A1781" s="497"/>
      <c r="B1781" s="383"/>
      <c r="C1781" s="1935"/>
      <c r="D1781" s="1236"/>
      <c r="E1781" s="1236"/>
      <c r="F1781" s="1236"/>
      <c r="G1781" s="1236"/>
      <c r="H1781" s="1236"/>
      <c r="I1781" s="2134"/>
      <c r="J1781" s="1471" t="s">
        <v>2798</v>
      </c>
      <c r="K1781" s="2119">
        <v>5</v>
      </c>
      <c r="L1781" s="616"/>
      <c r="M1781" s="633">
        <v>6</v>
      </c>
      <c r="N1781" s="616"/>
      <c r="O1781" s="2159">
        <v>5</v>
      </c>
      <c r="P1781" s="2123"/>
      <c r="Q1781" s="616"/>
      <c r="R1781" s="2121"/>
      <c r="S1781" s="616"/>
      <c r="T1781" s="616"/>
      <c r="U1781" s="616"/>
      <c r="V1781" s="616"/>
      <c r="W1781" s="616"/>
      <c r="X1781" s="616"/>
      <c r="Y1781" s="2124">
        <f t="shared" si="377"/>
        <v>0</v>
      </c>
      <c r="Z1781" s="1944">
        <f t="shared" si="377"/>
        <v>0</v>
      </c>
      <c r="AA1781" s="2129">
        <f>M1781+Q1781</f>
        <v>6</v>
      </c>
      <c r="AB1781" s="1944">
        <f>N1781+Z1781</f>
        <v>0</v>
      </c>
      <c r="AC1781" s="493">
        <f>AA1781/K1781*100</f>
        <v>120</v>
      </c>
      <c r="AD1781" s="2152"/>
      <c r="AE1781" s="616"/>
    </row>
    <row r="1782" spans="1:31" s="63" customFormat="1" ht="51">
      <c r="A1782" s="497"/>
      <c r="B1782" s="383"/>
      <c r="C1782" s="1935"/>
      <c r="D1782" s="1236"/>
      <c r="E1782" s="1236"/>
      <c r="F1782" s="1236"/>
      <c r="G1782" s="1236"/>
      <c r="H1782" s="1236"/>
      <c r="I1782" s="2134"/>
      <c r="J1782" s="1471" t="s">
        <v>2799</v>
      </c>
      <c r="K1782" s="2160">
        <v>380</v>
      </c>
      <c r="L1782" s="616"/>
      <c r="M1782" s="633">
        <f>50+55</f>
        <v>105</v>
      </c>
      <c r="N1782" s="616"/>
      <c r="O1782" s="2160">
        <v>80</v>
      </c>
      <c r="P1782" s="2123"/>
      <c r="Q1782" s="616"/>
      <c r="R1782" s="2121"/>
      <c r="S1782" s="616"/>
      <c r="T1782" s="616"/>
      <c r="U1782" s="616"/>
      <c r="V1782" s="616"/>
      <c r="W1782" s="616"/>
      <c r="X1782" s="616"/>
      <c r="Y1782" s="2124">
        <f t="shared" si="377"/>
        <v>0</v>
      </c>
      <c r="Z1782" s="1944">
        <f t="shared" si="377"/>
        <v>0</v>
      </c>
      <c r="AA1782" s="2129">
        <f>M1782+Q1782</f>
        <v>105</v>
      </c>
      <c r="AB1782" s="1944">
        <f>N1782+Z1782</f>
        <v>0</v>
      </c>
      <c r="AC1782" s="493">
        <f>AA1782/K1782*100</f>
        <v>27.631578947368425</v>
      </c>
      <c r="AD1782" s="2152"/>
      <c r="AE1782" s="616"/>
    </row>
    <row r="1783" spans="1:31" s="63" customFormat="1" ht="38.25">
      <c r="A1783" s="497"/>
      <c r="B1783" s="383"/>
      <c r="C1783" s="1935"/>
      <c r="D1783" s="1236"/>
      <c r="E1783" s="1236"/>
      <c r="F1783" s="1236"/>
      <c r="G1783" s="1236"/>
      <c r="H1783" s="1236"/>
      <c r="I1783" s="2134"/>
      <c r="J1783" s="1471" t="s">
        <v>2800</v>
      </c>
      <c r="K1783" s="2160">
        <v>415</v>
      </c>
      <c r="L1783" s="616"/>
      <c r="M1783" s="2131">
        <v>120</v>
      </c>
      <c r="N1783" s="2125"/>
      <c r="O1783" s="2160">
        <v>80</v>
      </c>
      <c r="P1783" s="2123"/>
      <c r="Q1783" s="616"/>
      <c r="R1783" s="2121"/>
      <c r="S1783" s="616"/>
      <c r="T1783" s="616"/>
      <c r="U1783" s="616"/>
      <c r="V1783" s="616"/>
      <c r="W1783" s="616"/>
      <c r="X1783" s="616"/>
      <c r="Y1783" s="2124">
        <f t="shared" si="377"/>
        <v>0</v>
      </c>
      <c r="Z1783" s="1944">
        <f t="shared" si="377"/>
        <v>0</v>
      </c>
      <c r="AA1783" s="2129">
        <f>M1783+Q1783</f>
        <v>120</v>
      </c>
      <c r="AB1783" s="1944">
        <f>N1783+Z1783</f>
        <v>0</v>
      </c>
      <c r="AC1783" s="493">
        <f>AA1783/K1783*100</f>
        <v>28.915662650602407</v>
      </c>
      <c r="AD1783" s="2152"/>
      <c r="AE1783" s="616"/>
    </row>
    <row r="1784" spans="1:31" s="63" customFormat="1" ht="63.75">
      <c r="A1784" s="497"/>
      <c r="B1784" s="383"/>
      <c r="C1784" s="1935" t="s">
        <v>66</v>
      </c>
      <c r="D1784" s="1236" t="s">
        <v>2558</v>
      </c>
      <c r="E1784" s="1236" t="s">
        <v>107</v>
      </c>
      <c r="F1784" s="1236" t="s">
        <v>66</v>
      </c>
      <c r="G1784" s="1236" t="s">
        <v>479</v>
      </c>
      <c r="H1784" s="1236" t="s">
        <v>66</v>
      </c>
      <c r="I1784" s="741" t="s">
        <v>2801</v>
      </c>
      <c r="J1784" s="1485" t="s">
        <v>2802</v>
      </c>
      <c r="K1784" s="2119">
        <f>24*6</f>
        <v>144</v>
      </c>
      <c r="L1784" s="2144">
        <v>1450000000</v>
      </c>
      <c r="M1784" s="2129">
        <f>24*2</f>
        <v>48</v>
      </c>
      <c r="N1784" s="2047">
        <f>183419238+158443880</f>
        <v>341863118</v>
      </c>
      <c r="O1784" s="2119">
        <v>24</v>
      </c>
      <c r="P1784" s="1941">
        <v>126472964</v>
      </c>
      <c r="Q1784" s="2129">
        <v>6</v>
      </c>
      <c r="R1784" s="2047">
        <v>15920000</v>
      </c>
      <c r="S1784" s="385"/>
      <c r="T1784" s="385"/>
      <c r="U1784" s="385"/>
      <c r="V1784" s="385"/>
      <c r="W1784" s="385"/>
      <c r="X1784" s="385"/>
      <c r="Y1784" s="2129">
        <f t="shared" si="377"/>
        <v>6</v>
      </c>
      <c r="Z1784" s="1944">
        <f t="shared" si="377"/>
        <v>15920000</v>
      </c>
      <c r="AA1784" s="2129">
        <f>M1784+Q1784</f>
        <v>54</v>
      </c>
      <c r="AB1784" s="1944">
        <f>N1784+Z1784</f>
        <v>357783118</v>
      </c>
      <c r="AC1784" s="389">
        <f>AA1784/K1784*100</f>
        <v>37.5</v>
      </c>
      <c r="AD1784" s="389">
        <f>AB1784/L1784*100</f>
        <v>24.674697793103448</v>
      </c>
      <c r="AE1784" s="385" t="s">
        <v>2562</v>
      </c>
    </row>
    <row r="1785" spans="1:31" s="63" customFormat="1">
      <c r="A1785" s="4576" t="s">
        <v>2532</v>
      </c>
      <c r="B1785" s="4577"/>
      <c r="C1785" s="4577"/>
      <c r="D1785" s="4577"/>
      <c r="E1785" s="4577"/>
      <c r="F1785" s="4577"/>
      <c r="G1785" s="4577"/>
      <c r="H1785" s="4577"/>
      <c r="I1785" s="4577"/>
      <c r="J1785" s="4577"/>
      <c r="K1785" s="4577"/>
      <c r="L1785" s="4577"/>
      <c r="M1785" s="4577"/>
      <c r="N1785" s="4577"/>
      <c r="O1785" s="4577"/>
      <c r="P1785" s="4577"/>
      <c r="Q1785" s="4577"/>
      <c r="R1785" s="4577"/>
      <c r="S1785" s="4577"/>
      <c r="T1785" s="4577"/>
      <c r="U1785" s="4577"/>
      <c r="V1785" s="4577"/>
      <c r="W1785" s="4577"/>
      <c r="X1785" s="4577"/>
      <c r="Y1785" s="4577"/>
      <c r="Z1785" s="4577"/>
      <c r="AA1785" s="4577"/>
      <c r="AB1785" s="4578"/>
      <c r="AC1785" s="697">
        <f>AC1784</f>
        <v>37.5</v>
      </c>
      <c r="AD1785" s="697">
        <f>AD1784</f>
        <v>24.674697793103448</v>
      </c>
      <c r="AE1785" s="385"/>
    </row>
    <row r="1786" spans="1:31" s="63" customFormat="1">
      <c r="A1786" s="4576" t="s">
        <v>2533</v>
      </c>
      <c r="B1786" s="4577"/>
      <c r="C1786" s="4577"/>
      <c r="D1786" s="4577"/>
      <c r="E1786" s="4577"/>
      <c r="F1786" s="4577"/>
      <c r="G1786" s="4577"/>
      <c r="H1786" s="4577"/>
      <c r="I1786" s="4577"/>
      <c r="J1786" s="4577"/>
      <c r="K1786" s="4577"/>
      <c r="L1786" s="4577"/>
      <c r="M1786" s="4577"/>
      <c r="N1786" s="4577"/>
      <c r="O1786" s="4577"/>
      <c r="P1786" s="4577"/>
      <c r="Q1786" s="4577"/>
      <c r="R1786" s="4577"/>
      <c r="S1786" s="4577"/>
      <c r="T1786" s="4577"/>
      <c r="U1786" s="4577"/>
      <c r="V1786" s="4577"/>
      <c r="W1786" s="4577"/>
      <c r="X1786" s="4577"/>
      <c r="Y1786" s="4577"/>
      <c r="Z1786" s="4577"/>
      <c r="AA1786" s="4577"/>
      <c r="AB1786" s="4578"/>
      <c r="AC1786" s="2145" t="s">
        <v>2534</v>
      </c>
      <c r="AD1786" s="697" t="s">
        <v>2534</v>
      </c>
      <c r="AE1786" s="385"/>
    </row>
    <row r="1787" spans="1:31" s="63" customFormat="1" ht="38.25">
      <c r="A1787" s="495">
        <v>30</v>
      </c>
      <c r="B1787" s="741" t="s">
        <v>2510</v>
      </c>
      <c r="C1787" s="1935" t="s">
        <v>66</v>
      </c>
      <c r="D1787" s="1236" t="s">
        <v>2558</v>
      </c>
      <c r="E1787" s="1236" t="s">
        <v>107</v>
      </c>
      <c r="F1787" s="1236" t="s">
        <v>66</v>
      </c>
      <c r="G1787" s="1236" t="s">
        <v>2803</v>
      </c>
      <c r="H1787" s="1236"/>
      <c r="I1787" s="383" t="s">
        <v>2804</v>
      </c>
      <c r="J1787" s="384" t="s">
        <v>2805</v>
      </c>
      <c r="K1787" s="1855" t="s">
        <v>2181</v>
      </c>
      <c r="L1787" s="2161">
        <f>L1790+L1791</f>
        <v>1495000000</v>
      </c>
      <c r="M1787" s="598" t="s">
        <v>2806</v>
      </c>
      <c r="N1787" s="2161">
        <f>N1790+N1791</f>
        <v>201389735</v>
      </c>
      <c r="O1787" s="1855" t="s">
        <v>2806</v>
      </c>
      <c r="P1787" s="2121">
        <f>P1790+P1791</f>
        <v>134555028.25</v>
      </c>
      <c r="Q1787" s="2162"/>
      <c r="R1787" s="2121">
        <f>R1790+R1791</f>
        <v>17219626</v>
      </c>
      <c r="S1787" s="385"/>
      <c r="T1787" s="385"/>
      <c r="U1787" s="385"/>
      <c r="V1787" s="385"/>
      <c r="W1787" s="385"/>
      <c r="X1787" s="385"/>
      <c r="Y1787" s="2124">
        <f>Q1787</f>
        <v>0</v>
      </c>
      <c r="Z1787" s="1944">
        <f>R1787</f>
        <v>17219626</v>
      </c>
      <c r="AA1787" s="2129"/>
      <c r="AB1787" s="1944">
        <f>N1787+Z1787</f>
        <v>218609361</v>
      </c>
      <c r="AC1787" s="385"/>
      <c r="AD1787" s="389">
        <f>AB1787/L1787*100</f>
        <v>14.622699732441472</v>
      </c>
      <c r="AE1787" s="385"/>
    </row>
    <row r="1788" spans="1:31" s="63" customFormat="1" ht="25.5">
      <c r="A1788" s="497"/>
      <c r="B1788" s="383"/>
      <c r="C1788" s="1935"/>
      <c r="D1788" s="1236"/>
      <c r="E1788" s="1236"/>
      <c r="F1788" s="1236"/>
      <c r="G1788" s="1236"/>
      <c r="H1788" s="1236"/>
      <c r="I1788" s="383"/>
      <c r="J1788" s="384" t="s">
        <v>2807</v>
      </c>
      <c r="K1788" s="2163">
        <v>3.35</v>
      </c>
      <c r="L1788" s="385"/>
      <c r="M1788" s="2129"/>
      <c r="N1788" s="385"/>
      <c r="O1788" s="385"/>
      <c r="P1788" s="2135"/>
      <c r="Q1788" s="385"/>
      <c r="R1788" s="385"/>
      <c r="S1788" s="385"/>
      <c r="T1788" s="385"/>
      <c r="U1788" s="385"/>
      <c r="V1788" s="385"/>
      <c r="W1788" s="385"/>
      <c r="X1788" s="385"/>
      <c r="Y1788" s="385"/>
      <c r="Z1788" s="385"/>
      <c r="AA1788" s="389"/>
      <c r="AB1788" s="385"/>
      <c r="AC1788" s="385"/>
      <c r="AD1788" s="385"/>
      <c r="AE1788" s="385"/>
    </row>
    <row r="1789" spans="1:31" s="63" customFormat="1" ht="51">
      <c r="A1789" s="497"/>
      <c r="B1789" s="383"/>
      <c r="C1789" s="1935"/>
      <c r="D1789" s="1236"/>
      <c r="E1789" s="1236"/>
      <c r="F1789" s="1236"/>
      <c r="G1789" s="1236"/>
      <c r="H1789" s="1236"/>
      <c r="I1789" s="383"/>
      <c r="J1789" s="384" t="s">
        <v>2808</v>
      </c>
      <c r="K1789" s="2164">
        <v>400</v>
      </c>
      <c r="L1789" s="385"/>
      <c r="M1789" s="2129"/>
      <c r="N1789" s="385"/>
      <c r="O1789" s="385"/>
      <c r="P1789" s="2135"/>
      <c r="Q1789" s="385"/>
      <c r="R1789" s="385"/>
      <c r="S1789" s="385"/>
      <c r="T1789" s="385"/>
      <c r="U1789" s="385"/>
      <c r="V1789" s="385"/>
      <c r="W1789" s="385"/>
      <c r="X1789" s="385"/>
      <c r="Y1789" s="385"/>
      <c r="Z1789" s="385"/>
      <c r="AA1789" s="389"/>
      <c r="AB1789" s="385"/>
      <c r="AC1789" s="385"/>
      <c r="AD1789" s="385"/>
      <c r="AE1789" s="385"/>
    </row>
    <row r="1790" spans="1:31" s="63" customFormat="1" ht="51">
      <c r="A1790" s="497"/>
      <c r="B1790" s="383"/>
      <c r="C1790" s="1935" t="s">
        <v>66</v>
      </c>
      <c r="D1790" s="1236" t="s">
        <v>2558</v>
      </c>
      <c r="E1790" s="1236" t="s">
        <v>107</v>
      </c>
      <c r="F1790" s="1236" t="s">
        <v>66</v>
      </c>
      <c r="G1790" s="1236" t="s">
        <v>2803</v>
      </c>
      <c r="H1790" s="1236" t="s">
        <v>66</v>
      </c>
      <c r="I1790" s="384" t="s">
        <v>2809</v>
      </c>
      <c r="J1790" s="384" t="s">
        <v>2810</v>
      </c>
      <c r="K1790" s="385">
        <f>45*5</f>
        <v>225</v>
      </c>
      <c r="L1790" s="2047">
        <v>955000000</v>
      </c>
      <c r="M1790" s="2129">
        <v>45</v>
      </c>
      <c r="N1790" s="2047">
        <v>149183985</v>
      </c>
      <c r="O1790" s="385">
        <v>45</v>
      </c>
      <c r="P1790" s="1941">
        <v>85189366.25</v>
      </c>
      <c r="Q1790" s="2129">
        <v>35</v>
      </c>
      <c r="R1790" s="2047">
        <v>12260898</v>
      </c>
      <c r="S1790" s="385"/>
      <c r="T1790" s="385"/>
      <c r="U1790" s="385"/>
      <c r="V1790" s="385"/>
      <c r="W1790" s="385"/>
      <c r="X1790" s="385"/>
      <c r="Y1790" s="2129">
        <f>Q1790</f>
        <v>35</v>
      </c>
      <c r="Z1790" s="1944">
        <f>R1790</f>
        <v>12260898</v>
      </c>
      <c r="AA1790" s="2129">
        <f>M1790+Q1790</f>
        <v>80</v>
      </c>
      <c r="AB1790" s="1944">
        <f>N1790+Z1790</f>
        <v>161444883</v>
      </c>
      <c r="AC1790" s="389">
        <f>AA1790/K1790*100</f>
        <v>35.555555555555557</v>
      </c>
      <c r="AD1790" s="389">
        <f>AB1790/L1790*100</f>
        <v>16.905223350785338</v>
      </c>
      <c r="AE1790" s="385" t="s">
        <v>2718</v>
      </c>
    </row>
    <row r="1791" spans="1:31" s="63" customFormat="1" ht="38.25">
      <c r="A1791" s="497"/>
      <c r="B1791" s="383"/>
      <c r="C1791" s="1935" t="s">
        <v>66</v>
      </c>
      <c r="D1791" s="1236" t="s">
        <v>2558</v>
      </c>
      <c r="E1791" s="1236" t="s">
        <v>107</v>
      </c>
      <c r="F1791" s="1236" t="s">
        <v>66</v>
      </c>
      <c r="G1791" s="1236" t="s">
        <v>2803</v>
      </c>
      <c r="H1791" s="1236" t="s">
        <v>196</v>
      </c>
      <c r="I1791" s="385" t="s">
        <v>2811</v>
      </c>
      <c r="J1791" s="741" t="s">
        <v>2812</v>
      </c>
      <c r="K1791" s="2148">
        <v>112</v>
      </c>
      <c r="L1791" s="2119">
        <v>540000000</v>
      </c>
      <c r="M1791" s="2165">
        <v>50</v>
      </c>
      <c r="N1791" s="2047">
        <v>52205750</v>
      </c>
      <c r="O1791" s="385">
        <v>50</v>
      </c>
      <c r="P1791" s="2047">
        <v>49365662</v>
      </c>
      <c r="Q1791" s="2124"/>
      <c r="R1791" s="2047">
        <v>4958728</v>
      </c>
      <c r="S1791" s="385"/>
      <c r="T1791" s="385"/>
      <c r="U1791" s="385"/>
      <c r="V1791" s="385"/>
      <c r="W1791" s="385"/>
      <c r="X1791" s="385"/>
      <c r="Y1791" s="2124">
        <f>Q1791</f>
        <v>0</v>
      </c>
      <c r="Z1791" s="1944">
        <f>R1791</f>
        <v>4958728</v>
      </c>
      <c r="AA1791" s="2129">
        <f>M1791+Q1791</f>
        <v>50</v>
      </c>
      <c r="AB1791" s="1944">
        <f>N1791+Z1791</f>
        <v>57164478</v>
      </c>
      <c r="AC1791" s="389">
        <f>AA1791/K1791*100</f>
        <v>44.642857142857146</v>
      </c>
      <c r="AD1791" s="389">
        <f>AB1791/L1791*100</f>
        <v>10.586014444444444</v>
      </c>
      <c r="AE1791" s="385" t="s">
        <v>2718</v>
      </c>
    </row>
    <row r="1792" spans="1:31" s="63" customFormat="1">
      <c r="A1792" s="4576" t="s">
        <v>2532</v>
      </c>
      <c r="B1792" s="4577"/>
      <c r="C1792" s="4577"/>
      <c r="D1792" s="4577"/>
      <c r="E1792" s="4577"/>
      <c r="F1792" s="4577"/>
      <c r="G1792" s="4577"/>
      <c r="H1792" s="4577"/>
      <c r="I1792" s="4577"/>
      <c r="J1792" s="4577"/>
      <c r="K1792" s="4577"/>
      <c r="L1792" s="4577"/>
      <c r="M1792" s="4577"/>
      <c r="N1792" s="4577"/>
      <c r="O1792" s="4577"/>
      <c r="P1792" s="4577"/>
      <c r="Q1792" s="4577"/>
      <c r="R1792" s="4577"/>
      <c r="S1792" s="4577"/>
      <c r="T1792" s="4577"/>
      <c r="U1792" s="4577"/>
      <c r="V1792" s="4577"/>
      <c r="W1792" s="4577"/>
      <c r="X1792" s="4577"/>
      <c r="Y1792" s="4577"/>
      <c r="Z1792" s="4577"/>
      <c r="AA1792" s="4577"/>
      <c r="AB1792" s="4578"/>
      <c r="AC1792" s="697">
        <f>(AC1790+AC1791)/2</f>
        <v>40.099206349206355</v>
      </c>
      <c r="AD1792" s="697">
        <f>(AD1790+AD1791)/2</f>
        <v>13.745618897614891</v>
      </c>
      <c r="AE1792" s="385"/>
    </row>
    <row r="1793" spans="1:31" s="63" customFormat="1">
      <c r="A1793" s="4576" t="s">
        <v>2533</v>
      </c>
      <c r="B1793" s="4577"/>
      <c r="C1793" s="4577"/>
      <c r="D1793" s="4577"/>
      <c r="E1793" s="4577"/>
      <c r="F1793" s="4577"/>
      <c r="G1793" s="4577"/>
      <c r="H1793" s="4577"/>
      <c r="I1793" s="4577"/>
      <c r="J1793" s="4577"/>
      <c r="K1793" s="4577"/>
      <c r="L1793" s="4577"/>
      <c r="M1793" s="4577"/>
      <c r="N1793" s="4577"/>
      <c r="O1793" s="4577"/>
      <c r="P1793" s="4577"/>
      <c r="Q1793" s="4577"/>
      <c r="R1793" s="4577"/>
      <c r="S1793" s="4577"/>
      <c r="T1793" s="4577"/>
      <c r="U1793" s="4577"/>
      <c r="V1793" s="4577"/>
      <c r="W1793" s="4577"/>
      <c r="X1793" s="4577"/>
      <c r="Y1793" s="4577"/>
      <c r="Z1793" s="4577"/>
      <c r="AA1793" s="4577"/>
      <c r="AB1793" s="4578"/>
      <c r="AC1793" s="2145" t="s">
        <v>2534</v>
      </c>
      <c r="AD1793" s="2145" t="s">
        <v>2534</v>
      </c>
      <c r="AE1793" s="385"/>
    </row>
    <row r="1794" spans="1:31" s="63" customFormat="1" ht="38.25">
      <c r="A1794" s="495">
        <v>31</v>
      </c>
      <c r="B1794" s="741" t="s">
        <v>2678</v>
      </c>
      <c r="C1794" s="1935" t="s">
        <v>66</v>
      </c>
      <c r="D1794" s="1236" t="s">
        <v>2558</v>
      </c>
      <c r="E1794" s="1236" t="s">
        <v>107</v>
      </c>
      <c r="F1794" s="1236" t="s">
        <v>66</v>
      </c>
      <c r="G1794" s="1236" t="s">
        <v>321</v>
      </c>
      <c r="H1794" s="1236"/>
      <c r="I1794" s="344" t="s">
        <v>2813</v>
      </c>
      <c r="J1794" s="741" t="s">
        <v>2814</v>
      </c>
      <c r="K1794" s="495" t="s">
        <v>2181</v>
      </c>
      <c r="L1794" s="2132">
        <f>SUM(L1795:L1797)</f>
        <v>1790000000</v>
      </c>
      <c r="M1794" s="2138" t="s">
        <v>2806</v>
      </c>
      <c r="N1794" s="2132">
        <f>SUM(N1795:N1797)</f>
        <v>33621900</v>
      </c>
      <c r="O1794" s="616" t="s">
        <v>2806</v>
      </c>
      <c r="P1794" s="2123">
        <f>SUM(P1795:P1797)</f>
        <v>202796544.5</v>
      </c>
      <c r="Q1794" s="2124"/>
      <c r="R1794" s="2123">
        <f>SUM(R1795:R1797)</f>
        <v>16971613</v>
      </c>
      <c r="S1794" s="616"/>
      <c r="T1794" s="616"/>
      <c r="U1794" s="616"/>
      <c r="V1794" s="616"/>
      <c r="W1794" s="616"/>
      <c r="X1794" s="616"/>
      <c r="Y1794" s="2124">
        <f t="shared" ref="Y1794:Z1797" si="378">Q1794</f>
        <v>0</v>
      </c>
      <c r="Z1794" s="1944">
        <f t="shared" si="378"/>
        <v>16971613</v>
      </c>
      <c r="AA1794" s="389"/>
      <c r="AB1794" s="1944">
        <f>N1794+Z1794</f>
        <v>50593513</v>
      </c>
      <c r="AC1794" s="616"/>
      <c r="AD1794" s="389">
        <f>AB1794/L1794*100</f>
        <v>2.8264532402234637</v>
      </c>
      <c r="AE1794" s="616"/>
    </row>
    <row r="1795" spans="1:31" s="63" customFormat="1" ht="38.25">
      <c r="A1795" s="497"/>
      <c r="B1795" s="383"/>
      <c r="C1795" s="1935" t="s">
        <v>66</v>
      </c>
      <c r="D1795" s="1236" t="s">
        <v>2558</v>
      </c>
      <c r="E1795" s="1236" t="s">
        <v>107</v>
      </c>
      <c r="F1795" s="1236" t="s">
        <v>66</v>
      </c>
      <c r="G1795" s="1236" t="s">
        <v>321</v>
      </c>
      <c r="H1795" s="1236" t="s">
        <v>66</v>
      </c>
      <c r="I1795" s="741" t="s">
        <v>2815</v>
      </c>
      <c r="J1795" s="741" t="s">
        <v>2816</v>
      </c>
      <c r="K1795" s="2119">
        <v>124</v>
      </c>
      <c r="L1795" s="2119">
        <v>530000000</v>
      </c>
      <c r="M1795" s="2147">
        <v>2</v>
      </c>
      <c r="N1795" s="2047">
        <f>33621900</f>
        <v>33621900</v>
      </c>
      <c r="O1795" s="2119">
        <v>17</v>
      </c>
      <c r="P1795" s="1941">
        <v>69324401.75</v>
      </c>
      <c r="Q1795" s="2166">
        <v>10</v>
      </c>
      <c r="R1795" s="2047">
        <v>11525613</v>
      </c>
      <c r="S1795" s="385"/>
      <c r="T1795" s="385"/>
      <c r="U1795" s="385"/>
      <c r="V1795" s="385"/>
      <c r="W1795" s="385"/>
      <c r="X1795" s="385"/>
      <c r="Y1795" s="2124">
        <f t="shared" si="378"/>
        <v>10</v>
      </c>
      <c r="Z1795" s="1944">
        <f t="shared" si="378"/>
        <v>11525613</v>
      </c>
      <c r="AA1795" s="2129">
        <f>M1795+Q1795</f>
        <v>12</v>
      </c>
      <c r="AB1795" s="1944">
        <f>N1795+Z1795</f>
        <v>45147513</v>
      </c>
      <c r="AC1795" s="389">
        <f>AA1795/K1795*100</f>
        <v>9.67741935483871</v>
      </c>
      <c r="AD1795" s="389">
        <f>AB1795/L1795*100</f>
        <v>8.5183986792452835</v>
      </c>
      <c r="AE1795" s="385" t="s">
        <v>2718</v>
      </c>
    </row>
    <row r="1796" spans="1:31" s="63" customFormat="1" ht="38.25">
      <c r="A1796" s="497"/>
      <c r="B1796" s="383"/>
      <c r="C1796" s="1935" t="s">
        <v>66</v>
      </c>
      <c r="D1796" s="1236" t="s">
        <v>2558</v>
      </c>
      <c r="E1796" s="1236" t="s">
        <v>107</v>
      </c>
      <c r="F1796" s="1236" t="s">
        <v>66</v>
      </c>
      <c r="G1796" s="1236" t="s">
        <v>321</v>
      </c>
      <c r="H1796" s="1236" t="s">
        <v>95</v>
      </c>
      <c r="I1796" s="1936" t="s">
        <v>2817</v>
      </c>
      <c r="J1796" s="741" t="s">
        <v>2818</v>
      </c>
      <c r="K1796" s="2119">
        <v>8</v>
      </c>
      <c r="L1796" s="2144">
        <v>820000000</v>
      </c>
      <c r="M1796" s="2167" t="s">
        <v>2034</v>
      </c>
      <c r="N1796" s="385"/>
      <c r="O1796" s="2119">
        <v>2</v>
      </c>
      <c r="P1796" s="1941">
        <v>59042996.25</v>
      </c>
      <c r="Q1796" s="2166">
        <v>4</v>
      </c>
      <c r="R1796" s="2047">
        <v>2992000</v>
      </c>
      <c r="S1796" s="385"/>
      <c r="T1796" s="385"/>
      <c r="U1796" s="385"/>
      <c r="V1796" s="385"/>
      <c r="W1796" s="385"/>
      <c r="X1796" s="385"/>
      <c r="Y1796" s="2124">
        <f t="shared" si="378"/>
        <v>4</v>
      </c>
      <c r="Z1796" s="1944">
        <f t="shared" si="378"/>
        <v>2992000</v>
      </c>
      <c r="AA1796" s="2129">
        <f>M1796+Q1796</f>
        <v>4</v>
      </c>
      <c r="AB1796" s="1944">
        <f>N1796+Z1796</f>
        <v>2992000</v>
      </c>
      <c r="AC1796" s="389">
        <f>AA1796/K1796*100</f>
        <v>50</v>
      </c>
      <c r="AD1796" s="389">
        <f>AB1796/L1796*100</f>
        <v>0.3648780487804878</v>
      </c>
      <c r="AE1796" s="385" t="s">
        <v>2718</v>
      </c>
    </row>
    <row r="1797" spans="1:31" s="63" customFormat="1" ht="25.5">
      <c r="A1797" s="497"/>
      <c r="B1797" s="383"/>
      <c r="C1797" s="1935" t="s">
        <v>66</v>
      </c>
      <c r="D1797" s="1236" t="s">
        <v>2558</v>
      </c>
      <c r="E1797" s="1236" t="s">
        <v>107</v>
      </c>
      <c r="F1797" s="1236" t="s">
        <v>66</v>
      </c>
      <c r="G1797" s="1236" t="s">
        <v>321</v>
      </c>
      <c r="H1797" s="1236" t="s">
        <v>93</v>
      </c>
      <c r="I1797" s="1936" t="s">
        <v>2819</v>
      </c>
      <c r="J1797" s="741" t="s">
        <v>2820</v>
      </c>
      <c r="K1797" s="2003">
        <v>16</v>
      </c>
      <c r="L1797" s="2144">
        <v>440000000</v>
      </c>
      <c r="M1797" s="2167" t="s">
        <v>2034</v>
      </c>
      <c r="N1797" s="385"/>
      <c r="O1797" s="2003">
        <v>4</v>
      </c>
      <c r="P1797" s="2047">
        <v>74429146.5</v>
      </c>
      <c r="Q1797" s="2166">
        <v>2</v>
      </c>
      <c r="R1797" s="2047">
        <v>2454000</v>
      </c>
      <c r="S1797" s="385"/>
      <c r="T1797" s="385"/>
      <c r="U1797" s="385"/>
      <c r="V1797" s="385"/>
      <c r="W1797" s="385"/>
      <c r="X1797" s="385"/>
      <c r="Y1797" s="2124">
        <f t="shared" si="378"/>
        <v>2</v>
      </c>
      <c r="Z1797" s="1944">
        <f t="shared" si="378"/>
        <v>2454000</v>
      </c>
      <c r="AA1797" s="2129">
        <f>M1797+Q1797</f>
        <v>2</v>
      </c>
      <c r="AB1797" s="1944">
        <f>N1797+Z1797</f>
        <v>2454000</v>
      </c>
      <c r="AC1797" s="389">
        <f>AA1797/K1797*100</f>
        <v>12.5</v>
      </c>
      <c r="AD1797" s="389">
        <f>AB1797/L1797*100</f>
        <v>0.55772727272727274</v>
      </c>
      <c r="AE1797" s="385" t="s">
        <v>2718</v>
      </c>
    </row>
    <row r="1798" spans="1:31">
      <c r="A1798" s="4563" t="s">
        <v>2532</v>
      </c>
      <c r="B1798" s="4564"/>
      <c r="C1798" s="4564"/>
      <c r="D1798" s="4564"/>
      <c r="E1798" s="4564"/>
      <c r="F1798" s="4564"/>
      <c r="G1798" s="4564"/>
      <c r="H1798" s="4564"/>
      <c r="I1798" s="4564"/>
      <c r="J1798" s="4564"/>
      <c r="K1798" s="4564"/>
      <c r="L1798" s="4564"/>
      <c r="M1798" s="4564"/>
      <c r="N1798" s="4564"/>
      <c r="O1798" s="4564"/>
      <c r="P1798" s="4564"/>
      <c r="Q1798" s="4564"/>
      <c r="R1798" s="4564"/>
      <c r="S1798" s="4564"/>
      <c r="T1798" s="4564"/>
      <c r="U1798" s="4564"/>
      <c r="V1798" s="4564"/>
      <c r="W1798" s="4564"/>
      <c r="X1798" s="4564"/>
      <c r="Y1798" s="4564"/>
      <c r="Z1798" s="4564"/>
      <c r="AA1798" s="4564"/>
      <c r="AB1798" s="4565"/>
      <c r="AC1798" s="2028">
        <f>SUM(AC1795:AC1797)/3</f>
        <v>24.05913978494624</v>
      </c>
      <c r="AD1798" s="2028">
        <f>SUM(AD1795:AD1797)/3</f>
        <v>3.1470013335843485</v>
      </c>
      <c r="AE1798" s="64"/>
    </row>
    <row r="1799" spans="1:31">
      <c r="A1799" s="4563" t="s">
        <v>2533</v>
      </c>
      <c r="B1799" s="4564"/>
      <c r="C1799" s="4564"/>
      <c r="D1799" s="4564"/>
      <c r="E1799" s="4564"/>
      <c r="F1799" s="4564"/>
      <c r="G1799" s="4564"/>
      <c r="H1799" s="4564"/>
      <c r="I1799" s="4564"/>
      <c r="J1799" s="4564"/>
      <c r="K1799" s="4564"/>
      <c r="L1799" s="4564"/>
      <c r="M1799" s="4564"/>
      <c r="N1799" s="4564"/>
      <c r="O1799" s="4564"/>
      <c r="P1799" s="4564"/>
      <c r="Q1799" s="4564"/>
      <c r="R1799" s="4564"/>
      <c r="S1799" s="4564"/>
      <c r="T1799" s="4564"/>
      <c r="U1799" s="4564"/>
      <c r="V1799" s="4564"/>
      <c r="W1799" s="4564"/>
      <c r="X1799" s="4564"/>
      <c r="Y1799" s="4564"/>
      <c r="Z1799" s="4564"/>
      <c r="AA1799" s="4564"/>
      <c r="AB1799" s="4565"/>
      <c r="AC1799" s="2026" t="s">
        <v>2534</v>
      </c>
      <c r="AD1799" s="2026" t="s">
        <v>2534</v>
      </c>
      <c r="AE1799" s="64"/>
    </row>
    <row r="1800" spans="1:31">
      <c r="A1800" s="4579"/>
      <c r="B1800" s="4579"/>
      <c r="C1800" s="4579"/>
      <c r="D1800" s="4579"/>
      <c r="E1800" s="4579"/>
      <c r="F1800" s="4579"/>
      <c r="G1800" s="4579"/>
      <c r="H1800" s="4579"/>
      <c r="I1800" s="4579"/>
      <c r="J1800" s="4579"/>
      <c r="K1800" s="4579"/>
      <c r="L1800" s="4579"/>
      <c r="M1800" s="4579"/>
      <c r="N1800" s="4579"/>
      <c r="O1800" s="4579"/>
      <c r="P1800" s="4579"/>
      <c r="Q1800" s="4579"/>
      <c r="R1800" s="4579"/>
      <c r="S1800" s="4579"/>
      <c r="T1800" s="4579"/>
      <c r="U1800" s="4579"/>
      <c r="V1800" s="4579"/>
      <c r="W1800" s="4579"/>
      <c r="X1800" s="4579"/>
      <c r="Y1800" s="4579"/>
      <c r="Z1800" s="4579"/>
      <c r="AA1800" s="4579"/>
      <c r="AB1800" s="4579"/>
      <c r="AC1800" s="1692"/>
      <c r="AD1800" s="1692"/>
      <c r="AE1800" s="1692"/>
    </row>
    <row r="1801" spans="1:31">
      <c r="A1801" s="4580" t="s">
        <v>101</v>
      </c>
      <c r="B1801" s="4580"/>
      <c r="C1801" s="4580"/>
      <c r="D1801" s="4580"/>
      <c r="E1801" s="4580"/>
      <c r="F1801" s="4580"/>
      <c r="G1801" s="4580"/>
      <c r="H1801" s="4580"/>
      <c r="I1801" s="4580"/>
      <c r="J1801" s="4580"/>
      <c r="K1801" s="4580"/>
      <c r="L1801" s="4580"/>
      <c r="M1801" s="4580"/>
      <c r="N1801" s="4580"/>
      <c r="O1801" s="4580"/>
      <c r="P1801" s="4580"/>
      <c r="Q1801" s="4580"/>
      <c r="R1801" s="4580"/>
      <c r="S1801" s="4580"/>
      <c r="T1801" s="4580"/>
      <c r="U1801" s="4580"/>
      <c r="V1801" s="4580"/>
      <c r="W1801" s="4580"/>
      <c r="X1801" s="4580"/>
      <c r="Y1801" s="4580"/>
      <c r="Z1801" s="4580"/>
      <c r="AA1801" s="4580"/>
      <c r="AB1801" s="4580"/>
      <c r="AC1801" s="2050" t="e">
        <f>(AC1798+AC1792+AC1785+AC1778+AC1753+AC1749+AC1745+AC1740+AC1733+AC1725+AC1721+AC1716+AC1709+AC1704+#REF!+AC1686+AC1682+AC1678+AC1674+AC1671+AC1664+AC1653+AC1648+AC1643+AC1639+AC1635+AC1626+AC1620+AC1615+AC1610+AC1594)/31</f>
        <v>#REF!</v>
      </c>
      <c r="AD1801" s="2050" t="e">
        <f>(AD1798+AD1792+AD1785+AD1778+AD1753+AD1749+AD1745+AD1740+AD1733+AD1725+AD1721+AD1716+AD1709+AD1704+#REF!+AD1686+AD1682+AD1678+AD1674+AD1671+AD1664+AD1653+AD1648+AD1643+AD1639+AD1635+AD1626+AD1620+AD1615+AD1610+AD1594)/31</f>
        <v>#REF!</v>
      </c>
      <c r="AE1801" s="1692"/>
    </row>
    <row r="1802" spans="1:31">
      <c r="A1802" s="4580" t="s">
        <v>102</v>
      </c>
      <c r="B1802" s="4580"/>
      <c r="C1802" s="4580"/>
      <c r="D1802" s="4580"/>
      <c r="E1802" s="4580"/>
      <c r="F1802" s="4580"/>
      <c r="G1802" s="4580"/>
      <c r="H1802" s="4580"/>
      <c r="I1802" s="4580"/>
      <c r="J1802" s="4580"/>
      <c r="K1802" s="4580"/>
      <c r="L1802" s="4580"/>
      <c r="M1802" s="4580"/>
      <c r="N1802" s="4580"/>
      <c r="O1802" s="4580"/>
      <c r="P1802" s="4580"/>
      <c r="Q1802" s="4580"/>
      <c r="R1802" s="4580"/>
      <c r="S1802" s="4580"/>
      <c r="T1802" s="4580"/>
      <c r="U1802" s="4580"/>
      <c r="V1802" s="4580"/>
      <c r="W1802" s="4580"/>
      <c r="X1802" s="4580"/>
      <c r="Y1802" s="4580"/>
      <c r="Z1802" s="4580"/>
      <c r="AA1802" s="4580"/>
      <c r="AB1802" s="4580"/>
      <c r="AC1802" s="2051" t="s">
        <v>2534</v>
      </c>
      <c r="AD1802" s="2051" t="s">
        <v>2534</v>
      </c>
      <c r="AE1802" s="1692"/>
    </row>
    <row r="1803" spans="1:31">
      <c r="A1803" s="64"/>
      <c r="B1803" s="64"/>
      <c r="C1803" s="64"/>
      <c r="D1803" s="64"/>
      <c r="E1803" s="64"/>
      <c r="F1803" s="64"/>
      <c r="G1803" s="64"/>
      <c r="H1803" s="64"/>
      <c r="I1803" s="64"/>
      <c r="J1803" s="64"/>
      <c r="K1803" s="64"/>
      <c r="L1803" s="64"/>
      <c r="M1803" s="64"/>
      <c r="N1803" s="64"/>
      <c r="O1803" s="64"/>
      <c r="P1803" s="64"/>
      <c r="Q1803" s="64"/>
      <c r="R1803" s="64"/>
      <c r="S1803" s="64"/>
      <c r="T1803" s="64"/>
      <c r="U1803" s="64"/>
      <c r="V1803" s="64"/>
      <c r="W1803" s="64"/>
      <c r="X1803" s="64"/>
      <c r="Y1803" s="729"/>
      <c r="Z1803" s="64"/>
      <c r="AA1803" s="64"/>
      <c r="AB1803" s="64"/>
      <c r="AC1803" s="64"/>
      <c r="AD1803" s="64"/>
      <c r="AE1803" s="64"/>
    </row>
    <row r="1804" spans="1:31">
      <c r="A1804" s="67">
        <v>38</v>
      </c>
      <c r="B1804" s="67"/>
      <c r="C1804" s="67"/>
      <c r="D1804" s="67"/>
      <c r="E1804" s="67"/>
      <c r="F1804" s="67"/>
      <c r="G1804" s="67"/>
      <c r="H1804" s="67"/>
      <c r="I1804" s="68" t="s">
        <v>1020</v>
      </c>
      <c r="J1804" s="67"/>
      <c r="K1804" s="67"/>
      <c r="L1804" s="67"/>
      <c r="M1804" s="67"/>
      <c r="N1804" s="67"/>
      <c r="O1804" s="67"/>
      <c r="P1804" s="67"/>
      <c r="Q1804" s="67"/>
      <c r="R1804" s="67"/>
      <c r="S1804" s="67"/>
      <c r="T1804" s="67"/>
      <c r="U1804" s="67"/>
      <c r="V1804" s="67"/>
      <c r="W1804" s="67"/>
      <c r="X1804" s="67"/>
      <c r="Y1804" s="366"/>
      <c r="Z1804" s="67"/>
      <c r="AA1804" s="67"/>
      <c r="AB1804" s="67"/>
      <c r="AC1804" s="67"/>
      <c r="AD1804" s="67"/>
      <c r="AE1804" s="67"/>
    </row>
    <row r="1805" spans="1:31">
      <c r="A1805" s="64"/>
      <c r="B1805" s="64"/>
      <c r="C1805" s="64"/>
      <c r="D1805" s="64"/>
      <c r="E1805" s="64"/>
      <c r="F1805" s="64"/>
      <c r="G1805" s="64"/>
      <c r="H1805" s="64"/>
      <c r="I1805" s="64"/>
      <c r="J1805" s="64"/>
      <c r="K1805" s="64"/>
      <c r="L1805" s="64"/>
      <c r="M1805" s="64"/>
      <c r="N1805" s="64"/>
      <c r="O1805" s="64"/>
      <c r="P1805" s="64"/>
      <c r="Q1805" s="64"/>
      <c r="R1805" s="64"/>
      <c r="S1805" s="64"/>
      <c r="T1805" s="64"/>
      <c r="U1805" s="64"/>
      <c r="V1805" s="64"/>
      <c r="W1805" s="64"/>
      <c r="X1805" s="64"/>
      <c r="Y1805" s="729"/>
      <c r="Z1805" s="64"/>
      <c r="AA1805" s="64"/>
      <c r="AB1805" s="64"/>
      <c r="AC1805" s="64"/>
      <c r="AD1805" s="64"/>
      <c r="AE1805" s="64"/>
    </row>
    <row r="1806" spans="1:31">
      <c r="A1806" s="72"/>
      <c r="B1806" s="72"/>
      <c r="C1806" s="72"/>
      <c r="D1806" s="72"/>
      <c r="E1806" s="72"/>
      <c r="F1806" s="72"/>
      <c r="G1806" s="72"/>
      <c r="H1806" s="72"/>
      <c r="I1806" s="73" t="s">
        <v>1018</v>
      </c>
      <c r="J1806" s="72"/>
      <c r="K1806" s="72"/>
      <c r="L1806" s="72"/>
      <c r="M1806" s="72"/>
      <c r="N1806" s="72"/>
      <c r="O1806" s="72"/>
      <c r="P1806" s="72"/>
      <c r="Q1806" s="72"/>
      <c r="R1806" s="72"/>
      <c r="S1806" s="72"/>
      <c r="T1806" s="72"/>
      <c r="U1806" s="72"/>
      <c r="V1806" s="72"/>
      <c r="W1806" s="72"/>
      <c r="X1806" s="72"/>
      <c r="Y1806" s="561"/>
      <c r="Z1806" s="72"/>
      <c r="AA1806" s="72"/>
      <c r="AB1806" s="72"/>
      <c r="AC1806" s="72"/>
      <c r="AD1806" s="72"/>
      <c r="AE1806" s="72"/>
    </row>
    <row r="1807" spans="1:31">
      <c r="A1807" s="67">
        <v>39</v>
      </c>
      <c r="B1807" s="67"/>
      <c r="C1807" s="67"/>
      <c r="D1807" s="67"/>
      <c r="E1807" s="67"/>
      <c r="F1807" s="67"/>
      <c r="G1807" s="67"/>
      <c r="H1807" s="67"/>
      <c r="I1807" s="68" t="s">
        <v>1027</v>
      </c>
      <c r="J1807" s="67"/>
      <c r="K1807" s="67"/>
      <c r="L1807" s="67"/>
      <c r="M1807" s="67"/>
      <c r="N1807" s="67"/>
      <c r="O1807" s="67"/>
      <c r="P1807" s="67"/>
      <c r="Q1807" s="67"/>
      <c r="R1807" s="67"/>
      <c r="S1807" s="67"/>
      <c r="T1807" s="67"/>
      <c r="U1807" s="67"/>
      <c r="V1807" s="67"/>
      <c r="W1807" s="67"/>
      <c r="X1807" s="67"/>
      <c r="Y1807" s="366"/>
      <c r="Z1807" s="67"/>
      <c r="AA1807" s="67"/>
      <c r="AB1807" s="67"/>
      <c r="AC1807" s="67"/>
      <c r="AD1807" s="67"/>
      <c r="AE1807" s="67"/>
    </row>
    <row r="1808" spans="1:31" ht="25.5">
      <c r="A1808" s="655">
        <v>1</v>
      </c>
      <c r="B1808" s="655"/>
      <c r="C1808" s="655"/>
      <c r="D1808" s="655"/>
      <c r="E1808" s="655"/>
      <c r="F1808" s="655"/>
      <c r="G1808" s="655"/>
      <c r="H1808" s="655"/>
      <c r="I1808" s="652" t="s">
        <v>1021</v>
      </c>
      <c r="J1808" s="655"/>
      <c r="K1808" s="655"/>
      <c r="L1808" s="655"/>
      <c r="M1808" s="655"/>
      <c r="N1808" s="655"/>
      <c r="O1808" s="655"/>
      <c r="P1808" s="655"/>
      <c r="Q1808" s="655"/>
      <c r="R1808" s="655"/>
      <c r="S1808" s="655"/>
      <c r="T1808" s="655"/>
      <c r="U1808" s="655"/>
      <c r="V1808" s="655"/>
      <c r="W1808" s="655"/>
      <c r="X1808" s="655"/>
      <c r="Y1808" s="730"/>
      <c r="Z1808" s="655"/>
      <c r="AA1808" s="655"/>
      <c r="AB1808" s="655"/>
      <c r="AC1808" s="655"/>
      <c r="AD1808" s="655"/>
      <c r="AE1808" s="655"/>
    </row>
    <row r="1809" spans="1:31">
      <c r="A1809" s="385"/>
      <c r="B1809" s="385"/>
      <c r="C1809" s="385"/>
      <c r="D1809" s="385"/>
      <c r="E1809" s="385"/>
      <c r="F1809" s="385"/>
      <c r="G1809" s="385"/>
      <c r="H1809" s="385"/>
      <c r="I1809" s="385"/>
      <c r="J1809" s="385"/>
      <c r="K1809" s="385"/>
      <c r="L1809" s="385"/>
      <c r="M1809" s="385"/>
      <c r="N1809" s="385"/>
      <c r="O1809" s="385"/>
      <c r="P1809" s="385"/>
      <c r="Q1809" s="385"/>
      <c r="R1809" s="385"/>
      <c r="S1809" s="385"/>
      <c r="T1809" s="385"/>
      <c r="U1809" s="385"/>
      <c r="V1809" s="385"/>
      <c r="W1809" s="385"/>
      <c r="X1809" s="385"/>
      <c r="Y1809" s="1904"/>
      <c r="Z1809" s="385"/>
      <c r="AA1809" s="385"/>
      <c r="AB1809" s="385"/>
      <c r="AC1809" s="385"/>
      <c r="AD1809" s="385"/>
      <c r="AE1809" s="385"/>
    </row>
    <row r="1810" spans="1:31" ht="25.5">
      <c r="A1810" s="655">
        <v>2</v>
      </c>
      <c r="B1810" s="655"/>
      <c r="C1810" s="655"/>
      <c r="D1810" s="655"/>
      <c r="E1810" s="655"/>
      <c r="F1810" s="655"/>
      <c r="G1810" s="655"/>
      <c r="H1810" s="655"/>
      <c r="I1810" s="652" t="s">
        <v>1033</v>
      </c>
      <c r="J1810" s="655"/>
      <c r="K1810" s="655"/>
      <c r="L1810" s="655"/>
      <c r="M1810" s="655"/>
      <c r="N1810" s="655"/>
      <c r="O1810" s="655"/>
      <c r="P1810" s="655"/>
      <c r="Q1810" s="655"/>
      <c r="R1810" s="655"/>
      <c r="S1810" s="655"/>
      <c r="T1810" s="655"/>
      <c r="U1810" s="655"/>
      <c r="V1810" s="655"/>
      <c r="W1810" s="655"/>
      <c r="X1810" s="655"/>
      <c r="Y1810" s="730"/>
      <c r="Z1810" s="655"/>
      <c r="AA1810" s="655"/>
      <c r="AB1810" s="655"/>
      <c r="AC1810" s="655"/>
      <c r="AD1810" s="655"/>
      <c r="AE1810" s="655"/>
    </row>
    <row r="1811" spans="1:31">
      <c r="A1811" s="385"/>
      <c r="B1811" s="385"/>
      <c r="C1811" s="385"/>
      <c r="D1811" s="385"/>
      <c r="E1811" s="385"/>
      <c r="F1811" s="385"/>
      <c r="G1811" s="385"/>
      <c r="H1811" s="385"/>
      <c r="I1811" s="385"/>
      <c r="J1811" s="385"/>
      <c r="K1811" s="385"/>
      <c r="L1811" s="385"/>
      <c r="M1811" s="385"/>
      <c r="N1811" s="385"/>
      <c r="O1811" s="385"/>
      <c r="P1811" s="385"/>
      <c r="Q1811" s="385"/>
      <c r="R1811" s="385"/>
      <c r="S1811" s="385"/>
      <c r="T1811" s="385"/>
      <c r="U1811" s="385"/>
      <c r="V1811" s="385"/>
      <c r="W1811" s="385"/>
      <c r="X1811" s="385"/>
      <c r="Y1811" s="1904"/>
      <c r="Z1811" s="385"/>
      <c r="AA1811" s="385"/>
      <c r="AB1811" s="385"/>
      <c r="AC1811" s="385"/>
      <c r="AD1811" s="385"/>
      <c r="AE1811" s="385"/>
    </row>
    <row r="1812" spans="1:31" ht="25.5">
      <c r="A1812" s="655">
        <v>3</v>
      </c>
      <c r="B1812" s="655"/>
      <c r="C1812" s="655"/>
      <c r="D1812" s="655"/>
      <c r="E1812" s="655"/>
      <c r="F1812" s="655"/>
      <c r="G1812" s="655"/>
      <c r="H1812" s="655"/>
      <c r="I1812" s="652" t="s">
        <v>1022</v>
      </c>
      <c r="J1812" s="655"/>
      <c r="K1812" s="655"/>
      <c r="L1812" s="655"/>
      <c r="M1812" s="655"/>
      <c r="N1812" s="655"/>
      <c r="O1812" s="655"/>
      <c r="P1812" s="655"/>
      <c r="Q1812" s="655"/>
      <c r="R1812" s="655"/>
      <c r="S1812" s="655"/>
      <c r="T1812" s="655"/>
      <c r="U1812" s="655"/>
      <c r="V1812" s="655"/>
      <c r="W1812" s="655"/>
      <c r="X1812" s="655"/>
      <c r="Y1812" s="730"/>
      <c r="Z1812" s="655"/>
      <c r="AA1812" s="655"/>
      <c r="AB1812" s="655"/>
      <c r="AC1812" s="655"/>
      <c r="AD1812" s="655"/>
      <c r="AE1812" s="655"/>
    </row>
    <row r="1813" spans="1:31">
      <c r="A1813" s="385"/>
      <c r="B1813" s="385"/>
      <c r="C1813" s="385"/>
      <c r="D1813" s="385"/>
      <c r="E1813" s="385"/>
      <c r="F1813" s="385"/>
      <c r="G1813" s="385"/>
      <c r="H1813" s="385"/>
      <c r="I1813" s="385"/>
      <c r="J1813" s="385"/>
      <c r="K1813" s="385"/>
      <c r="L1813" s="385"/>
      <c r="M1813" s="385"/>
      <c r="N1813" s="385"/>
      <c r="O1813" s="385"/>
      <c r="P1813" s="385"/>
      <c r="Q1813" s="385"/>
      <c r="R1813" s="385"/>
      <c r="S1813" s="385"/>
      <c r="T1813" s="385"/>
      <c r="U1813" s="385"/>
      <c r="V1813" s="385"/>
      <c r="W1813" s="385"/>
      <c r="X1813" s="385"/>
      <c r="Y1813" s="1904"/>
      <c r="Z1813" s="385"/>
      <c r="AA1813" s="385"/>
      <c r="AB1813" s="385"/>
      <c r="AC1813" s="385"/>
      <c r="AD1813" s="385"/>
      <c r="AE1813" s="385"/>
    </row>
    <row r="1814" spans="1:31">
      <c r="A1814" s="655">
        <v>4</v>
      </c>
      <c r="B1814" s="655"/>
      <c r="C1814" s="655"/>
      <c r="D1814" s="655"/>
      <c r="E1814" s="655"/>
      <c r="F1814" s="655"/>
      <c r="G1814" s="655"/>
      <c r="H1814" s="655"/>
      <c r="I1814" s="652" t="s">
        <v>1023</v>
      </c>
      <c r="J1814" s="655"/>
      <c r="K1814" s="655"/>
      <c r="L1814" s="655"/>
      <c r="M1814" s="655"/>
      <c r="N1814" s="655"/>
      <c r="O1814" s="655"/>
      <c r="P1814" s="655"/>
      <c r="Q1814" s="655"/>
      <c r="R1814" s="655"/>
      <c r="S1814" s="655"/>
      <c r="T1814" s="655"/>
      <c r="U1814" s="655"/>
      <c r="V1814" s="655"/>
      <c r="W1814" s="655"/>
      <c r="X1814" s="655"/>
      <c r="Y1814" s="730"/>
      <c r="Z1814" s="655"/>
      <c r="AA1814" s="655"/>
      <c r="AB1814" s="655"/>
      <c r="AC1814" s="655"/>
      <c r="AD1814" s="655"/>
      <c r="AE1814" s="655"/>
    </row>
    <row r="1815" spans="1:31">
      <c r="A1815" s="385"/>
      <c r="B1815" s="385"/>
      <c r="C1815" s="385"/>
      <c r="D1815" s="385"/>
      <c r="E1815" s="385"/>
      <c r="F1815" s="385"/>
      <c r="G1815" s="385"/>
      <c r="H1815" s="385"/>
      <c r="I1815" s="385"/>
      <c r="J1815" s="385"/>
      <c r="K1815" s="385"/>
      <c r="L1815" s="385"/>
      <c r="M1815" s="385"/>
      <c r="N1815" s="385"/>
      <c r="O1815" s="385"/>
      <c r="P1815" s="385"/>
      <c r="Q1815" s="385"/>
      <c r="R1815" s="385"/>
      <c r="S1815" s="385"/>
      <c r="T1815" s="385"/>
      <c r="U1815" s="385"/>
      <c r="V1815" s="385"/>
      <c r="W1815" s="385"/>
      <c r="X1815" s="385"/>
      <c r="Y1815" s="1904"/>
      <c r="Z1815" s="385"/>
      <c r="AA1815" s="385"/>
      <c r="AB1815" s="385"/>
      <c r="AC1815" s="385"/>
      <c r="AD1815" s="385"/>
      <c r="AE1815" s="385"/>
    </row>
    <row r="1816" spans="1:31" ht="25.5">
      <c r="A1816" s="655">
        <v>5</v>
      </c>
      <c r="B1816" s="655"/>
      <c r="C1816" s="655"/>
      <c r="D1816" s="655"/>
      <c r="E1816" s="655"/>
      <c r="F1816" s="655"/>
      <c r="G1816" s="655"/>
      <c r="H1816" s="655"/>
      <c r="I1816" s="652" t="s">
        <v>1024</v>
      </c>
      <c r="J1816" s="655"/>
      <c r="K1816" s="655"/>
      <c r="L1816" s="655"/>
      <c r="M1816" s="655"/>
      <c r="N1816" s="655"/>
      <c r="O1816" s="655"/>
      <c r="P1816" s="655"/>
      <c r="Q1816" s="655"/>
      <c r="R1816" s="655"/>
      <c r="S1816" s="655"/>
      <c r="T1816" s="655"/>
      <c r="U1816" s="655"/>
      <c r="V1816" s="655"/>
      <c r="W1816" s="655"/>
      <c r="X1816" s="655"/>
      <c r="Y1816" s="730"/>
      <c r="Z1816" s="655"/>
      <c r="AA1816" s="655"/>
      <c r="AB1816" s="655"/>
      <c r="AC1816" s="655"/>
      <c r="AD1816" s="655"/>
      <c r="AE1816" s="655"/>
    </row>
    <row r="1817" spans="1:31">
      <c r="A1817" s="385"/>
      <c r="B1817" s="385"/>
      <c r="C1817" s="385"/>
      <c r="D1817" s="385"/>
      <c r="E1817" s="385"/>
      <c r="F1817" s="385"/>
      <c r="G1817" s="385"/>
      <c r="H1817" s="385"/>
      <c r="I1817" s="385"/>
      <c r="J1817" s="385"/>
      <c r="K1817" s="385"/>
      <c r="L1817" s="385"/>
      <c r="M1817" s="385"/>
      <c r="N1817" s="385"/>
      <c r="O1817" s="385"/>
      <c r="P1817" s="385"/>
      <c r="Q1817" s="385"/>
      <c r="R1817" s="385"/>
      <c r="S1817" s="385"/>
      <c r="T1817" s="385"/>
      <c r="U1817" s="385"/>
      <c r="V1817" s="385"/>
      <c r="W1817" s="385"/>
      <c r="X1817" s="385"/>
      <c r="Y1817" s="1904"/>
      <c r="Z1817" s="385"/>
      <c r="AA1817" s="385"/>
      <c r="AB1817" s="385"/>
      <c r="AC1817" s="385"/>
      <c r="AD1817" s="385"/>
      <c r="AE1817" s="385"/>
    </row>
    <row r="1818" spans="1:31">
      <c r="A1818" s="655">
        <v>6</v>
      </c>
      <c r="B1818" s="655"/>
      <c r="C1818" s="655"/>
      <c r="D1818" s="655"/>
      <c r="E1818" s="655"/>
      <c r="F1818" s="655"/>
      <c r="G1818" s="655"/>
      <c r="H1818" s="655"/>
      <c r="I1818" s="652" t="s">
        <v>1025</v>
      </c>
      <c r="J1818" s="655"/>
      <c r="K1818" s="655"/>
      <c r="L1818" s="655"/>
      <c r="M1818" s="655"/>
      <c r="N1818" s="655"/>
      <c r="O1818" s="655"/>
      <c r="P1818" s="655"/>
      <c r="Q1818" s="655"/>
      <c r="R1818" s="655"/>
      <c r="S1818" s="655"/>
      <c r="T1818" s="655"/>
      <c r="U1818" s="655"/>
      <c r="V1818" s="655"/>
      <c r="W1818" s="655"/>
      <c r="X1818" s="655"/>
      <c r="Y1818" s="730"/>
      <c r="Z1818" s="655"/>
      <c r="AA1818" s="655"/>
      <c r="AB1818" s="655"/>
      <c r="AC1818" s="655"/>
      <c r="AD1818" s="655"/>
      <c r="AE1818" s="655"/>
    </row>
    <row r="1819" spans="1:31">
      <c r="A1819" s="385"/>
      <c r="B1819" s="385"/>
      <c r="C1819" s="385"/>
      <c r="D1819" s="385"/>
      <c r="E1819" s="385"/>
      <c r="F1819" s="385"/>
      <c r="G1819" s="385"/>
      <c r="H1819" s="385"/>
      <c r="I1819" s="385"/>
      <c r="J1819" s="385"/>
      <c r="K1819" s="385"/>
      <c r="L1819" s="385"/>
      <c r="M1819" s="385"/>
      <c r="N1819" s="385"/>
      <c r="O1819" s="385"/>
      <c r="P1819" s="385"/>
      <c r="Q1819" s="385"/>
      <c r="R1819" s="385"/>
      <c r="S1819" s="385"/>
      <c r="T1819" s="385"/>
      <c r="U1819" s="385"/>
      <c r="V1819" s="385"/>
      <c r="W1819" s="385"/>
      <c r="X1819" s="385"/>
      <c r="Y1819" s="1904"/>
      <c r="Z1819" s="385"/>
      <c r="AA1819" s="385"/>
      <c r="AB1819" s="385"/>
      <c r="AC1819" s="385"/>
      <c r="AD1819" s="385"/>
      <c r="AE1819" s="385"/>
    </row>
    <row r="1820" spans="1:31">
      <c r="A1820" s="655">
        <v>7</v>
      </c>
      <c r="B1820" s="655"/>
      <c r="C1820" s="655"/>
      <c r="D1820" s="655"/>
      <c r="E1820" s="655"/>
      <c r="F1820" s="655"/>
      <c r="G1820" s="655"/>
      <c r="H1820" s="655"/>
      <c r="I1820" s="652" t="s">
        <v>1026</v>
      </c>
      <c r="J1820" s="655"/>
      <c r="K1820" s="655"/>
      <c r="L1820" s="655"/>
      <c r="M1820" s="655"/>
      <c r="N1820" s="655"/>
      <c r="O1820" s="655"/>
      <c r="P1820" s="655"/>
      <c r="Q1820" s="655"/>
      <c r="R1820" s="655"/>
      <c r="S1820" s="655"/>
      <c r="T1820" s="655"/>
      <c r="U1820" s="655"/>
      <c r="V1820" s="655"/>
      <c r="W1820" s="655"/>
      <c r="X1820" s="655"/>
      <c r="Y1820" s="730"/>
      <c r="Z1820" s="655"/>
      <c r="AA1820" s="655"/>
      <c r="AB1820" s="655"/>
      <c r="AC1820" s="655"/>
      <c r="AD1820" s="655"/>
      <c r="AE1820" s="655"/>
    </row>
    <row r="1821" spans="1:31">
      <c r="A1821" s="385"/>
      <c r="B1821" s="385"/>
      <c r="C1821" s="385"/>
      <c r="D1821" s="385"/>
      <c r="E1821" s="385"/>
      <c r="F1821" s="385"/>
      <c r="G1821" s="385"/>
      <c r="H1821" s="385"/>
      <c r="I1821" s="385"/>
      <c r="J1821" s="385"/>
      <c r="K1821" s="385"/>
      <c r="L1821" s="385"/>
      <c r="M1821" s="385"/>
      <c r="N1821" s="385"/>
      <c r="O1821" s="385"/>
      <c r="P1821" s="385"/>
      <c r="Q1821" s="385"/>
      <c r="R1821" s="385"/>
      <c r="S1821" s="385"/>
      <c r="T1821" s="385"/>
      <c r="U1821" s="385"/>
      <c r="V1821" s="385"/>
      <c r="W1821" s="385"/>
      <c r="X1821" s="385"/>
      <c r="Y1821" s="1904"/>
      <c r="Z1821" s="385"/>
      <c r="AA1821" s="385"/>
      <c r="AB1821" s="385"/>
      <c r="AC1821" s="385"/>
      <c r="AD1821" s="385"/>
      <c r="AE1821" s="385"/>
    </row>
    <row r="1822" spans="1:31" ht="25.5">
      <c r="A1822" s="655">
        <v>8</v>
      </c>
      <c r="B1822" s="655"/>
      <c r="C1822" s="655"/>
      <c r="D1822" s="655"/>
      <c r="E1822" s="655"/>
      <c r="F1822" s="655"/>
      <c r="G1822" s="655"/>
      <c r="H1822" s="655"/>
      <c r="I1822" s="652" t="s">
        <v>1028</v>
      </c>
      <c r="J1822" s="655"/>
      <c r="K1822" s="655"/>
      <c r="L1822" s="655"/>
      <c r="M1822" s="655"/>
      <c r="N1822" s="655"/>
      <c r="O1822" s="655"/>
      <c r="P1822" s="655"/>
      <c r="Q1822" s="655"/>
      <c r="R1822" s="655"/>
      <c r="S1822" s="655"/>
      <c r="T1822" s="655"/>
      <c r="U1822" s="655"/>
      <c r="V1822" s="655"/>
      <c r="W1822" s="655"/>
      <c r="X1822" s="655"/>
      <c r="Y1822" s="730"/>
      <c r="Z1822" s="655"/>
      <c r="AA1822" s="655"/>
      <c r="AB1822" s="655"/>
      <c r="AC1822" s="655"/>
      <c r="AD1822" s="655"/>
      <c r="AE1822" s="655"/>
    </row>
    <row r="1823" spans="1:31">
      <c r="A1823" s="385"/>
      <c r="B1823" s="385"/>
      <c r="C1823" s="385"/>
      <c r="D1823" s="385"/>
      <c r="E1823" s="385"/>
      <c r="F1823" s="385"/>
      <c r="G1823" s="385"/>
      <c r="H1823" s="385"/>
      <c r="I1823" s="385"/>
      <c r="J1823" s="385"/>
      <c r="K1823" s="385"/>
      <c r="L1823" s="385"/>
      <c r="M1823" s="385"/>
      <c r="N1823" s="385"/>
      <c r="O1823" s="385"/>
      <c r="P1823" s="385"/>
      <c r="Q1823" s="385"/>
      <c r="R1823" s="385"/>
      <c r="S1823" s="385"/>
      <c r="T1823" s="385"/>
      <c r="U1823" s="385"/>
      <c r="V1823" s="385"/>
      <c r="W1823" s="385"/>
      <c r="X1823" s="385"/>
      <c r="Y1823" s="1904"/>
      <c r="Z1823" s="385"/>
      <c r="AA1823" s="385"/>
      <c r="AB1823" s="385"/>
      <c r="AC1823" s="385"/>
      <c r="AD1823" s="385"/>
      <c r="AE1823" s="385"/>
    </row>
    <row r="1824" spans="1:31" ht="25.5">
      <c r="A1824" s="655">
        <v>9</v>
      </c>
      <c r="B1824" s="655"/>
      <c r="C1824" s="655"/>
      <c r="D1824" s="655"/>
      <c r="E1824" s="655"/>
      <c r="F1824" s="655"/>
      <c r="G1824" s="655"/>
      <c r="H1824" s="655"/>
      <c r="I1824" s="652" t="s">
        <v>1029</v>
      </c>
      <c r="J1824" s="655"/>
      <c r="K1824" s="655"/>
      <c r="L1824" s="655"/>
      <c r="M1824" s="655"/>
      <c r="N1824" s="655"/>
      <c r="O1824" s="655"/>
      <c r="P1824" s="655"/>
      <c r="Q1824" s="655"/>
      <c r="R1824" s="655"/>
      <c r="S1824" s="655"/>
      <c r="T1824" s="655"/>
      <c r="U1824" s="655"/>
      <c r="V1824" s="655"/>
      <c r="W1824" s="655"/>
      <c r="X1824" s="655"/>
      <c r="Y1824" s="730"/>
      <c r="Z1824" s="655"/>
      <c r="AA1824" s="655"/>
      <c r="AB1824" s="655"/>
      <c r="AC1824" s="655"/>
      <c r="AD1824" s="655"/>
      <c r="AE1824" s="655"/>
    </row>
    <row r="1825" spans="1:31">
      <c r="A1825" s="385"/>
      <c r="B1825" s="385"/>
      <c r="C1825" s="385"/>
      <c r="D1825" s="385"/>
      <c r="E1825" s="385"/>
      <c r="F1825" s="385"/>
      <c r="G1825" s="385"/>
      <c r="H1825" s="385"/>
      <c r="I1825" s="385"/>
      <c r="J1825" s="385"/>
      <c r="K1825" s="385"/>
      <c r="L1825" s="385"/>
      <c r="M1825" s="385"/>
      <c r="N1825" s="385"/>
      <c r="O1825" s="385"/>
      <c r="P1825" s="385"/>
      <c r="Q1825" s="385"/>
      <c r="R1825" s="385"/>
      <c r="S1825" s="385"/>
      <c r="T1825" s="385"/>
      <c r="U1825" s="385"/>
      <c r="V1825" s="385"/>
      <c r="W1825" s="385"/>
      <c r="X1825" s="385"/>
      <c r="Y1825" s="1904"/>
      <c r="Z1825" s="385"/>
      <c r="AA1825" s="385"/>
      <c r="AB1825" s="385"/>
      <c r="AC1825" s="385"/>
      <c r="AD1825" s="385"/>
      <c r="AE1825" s="385"/>
    </row>
    <row r="1826" spans="1:31">
      <c r="A1826" s="655">
        <v>10</v>
      </c>
      <c r="B1826" s="655"/>
      <c r="C1826" s="655"/>
      <c r="D1826" s="655"/>
      <c r="E1826" s="655"/>
      <c r="F1826" s="655"/>
      <c r="G1826" s="655"/>
      <c r="H1826" s="655"/>
      <c r="I1826" s="652" t="s">
        <v>1030</v>
      </c>
      <c r="J1826" s="655"/>
      <c r="K1826" s="655"/>
      <c r="L1826" s="655"/>
      <c r="M1826" s="655"/>
      <c r="N1826" s="655"/>
      <c r="O1826" s="655"/>
      <c r="P1826" s="655"/>
      <c r="Q1826" s="655"/>
      <c r="R1826" s="655"/>
      <c r="S1826" s="655"/>
      <c r="T1826" s="655"/>
      <c r="U1826" s="655"/>
      <c r="V1826" s="655"/>
      <c r="W1826" s="655"/>
      <c r="X1826" s="655"/>
      <c r="Y1826" s="730"/>
      <c r="Z1826" s="655"/>
      <c r="AA1826" s="655"/>
      <c r="AB1826" s="655"/>
      <c r="AC1826" s="655"/>
      <c r="AD1826" s="655"/>
      <c r="AE1826" s="655"/>
    </row>
    <row r="1827" spans="1:31">
      <c r="A1827" s="385"/>
      <c r="B1827" s="385"/>
      <c r="C1827" s="385"/>
      <c r="D1827" s="385"/>
      <c r="E1827" s="385"/>
      <c r="F1827" s="385"/>
      <c r="G1827" s="385"/>
      <c r="H1827" s="385"/>
      <c r="I1827" s="385"/>
      <c r="J1827" s="385"/>
      <c r="K1827" s="385"/>
      <c r="L1827" s="385"/>
      <c r="M1827" s="385"/>
      <c r="N1827" s="385"/>
      <c r="O1827" s="385"/>
      <c r="P1827" s="385"/>
      <c r="Q1827" s="385"/>
      <c r="R1827" s="385"/>
      <c r="S1827" s="385"/>
      <c r="T1827" s="385"/>
      <c r="U1827" s="385"/>
      <c r="V1827" s="385"/>
      <c r="W1827" s="385"/>
      <c r="X1827" s="385"/>
      <c r="Y1827" s="1904"/>
      <c r="Z1827" s="385"/>
      <c r="AA1827" s="385"/>
      <c r="AB1827" s="385"/>
      <c r="AC1827" s="385"/>
      <c r="AD1827" s="385"/>
      <c r="AE1827" s="385"/>
    </row>
    <row r="1828" spans="1:31" ht="25.5">
      <c r="A1828" s="655">
        <v>11</v>
      </c>
      <c r="B1828" s="655"/>
      <c r="C1828" s="655"/>
      <c r="D1828" s="655"/>
      <c r="E1828" s="655"/>
      <c r="F1828" s="655"/>
      <c r="G1828" s="655"/>
      <c r="H1828" s="655"/>
      <c r="I1828" s="652" t="s">
        <v>1031</v>
      </c>
      <c r="J1828" s="655"/>
      <c r="K1828" s="655"/>
      <c r="L1828" s="655"/>
      <c r="M1828" s="655"/>
      <c r="N1828" s="655"/>
      <c r="O1828" s="655"/>
      <c r="P1828" s="655"/>
      <c r="Q1828" s="655"/>
      <c r="R1828" s="655"/>
      <c r="S1828" s="655"/>
      <c r="T1828" s="655"/>
      <c r="U1828" s="655"/>
      <c r="V1828" s="655"/>
      <c r="W1828" s="655"/>
      <c r="X1828" s="655"/>
      <c r="Y1828" s="730"/>
      <c r="Z1828" s="655"/>
      <c r="AA1828" s="655"/>
      <c r="AB1828" s="655"/>
      <c r="AC1828" s="655"/>
      <c r="AD1828" s="655"/>
      <c r="AE1828" s="655"/>
    </row>
    <row r="1829" spans="1:31">
      <c r="A1829" s="385"/>
      <c r="B1829" s="385"/>
      <c r="C1829" s="385"/>
      <c r="D1829" s="385"/>
      <c r="E1829" s="385"/>
      <c r="F1829" s="385"/>
      <c r="G1829" s="385"/>
      <c r="H1829" s="385"/>
      <c r="I1829" s="385"/>
      <c r="J1829" s="385"/>
      <c r="K1829" s="385"/>
      <c r="L1829" s="385"/>
      <c r="M1829" s="385"/>
      <c r="N1829" s="385"/>
      <c r="O1829" s="385"/>
      <c r="P1829" s="385"/>
      <c r="Q1829" s="385"/>
      <c r="R1829" s="385"/>
      <c r="S1829" s="385"/>
      <c r="T1829" s="385"/>
      <c r="U1829" s="385"/>
      <c r="V1829" s="385"/>
      <c r="W1829" s="385"/>
      <c r="X1829" s="385"/>
      <c r="Y1829" s="1904"/>
      <c r="Z1829" s="385"/>
      <c r="AA1829" s="385"/>
      <c r="AB1829" s="385"/>
      <c r="AC1829" s="385"/>
      <c r="AD1829" s="385"/>
      <c r="AE1829" s="385"/>
    </row>
    <row r="1830" spans="1:31" ht="25.5">
      <c r="A1830" s="655">
        <v>12</v>
      </c>
      <c r="B1830" s="655"/>
      <c r="C1830" s="655"/>
      <c r="D1830" s="655"/>
      <c r="E1830" s="655"/>
      <c r="F1830" s="655"/>
      <c r="G1830" s="655"/>
      <c r="H1830" s="655"/>
      <c r="I1830" s="652" t="s">
        <v>1032</v>
      </c>
      <c r="J1830" s="655"/>
      <c r="K1830" s="655"/>
      <c r="L1830" s="655"/>
      <c r="M1830" s="655"/>
      <c r="N1830" s="655"/>
      <c r="O1830" s="655"/>
      <c r="P1830" s="655"/>
      <c r="Q1830" s="655"/>
      <c r="R1830" s="655"/>
      <c r="S1830" s="655"/>
      <c r="T1830" s="655"/>
      <c r="U1830" s="655"/>
      <c r="V1830" s="655"/>
      <c r="W1830" s="655"/>
      <c r="X1830" s="655"/>
      <c r="Y1830" s="730"/>
      <c r="Z1830" s="655"/>
      <c r="AA1830" s="655"/>
      <c r="AB1830" s="655"/>
      <c r="AC1830" s="655"/>
      <c r="AD1830" s="655"/>
      <c r="AE1830" s="655"/>
    </row>
    <row r="1831" spans="1:31">
      <c r="A1831" s="385"/>
      <c r="B1831" s="385"/>
      <c r="C1831" s="385"/>
      <c r="D1831" s="385"/>
      <c r="E1831" s="385"/>
      <c r="F1831" s="385"/>
      <c r="G1831" s="385"/>
      <c r="H1831" s="385"/>
      <c r="I1831" s="385"/>
      <c r="J1831" s="385"/>
      <c r="K1831" s="385"/>
      <c r="L1831" s="385"/>
      <c r="M1831" s="385"/>
      <c r="N1831" s="385"/>
      <c r="O1831" s="385"/>
      <c r="P1831" s="385"/>
      <c r="Q1831" s="385"/>
      <c r="R1831" s="385"/>
      <c r="S1831" s="385"/>
      <c r="T1831" s="385"/>
      <c r="U1831" s="385"/>
      <c r="V1831" s="385"/>
      <c r="W1831" s="385"/>
      <c r="X1831" s="385"/>
      <c r="Y1831" s="1904"/>
      <c r="Z1831" s="385"/>
      <c r="AA1831" s="385"/>
      <c r="AB1831" s="385"/>
      <c r="AC1831" s="385"/>
      <c r="AD1831" s="385"/>
      <c r="AE1831" s="385"/>
    </row>
    <row r="1832" spans="1:31" ht="25.5">
      <c r="A1832" s="655">
        <v>13</v>
      </c>
      <c r="B1832" s="655"/>
      <c r="C1832" s="655"/>
      <c r="D1832" s="655"/>
      <c r="E1832" s="655"/>
      <c r="F1832" s="655"/>
      <c r="G1832" s="655"/>
      <c r="H1832" s="655"/>
      <c r="I1832" s="652" t="s">
        <v>1034</v>
      </c>
      <c r="J1832" s="655"/>
      <c r="K1832" s="655"/>
      <c r="L1832" s="655"/>
      <c r="M1832" s="655"/>
      <c r="N1832" s="655"/>
      <c r="O1832" s="655"/>
      <c r="P1832" s="655"/>
      <c r="Q1832" s="655"/>
      <c r="R1832" s="655"/>
      <c r="S1832" s="655"/>
      <c r="T1832" s="655"/>
      <c r="U1832" s="655"/>
      <c r="V1832" s="655"/>
      <c r="W1832" s="655"/>
      <c r="X1832" s="655"/>
      <c r="Y1832" s="730"/>
      <c r="Z1832" s="655"/>
      <c r="AA1832" s="655"/>
      <c r="AB1832" s="655"/>
      <c r="AC1832" s="655"/>
      <c r="AD1832" s="655"/>
      <c r="AE1832" s="655"/>
    </row>
    <row r="1833" spans="1:31">
      <c r="A1833" s="385"/>
      <c r="B1833" s="385"/>
      <c r="C1833" s="385"/>
      <c r="D1833" s="385"/>
      <c r="E1833" s="385"/>
      <c r="F1833" s="385"/>
      <c r="G1833" s="385"/>
      <c r="H1833" s="385"/>
      <c r="I1833" s="385"/>
      <c r="J1833" s="385"/>
      <c r="K1833" s="385"/>
      <c r="L1833" s="385"/>
      <c r="M1833" s="385"/>
      <c r="N1833" s="385"/>
      <c r="O1833" s="385"/>
      <c r="P1833" s="385"/>
      <c r="Q1833" s="385"/>
      <c r="R1833" s="385"/>
      <c r="S1833" s="385"/>
      <c r="T1833" s="385"/>
      <c r="U1833" s="385"/>
      <c r="V1833" s="385"/>
      <c r="W1833" s="385"/>
      <c r="X1833" s="385"/>
      <c r="Y1833" s="1904"/>
      <c r="Z1833" s="385"/>
      <c r="AA1833" s="385"/>
      <c r="AB1833" s="385"/>
      <c r="AC1833" s="385"/>
      <c r="AD1833" s="385"/>
      <c r="AE1833" s="385"/>
    </row>
    <row r="1834" spans="1:31">
      <c r="A1834" s="655">
        <v>14</v>
      </c>
      <c r="B1834" s="655"/>
      <c r="C1834" s="655"/>
      <c r="D1834" s="655"/>
      <c r="E1834" s="655"/>
      <c r="F1834" s="655"/>
      <c r="G1834" s="655"/>
      <c r="H1834" s="655"/>
      <c r="I1834" s="652" t="s">
        <v>1035</v>
      </c>
      <c r="J1834" s="655"/>
      <c r="K1834" s="655"/>
      <c r="L1834" s="655"/>
      <c r="M1834" s="655"/>
      <c r="N1834" s="655"/>
      <c r="O1834" s="655"/>
      <c r="P1834" s="655"/>
      <c r="Q1834" s="655"/>
      <c r="R1834" s="655"/>
      <c r="S1834" s="655"/>
      <c r="T1834" s="655"/>
      <c r="U1834" s="655"/>
      <c r="V1834" s="655"/>
      <c r="W1834" s="655"/>
      <c r="X1834" s="655"/>
      <c r="Y1834" s="730"/>
      <c r="Z1834" s="655"/>
      <c r="AA1834" s="655"/>
      <c r="AB1834" s="655"/>
      <c r="AC1834" s="655"/>
      <c r="AD1834" s="655"/>
      <c r="AE1834" s="655"/>
    </row>
    <row r="1835" spans="1:31">
      <c r="A1835" s="385"/>
      <c r="B1835" s="385"/>
      <c r="C1835" s="385"/>
      <c r="D1835" s="385"/>
      <c r="E1835" s="385"/>
      <c r="F1835" s="385"/>
      <c r="G1835" s="385"/>
      <c r="H1835" s="385"/>
      <c r="I1835" s="385"/>
      <c r="J1835" s="385"/>
      <c r="K1835" s="385"/>
      <c r="L1835" s="385"/>
      <c r="M1835" s="385"/>
      <c r="N1835" s="385"/>
      <c r="O1835" s="385"/>
      <c r="P1835" s="385"/>
      <c r="Q1835" s="385"/>
      <c r="R1835" s="385"/>
      <c r="S1835" s="385"/>
      <c r="T1835" s="385"/>
      <c r="U1835" s="385"/>
      <c r="V1835" s="385"/>
      <c r="W1835" s="385"/>
      <c r="X1835" s="385"/>
      <c r="Y1835" s="1904"/>
      <c r="Z1835" s="385"/>
      <c r="AA1835" s="385"/>
      <c r="AB1835" s="385"/>
      <c r="AC1835" s="385"/>
      <c r="AD1835" s="385"/>
      <c r="AE1835" s="385"/>
    </row>
    <row r="1836" spans="1:31">
      <c r="A1836" s="655">
        <v>15</v>
      </c>
      <c r="B1836" s="655"/>
      <c r="C1836" s="655"/>
      <c r="D1836" s="655"/>
      <c r="E1836" s="655"/>
      <c r="F1836" s="655"/>
      <c r="G1836" s="655"/>
      <c r="H1836" s="655"/>
      <c r="I1836" s="652" t="s">
        <v>1036</v>
      </c>
      <c r="J1836" s="655"/>
      <c r="K1836" s="655"/>
      <c r="L1836" s="655"/>
      <c r="M1836" s="655"/>
      <c r="N1836" s="655"/>
      <c r="O1836" s="655"/>
      <c r="P1836" s="655"/>
      <c r="Q1836" s="655"/>
      <c r="R1836" s="655"/>
      <c r="S1836" s="655"/>
      <c r="T1836" s="655"/>
      <c r="U1836" s="655"/>
      <c r="V1836" s="655"/>
      <c r="W1836" s="655"/>
      <c r="X1836" s="655"/>
      <c r="Y1836" s="730"/>
      <c r="Z1836" s="655"/>
      <c r="AA1836" s="655"/>
      <c r="AB1836" s="655"/>
      <c r="AC1836" s="655"/>
      <c r="AD1836" s="655"/>
      <c r="AE1836" s="655"/>
    </row>
    <row r="1837" spans="1:31">
      <c r="A1837" s="385"/>
      <c r="B1837" s="385"/>
      <c r="C1837" s="385"/>
      <c r="D1837" s="385"/>
      <c r="E1837" s="385"/>
      <c r="F1837" s="385"/>
      <c r="G1837" s="385"/>
      <c r="H1837" s="385"/>
      <c r="I1837" s="385"/>
      <c r="J1837" s="385"/>
      <c r="K1837" s="385"/>
      <c r="L1837" s="385"/>
      <c r="M1837" s="385"/>
      <c r="N1837" s="385"/>
      <c r="O1837" s="385"/>
      <c r="P1837" s="385"/>
      <c r="Q1837" s="385"/>
      <c r="R1837" s="385"/>
      <c r="S1837" s="385"/>
      <c r="T1837" s="385"/>
      <c r="U1837" s="385"/>
      <c r="V1837" s="385"/>
      <c r="W1837" s="385"/>
      <c r="X1837" s="385"/>
      <c r="Y1837" s="1904"/>
      <c r="Z1837" s="385"/>
      <c r="AA1837" s="385"/>
      <c r="AB1837" s="385"/>
      <c r="AC1837" s="385"/>
      <c r="AD1837" s="385"/>
      <c r="AE1837" s="385"/>
    </row>
  </sheetData>
  <mergeCells count="1535">
    <mergeCell ref="A1799:AB1799"/>
    <mergeCell ref="A1800:AB1800"/>
    <mergeCell ref="A1801:AB1801"/>
    <mergeCell ref="A1802:AB1802"/>
    <mergeCell ref="A1779:AB1779"/>
    <mergeCell ref="A1785:AB1785"/>
    <mergeCell ref="A1786:AB1786"/>
    <mergeCell ref="A1792:AB1792"/>
    <mergeCell ref="A1793:AB1793"/>
    <mergeCell ref="A1798:AB1798"/>
    <mergeCell ref="A1746:AB1746"/>
    <mergeCell ref="A1749:AB1749"/>
    <mergeCell ref="A1750:AB1750"/>
    <mergeCell ref="A1753:AB1753"/>
    <mergeCell ref="A1754:AB1754"/>
    <mergeCell ref="A1778:AB1778"/>
    <mergeCell ref="A1726:AB1726"/>
    <mergeCell ref="A1733:AB1733"/>
    <mergeCell ref="A1734:AB1734"/>
    <mergeCell ref="A1740:AB1740"/>
    <mergeCell ref="A1741:AB1741"/>
    <mergeCell ref="A1745:AB1745"/>
    <mergeCell ref="A1710:AB1710"/>
    <mergeCell ref="A1716:AB1716"/>
    <mergeCell ref="A1717:AB1717"/>
    <mergeCell ref="A1721:AB1721"/>
    <mergeCell ref="A1722:AB1722"/>
    <mergeCell ref="A1725:AB1725"/>
    <mergeCell ref="A1683:AB1683"/>
    <mergeCell ref="A1686:AB1686"/>
    <mergeCell ref="A1687:AB1687"/>
    <mergeCell ref="A1704:AB1704"/>
    <mergeCell ref="A1705:AB1705"/>
    <mergeCell ref="A1709:AB1709"/>
    <mergeCell ref="A1672:AB1672"/>
    <mergeCell ref="A1674:AB1674"/>
    <mergeCell ref="A1675:AB1675"/>
    <mergeCell ref="A1678:AB1678"/>
    <mergeCell ref="A1679:AB1679"/>
    <mergeCell ref="A1682:AB1682"/>
    <mergeCell ref="A1649:AB1649"/>
    <mergeCell ref="A1653:AB1653"/>
    <mergeCell ref="A1654:AB1654"/>
    <mergeCell ref="A1664:AB1664"/>
    <mergeCell ref="A1665:AB1665"/>
    <mergeCell ref="A1671:AB1671"/>
    <mergeCell ref="A1636:AB1636"/>
    <mergeCell ref="A1639:AB1639"/>
    <mergeCell ref="A1640:AB1640"/>
    <mergeCell ref="A1643:AB1643"/>
    <mergeCell ref="A1644:AB1644"/>
    <mergeCell ref="A1648:AB1648"/>
    <mergeCell ref="A1616:AB1616"/>
    <mergeCell ref="A1620:AB1620"/>
    <mergeCell ref="A1621:AB1621"/>
    <mergeCell ref="A1626:AB1626"/>
    <mergeCell ref="A1627:AB1627"/>
    <mergeCell ref="A1635:AB1635"/>
    <mergeCell ref="A1572:AB1572"/>
    <mergeCell ref="A1594:AB1594"/>
    <mergeCell ref="A1595:AB1595"/>
    <mergeCell ref="A1610:AB1610"/>
    <mergeCell ref="A1611:AB1611"/>
    <mergeCell ref="A1615:AB1615"/>
    <mergeCell ref="I1561:J1561"/>
    <mergeCell ref="I1567:J1567"/>
    <mergeCell ref="A1569:AB1569"/>
    <mergeCell ref="A1570:AB1570"/>
    <mergeCell ref="A1571:O1571"/>
    <mergeCell ref="Q1571:AA1571"/>
    <mergeCell ref="A1518:AB1518"/>
    <mergeCell ref="A1519:AB1519"/>
    <mergeCell ref="I1528:J1528"/>
    <mergeCell ref="I1540:J1540"/>
    <mergeCell ref="I1545:J1545"/>
    <mergeCell ref="I1548:J1548"/>
    <mergeCell ref="A1455:AE1455"/>
    <mergeCell ref="A1457:AE1457"/>
    <mergeCell ref="B1459:B1469"/>
    <mergeCell ref="B1493:B1494"/>
    <mergeCell ref="A1517:O1517"/>
    <mergeCell ref="Q1517:AA1517"/>
    <mergeCell ref="B1445:B1446"/>
    <mergeCell ref="A1450:B1450"/>
    <mergeCell ref="A1451:P1451"/>
    <mergeCell ref="A1452:AE1452"/>
    <mergeCell ref="A1453:AE1453"/>
    <mergeCell ref="A1454:AE1454"/>
    <mergeCell ref="A1350:AE1350"/>
    <mergeCell ref="B1375:B1376"/>
    <mergeCell ref="I1389:I1390"/>
    <mergeCell ref="J1389:J1390"/>
    <mergeCell ref="B1396:B1397"/>
    <mergeCell ref="B1437:B1438"/>
    <mergeCell ref="A1341:AB1341"/>
    <mergeCell ref="A1342:O1342"/>
    <mergeCell ref="Q1342:AA1342"/>
    <mergeCell ref="A1343:AE1343"/>
    <mergeCell ref="A1344:AE1344"/>
    <mergeCell ref="A1345:AE1345"/>
    <mergeCell ref="A1235:AB1235"/>
    <mergeCell ref="A1236:AB1236"/>
    <mergeCell ref="A1237:AE1237"/>
    <mergeCell ref="AE1288:AE1338"/>
    <mergeCell ref="AG1339:BG1339"/>
    <mergeCell ref="A1340:AB1340"/>
    <mergeCell ref="AG1340:AT1340"/>
    <mergeCell ref="AV1340:BF1340"/>
    <mergeCell ref="B1194:B1195"/>
    <mergeCell ref="I1194:I1196"/>
    <mergeCell ref="B1199:B1200"/>
    <mergeCell ref="I1199:I1200"/>
    <mergeCell ref="B1206:B1207"/>
    <mergeCell ref="B1215:B1217"/>
    <mergeCell ref="B1160:P1160"/>
    <mergeCell ref="B1161:P1161"/>
    <mergeCell ref="B1162:P1162"/>
    <mergeCell ref="B1163:P1163"/>
    <mergeCell ref="A1164:AE1164"/>
    <mergeCell ref="B1165:B1166"/>
    <mergeCell ref="I1165:I1166"/>
    <mergeCell ref="X1124:X1126"/>
    <mergeCell ref="Z1124:Z1126"/>
    <mergeCell ref="AB1124:AB1126"/>
    <mergeCell ref="AD1124:AD1126"/>
    <mergeCell ref="B1158:P1158"/>
    <mergeCell ref="B1159:P1159"/>
    <mergeCell ref="X1118:X1120"/>
    <mergeCell ref="Z1118:Z1120"/>
    <mergeCell ref="AB1118:AB1120"/>
    <mergeCell ref="AD1118:AD1120"/>
    <mergeCell ref="L1124:L1126"/>
    <mergeCell ref="N1124:N1126"/>
    <mergeCell ref="P1124:P1126"/>
    <mergeCell ref="R1124:R1126"/>
    <mergeCell ref="T1124:T1126"/>
    <mergeCell ref="V1124:V1126"/>
    <mergeCell ref="X1114:X1115"/>
    <mergeCell ref="Z1114:Z1115"/>
    <mergeCell ref="AB1114:AB1115"/>
    <mergeCell ref="AD1114:AD1115"/>
    <mergeCell ref="L1118:L1120"/>
    <mergeCell ref="N1118:N1120"/>
    <mergeCell ref="P1118:P1120"/>
    <mergeCell ref="R1118:R1120"/>
    <mergeCell ref="T1118:T1120"/>
    <mergeCell ref="V1118:V1120"/>
    <mergeCell ref="L1114:L1115"/>
    <mergeCell ref="N1114:N1115"/>
    <mergeCell ref="P1114:P1115"/>
    <mergeCell ref="R1114:R1115"/>
    <mergeCell ref="T1114:T1115"/>
    <mergeCell ref="V1114:V1115"/>
    <mergeCell ref="N1103:P1103"/>
    <mergeCell ref="Q1103:AB1103"/>
    <mergeCell ref="L1104:O1104"/>
    <mergeCell ref="Q1104:AA1104"/>
    <mergeCell ref="A1105:AB1105"/>
    <mergeCell ref="A1106:AB1106"/>
    <mergeCell ref="BA1089:BA1100"/>
    <mergeCell ref="BC1089:BC1100"/>
    <mergeCell ref="BE1089:BE1100"/>
    <mergeCell ref="BG1089:BG1100"/>
    <mergeCell ref="BI1089:BI1100"/>
    <mergeCell ref="N1102:P1102"/>
    <mergeCell ref="Q1102:AB1102"/>
    <mergeCell ref="BC1083:BC1084"/>
    <mergeCell ref="BE1083:BE1084"/>
    <mergeCell ref="BG1083:BG1084"/>
    <mergeCell ref="BI1083:BI1084"/>
    <mergeCell ref="BJ1083:BJ1086"/>
    <mergeCell ref="AQ1089:AQ1100"/>
    <mergeCell ref="AS1089:AS1100"/>
    <mergeCell ref="AU1089:AU1100"/>
    <mergeCell ref="AW1089:AW1100"/>
    <mergeCell ref="AY1089:AY1100"/>
    <mergeCell ref="B1063:B1065"/>
    <mergeCell ref="AF1066:BJ1066"/>
    <mergeCell ref="AF1071:BJ1071"/>
    <mergeCell ref="AF1082:BJ1082"/>
    <mergeCell ref="AQ1083:AQ1084"/>
    <mergeCell ref="AS1083:AS1084"/>
    <mergeCell ref="AU1083:AU1084"/>
    <mergeCell ref="AW1083:AW1084"/>
    <mergeCell ref="AY1083:AY1084"/>
    <mergeCell ref="BA1083:BA1084"/>
    <mergeCell ref="I1049:J1049"/>
    <mergeCell ref="AF1051:AF1052"/>
    <mergeCell ref="AG1051:AG1052"/>
    <mergeCell ref="AF1053:AF1054"/>
    <mergeCell ref="AG1053:AG1054"/>
    <mergeCell ref="I1062:J1062"/>
    <mergeCell ref="A985:O985"/>
    <mergeCell ref="Q985:AA985"/>
    <mergeCell ref="A1043:AE1043"/>
    <mergeCell ref="A1044:AE1044"/>
    <mergeCell ref="A1045:AE1045"/>
    <mergeCell ref="A1046:AE1046"/>
    <mergeCell ref="A960:O960"/>
    <mergeCell ref="Q960:AA960"/>
    <mergeCell ref="A961:AB961"/>
    <mergeCell ref="A962:AB962"/>
    <mergeCell ref="A983:Z983"/>
    <mergeCell ref="A984:AB984"/>
    <mergeCell ref="A920:A939"/>
    <mergeCell ref="B920:B939"/>
    <mergeCell ref="A940:A947"/>
    <mergeCell ref="B940:B947"/>
    <mergeCell ref="A948:A959"/>
    <mergeCell ref="B948:B959"/>
    <mergeCell ref="AE865:AE866"/>
    <mergeCell ref="D867:AE867"/>
    <mergeCell ref="A916:P916"/>
    <mergeCell ref="A917:P917"/>
    <mergeCell ref="AA917:AE917"/>
    <mergeCell ref="A918:AE918"/>
    <mergeCell ref="T865:T866"/>
    <mergeCell ref="V865:V866"/>
    <mergeCell ref="X865:X866"/>
    <mergeCell ref="Z865:Z866"/>
    <mergeCell ref="AB865:AB866"/>
    <mergeCell ref="AD865:AD866"/>
    <mergeCell ref="H865:H866"/>
    <mergeCell ref="I865:I866"/>
    <mergeCell ref="L865:L866"/>
    <mergeCell ref="N865:N866"/>
    <mergeCell ref="P865:P866"/>
    <mergeCell ref="R865:R866"/>
    <mergeCell ref="AB858:AB863"/>
    <mergeCell ref="AD858:AD863"/>
    <mergeCell ref="AE858:AE863"/>
    <mergeCell ref="A865:A866"/>
    <mergeCell ref="B865:B866"/>
    <mergeCell ref="C865:C866"/>
    <mergeCell ref="D865:D866"/>
    <mergeCell ref="E865:E866"/>
    <mergeCell ref="F865:F866"/>
    <mergeCell ref="G865:G866"/>
    <mergeCell ref="P858:P863"/>
    <mergeCell ref="R858:R863"/>
    <mergeCell ref="T858:T863"/>
    <mergeCell ref="V858:V863"/>
    <mergeCell ref="X858:X863"/>
    <mergeCell ref="Z858:Z863"/>
    <mergeCell ref="F858:F863"/>
    <mergeCell ref="G858:G863"/>
    <mergeCell ref="H858:H863"/>
    <mergeCell ref="I858:I863"/>
    <mergeCell ref="L858:L863"/>
    <mergeCell ref="N858:N863"/>
    <mergeCell ref="X853:X856"/>
    <mergeCell ref="Z853:Z856"/>
    <mergeCell ref="AB853:AB856"/>
    <mergeCell ref="AD853:AD856"/>
    <mergeCell ref="AE853:AE856"/>
    <mergeCell ref="A858:A863"/>
    <mergeCell ref="B858:B863"/>
    <mergeCell ref="C858:C863"/>
    <mergeCell ref="D858:D863"/>
    <mergeCell ref="E858:E863"/>
    <mergeCell ref="L853:L856"/>
    <mergeCell ref="N853:N856"/>
    <mergeCell ref="P853:P856"/>
    <mergeCell ref="R853:R856"/>
    <mergeCell ref="T853:T856"/>
    <mergeCell ref="V853:V856"/>
    <mergeCell ref="AE848:AE851"/>
    <mergeCell ref="A853:A856"/>
    <mergeCell ref="B853:B856"/>
    <mergeCell ref="C853:C856"/>
    <mergeCell ref="D853:D856"/>
    <mergeCell ref="E853:E856"/>
    <mergeCell ref="F853:F856"/>
    <mergeCell ref="G853:G856"/>
    <mergeCell ref="H853:H856"/>
    <mergeCell ref="I853:I856"/>
    <mergeCell ref="T848:T851"/>
    <mergeCell ref="V848:V851"/>
    <mergeCell ref="X848:X851"/>
    <mergeCell ref="Z848:Z851"/>
    <mergeCell ref="AB848:AB851"/>
    <mergeCell ref="AD848:AD851"/>
    <mergeCell ref="H848:H851"/>
    <mergeCell ref="I848:I851"/>
    <mergeCell ref="L848:L851"/>
    <mergeCell ref="N848:N851"/>
    <mergeCell ref="P848:P851"/>
    <mergeCell ref="R848:R851"/>
    <mergeCell ref="AB846:AB847"/>
    <mergeCell ref="AD846:AD847"/>
    <mergeCell ref="AE846:AE847"/>
    <mergeCell ref="A848:A851"/>
    <mergeCell ref="B848:B851"/>
    <mergeCell ref="C848:C851"/>
    <mergeCell ref="D848:D851"/>
    <mergeCell ref="E848:E851"/>
    <mergeCell ref="F848:F851"/>
    <mergeCell ref="G848:G851"/>
    <mergeCell ref="P846:P847"/>
    <mergeCell ref="R846:R847"/>
    <mergeCell ref="T846:T847"/>
    <mergeCell ref="V846:V847"/>
    <mergeCell ref="X846:X847"/>
    <mergeCell ref="Z846:Z847"/>
    <mergeCell ref="F846:F847"/>
    <mergeCell ref="G846:G847"/>
    <mergeCell ref="H846:H847"/>
    <mergeCell ref="I846:I847"/>
    <mergeCell ref="L846:L847"/>
    <mergeCell ref="N846:N847"/>
    <mergeCell ref="X843:X845"/>
    <mergeCell ref="Z843:Z845"/>
    <mergeCell ref="AB843:AB845"/>
    <mergeCell ref="AD843:AD845"/>
    <mergeCell ref="AE843:AE845"/>
    <mergeCell ref="A846:A847"/>
    <mergeCell ref="B846:B847"/>
    <mergeCell ref="C846:C847"/>
    <mergeCell ref="D846:D847"/>
    <mergeCell ref="E846:E847"/>
    <mergeCell ref="L843:L845"/>
    <mergeCell ref="N843:N845"/>
    <mergeCell ref="P843:P845"/>
    <mergeCell ref="R843:R845"/>
    <mergeCell ref="T843:T845"/>
    <mergeCell ref="V843:V845"/>
    <mergeCell ref="A840:AE840"/>
    <mergeCell ref="A843:A845"/>
    <mergeCell ref="B843:B845"/>
    <mergeCell ref="C843:C845"/>
    <mergeCell ref="D843:D845"/>
    <mergeCell ref="E843:E845"/>
    <mergeCell ref="F843:F845"/>
    <mergeCell ref="G843:G845"/>
    <mergeCell ref="H843:H845"/>
    <mergeCell ref="I843:I845"/>
    <mergeCell ref="A838:A839"/>
    <mergeCell ref="B838:B839"/>
    <mergeCell ref="C838:C839"/>
    <mergeCell ref="D838:D839"/>
    <mergeCell ref="E838:E839"/>
    <mergeCell ref="F838:F839"/>
    <mergeCell ref="G838:G839"/>
    <mergeCell ref="H838:H839"/>
    <mergeCell ref="R831:R835"/>
    <mergeCell ref="T831:T835"/>
    <mergeCell ref="V831:V835"/>
    <mergeCell ref="X831:X835"/>
    <mergeCell ref="Z831:Z835"/>
    <mergeCell ref="AB831:AB835"/>
    <mergeCell ref="G831:G835"/>
    <mergeCell ref="H831:H835"/>
    <mergeCell ref="I831:I835"/>
    <mergeCell ref="L831:L835"/>
    <mergeCell ref="F813:F815"/>
    <mergeCell ref="G813:G815"/>
    <mergeCell ref="H813:H815"/>
    <mergeCell ref="I813:I815"/>
    <mergeCell ref="V838:V839"/>
    <mergeCell ref="X838:X839"/>
    <mergeCell ref="Z838:Z839"/>
    <mergeCell ref="AB838:AB839"/>
    <mergeCell ref="AD838:AD839"/>
    <mergeCell ref="AE838:AE839"/>
    <mergeCell ref="I838:I839"/>
    <mergeCell ref="L838:L839"/>
    <mergeCell ref="N838:N839"/>
    <mergeCell ref="P838:P839"/>
    <mergeCell ref="R838:R839"/>
    <mergeCell ref="T838:T839"/>
    <mergeCell ref="AD831:AD835"/>
    <mergeCell ref="AE831:AE835"/>
    <mergeCell ref="V809:V810"/>
    <mergeCell ref="W809:W810"/>
    <mergeCell ref="X809:X810"/>
    <mergeCell ref="M809:M810"/>
    <mergeCell ref="N809:N810"/>
    <mergeCell ref="O809:O810"/>
    <mergeCell ref="P809:P810"/>
    <mergeCell ref="Q809:Q810"/>
    <mergeCell ref="R809:R810"/>
    <mergeCell ref="N831:N835"/>
    <mergeCell ref="P831:P835"/>
    <mergeCell ref="X813:X815"/>
    <mergeCell ref="Z813:Z815"/>
    <mergeCell ref="AB813:AB815"/>
    <mergeCell ref="AD813:AD815"/>
    <mergeCell ref="A831:A835"/>
    <mergeCell ref="B831:B835"/>
    <mergeCell ref="C831:C835"/>
    <mergeCell ref="D831:D835"/>
    <mergeCell ref="E831:E835"/>
    <mergeCell ref="F831:F835"/>
    <mergeCell ref="L813:L815"/>
    <mergeCell ref="N813:N815"/>
    <mergeCell ref="P813:P815"/>
    <mergeCell ref="R813:R815"/>
    <mergeCell ref="T813:T815"/>
    <mergeCell ref="V813:V815"/>
    <mergeCell ref="A813:A815"/>
    <mergeCell ref="B813:B815"/>
    <mergeCell ref="C813:C815"/>
    <mergeCell ref="D813:D815"/>
    <mergeCell ref="E813:E815"/>
    <mergeCell ref="AD807:AD808"/>
    <mergeCell ref="AE807:AE808"/>
    <mergeCell ref="A809:A810"/>
    <mergeCell ref="B809:B810"/>
    <mergeCell ref="C809:C810"/>
    <mergeCell ref="D809:D810"/>
    <mergeCell ref="E809:E810"/>
    <mergeCell ref="U807:U808"/>
    <mergeCell ref="V807:V808"/>
    <mergeCell ref="W807:W808"/>
    <mergeCell ref="X807:X808"/>
    <mergeCell ref="Y807:Y808"/>
    <mergeCell ref="Z807:Z808"/>
    <mergeCell ref="O807:O808"/>
    <mergeCell ref="P807:P808"/>
    <mergeCell ref="Q807:Q808"/>
    <mergeCell ref="R807:R808"/>
    <mergeCell ref="S807:S808"/>
    <mergeCell ref="T807:T808"/>
    <mergeCell ref="H807:H808"/>
    <mergeCell ref="I807:I808"/>
    <mergeCell ref="K807:K808"/>
    <mergeCell ref="L807:L808"/>
    <mergeCell ref="Y809:Y810"/>
    <mergeCell ref="Z809:Z810"/>
    <mergeCell ref="AA809:AA810"/>
    <mergeCell ref="AB809:AB810"/>
    <mergeCell ref="AC809:AC810"/>
    <mergeCell ref="AD809:AD810"/>
    <mergeCell ref="S809:S810"/>
    <mergeCell ref="T809:T810"/>
    <mergeCell ref="U809:U810"/>
    <mergeCell ref="M807:M808"/>
    <mergeCell ref="N807:N808"/>
    <mergeCell ref="AE809:AE810"/>
    <mergeCell ref="AE804:AE805"/>
    <mergeCell ref="A807:A808"/>
    <mergeCell ref="B807:B808"/>
    <mergeCell ref="C807:C808"/>
    <mergeCell ref="D807:D808"/>
    <mergeCell ref="E807:E808"/>
    <mergeCell ref="F807:F808"/>
    <mergeCell ref="G807:G808"/>
    <mergeCell ref="U804:U805"/>
    <mergeCell ref="V804:V805"/>
    <mergeCell ref="W804:W805"/>
    <mergeCell ref="X804:X805"/>
    <mergeCell ref="Z804:Z805"/>
    <mergeCell ref="AB804:AB805"/>
    <mergeCell ref="L804:L805"/>
    <mergeCell ref="N804:N805"/>
    <mergeCell ref="P804:P805"/>
    <mergeCell ref="R804:R805"/>
    <mergeCell ref="S804:S805"/>
    <mergeCell ref="T804:T805"/>
    <mergeCell ref="F809:F810"/>
    <mergeCell ref="G809:G810"/>
    <mergeCell ref="H809:H810"/>
    <mergeCell ref="I809:I810"/>
    <mergeCell ref="K809:K810"/>
    <mergeCell ref="L809:L810"/>
    <mergeCell ref="AA807:AA808"/>
    <mergeCell ref="AB807:AB808"/>
    <mergeCell ref="AC807:AC808"/>
    <mergeCell ref="AD798:AD800"/>
    <mergeCell ref="A804:A805"/>
    <mergeCell ref="B804:B805"/>
    <mergeCell ref="C804:C805"/>
    <mergeCell ref="D804:D805"/>
    <mergeCell ref="E804:E805"/>
    <mergeCell ref="F804:F805"/>
    <mergeCell ref="G804:G805"/>
    <mergeCell ref="H804:H805"/>
    <mergeCell ref="I804:I805"/>
    <mergeCell ref="R798:R800"/>
    <mergeCell ref="T798:T800"/>
    <mergeCell ref="V798:V800"/>
    <mergeCell ref="X798:X800"/>
    <mergeCell ref="Z798:Z800"/>
    <mergeCell ref="AB798:AB800"/>
    <mergeCell ref="G798:G800"/>
    <mergeCell ref="H798:H800"/>
    <mergeCell ref="I798:I800"/>
    <mergeCell ref="L798:L800"/>
    <mergeCell ref="N798:N800"/>
    <mergeCell ref="P798:P800"/>
    <mergeCell ref="A798:A800"/>
    <mergeCell ref="B798:B800"/>
    <mergeCell ref="C798:C800"/>
    <mergeCell ref="D798:D800"/>
    <mergeCell ref="E798:E800"/>
    <mergeCell ref="F798:F800"/>
    <mergeCell ref="AC804:AC805"/>
    <mergeCell ref="AD804:AD805"/>
    <mergeCell ref="V794:V795"/>
    <mergeCell ref="X794:X795"/>
    <mergeCell ref="Z794:Z795"/>
    <mergeCell ref="AB794:AB795"/>
    <mergeCell ref="AD794:AD795"/>
    <mergeCell ref="AE794:AE795"/>
    <mergeCell ref="I794:I795"/>
    <mergeCell ref="L794:L795"/>
    <mergeCell ref="N794:N795"/>
    <mergeCell ref="P794:P795"/>
    <mergeCell ref="R794:R795"/>
    <mergeCell ref="T794:T795"/>
    <mergeCell ref="A784:AB784"/>
    <mergeCell ref="A785:AB785"/>
    <mergeCell ref="A794:A795"/>
    <mergeCell ref="B794:B795"/>
    <mergeCell ref="C794:C795"/>
    <mergeCell ref="D794:D795"/>
    <mergeCell ref="E794:E795"/>
    <mergeCell ref="F794:F795"/>
    <mergeCell ref="G794:G795"/>
    <mergeCell ref="H794:H795"/>
    <mergeCell ref="B761:B762"/>
    <mergeCell ref="I761:I762"/>
    <mergeCell ref="A781:AB781"/>
    <mergeCell ref="A782:AB782"/>
    <mergeCell ref="A783:O783"/>
    <mergeCell ref="Q783:AA783"/>
    <mergeCell ref="B743:B744"/>
    <mergeCell ref="I743:I744"/>
    <mergeCell ref="B748:B749"/>
    <mergeCell ref="I748:I749"/>
    <mergeCell ref="I751:I752"/>
    <mergeCell ref="B757:B758"/>
    <mergeCell ref="I757:I758"/>
    <mergeCell ref="A611:O611"/>
    <mergeCell ref="Q611:AA611"/>
    <mergeCell ref="H629:H633"/>
    <mergeCell ref="H646:H648"/>
    <mergeCell ref="H711:H712"/>
    <mergeCell ref="AA738:AE738"/>
    <mergeCell ref="B596:B598"/>
    <mergeCell ref="I596:I598"/>
    <mergeCell ref="J596:J597"/>
    <mergeCell ref="AE596:AE597"/>
    <mergeCell ref="A609:AB609"/>
    <mergeCell ref="A610:AB610"/>
    <mergeCell ref="AD561:AD562"/>
    <mergeCell ref="AE561:AE562"/>
    <mergeCell ref="A583:A584"/>
    <mergeCell ref="B583:B584"/>
    <mergeCell ref="I583:I584"/>
    <mergeCell ref="AE583:AE584"/>
    <mergeCell ref="X561:X562"/>
    <mergeCell ref="Y561:Y562"/>
    <mergeCell ref="Z561:Z562"/>
    <mergeCell ref="AA561:AA562"/>
    <mergeCell ref="AB561:AB562"/>
    <mergeCell ref="AC561:AC562"/>
    <mergeCell ref="R561:R562"/>
    <mergeCell ref="S561:S562"/>
    <mergeCell ref="T561:T562"/>
    <mergeCell ref="U561:U562"/>
    <mergeCell ref="V561:V562"/>
    <mergeCell ref="W561:W562"/>
    <mergeCell ref="AD559:AD560"/>
    <mergeCell ref="AE559:AE560"/>
    <mergeCell ref="I561:J561"/>
    <mergeCell ref="K561:K562"/>
    <mergeCell ref="L561:L562"/>
    <mergeCell ref="M561:M562"/>
    <mergeCell ref="N561:N562"/>
    <mergeCell ref="O561:O562"/>
    <mergeCell ref="P561:P562"/>
    <mergeCell ref="Q561:Q562"/>
    <mergeCell ref="X559:X560"/>
    <mergeCell ref="Y559:Y560"/>
    <mergeCell ref="Z559:Z560"/>
    <mergeCell ref="AA559:AA560"/>
    <mergeCell ref="AB559:AB560"/>
    <mergeCell ref="AC559:AC560"/>
    <mergeCell ref="R559:R560"/>
    <mergeCell ref="S559:S560"/>
    <mergeCell ref="T559:T560"/>
    <mergeCell ref="U559:U560"/>
    <mergeCell ref="V559:V560"/>
    <mergeCell ref="W559:W560"/>
    <mergeCell ref="AD557:AD558"/>
    <mergeCell ref="AE557:AE558"/>
    <mergeCell ref="I559:I560"/>
    <mergeCell ref="K559:K560"/>
    <mergeCell ref="L559:L560"/>
    <mergeCell ref="M559:M560"/>
    <mergeCell ref="N559:N560"/>
    <mergeCell ref="O559:O560"/>
    <mergeCell ref="P559:P560"/>
    <mergeCell ref="Q559:Q560"/>
    <mergeCell ref="R557:R558"/>
    <mergeCell ref="Y557:Y558"/>
    <mergeCell ref="Z557:Z558"/>
    <mergeCell ref="AA557:AA558"/>
    <mergeCell ref="AB557:AB558"/>
    <mergeCell ref="AC557:AC558"/>
    <mergeCell ref="AD555:AD556"/>
    <mergeCell ref="AE555:AE556"/>
    <mergeCell ref="I557:I558"/>
    <mergeCell ref="K557:K558"/>
    <mergeCell ref="L557:L558"/>
    <mergeCell ref="M557:M558"/>
    <mergeCell ref="N557:N558"/>
    <mergeCell ref="O557:O558"/>
    <mergeCell ref="P557:P558"/>
    <mergeCell ref="Q557:Q558"/>
    <mergeCell ref="R555:R556"/>
    <mergeCell ref="Y555:Y556"/>
    <mergeCell ref="Z555:Z556"/>
    <mergeCell ref="AA555:AA556"/>
    <mergeCell ref="AB555:AB556"/>
    <mergeCell ref="AC555:AC556"/>
    <mergeCell ref="AD553:AD554"/>
    <mergeCell ref="AE553:AE554"/>
    <mergeCell ref="I555:I556"/>
    <mergeCell ref="K555:K556"/>
    <mergeCell ref="L555:L556"/>
    <mergeCell ref="M555:M556"/>
    <mergeCell ref="N555:N556"/>
    <mergeCell ref="O555:O556"/>
    <mergeCell ref="P555:P556"/>
    <mergeCell ref="Q555:Q556"/>
    <mergeCell ref="R553:R554"/>
    <mergeCell ref="Y553:Y554"/>
    <mergeCell ref="Z553:Z554"/>
    <mergeCell ref="AA553:AA554"/>
    <mergeCell ref="AB553:AB554"/>
    <mergeCell ref="AC553:AC554"/>
    <mergeCell ref="AD551:AD552"/>
    <mergeCell ref="AE551:AE552"/>
    <mergeCell ref="I553:I554"/>
    <mergeCell ref="K553:K554"/>
    <mergeCell ref="L553:L554"/>
    <mergeCell ref="M553:M554"/>
    <mergeCell ref="N553:N554"/>
    <mergeCell ref="O553:O554"/>
    <mergeCell ref="P553:P554"/>
    <mergeCell ref="Q553:Q554"/>
    <mergeCell ref="R551:R552"/>
    <mergeCell ref="Y551:Y552"/>
    <mergeCell ref="Z551:Z552"/>
    <mergeCell ref="AA551:AA552"/>
    <mergeCell ref="AB551:AB552"/>
    <mergeCell ref="AC551:AC552"/>
    <mergeCell ref="I551:I552"/>
    <mergeCell ref="K551:K552"/>
    <mergeCell ref="L551:L552"/>
    <mergeCell ref="M551:M552"/>
    <mergeCell ref="N551:N552"/>
    <mergeCell ref="O551:O552"/>
    <mergeCell ref="P551:P552"/>
    <mergeCell ref="Q551:Q552"/>
    <mergeCell ref="X549:X550"/>
    <mergeCell ref="Y549:Y550"/>
    <mergeCell ref="Z549:Z550"/>
    <mergeCell ref="AA549:AA550"/>
    <mergeCell ref="AB549:AB550"/>
    <mergeCell ref="AC549:AC550"/>
    <mergeCell ref="R549:R550"/>
    <mergeCell ref="S549:S550"/>
    <mergeCell ref="T549:T550"/>
    <mergeCell ref="U549:U550"/>
    <mergeCell ref="V549:V550"/>
    <mergeCell ref="W549:W550"/>
    <mergeCell ref="AD547:AD548"/>
    <mergeCell ref="AE547:AE548"/>
    <mergeCell ref="I549:I550"/>
    <mergeCell ref="K549:K550"/>
    <mergeCell ref="L549:L550"/>
    <mergeCell ref="M549:M550"/>
    <mergeCell ref="N549:N550"/>
    <mergeCell ref="O549:O550"/>
    <mergeCell ref="P549:P550"/>
    <mergeCell ref="Q549:Q550"/>
    <mergeCell ref="X547:X548"/>
    <mergeCell ref="Y547:Y548"/>
    <mergeCell ref="Z547:Z548"/>
    <mergeCell ref="AA547:AA548"/>
    <mergeCell ref="AB547:AB548"/>
    <mergeCell ref="AC547:AC548"/>
    <mergeCell ref="R547:R548"/>
    <mergeCell ref="S547:S548"/>
    <mergeCell ref="T547:T548"/>
    <mergeCell ref="U547:U548"/>
    <mergeCell ref="V547:V548"/>
    <mergeCell ref="W547:W548"/>
    <mergeCell ref="AD549:AD550"/>
    <mergeCell ref="AE549:AE550"/>
    <mergeCell ref="I547:I548"/>
    <mergeCell ref="K547:K548"/>
    <mergeCell ref="L547:L548"/>
    <mergeCell ref="M547:M548"/>
    <mergeCell ref="N547:N548"/>
    <mergeCell ref="O547:O548"/>
    <mergeCell ref="P547:P548"/>
    <mergeCell ref="Q547:Q548"/>
    <mergeCell ref="AE543:AE544"/>
    <mergeCell ref="B545:B546"/>
    <mergeCell ref="I545:I546"/>
    <mergeCell ref="K545:K546"/>
    <mergeCell ref="L545:L546"/>
    <mergeCell ref="M545:M546"/>
    <mergeCell ref="N545:N546"/>
    <mergeCell ref="O545:O546"/>
    <mergeCell ref="P545:P546"/>
    <mergeCell ref="Q545:Q546"/>
    <mergeCell ref="Y543:Y544"/>
    <mergeCell ref="Z543:Z544"/>
    <mergeCell ref="AA543:AA544"/>
    <mergeCell ref="AB543:AB544"/>
    <mergeCell ref="AC543:AC544"/>
    <mergeCell ref="AD543:AD544"/>
    <mergeCell ref="S543:S544"/>
    <mergeCell ref="T543:T544"/>
    <mergeCell ref="U543:U544"/>
    <mergeCell ref="V543:V544"/>
    <mergeCell ref="W543:W544"/>
    <mergeCell ref="X543:X544"/>
    <mergeCell ref="AD545:AD546"/>
    <mergeCell ref="AE545:AE546"/>
    <mergeCell ref="I543:I544"/>
    <mergeCell ref="K543:K544"/>
    <mergeCell ref="L543:L544"/>
    <mergeCell ref="M543:M544"/>
    <mergeCell ref="N543:N544"/>
    <mergeCell ref="O543:O544"/>
    <mergeCell ref="P543:P544"/>
    <mergeCell ref="Q543:Q544"/>
    <mergeCell ref="R543:R544"/>
    <mergeCell ref="Y541:Y542"/>
    <mergeCell ref="Z541:Z542"/>
    <mergeCell ref="AA541:AA542"/>
    <mergeCell ref="AB541:AB542"/>
    <mergeCell ref="AC541:AC542"/>
    <mergeCell ref="AD541:AD542"/>
    <mergeCell ref="X545:X546"/>
    <mergeCell ref="Y545:Y546"/>
    <mergeCell ref="Z545:Z546"/>
    <mergeCell ref="AA545:AA546"/>
    <mergeCell ref="AB545:AB546"/>
    <mergeCell ref="AC545:AC546"/>
    <mergeCell ref="R545:R546"/>
    <mergeCell ref="S545:S546"/>
    <mergeCell ref="T545:T546"/>
    <mergeCell ref="U545:U546"/>
    <mergeCell ref="V545:V546"/>
    <mergeCell ref="W545:W546"/>
    <mergeCell ref="AD538:AD539"/>
    <mergeCell ref="AE538:AE539"/>
    <mergeCell ref="K541:K542"/>
    <mergeCell ref="L541:L542"/>
    <mergeCell ref="M541:M542"/>
    <mergeCell ref="N541:N542"/>
    <mergeCell ref="O541:O542"/>
    <mergeCell ref="P541:P542"/>
    <mergeCell ref="Q541:Q542"/>
    <mergeCell ref="R541:R542"/>
    <mergeCell ref="R538:R539"/>
    <mergeCell ref="Y538:Y539"/>
    <mergeCell ref="Z538:Z539"/>
    <mergeCell ref="AA538:AA539"/>
    <mergeCell ref="AB538:AB539"/>
    <mergeCell ref="AC538:AC539"/>
    <mergeCell ref="AD536:AD537"/>
    <mergeCell ref="AE536:AE537"/>
    <mergeCell ref="AE541:AE542"/>
    <mergeCell ref="I538:I539"/>
    <mergeCell ref="K538:K539"/>
    <mergeCell ref="L538:L539"/>
    <mergeCell ref="M538:M539"/>
    <mergeCell ref="N538:N539"/>
    <mergeCell ref="O538:O539"/>
    <mergeCell ref="P538:P539"/>
    <mergeCell ref="Q538:Q539"/>
    <mergeCell ref="R536:R537"/>
    <mergeCell ref="Y536:Y537"/>
    <mergeCell ref="Z536:Z537"/>
    <mergeCell ref="AA536:AA537"/>
    <mergeCell ref="AB536:AB537"/>
    <mergeCell ref="AC536:AC537"/>
    <mergeCell ref="AD534:AD535"/>
    <mergeCell ref="AE534:AE535"/>
    <mergeCell ref="I536:I537"/>
    <mergeCell ref="K536:K537"/>
    <mergeCell ref="L536:L537"/>
    <mergeCell ref="M536:M537"/>
    <mergeCell ref="N536:N537"/>
    <mergeCell ref="O536:O537"/>
    <mergeCell ref="P536:P537"/>
    <mergeCell ref="Q536:Q537"/>
    <mergeCell ref="X534:X535"/>
    <mergeCell ref="Y534:Y535"/>
    <mergeCell ref="Z534:Z535"/>
    <mergeCell ref="AA534:AA535"/>
    <mergeCell ref="AB534:AB535"/>
    <mergeCell ref="AC534:AC535"/>
    <mergeCell ref="R534:R535"/>
    <mergeCell ref="S534:S535"/>
    <mergeCell ref="T534:T535"/>
    <mergeCell ref="U534:U535"/>
    <mergeCell ref="V534:V535"/>
    <mergeCell ref="W534:W535"/>
    <mergeCell ref="AC530:AC531"/>
    <mergeCell ref="AE530:AE531"/>
    <mergeCell ref="I534:I535"/>
    <mergeCell ref="K534:K535"/>
    <mergeCell ref="L534:L535"/>
    <mergeCell ref="M534:M535"/>
    <mergeCell ref="N534:N535"/>
    <mergeCell ref="O534:O535"/>
    <mergeCell ref="P534:P535"/>
    <mergeCell ref="Q534:Q535"/>
    <mergeCell ref="Q530:Q531"/>
    <mergeCell ref="R530:R531"/>
    <mergeCell ref="Y530:Y531"/>
    <mergeCell ref="Z530:Z531"/>
    <mergeCell ref="AA530:AA531"/>
    <mergeCell ref="AB530:AB531"/>
    <mergeCell ref="X528:X529"/>
    <mergeCell ref="Z528:Z529"/>
    <mergeCell ref="AE528:AE529"/>
    <mergeCell ref="I530:I531"/>
    <mergeCell ref="K530:K531"/>
    <mergeCell ref="L530:L531"/>
    <mergeCell ref="M530:M531"/>
    <mergeCell ref="N530:N531"/>
    <mergeCell ref="O530:O531"/>
    <mergeCell ref="P530:P531"/>
    <mergeCell ref="AB524:AB525"/>
    <mergeCell ref="AC524:AC525"/>
    <mergeCell ref="AD524:AD525"/>
    <mergeCell ref="AE524:AE525"/>
    <mergeCell ref="Z526:Z527"/>
    <mergeCell ref="S528:S529"/>
    <mergeCell ref="T528:T529"/>
    <mergeCell ref="U528:U529"/>
    <mergeCell ref="V528:V529"/>
    <mergeCell ref="W528:W529"/>
    <mergeCell ref="V524:V525"/>
    <mergeCell ref="W524:W525"/>
    <mergeCell ref="X524:X525"/>
    <mergeCell ref="Y524:Y525"/>
    <mergeCell ref="Z524:Z525"/>
    <mergeCell ref="AA524:AA525"/>
    <mergeCell ref="P524:P525"/>
    <mergeCell ref="Q524:Q525"/>
    <mergeCell ref="R524:R525"/>
    <mergeCell ref="S524:S525"/>
    <mergeCell ref="T524:T525"/>
    <mergeCell ref="U524:U525"/>
    <mergeCell ref="I524:I525"/>
    <mergeCell ref="K524:K525"/>
    <mergeCell ref="L524:L525"/>
    <mergeCell ref="M524:M525"/>
    <mergeCell ref="N524:N525"/>
    <mergeCell ref="O524:O525"/>
    <mergeCell ref="AB520:AB521"/>
    <mergeCell ref="AC520:AC521"/>
    <mergeCell ref="AD520:AD521"/>
    <mergeCell ref="AE520:AE521"/>
    <mergeCell ref="X522:X523"/>
    <mergeCell ref="AB522:AB523"/>
    <mergeCell ref="AD522:AD523"/>
    <mergeCell ref="P520:P521"/>
    <mergeCell ref="Q520:Q521"/>
    <mergeCell ref="R520:R521"/>
    <mergeCell ref="Y520:Y521"/>
    <mergeCell ref="Z520:Z521"/>
    <mergeCell ref="AA520:AA521"/>
    <mergeCell ref="AB517:AB518"/>
    <mergeCell ref="AC517:AC518"/>
    <mergeCell ref="AD517:AD518"/>
    <mergeCell ref="AE517:AE518"/>
    <mergeCell ref="I520:I521"/>
    <mergeCell ref="K520:K521"/>
    <mergeCell ref="L520:L521"/>
    <mergeCell ref="M520:M521"/>
    <mergeCell ref="N520:N521"/>
    <mergeCell ref="O520:O521"/>
    <mergeCell ref="P517:P518"/>
    <mergeCell ref="Q517:Q518"/>
    <mergeCell ref="R517:R518"/>
    <mergeCell ref="Y517:Y518"/>
    <mergeCell ref="Z517:Z518"/>
    <mergeCell ref="AA517:AA518"/>
    <mergeCell ref="AB515:AB516"/>
    <mergeCell ref="AC515:AC516"/>
    <mergeCell ref="AD515:AD516"/>
    <mergeCell ref="AE515:AE516"/>
    <mergeCell ref="I517:I518"/>
    <mergeCell ref="K517:K518"/>
    <mergeCell ref="L517:L518"/>
    <mergeCell ref="M517:M518"/>
    <mergeCell ref="N517:N518"/>
    <mergeCell ref="O517:O518"/>
    <mergeCell ref="P515:P516"/>
    <mergeCell ref="Q515:Q516"/>
    <mergeCell ref="R515:R516"/>
    <mergeCell ref="Y515:Y516"/>
    <mergeCell ref="Z515:Z516"/>
    <mergeCell ref="AA515:AA516"/>
    <mergeCell ref="I515:I516"/>
    <mergeCell ref="K515:K516"/>
    <mergeCell ref="L515:L516"/>
    <mergeCell ref="M515:M516"/>
    <mergeCell ref="N515:N516"/>
    <mergeCell ref="O515:O516"/>
    <mergeCell ref="V513:V514"/>
    <mergeCell ref="W513:W514"/>
    <mergeCell ref="X513:X514"/>
    <mergeCell ref="Y513:Y514"/>
    <mergeCell ref="Z513:Z514"/>
    <mergeCell ref="AA513:AA514"/>
    <mergeCell ref="P513:P514"/>
    <mergeCell ref="Q513:Q514"/>
    <mergeCell ref="R513:R514"/>
    <mergeCell ref="S513:S514"/>
    <mergeCell ref="T513:T514"/>
    <mergeCell ref="U513:U514"/>
    <mergeCell ref="I513:I514"/>
    <mergeCell ref="K513:K514"/>
    <mergeCell ref="L513:L514"/>
    <mergeCell ref="M513:M514"/>
    <mergeCell ref="N513:N514"/>
    <mergeCell ref="O513:O514"/>
    <mergeCell ref="X511:X512"/>
    <mergeCell ref="AC511:AC512"/>
    <mergeCell ref="AD511:AD512"/>
    <mergeCell ref="AE511:AE512"/>
    <mergeCell ref="U508:U509"/>
    <mergeCell ref="V508:V509"/>
    <mergeCell ref="W508:W509"/>
    <mergeCell ref="X508:X509"/>
    <mergeCell ref="Y508:Y509"/>
    <mergeCell ref="Z508:Z509"/>
    <mergeCell ref="O508:O509"/>
    <mergeCell ref="P508:P509"/>
    <mergeCell ref="Q508:Q509"/>
    <mergeCell ref="R508:R509"/>
    <mergeCell ref="S508:S509"/>
    <mergeCell ref="T508:T509"/>
    <mergeCell ref="AB513:AB514"/>
    <mergeCell ref="AC513:AC514"/>
    <mergeCell ref="AD513:AD514"/>
    <mergeCell ref="AE513:AE514"/>
    <mergeCell ref="AA504:AA505"/>
    <mergeCell ref="AB504:AB505"/>
    <mergeCell ref="AC504:AC505"/>
    <mergeCell ref="AD504:AD505"/>
    <mergeCell ref="AE504:AE505"/>
    <mergeCell ref="I508:I510"/>
    <mergeCell ref="K508:K509"/>
    <mergeCell ref="L508:L509"/>
    <mergeCell ref="M508:M509"/>
    <mergeCell ref="N508:N509"/>
    <mergeCell ref="P504:P505"/>
    <mergeCell ref="Q504:Q505"/>
    <mergeCell ref="R504:R505"/>
    <mergeCell ref="S504:S505"/>
    <mergeCell ref="Y504:Y505"/>
    <mergeCell ref="Z504:Z505"/>
    <mergeCell ref="I504:I505"/>
    <mergeCell ref="K504:K505"/>
    <mergeCell ref="L504:L505"/>
    <mergeCell ref="M504:M505"/>
    <mergeCell ref="N504:N505"/>
    <mergeCell ref="O504:O505"/>
    <mergeCell ref="AA508:AA509"/>
    <mergeCell ref="AB508:AB509"/>
    <mergeCell ref="AC508:AC509"/>
    <mergeCell ref="AD508:AD509"/>
    <mergeCell ref="AE508:AE509"/>
    <mergeCell ref="AB502:AB503"/>
    <mergeCell ref="AC502:AC503"/>
    <mergeCell ref="AD502:AD503"/>
    <mergeCell ref="AE502:AE503"/>
    <mergeCell ref="O502:O503"/>
    <mergeCell ref="P502:P503"/>
    <mergeCell ref="Q502:Q503"/>
    <mergeCell ref="R502:R503"/>
    <mergeCell ref="S502:S503"/>
    <mergeCell ref="Y502:Y503"/>
    <mergeCell ref="AA500:AA501"/>
    <mergeCell ref="AB500:AB501"/>
    <mergeCell ref="AC500:AC501"/>
    <mergeCell ref="AD500:AD501"/>
    <mergeCell ref="AE500:AE501"/>
    <mergeCell ref="Y500:Y501"/>
    <mergeCell ref="Z500:Z501"/>
    <mergeCell ref="O500:O501"/>
    <mergeCell ref="R498:R499"/>
    <mergeCell ref="S498:S499"/>
    <mergeCell ref="T498:T499"/>
    <mergeCell ref="Y498:Y499"/>
    <mergeCell ref="Z498:Z499"/>
    <mergeCell ref="AA498:AA499"/>
    <mergeCell ref="R496:R497"/>
    <mergeCell ref="S496:S497"/>
    <mergeCell ref="T496:T497"/>
    <mergeCell ref="U496:U497"/>
    <mergeCell ref="I496:I497"/>
    <mergeCell ref="K496:K497"/>
    <mergeCell ref="L496:L497"/>
    <mergeCell ref="M496:M497"/>
    <mergeCell ref="N496:N497"/>
    <mergeCell ref="O496:O497"/>
    <mergeCell ref="Z502:Z503"/>
    <mergeCell ref="AA502:AA503"/>
    <mergeCell ref="I502:I503"/>
    <mergeCell ref="K502:K503"/>
    <mergeCell ref="L502:L503"/>
    <mergeCell ref="M502:M503"/>
    <mergeCell ref="N502:N503"/>
    <mergeCell ref="P500:P501"/>
    <mergeCell ref="Q500:Q501"/>
    <mergeCell ref="R500:R501"/>
    <mergeCell ref="S500:S501"/>
    <mergeCell ref="I500:I501"/>
    <mergeCell ref="K500:K501"/>
    <mergeCell ref="L500:L501"/>
    <mergeCell ref="M500:M501"/>
    <mergeCell ref="N500:N501"/>
    <mergeCell ref="AE492:AE493"/>
    <mergeCell ref="S494:S495"/>
    <mergeCell ref="T494:T495"/>
    <mergeCell ref="Z494:Z495"/>
    <mergeCell ref="AA494:AA495"/>
    <mergeCell ref="AB494:AB495"/>
    <mergeCell ref="AE494:AE495"/>
    <mergeCell ref="S492:S493"/>
    <mergeCell ref="T492:T493"/>
    <mergeCell ref="U492:U493"/>
    <mergeCell ref="Y492:Y493"/>
    <mergeCell ref="Z492:Z493"/>
    <mergeCell ref="AA492:AA493"/>
    <mergeCell ref="AB498:AB499"/>
    <mergeCell ref="AC498:AC499"/>
    <mergeCell ref="AD498:AD499"/>
    <mergeCell ref="AE498:AE499"/>
    <mergeCell ref="AE490:AE491"/>
    <mergeCell ref="AD496:AD497"/>
    <mergeCell ref="AE496:AE497"/>
    <mergeCell ref="I498:I499"/>
    <mergeCell ref="K498:K499"/>
    <mergeCell ref="L498:L499"/>
    <mergeCell ref="M498:M499"/>
    <mergeCell ref="N498:N499"/>
    <mergeCell ref="O498:O499"/>
    <mergeCell ref="P498:P499"/>
    <mergeCell ref="Q498:Q499"/>
    <mergeCell ref="V496:V497"/>
    <mergeCell ref="Y496:Y497"/>
    <mergeCell ref="Z496:Z497"/>
    <mergeCell ref="AA496:AA497"/>
    <mergeCell ref="AB496:AB497"/>
    <mergeCell ref="AC496:AC497"/>
    <mergeCell ref="P496:P497"/>
    <mergeCell ref="Q496:Q497"/>
    <mergeCell ref="I492:I493"/>
    <mergeCell ref="K492:K493"/>
    <mergeCell ref="L492:L493"/>
    <mergeCell ref="M492:M493"/>
    <mergeCell ref="N492:N493"/>
    <mergeCell ref="O492:O493"/>
    <mergeCell ref="P492:P493"/>
    <mergeCell ref="Q492:Q493"/>
    <mergeCell ref="R492:R493"/>
    <mergeCell ref="Y490:Y491"/>
    <mergeCell ref="Z490:Z491"/>
    <mergeCell ref="AA490:AA491"/>
    <mergeCell ref="AB490:AB491"/>
    <mergeCell ref="AC490:AC491"/>
    <mergeCell ref="AD490:AD491"/>
    <mergeCell ref="R490:R491"/>
    <mergeCell ref="S490:S491"/>
    <mergeCell ref="T490:T491"/>
    <mergeCell ref="U490:U491"/>
    <mergeCell ref="V490:V491"/>
    <mergeCell ref="W490:W491"/>
    <mergeCell ref="AB492:AB493"/>
    <mergeCell ref="AC492:AC493"/>
    <mergeCell ref="AD492:AD493"/>
    <mergeCell ref="I488:I489"/>
    <mergeCell ref="Z488:Z489"/>
    <mergeCell ref="I490:I491"/>
    <mergeCell ref="K490:K491"/>
    <mergeCell ref="L490:L491"/>
    <mergeCell ref="M490:M491"/>
    <mergeCell ref="N490:N491"/>
    <mergeCell ref="O490:O491"/>
    <mergeCell ref="P490:P491"/>
    <mergeCell ref="Q490:Q491"/>
    <mergeCell ref="Z486:Z487"/>
    <mergeCell ref="AA486:AA487"/>
    <mergeCell ref="AB486:AB487"/>
    <mergeCell ref="AC486:AC487"/>
    <mergeCell ref="AD486:AD487"/>
    <mergeCell ref="AE486:AE487"/>
    <mergeCell ref="AE484:AE485"/>
    <mergeCell ref="K486:K487"/>
    <mergeCell ref="L486:L487"/>
    <mergeCell ref="M486:M487"/>
    <mergeCell ref="N486:N487"/>
    <mergeCell ref="O486:O487"/>
    <mergeCell ref="P486:P487"/>
    <mergeCell ref="Q486:Q487"/>
    <mergeCell ref="R486:R487"/>
    <mergeCell ref="Y486:Y487"/>
    <mergeCell ref="Y484:Y485"/>
    <mergeCell ref="Z484:Z485"/>
    <mergeCell ref="AA484:AA485"/>
    <mergeCell ref="AB484:AB485"/>
    <mergeCell ref="AC484:AC485"/>
    <mergeCell ref="AD484:AD485"/>
    <mergeCell ref="S484:S485"/>
    <mergeCell ref="T484:T485"/>
    <mergeCell ref="U484:U485"/>
    <mergeCell ref="V484:V485"/>
    <mergeCell ref="W484:W485"/>
    <mergeCell ref="X484:X485"/>
    <mergeCell ref="AE482:AE483"/>
    <mergeCell ref="I484:I485"/>
    <mergeCell ref="K484:K485"/>
    <mergeCell ref="L484:L485"/>
    <mergeCell ref="M484:M485"/>
    <mergeCell ref="N484:N485"/>
    <mergeCell ref="O484:O485"/>
    <mergeCell ref="P484:P485"/>
    <mergeCell ref="Q484:Q485"/>
    <mergeCell ref="R484:R485"/>
    <mergeCell ref="AB480:AB481"/>
    <mergeCell ref="AC480:AC481"/>
    <mergeCell ref="AD480:AD481"/>
    <mergeCell ref="AE480:AE481"/>
    <mergeCell ref="Y482:Y483"/>
    <mergeCell ref="Z482:Z483"/>
    <mergeCell ref="AA482:AA483"/>
    <mergeCell ref="AB482:AB483"/>
    <mergeCell ref="AC482:AC483"/>
    <mergeCell ref="AD482:AD483"/>
    <mergeCell ref="V480:V481"/>
    <mergeCell ref="W480:W481"/>
    <mergeCell ref="X480:X481"/>
    <mergeCell ref="Y480:Y481"/>
    <mergeCell ref="Z480:Z481"/>
    <mergeCell ref="AA480:AA481"/>
    <mergeCell ref="P480:P481"/>
    <mergeCell ref="Q480:Q481"/>
    <mergeCell ref="R480:R481"/>
    <mergeCell ref="S480:S481"/>
    <mergeCell ref="T480:T481"/>
    <mergeCell ref="U480:U481"/>
    <mergeCell ref="AE478:AE479"/>
    <mergeCell ref="I480:I481"/>
    <mergeCell ref="K480:K481"/>
    <mergeCell ref="L480:L481"/>
    <mergeCell ref="M480:M481"/>
    <mergeCell ref="N480:N481"/>
    <mergeCell ref="O480:O481"/>
    <mergeCell ref="V478:V479"/>
    <mergeCell ref="W478:W479"/>
    <mergeCell ref="X478:X479"/>
    <mergeCell ref="Y478:Y479"/>
    <mergeCell ref="Z478:Z479"/>
    <mergeCell ref="AA478:AA479"/>
    <mergeCell ref="P478:P479"/>
    <mergeCell ref="Q478:Q479"/>
    <mergeCell ref="R478:R479"/>
    <mergeCell ref="S478:S479"/>
    <mergeCell ref="T478:T479"/>
    <mergeCell ref="U478:U479"/>
    <mergeCell ref="AC474:AC476"/>
    <mergeCell ref="AD474:AD476"/>
    <mergeCell ref="AE474:AE476"/>
    <mergeCell ref="J475:J476"/>
    <mergeCell ref="I478:I479"/>
    <mergeCell ref="K478:K479"/>
    <mergeCell ref="L478:L479"/>
    <mergeCell ref="M478:M479"/>
    <mergeCell ref="N478:N479"/>
    <mergeCell ref="O478:O479"/>
    <mergeCell ref="W474:W476"/>
    <mergeCell ref="X474:X476"/>
    <mergeCell ref="Y474:Y476"/>
    <mergeCell ref="Z474:Z476"/>
    <mergeCell ref="AA474:AA476"/>
    <mergeCell ref="AB474:AB476"/>
    <mergeCell ref="Q474:Q476"/>
    <mergeCell ref="R474:R476"/>
    <mergeCell ref="S474:S476"/>
    <mergeCell ref="T474:T476"/>
    <mergeCell ref="U474:U476"/>
    <mergeCell ref="V474:V476"/>
    <mergeCell ref="I474:I476"/>
    <mergeCell ref="K474:K476"/>
    <mergeCell ref="L474:L476"/>
    <mergeCell ref="M474:M476"/>
    <mergeCell ref="N474:N476"/>
    <mergeCell ref="O474:O476"/>
    <mergeCell ref="P474:P476"/>
    <mergeCell ref="AB478:AB479"/>
    <mergeCell ref="AC478:AC479"/>
    <mergeCell ref="AD478:AD479"/>
    <mergeCell ref="I472:I473"/>
    <mergeCell ref="K472:K473"/>
    <mergeCell ref="L472:L473"/>
    <mergeCell ref="M472:M473"/>
    <mergeCell ref="N472:N473"/>
    <mergeCell ref="O472:O473"/>
    <mergeCell ref="P472:P473"/>
    <mergeCell ref="W470:W471"/>
    <mergeCell ref="X470:X471"/>
    <mergeCell ref="Y470:Y471"/>
    <mergeCell ref="Z470:Z471"/>
    <mergeCell ref="AA470:AA471"/>
    <mergeCell ref="AB470:AB471"/>
    <mergeCell ref="Q470:Q471"/>
    <mergeCell ref="R470:R471"/>
    <mergeCell ref="S470:S471"/>
    <mergeCell ref="T470:T471"/>
    <mergeCell ref="U470:U471"/>
    <mergeCell ref="V470:V471"/>
    <mergeCell ref="AC472:AC473"/>
    <mergeCell ref="AD472:AD473"/>
    <mergeCell ref="AE472:AE473"/>
    <mergeCell ref="AB468:AB469"/>
    <mergeCell ref="AC468:AC469"/>
    <mergeCell ref="AD468:AD469"/>
    <mergeCell ref="I470:I471"/>
    <mergeCell ref="K470:K471"/>
    <mergeCell ref="L470:L471"/>
    <mergeCell ref="M470:M471"/>
    <mergeCell ref="N470:N471"/>
    <mergeCell ref="O470:O471"/>
    <mergeCell ref="P470:P471"/>
    <mergeCell ref="P468:P469"/>
    <mergeCell ref="Q468:Q469"/>
    <mergeCell ref="R468:R469"/>
    <mergeCell ref="Y468:Y469"/>
    <mergeCell ref="Z468:Z469"/>
    <mergeCell ref="AA468:AA469"/>
    <mergeCell ref="W472:W473"/>
    <mergeCell ref="X472:X473"/>
    <mergeCell ref="Y472:Y473"/>
    <mergeCell ref="Z472:Z473"/>
    <mergeCell ref="AA472:AA473"/>
    <mergeCell ref="AB472:AB473"/>
    <mergeCell ref="Q472:Q473"/>
    <mergeCell ref="R472:R473"/>
    <mergeCell ref="S472:S473"/>
    <mergeCell ref="T472:T473"/>
    <mergeCell ref="U472:U473"/>
    <mergeCell ref="V472:V473"/>
    <mergeCell ref="AE470:AE471"/>
    <mergeCell ref="L464:L465"/>
    <mergeCell ref="M464:M465"/>
    <mergeCell ref="N464:N465"/>
    <mergeCell ref="AA466:AA467"/>
    <mergeCell ref="AB466:AB467"/>
    <mergeCell ref="AC466:AC467"/>
    <mergeCell ref="AD466:AD467"/>
    <mergeCell ref="AC470:AC471"/>
    <mergeCell ref="AD470:AD471"/>
    <mergeCell ref="K468:K469"/>
    <mergeCell ref="L468:L469"/>
    <mergeCell ref="M468:M469"/>
    <mergeCell ref="N468:N469"/>
    <mergeCell ref="O468:O469"/>
    <mergeCell ref="U466:U467"/>
    <mergeCell ref="V466:V467"/>
    <mergeCell ref="W466:W467"/>
    <mergeCell ref="X466:X467"/>
    <mergeCell ref="Y466:Y467"/>
    <mergeCell ref="Z466:Z467"/>
    <mergeCell ref="O466:O467"/>
    <mergeCell ref="P466:P467"/>
    <mergeCell ref="Q466:Q467"/>
    <mergeCell ref="R466:R467"/>
    <mergeCell ref="S466:S467"/>
    <mergeCell ref="T466:T467"/>
    <mergeCell ref="AD460:AD461"/>
    <mergeCell ref="AE460:AE461"/>
    <mergeCell ref="AA462:AA463"/>
    <mergeCell ref="AB462:AB463"/>
    <mergeCell ref="AC462:AC463"/>
    <mergeCell ref="AD462:AD463"/>
    <mergeCell ref="AE462:AE463"/>
    <mergeCell ref="AA464:AA465"/>
    <mergeCell ref="AB464:AB465"/>
    <mergeCell ref="AC464:AC465"/>
    <mergeCell ref="AD464:AD465"/>
    <mergeCell ref="AE464:AE465"/>
    <mergeCell ref="I466:I467"/>
    <mergeCell ref="K466:K467"/>
    <mergeCell ref="L466:L467"/>
    <mergeCell ref="M466:M467"/>
    <mergeCell ref="N466:N467"/>
    <mergeCell ref="U464:U465"/>
    <mergeCell ref="V464:V465"/>
    <mergeCell ref="W464:W465"/>
    <mergeCell ref="X464:X465"/>
    <mergeCell ref="Y464:Y465"/>
    <mergeCell ref="Z464:Z465"/>
    <mergeCell ref="O464:O465"/>
    <mergeCell ref="P464:P465"/>
    <mergeCell ref="Q464:Q465"/>
    <mergeCell ref="R464:R465"/>
    <mergeCell ref="S464:S465"/>
    <mergeCell ref="T464:T465"/>
    <mergeCell ref="AE466:AE467"/>
    <mergeCell ref="I464:I465"/>
    <mergeCell ref="K464:K465"/>
    <mergeCell ref="M460:M461"/>
    <mergeCell ref="N460:N461"/>
    <mergeCell ref="U462:U463"/>
    <mergeCell ref="V462:V463"/>
    <mergeCell ref="W462:W463"/>
    <mergeCell ref="X462:X463"/>
    <mergeCell ref="Y462:Y463"/>
    <mergeCell ref="Z462:Z463"/>
    <mergeCell ref="O462:O463"/>
    <mergeCell ref="P462:P463"/>
    <mergeCell ref="Q462:Q463"/>
    <mergeCell ref="R462:R463"/>
    <mergeCell ref="S462:S463"/>
    <mergeCell ref="T462:T463"/>
    <mergeCell ref="AA460:AA461"/>
    <mergeCell ref="AB460:AB461"/>
    <mergeCell ref="AC460:AC461"/>
    <mergeCell ref="S458:S459"/>
    <mergeCell ref="T458:T459"/>
    <mergeCell ref="AA456:AA457"/>
    <mergeCell ref="AB456:AB457"/>
    <mergeCell ref="AC456:AC457"/>
    <mergeCell ref="AD456:AD457"/>
    <mergeCell ref="AE456:AE457"/>
    <mergeCell ref="AA458:AA459"/>
    <mergeCell ref="AB458:AB459"/>
    <mergeCell ref="AC458:AC459"/>
    <mergeCell ref="AD458:AD459"/>
    <mergeCell ref="AE458:AE459"/>
    <mergeCell ref="I462:I463"/>
    <mergeCell ref="K462:K463"/>
    <mergeCell ref="L462:L463"/>
    <mergeCell ref="M462:M463"/>
    <mergeCell ref="N462:N463"/>
    <mergeCell ref="U460:U461"/>
    <mergeCell ref="V460:V461"/>
    <mergeCell ref="W460:W461"/>
    <mergeCell ref="X460:X461"/>
    <mergeCell ref="Y460:Y461"/>
    <mergeCell ref="Z460:Z461"/>
    <mergeCell ref="O460:O461"/>
    <mergeCell ref="P460:P461"/>
    <mergeCell ref="Q460:Q461"/>
    <mergeCell ref="R460:R461"/>
    <mergeCell ref="S460:S461"/>
    <mergeCell ref="T460:T461"/>
    <mergeCell ref="I460:I461"/>
    <mergeCell ref="K460:K461"/>
    <mergeCell ref="L460:L461"/>
    <mergeCell ref="I458:I459"/>
    <mergeCell ref="K458:K459"/>
    <mergeCell ref="L458:L459"/>
    <mergeCell ref="M458:M459"/>
    <mergeCell ref="N458:N459"/>
    <mergeCell ref="U456:U457"/>
    <mergeCell ref="V456:V457"/>
    <mergeCell ref="W456:W457"/>
    <mergeCell ref="X456:X457"/>
    <mergeCell ref="Y456:Y457"/>
    <mergeCell ref="Z456:Z457"/>
    <mergeCell ref="O456:O457"/>
    <mergeCell ref="P456:P457"/>
    <mergeCell ref="Q456:Q457"/>
    <mergeCell ref="R456:R457"/>
    <mergeCell ref="S456:S457"/>
    <mergeCell ref="T456:T457"/>
    <mergeCell ref="I456:I457"/>
    <mergeCell ref="K456:K457"/>
    <mergeCell ref="L456:L457"/>
    <mergeCell ref="M456:M457"/>
    <mergeCell ref="N456:N457"/>
    <mergeCell ref="U458:U459"/>
    <mergeCell ref="V458:V459"/>
    <mergeCell ref="W458:W459"/>
    <mergeCell ref="X458:X459"/>
    <mergeCell ref="Y458:Y459"/>
    <mergeCell ref="Z458:Z459"/>
    <mergeCell ref="O458:O459"/>
    <mergeCell ref="P458:P459"/>
    <mergeCell ref="Q458:Q459"/>
    <mergeCell ref="R458:R459"/>
    <mergeCell ref="I454:I455"/>
    <mergeCell ref="K454:K455"/>
    <mergeCell ref="L454:L455"/>
    <mergeCell ref="M454:M455"/>
    <mergeCell ref="N454:N455"/>
    <mergeCell ref="U452:U453"/>
    <mergeCell ref="V452:V453"/>
    <mergeCell ref="W452:W453"/>
    <mergeCell ref="X452:X453"/>
    <mergeCell ref="Y452:Y453"/>
    <mergeCell ref="Z452:Z453"/>
    <mergeCell ref="O452:O453"/>
    <mergeCell ref="P452:P453"/>
    <mergeCell ref="Q452:Q453"/>
    <mergeCell ref="R452:R453"/>
    <mergeCell ref="S452:S453"/>
    <mergeCell ref="T452:T453"/>
    <mergeCell ref="AA454:AA455"/>
    <mergeCell ref="AB454:AB455"/>
    <mergeCell ref="AC454:AC455"/>
    <mergeCell ref="AD454:AD455"/>
    <mergeCell ref="AE454:AE455"/>
    <mergeCell ref="A440:B440"/>
    <mergeCell ref="A441:B441"/>
    <mergeCell ref="K452:K453"/>
    <mergeCell ref="L452:L453"/>
    <mergeCell ref="M452:M453"/>
    <mergeCell ref="N452:N453"/>
    <mergeCell ref="A434:AB434"/>
    <mergeCell ref="A436:Z436"/>
    <mergeCell ref="A437:B437"/>
    <mergeCell ref="A438:B438"/>
    <mergeCell ref="A439:B439"/>
    <mergeCell ref="I439:J439"/>
    <mergeCell ref="U454:U455"/>
    <mergeCell ref="V454:V455"/>
    <mergeCell ref="W454:W455"/>
    <mergeCell ref="X454:X455"/>
    <mergeCell ref="Y454:Y455"/>
    <mergeCell ref="Z454:Z455"/>
    <mergeCell ref="O454:O455"/>
    <mergeCell ref="P454:P455"/>
    <mergeCell ref="Q454:Q455"/>
    <mergeCell ref="R454:R455"/>
    <mergeCell ref="S454:S455"/>
    <mergeCell ref="T454:T455"/>
    <mergeCell ref="AC452:AC453"/>
    <mergeCell ref="AD452:AD453"/>
    <mergeCell ref="AE452:AE453"/>
    <mergeCell ref="A415:AB415"/>
    <mergeCell ref="A420:AB420"/>
    <mergeCell ref="A421:AB421"/>
    <mergeCell ref="A425:AB425"/>
    <mergeCell ref="A426:AB426"/>
    <mergeCell ref="A433:AB433"/>
    <mergeCell ref="AA452:AA453"/>
    <mergeCell ref="AB452:AB453"/>
    <mergeCell ref="A389:AB389"/>
    <mergeCell ref="A396:AB396"/>
    <mergeCell ref="A397:AB397"/>
    <mergeCell ref="A408:AB408"/>
    <mergeCell ref="A409:AB409"/>
    <mergeCell ref="A414:AB414"/>
    <mergeCell ref="A373:AB373"/>
    <mergeCell ref="A379:AB379"/>
    <mergeCell ref="A380:AB380"/>
    <mergeCell ref="A384:AB384"/>
    <mergeCell ref="A385:AB385"/>
    <mergeCell ref="A388:AB388"/>
    <mergeCell ref="A312:AB312"/>
    <mergeCell ref="A313:AB313"/>
    <mergeCell ref="A320:AB320"/>
    <mergeCell ref="A321:AB321"/>
    <mergeCell ref="A325:AB325"/>
    <mergeCell ref="A372:AB372"/>
    <mergeCell ref="A279:AB279"/>
    <mergeCell ref="A280:AB280"/>
    <mergeCell ref="A288:AB288"/>
    <mergeCell ref="A289:AB289"/>
    <mergeCell ref="A299:AB299"/>
    <mergeCell ref="A300:AB300"/>
    <mergeCell ref="A259:AB259"/>
    <mergeCell ref="A260:AB260"/>
    <mergeCell ref="A263:AB263"/>
    <mergeCell ref="A264:AB264"/>
    <mergeCell ref="A271:AB271"/>
    <mergeCell ref="A272:AB272"/>
    <mergeCell ref="I217:P217"/>
    <mergeCell ref="B218:P218"/>
    <mergeCell ref="A234:AB234"/>
    <mergeCell ref="A235:AB235"/>
    <mergeCell ref="A255:AB255"/>
    <mergeCell ref="A256:AB256"/>
    <mergeCell ref="A79:AE79"/>
    <mergeCell ref="A89:AE89"/>
    <mergeCell ref="I90:I91"/>
    <mergeCell ref="A107:AE107"/>
    <mergeCell ref="A116:AE116"/>
    <mergeCell ref="B143:B146"/>
    <mergeCell ref="Y12:Z12"/>
    <mergeCell ref="AA12:AB12"/>
    <mergeCell ref="AC12:AD12"/>
    <mergeCell ref="AE12:AE13"/>
    <mergeCell ref="I44:I46"/>
    <mergeCell ref="A73:AE73"/>
    <mergeCell ref="M12:N12"/>
    <mergeCell ref="O12:P12"/>
    <mergeCell ref="Q12:R12"/>
    <mergeCell ref="S12:T12"/>
    <mergeCell ref="U12:V12"/>
    <mergeCell ref="W12:X12"/>
    <mergeCell ref="A12:A13"/>
    <mergeCell ref="B12:B13"/>
    <mergeCell ref="C12:H13"/>
    <mergeCell ref="I12:I13"/>
    <mergeCell ref="J12:J13"/>
    <mergeCell ref="K12:L12"/>
    <mergeCell ref="O10:P11"/>
    <mergeCell ref="Q10:X10"/>
    <mergeCell ref="Y10:Z11"/>
    <mergeCell ref="AA10:AB11"/>
    <mergeCell ref="AC10:AD11"/>
    <mergeCell ref="AE10:AE11"/>
    <mergeCell ref="Q11:R11"/>
    <mergeCell ref="S11:T11"/>
    <mergeCell ref="U11:V11"/>
    <mergeCell ref="W11:X11"/>
    <mergeCell ref="A1:AE1"/>
    <mergeCell ref="A2:AE2"/>
    <mergeCell ref="A3:AE3"/>
    <mergeCell ref="A10:A11"/>
    <mergeCell ref="B10:B11"/>
    <mergeCell ref="C10:H11"/>
    <mergeCell ref="I10:I11"/>
    <mergeCell ref="J10:J11"/>
    <mergeCell ref="K10:L11"/>
    <mergeCell ref="M10:N11"/>
  </mergeCells>
  <pageMargins left="0.16" right="0.15" top="0.511811023622047" bottom="0.35433070866141703" header="0.31496062992126" footer="0.196850393700787"/>
  <pageSetup paperSize="258" scale="63" orientation="landscape" horizontalDpi="300" verticalDpi="300" r:id="rId1"/>
</worksheet>
</file>

<file path=xl/worksheets/sheet3.xml><?xml version="1.0" encoding="utf-8"?>
<worksheet xmlns="http://schemas.openxmlformats.org/spreadsheetml/2006/main" xmlns:r="http://schemas.openxmlformats.org/officeDocument/2006/relationships">
  <dimension ref="A1:AE58"/>
  <sheetViews>
    <sheetView zoomScale="70" zoomScaleNormal="70" workbookViewId="0">
      <selection activeCell="AC5" sqref="AC5"/>
    </sheetView>
  </sheetViews>
  <sheetFormatPr defaultRowHeight="15"/>
  <cols>
    <col min="1" max="1" width="5.5703125" customWidth="1"/>
    <col min="2" max="2" width="14.140625" customWidth="1"/>
    <col min="3" max="5" width="3.28515625" customWidth="1"/>
    <col min="6" max="7" width="3.85546875" customWidth="1"/>
    <col min="8" max="8" width="3.7109375" customWidth="1"/>
    <col min="9" max="9" width="17.85546875" customWidth="1"/>
    <col min="10" max="10" width="11.85546875" customWidth="1"/>
    <col min="11" max="11" width="7.5703125" customWidth="1"/>
    <col min="12" max="12" width="13.28515625" customWidth="1"/>
    <col min="13" max="13" width="7.140625" customWidth="1"/>
    <col min="14" max="14" width="10.85546875" customWidth="1"/>
    <col min="15" max="15" width="8" customWidth="1"/>
    <col min="16" max="16" width="12.85546875" customWidth="1"/>
    <col min="17" max="17" width="5.28515625" customWidth="1"/>
    <col min="18" max="18" width="8.42578125" customWidth="1"/>
    <col min="19" max="19" width="5.28515625" customWidth="1"/>
    <col min="20" max="20" width="9" customWidth="1"/>
    <col min="21" max="21" width="5.28515625" customWidth="1"/>
    <col min="22" max="22" width="9" customWidth="1"/>
    <col min="23" max="23" width="5.28515625" customWidth="1"/>
    <col min="24" max="24" width="9" customWidth="1"/>
    <col min="25" max="25" width="6.42578125" customWidth="1"/>
    <col min="26" max="26" width="8.7109375" customWidth="1"/>
    <col min="27" max="27" width="8.85546875" customWidth="1"/>
    <col min="28" max="28" width="10.28515625" customWidth="1"/>
    <col min="29" max="29" width="8.140625" customWidth="1"/>
    <col min="30" max="30" width="10.42578125" customWidth="1"/>
    <col min="31" max="31" width="14.85546875" customWidth="1"/>
  </cols>
  <sheetData>
    <row r="1" spans="1:31" ht="18.75">
      <c r="A1" s="4585" t="s">
        <v>0</v>
      </c>
      <c r="B1" s="4585"/>
      <c r="C1" s="4585"/>
      <c r="D1" s="4585"/>
      <c r="E1" s="4585"/>
      <c r="F1" s="4585"/>
      <c r="G1" s="4585"/>
      <c r="H1" s="4585"/>
      <c r="I1" s="4585"/>
      <c r="J1" s="4585"/>
      <c r="K1" s="4585"/>
      <c r="L1" s="4585"/>
      <c r="M1" s="4585"/>
      <c r="N1" s="4585"/>
      <c r="O1" s="4585"/>
      <c r="P1" s="4585"/>
      <c r="Q1" s="4585"/>
      <c r="R1" s="4585"/>
      <c r="S1" s="4585"/>
      <c r="T1" s="4585"/>
      <c r="U1" s="4585"/>
      <c r="V1" s="4585"/>
      <c r="W1" s="4585"/>
      <c r="X1" s="4585"/>
      <c r="Y1" s="4585"/>
      <c r="Z1" s="4585"/>
      <c r="AA1" s="4585"/>
      <c r="AB1" s="4585"/>
      <c r="AC1" s="4585"/>
      <c r="AD1" s="4585"/>
      <c r="AE1" s="4585"/>
    </row>
    <row r="2" spans="1:31" ht="18.75">
      <c r="A2" s="4585" t="s">
        <v>91</v>
      </c>
      <c r="B2" s="4585"/>
      <c r="C2" s="4585"/>
      <c r="D2" s="4585"/>
      <c r="E2" s="4585"/>
      <c r="F2" s="4585"/>
      <c r="G2" s="4585"/>
      <c r="H2" s="4585"/>
      <c r="I2" s="4585"/>
      <c r="J2" s="4585"/>
      <c r="K2" s="4585"/>
      <c r="L2" s="4585"/>
      <c r="M2" s="4585"/>
      <c r="N2" s="4585"/>
      <c r="O2" s="4585"/>
      <c r="P2" s="4585"/>
      <c r="Q2" s="4585"/>
      <c r="R2" s="4585"/>
      <c r="S2" s="4585"/>
      <c r="T2" s="4585"/>
      <c r="U2" s="4585"/>
      <c r="V2" s="4585"/>
      <c r="W2" s="4585"/>
      <c r="X2" s="4585"/>
      <c r="Y2" s="4585"/>
      <c r="Z2" s="4585"/>
      <c r="AA2" s="4585"/>
      <c r="AB2" s="4585"/>
      <c r="AC2" s="4585"/>
      <c r="AD2" s="4585"/>
      <c r="AE2" s="4585"/>
    </row>
    <row r="3" spans="1:31" ht="18.75">
      <c r="A3" s="4585" t="s">
        <v>92</v>
      </c>
      <c r="B3" s="4585"/>
      <c r="C3" s="4585"/>
      <c r="D3" s="4585"/>
      <c r="E3" s="4585"/>
      <c r="F3" s="4585"/>
      <c r="G3" s="4585"/>
      <c r="H3" s="4585"/>
      <c r="I3" s="4585"/>
      <c r="J3" s="4585"/>
      <c r="K3" s="4585"/>
      <c r="L3" s="4585"/>
      <c r="M3" s="4585"/>
      <c r="N3" s="4585"/>
      <c r="O3" s="4585"/>
      <c r="P3" s="4585"/>
      <c r="Q3" s="4585"/>
      <c r="R3" s="4585"/>
      <c r="S3" s="4585"/>
      <c r="T3" s="4585"/>
      <c r="U3" s="4585"/>
      <c r="V3" s="4585"/>
      <c r="W3" s="4585"/>
      <c r="X3" s="4585"/>
      <c r="Y3" s="4585"/>
      <c r="Z3" s="4585"/>
      <c r="AA3" s="4585"/>
      <c r="AB3" s="4585"/>
      <c r="AC3" s="4585"/>
      <c r="AD3" s="4585"/>
      <c r="AE3" s="4585"/>
    </row>
    <row r="5" spans="1:31">
      <c r="A5" s="2" t="s">
        <v>58</v>
      </c>
      <c r="B5" s="2"/>
      <c r="C5" s="2"/>
      <c r="D5" s="2"/>
      <c r="E5" s="2"/>
      <c r="F5" s="2"/>
      <c r="G5" s="2"/>
      <c r="H5" s="2"/>
      <c r="I5" s="2"/>
      <c r="J5" s="2"/>
      <c r="K5" s="2"/>
      <c r="L5" s="2"/>
      <c r="M5" s="2"/>
      <c r="N5" s="2"/>
      <c r="O5" s="2"/>
    </row>
    <row r="6" spans="1:31">
      <c r="A6" s="40">
        <v>1</v>
      </c>
      <c r="B6" s="40" t="s">
        <v>108</v>
      </c>
      <c r="C6" s="40"/>
      <c r="D6" s="40"/>
      <c r="E6" s="40"/>
      <c r="F6" s="40"/>
      <c r="G6" s="40"/>
      <c r="H6" s="40"/>
      <c r="I6" s="40"/>
      <c r="J6" s="40"/>
      <c r="K6" s="40"/>
      <c r="L6" s="40"/>
      <c r="M6" s="40"/>
      <c r="N6" s="40"/>
      <c r="O6" s="40"/>
    </row>
    <row r="7" spans="1:31">
      <c r="A7" s="40">
        <v>2</v>
      </c>
      <c r="B7" s="40" t="s">
        <v>109</v>
      </c>
      <c r="C7" s="40"/>
      <c r="D7" s="40"/>
      <c r="E7" s="40"/>
      <c r="F7" s="40"/>
      <c r="G7" s="40"/>
      <c r="H7" s="40"/>
      <c r="I7" s="40"/>
      <c r="J7" s="40"/>
      <c r="K7" s="40"/>
      <c r="L7" s="40"/>
      <c r="M7" s="40"/>
      <c r="N7" s="40"/>
      <c r="O7" s="40"/>
    </row>
    <row r="8" spans="1:31">
      <c r="A8" s="40">
        <v>3</v>
      </c>
      <c r="B8" s="40" t="s">
        <v>110</v>
      </c>
      <c r="C8" s="40"/>
      <c r="D8" s="40"/>
      <c r="E8" s="40"/>
      <c r="F8" s="40"/>
      <c r="G8" s="40"/>
      <c r="H8" s="40"/>
      <c r="I8" s="40"/>
      <c r="J8" s="40"/>
      <c r="K8" s="40"/>
      <c r="L8" s="40"/>
      <c r="M8" s="40"/>
      <c r="N8" s="40"/>
      <c r="O8" s="40"/>
    </row>
    <row r="10" spans="1:31">
      <c r="A10" s="4603" t="s">
        <v>1</v>
      </c>
      <c r="B10" s="4603" t="s">
        <v>2</v>
      </c>
      <c r="C10" s="4590" t="s">
        <v>60</v>
      </c>
      <c r="D10" s="4606"/>
      <c r="E10" s="4606"/>
      <c r="F10" s="4606"/>
      <c r="G10" s="4606"/>
      <c r="H10" s="4591"/>
      <c r="I10" s="4609" t="s">
        <v>59</v>
      </c>
      <c r="J10" s="41"/>
      <c r="K10" s="4581"/>
      <c r="L10" s="4582"/>
      <c r="M10" s="4581" t="s">
        <v>14</v>
      </c>
      <c r="N10" s="4582"/>
      <c r="O10" s="42"/>
      <c r="P10" s="43"/>
      <c r="Q10" s="4581" t="s">
        <v>28</v>
      </c>
      <c r="R10" s="4601"/>
      <c r="S10" s="4601"/>
      <c r="T10" s="4601"/>
      <c r="U10" s="4601"/>
      <c r="V10" s="4601"/>
      <c r="W10" s="4601"/>
      <c r="X10" s="4582"/>
      <c r="Y10" s="4581"/>
      <c r="Z10" s="4582"/>
      <c r="AA10" s="44"/>
      <c r="AB10" s="43"/>
      <c r="AC10" s="44"/>
      <c r="AD10" s="43"/>
      <c r="AE10" s="41"/>
    </row>
    <row r="11" spans="1:31">
      <c r="A11" s="4604"/>
      <c r="B11" s="4604"/>
      <c r="C11" s="4592"/>
      <c r="D11" s="4607"/>
      <c r="E11" s="4607"/>
      <c r="F11" s="4607"/>
      <c r="G11" s="4607"/>
      <c r="H11" s="4593"/>
      <c r="I11" s="4610"/>
      <c r="J11" s="45"/>
      <c r="K11" s="4588" t="s">
        <v>7</v>
      </c>
      <c r="L11" s="4589"/>
      <c r="M11" s="4588" t="s">
        <v>15</v>
      </c>
      <c r="N11" s="4589"/>
      <c r="O11" s="46"/>
      <c r="P11" s="47"/>
      <c r="Q11" s="4583" t="s">
        <v>29</v>
      </c>
      <c r="R11" s="4602"/>
      <c r="S11" s="4602"/>
      <c r="T11" s="4602"/>
      <c r="U11" s="4602"/>
      <c r="V11" s="4602"/>
      <c r="W11" s="4602"/>
      <c r="X11" s="4584"/>
      <c r="Y11" s="4588"/>
      <c r="Z11" s="4589"/>
      <c r="AA11" s="4588" t="s">
        <v>39</v>
      </c>
      <c r="AB11" s="4589"/>
      <c r="AC11" s="48"/>
      <c r="AD11" s="47"/>
      <c r="AE11" s="45"/>
    </row>
    <row r="12" spans="1:31">
      <c r="A12" s="4604"/>
      <c r="B12" s="4604"/>
      <c r="C12" s="4592"/>
      <c r="D12" s="4607"/>
      <c r="E12" s="4607"/>
      <c r="F12" s="4607"/>
      <c r="G12" s="4607"/>
      <c r="H12" s="4593"/>
      <c r="I12" s="4610"/>
      <c r="J12" s="45"/>
      <c r="K12" s="4588" t="s">
        <v>8</v>
      </c>
      <c r="L12" s="4589"/>
      <c r="M12" s="4588" t="s">
        <v>16</v>
      </c>
      <c r="N12" s="4589"/>
      <c r="O12" s="4588" t="s">
        <v>21</v>
      </c>
      <c r="P12" s="4589"/>
      <c r="Q12" s="4590" t="s">
        <v>30</v>
      </c>
      <c r="R12" s="4591"/>
      <c r="S12" s="4590" t="s">
        <v>31</v>
      </c>
      <c r="T12" s="4591"/>
      <c r="U12" s="4590" t="s">
        <v>31</v>
      </c>
      <c r="V12" s="4591"/>
      <c r="W12" s="4590" t="s">
        <v>32</v>
      </c>
      <c r="X12" s="4591"/>
      <c r="Y12" s="4588" t="s">
        <v>33</v>
      </c>
      <c r="Z12" s="4589"/>
      <c r="AA12" s="4588" t="s">
        <v>22</v>
      </c>
      <c r="AB12" s="4589"/>
      <c r="AC12" s="48"/>
      <c r="AD12" s="47"/>
      <c r="AE12" s="45"/>
    </row>
    <row r="13" spans="1:31">
      <c r="A13" s="4604"/>
      <c r="B13" s="4604"/>
      <c r="C13" s="4592"/>
      <c r="D13" s="4607"/>
      <c r="E13" s="4607"/>
      <c r="F13" s="4607"/>
      <c r="G13" s="4607"/>
      <c r="H13" s="4593"/>
      <c r="I13" s="4610"/>
      <c r="J13" s="49" t="s">
        <v>63</v>
      </c>
      <c r="K13" s="4588" t="s">
        <v>9</v>
      </c>
      <c r="L13" s="4589"/>
      <c r="M13" s="4588" t="s">
        <v>12</v>
      </c>
      <c r="N13" s="4589"/>
      <c r="O13" s="4588" t="s">
        <v>22</v>
      </c>
      <c r="P13" s="4589"/>
      <c r="Q13" s="4592"/>
      <c r="R13" s="4593"/>
      <c r="S13" s="4592"/>
      <c r="T13" s="4593"/>
      <c r="U13" s="4592"/>
      <c r="V13" s="4593"/>
      <c r="W13" s="4592"/>
      <c r="X13" s="4593"/>
      <c r="Y13" s="4588" t="s">
        <v>34</v>
      </c>
      <c r="Z13" s="4589"/>
      <c r="AA13" s="4588" t="s">
        <v>40</v>
      </c>
      <c r="AB13" s="4589"/>
      <c r="AC13" s="4588" t="s">
        <v>45</v>
      </c>
      <c r="AD13" s="4589"/>
      <c r="AE13" s="45"/>
    </row>
    <row r="14" spans="1:31">
      <c r="A14" s="4604"/>
      <c r="B14" s="4604"/>
      <c r="C14" s="4592"/>
      <c r="D14" s="4607"/>
      <c r="E14" s="4607"/>
      <c r="F14" s="4607"/>
      <c r="G14" s="4607"/>
      <c r="H14" s="4593"/>
      <c r="I14" s="4610"/>
      <c r="J14" s="49" t="s">
        <v>64</v>
      </c>
      <c r="K14" s="4588" t="s">
        <v>75</v>
      </c>
      <c r="L14" s="4589"/>
      <c r="M14" s="4588" t="s">
        <v>8</v>
      </c>
      <c r="N14" s="4589"/>
      <c r="O14" s="4588" t="s">
        <v>23</v>
      </c>
      <c r="P14" s="4589"/>
      <c r="Q14" s="4592"/>
      <c r="R14" s="4593"/>
      <c r="S14" s="4592"/>
      <c r="T14" s="4593"/>
      <c r="U14" s="4592"/>
      <c r="V14" s="4593"/>
      <c r="W14" s="4592"/>
      <c r="X14" s="4593"/>
      <c r="Y14" s="4588" t="s">
        <v>35</v>
      </c>
      <c r="Z14" s="4589"/>
      <c r="AA14" s="45" t="s">
        <v>41</v>
      </c>
      <c r="AB14" s="45"/>
      <c r="AC14" s="4588" t="s">
        <v>46</v>
      </c>
      <c r="AD14" s="4589"/>
      <c r="AE14" s="49" t="s">
        <v>48</v>
      </c>
    </row>
    <row r="15" spans="1:31">
      <c r="A15" s="4604"/>
      <c r="B15" s="4604"/>
      <c r="C15" s="4592"/>
      <c r="D15" s="4607"/>
      <c r="E15" s="4607"/>
      <c r="F15" s="4607"/>
      <c r="G15" s="4607"/>
      <c r="H15" s="4593"/>
      <c r="I15" s="4610"/>
      <c r="J15" s="49" t="s">
        <v>3</v>
      </c>
      <c r="K15" s="4588" t="s">
        <v>10</v>
      </c>
      <c r="L15" s="4589"/>
      <c r="M15" s="4588" t="s">
        <v>17</v>
      </c>
      <c r="N15" s="4589"/>
      <c r="O15" s="4588" t="s">
        <v>8</v>
      </c>
      <c r="P15" s="4589"/>
      <c r="Q15" s="4592"/>
      <c r="R15" s="4593"/>
      <c r="S15" s="4592"/>
      <c r="T15" s="4593"/>
      <c r="U15" s="4592"/>
      <c r="V15" s="4593"/>
      <c r="W15" s="4592"/>
      <c r="X15" s="4593"/>
      <c r="Y15" s="4588" t="s">
        <v>36</v>
      </c>
      <c r="Z15" s="4589"/>
      <c r="AA15" s="4588">
        <v>2018</v>
      </c>
      <c r="AB15" s="4589"/>
      <c r="AC15" s="4588" t="s">
        <v>44</v>
      </c>
      <c r="AD15" s="4589"/>
      <c r="AE15" s="49" t="s">
        <v>17</v>
      </c>
    </row>
    <row r="16" spans="1:31">
      <c r="A16" s="4604"/>
      <c r="B16" s="4604"/>
      <c r="C16" s="4592"/>
      <c r="D16" s="4607"/>
      <c r="E16" s="4607"/>
      <c r="F16" s="4607"/>
      <c r="G16" s="4607"/>
      <c r="H16" s="4593"/>
      <c r="I16" s="4610"/>
      <c r="J16" s="49" t="s">
        <v>4</v>
      </c>
      <c r="K16" s="4588" t="s">
        <v>11</v>
      </c>
      <c r="L16" s="4589"/>
      <c r="M16" s="4588" t="s">
        <v>18</v>
      </c>
      <c r="N16" s="4589"/>
      <c r="O16" s="4588" t="s">
        <v>24</v>
      </c>
      <c r="P16" s="4589"/>
      <c r="Q16" s="4592"/>
      <c r="R16" s="4593"/>
      <c r="S16" s="4592"/>
      <c r="T16" s="4593"/>
      <c r="U16" s="4592"/>
      <c r="V16" s="4593"/>
      <c r="W16" s="4592"/>
      <c r="X16" s="4593"/>
      <c r="Y16" s="4588" t="s">
        <v>37</v>
      </c>
      <c r="Z16" s="4589"/>
      <c r="AA16" s="4588" t="s">
        <v>42</v>
      </c>
      <c r="AB16" s="4589"/>
      <c r="AC16" s="4588" t="s">
        <v>71</v>
      </c>
      <c r="AD16" s="4589"/>
      <c r="AE16" s="49" t="s">
        <v>49</v>
      </c>
    </row>
    <row r="17" spans="1:31">
      <c r="A17" s="4604"/>
      <c r="B17" s="4604"/>
      <c r="C17" s="4592"/>
      <c r="D17" s="4607"/>
      <c r="E17" s="4607"/>
      <c r="F17" s="4607"/>
      <c r="G17" s="4607"/>
      <c r="H17" s="4593"/>
      <c r="I17" s="4610"/>
      <c r="J17" s="49" t="s">
        <v>5</v>
      </c>
      <c r="K17" s="4588" t="s">
        <v>12</v>
      </c>
      <c r="L17" s="4589"/>
      <c r="M17" s="4588" t="s">
        <v>19</v>
      </c>
      <c r="N17" s="4589"/>
      <c r="O17" s="4588" t="s">
        <v>25</v>
      </c>
      <c r="P17" s="4589"/>
      <c r="Q17" s="4592"/>
      <c r="R17" s="4593"/>
      <c r="S17" s="4592"/>
      <c r="T17" s="4593"/>
      <c r="U17" s="4592"/>
      <c r="V17" s="4593"/>
      <c r="W17" s="4592"/>
      <c r="X17" s="4593"/>
      <c r="Y17" s="4588" t="s">
        <v>38</v>
      </c>
      <c r="Z17" s="4589"/>
      <c r="AA17" s="4588" t="s">
        <v>43</v>
      </c>
      <c r="AB17" s="4589"/>
      <c r="AC17" s="4588" t="s">
        <v>47</v>
      </c>
      <c r="AD17" s="4589"/>
      <c r="AE17" s="49" t="s">
        <v>50</v>
      </c>
    </row>
    <row r="18" spans="1:31">
      <c r="A18" s="4604"/>
      <c r="B18" s="4604"/>
      <c r="C18" s="4592"/>
      <c r="D18" s="4607"/>
      <c r="E18" s="4607"/>
      <c r="F18" s="4607"/>
      <c r="G18" s="4607"/>
      <c r="H18" s="4593"/>
      <c r="I18" s="4610"/>
      <c r="J18" s="49" t="s">
        <v>6</v>
      </c>
      <c r="K18" s="4588" t="s">
        <v>8</v>
      </c>
      <c r="L18" s="4589"/>
      <c r="M18" s="4588" t="s">
        <v>8</v>
      </c>
      <c r="N18" s="4589"/>
      <c r="O18" s="4588" t="s">
        <v>76</v>
      </c>
      <c r="P18" s="4589"/>
      <c r="Q18" s="4592"/>
      <c r="R18" s="4593"/>
      <c r="S18" s="4592"/>
      <c r="T18" s="4593"/>
      <c r="U18" s="4592"/>
      <c r="V18" s="4593"/>
      <c r="W18" s="4592"/>
      <c r="X18" s="4593"/>
      <c r="Y18" s="4592"/>
      <c r="Z18" s="4593"/>
      <c r="AA18" s="4588" t="s">
        <v>44</v>
      </c>
      <c r="AB18" s="4589"/>
      <c r="AC18" s="48"/>
      <c r="AD18" s="47"/>
      <c r="AE18" s="45"/>
    </row>
    <row r="19" spans="1:31">
      <c r="A19" s="4604"/>
      <c r="B19" s="4604"/>
      <c r="C19" s="4592"/>
      <c r="D19" s="4607"/>
      <c r="E19" s="4607"/>
      <c r="F19" s="4607"/>
      <c r="G19" s="4607"/>
      <c r="H19" s="4593"/>
      <c r="I19" s="4610"/>
      <c r="J19" s="45"/>
      <c r="K19" s="4588" t="s">
        <v>13</v>
      </c>
      <c r="L19" s="4589"/>
      <c r="M19" s="4588" t="s">
        <v>17</v>
      </c>
      <c r="N19" s="4589"/>
      <c r="O19" s="4588" t="s">
        <v>26</v>
      </c>
      <c r="P19" s="4589"/>
      <c r="Q19" s="4592"/>
      <c r="R19" s="4593"/>
      <c r="S19" s="4592"/>
      <c r="T19" s="4593"/>
      <c r="U19" s="4592"/>
      <c r="V19" s="4593"/>
      <c r="W19" s="4592"/>
      <c r="X19" s="4593"/>
      <c r="Y19" s="4592"/>
      <c r="Z19" s="4593"/>
      <c r="AA19" s="4588" t="s">
        <v>74</v>
      </c>
      <c r="AB19" s="4589"/>
      <c r="AC19" s="48"/>
      <c r="AD19" s="47"/>
      <c r="AE19" s="45"/>
    </row>
    <row r="20" spans="1:31">
      <c r="A20" s="4604"/>
      <c r="B20" s="4604"/>
      <c r="C20" s="4592"/>
      <c r="D20" s="4607"/>
      <c r="E20" s="4607"/>
      <c r="F20" s="4607"/>
      <c r="G20" s="4607"/>
      <c r="H20" s="4593"/>
      <c r="I20" s="4610"/>
      <c r="J20" s="45"/>
      <c r="K20" s="4588"/>
      <c r="L20" s="4589"/>
      <c r="M20" s="4588" t="s">
        <v>20</v>
      </c>
      <c r="N20" s="4589"/>
      <c r="O20" s="4588" t="s">
        <v>27</v>
      </c>
      <c r="P20" s="4589"/>
      <c r="Q20" s="4592"/>
      <c r="R20" s="4593"/>
      <c r="S20" s="4592"/>
      <c r="T20" s="4593"/>
      <c r="U20" s="4592"/>
      <c r="V20" s="4593"/>
      <c r="W20" s="4592"/>
      <c r="X20" s="4593"/>
      <c r="Y20" s="4592"/>
      <c r="Z20" s="4593"/>
      <c r="AA20" s="48"/>
      <c r="AB20" s="47"/>
      <c r="AC20" s="48"/>
      <c r="AD20" s="47"/>
      <c r="AE20" s="45"/>
    </row>
    <row r="21" spans="1:31">
      <c r="A21" s="4605"/>
      <c r="B21" s="4605"/>
      <c r="C21" s="4594"/>
      <c r="D21" s="4608"/>
      <c r="E21" s="4608"/>
      <c r="F21" s="4608"/>
      <c r="G21" s="4608"/>
      <c r="H21" s="4595"/>
      <c r="I21" s="4611"/>
      <c r="J21" s="50"/>
      <c r="K21" s="4583"/>
      <c r="L21" s="4584"/>
      <c r="M21" s="4583">
        <v>-2017</v>
      </c>
      <c r="N21" s="4584"/>
      <c r="O21" s="4583"/>
      <c r="P21" s="4584"/>
      <c r="Q21" s="4594"/>
      <c r="R21" s="4595"/>
      <c r="S21" s="4594"/>
      <c r="T21" s="4595"/>
      <c r="U21" s="4594"/>
      <c r="V21" s="4595"/>
      <c r="W21" s="4594"/>
      <c r="X21" s="4595"/>
      <c r="Y21" s="4594"/>
      <c r="Z21" s="4595"/>
      <c r="AA21" s="51"/>
      <c r="AB21" s="52"/>
      <c r="AC21" s="51"/>
      <c r="AD21" s="52"/>
      <c r="AE21" s="50"/>
    </row>
    <row r="22" spans="1:31" ht="18.75" customHeight="1">
      <c r="A22" s="4603">
        <v>1</v>
      </c>
      <c r="B22" s="4603">
        <v>2</v>
      </c>
      <c r="C22" s="4590">
        <v>3</v>
      </c>
      <c r="D22" s="4606"/>
      <c r="E22" s="4606"/>
      <c r="F22" s="4606"/>
      <c r="G22" s="4606"/>
      <c r="H22" s="4591"/>
      <c r="I22" s="4603">
        <v>4</v>
      </c>
      <c r="J22" s="4603">
        <v>5</v>
      </c>
      <c r="K22" s="4581">
        <v>6</v>
      </c>
      <c r="L22" s="4582"/>
      <c r="M22" s="4581">
        <v>7</v>
      </c>
      <c r="N22" s="4582"/>
      <c r="O22" s="4581">
        <v>8</v>
      </c>
      <c r="P22" s="4582"/>
      <c r="Q22" s="4581">
        <v>9</v>
      </c>
      <c r="R22" s="4582"/>
      <c r="S22" s="4581">
        <v>10</v>
      </c>
      <c r="T22" s="4582"/>
      <c r="U22" s="4581">
        <v>11</v>
      </c>
      <c r="V22" s="4582"/>
      <c r="W22" s="4581">
        <v>12</v>
      </c>
      <c r="X22" s="4582"/>
      <c r="Y22" s="4581">
        <v>13</v>
      </c>
      <c r="Z22" s="4582"/>
      <c r="AA22" s="4581" t="s">
        <v>61</v>
      </c>
      <c r="AB22" s="4582"/>
      <c r="AC22" s="4581" t="s">
        <v>62</v>
      </c>
      <c r="AD22" s="4582"/>
      <c r="AE22" s="4586">
        <v>16</v>
      </c>
    </row>
    <row r="23" spans="1:31">
      <c r="A23" s="4605"/>
      <c r="B23" s="4605"/>
      <c r="C23" s="4594"/>
      <c r="D23" s="4608"/>
      <c r="E23" s="4608"/>
      <c r="F23" s="4608"/>
      <c r="G23" s="4608"/>
      <c r="H23" s="4595"/>
      <c r="I23" s="4605"/>
      <c r="J23" s="4605"/>
      <c r="K23" s="53" t="s">
        <v>51</v>
      </c>
      <c r="L23" s="53" t="s">
        <v>72</v>
      </c>
      <c r="M23" s="53" t="s">
        <v>51</v>
      </c>
      <c r="N23" s="53" t="s">
        <v>72</v>
      </c>
      <c r="O23" s="53" t="s">
        <v>51</v>
      </c>
      <c r="P23" s="53" t="s">
        <v>72</v>
      </c>
      <c r="Q23" s="53" t="s">
        <v>51</v>
      </c>
      <c r="R23" s="53" t="s">
        <v>72</v>
      </c>
      <c r="S23" s="53" t="s">
        <v>51</v>
      </c>
      <c r="T23" s="53" t="s">
        <v>72</v>
      </c>
      <c r="U23" s="53" t="s">
        <v>51</v>
      </c>
      <c r="V23" s="53" t="s">
        <v>72</v>
      </c>
      <c r="W23" s="53" t="s">
        <v>51</v>
      </c>
      <c r="X23" s="53" t="s">
        <v>72</v>
      </c>
      <c r="Y23" s="53" t="s">
        <v>51</v>
      </c>
      <c r="Z23" s="53" t="s">
        <v>72</v>
      </c>
      <c r="AA23" s="53" t="s">
        <v>51</v>
      </c>
      <c r="AB23" s="53" t="s">
        <v>72</v>
      </c>
      <c r="AC23" s="53" t="s">
        <v>51</v>
      </c>
      <c r="AD23" s="53" t="s">
        <v>81</v>
      </c>
      <c r="AE23" s="4587"/>
    </row>
    <row r="24" spans="1:31" hidden="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row>
    <row r="25" spans="1:31" hidden="1">
      <c r="A25" s="1"/>
      <c r="B25" s="1" t="s">
        <v>77</v>
      </c>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row>
    <row r="26" spans="1:31" ht="19.5" hidden="1" customHeight="1">
      <c r="A26" s="1"/>
      <c r="B26" s="1" t="s">
        <v>78</v>
      </c>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row>
    <row r="27" spans="1:31" ht="19.5" hidden="1" customHeight="1">
      <c r="A27" s="1"/>
      <c r="B27" s="1" t="s">
        <v>79</v>
      </c>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row>
    <row r="28" spans="1:31" ht="22.5" hidden="1" customHeight="1">
      <c r="A28" s="1"/>
      <c r="B28" s="1" t="s">
        <v>80</v>
      </c>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row>
    <row r="29" spans="1:31" s="6" customFormat="1" ht="105">
      <c r="A29" s="23">
        <v>1</v>
      </c>
      <c r="B29" s="23"/>
      <c r="C29" s="34">
        <v>3</v>
      </c>
      <c r="D29" s="34" t="s">
        <v>107</v>
      </c>
      <c r="E29" s="34" t="s">
        <v>65</v>
      </c>
      <c r="F29" s="34" t="s">
        <v>66</v>
      </c>
      <c r="G29" s="34" t="s">
        <v>67</v>
      </c>
      <c r="H29" s="23"/>
      <c r="I29" s="25" t="s">
        <v>73</v>
      </c>
      <c r="J29" s="26" t="s">
        <v>70</v>
      </c>
      <c r="K29" s="24">
        <v>36</v>
      </c>
      <c r="L29" s="27">
        <f>SUM(L30:L33)</f>
        <v>2064474</v>
      </c>
      <c r="M29" s="24">
        <v>12</v>
      </c>
      <c r="N29" s="27">
        <f>SUM(N30:N33)</f>
        <v>487810</v>
      </c>
      <c r="O29" s="24">
        <v>6</v>
      </c>
      <c r="P29" s="27">
        <f>SUM(P30:P33)</f>
        <v>824756</v>
      </c>
      <c r="Q29" s="24">
        <v>0</v>
      </c>
      <c r="R29" s="28">
        <f>SUM(R30:R33)</f>
        <v>65729</v>
      </c>
      <c r="S29" s="24"/>
      <c r="T29" s="24"/>
      <c r="U29" s="24"/>
      <c r="V29" s="24"/>
      <c r="W29" s="24"/>
      <c r="X29" s="24"/>
      <c r="Y29" s="24">
        <f>Q29+S29+U29+W29</f>
        <v>0</v>
      </c>
      <c r="Z29" s="28">
        <f>SUM(Z30:Z33)</f>
        <v>65729</v>
      </c>
      <c r="AA29" s="24">
        <f>M29+Y29</f>
        <v>12</v>
      </c>
      <c r="AB29" s="27">
        <f>SUM(AB30:AB33)</f>
        <v>553539</v>
      </c>
      <c r="AC29" s="29">
        <f t="shared" ref="AC29:AD33" si="0">(AA29/K29)*100</f>
        <v>33.333333333333329</v>
      </c>
      <c r="AD29" s="29">
        <f t="shared" si="0"/>
        <v>26.812592456964822</v>
      </c>
      <c r="AE29" s="24" t="s">
        <v>82</v>
      </c>
    </row>
    <row r="30" spans="1:31" s="6" customFormat="1" ht="75">
      <c r="A30" s="8"/>
      <c r="B30" s="38" t="s">
        <v>78</v>
      </c>
      <c r="C30" s="35">
        <v>3</v>
      </c>
      <c r="D30" s="35" t="s">
        <v>107</v>
      </c>
      <c r="E30" s="36" t="s">
        <v>65</v>
      </c>
      <c r="F30" s="35" t="s">
        <v>66</v>
      </c>
      <c r="G30" s="35" t="s">
        <v>67</v>
      </c>
      <c r="H30" s="35" t="s">
        <v>68</v>
      </c>
      <c r="I30" s="10" t="s">
        <v>69</v>
      </c>
      <c r="J30" s="10" t="s">
        <v>84</v>
      </c>
      <c r="K30" s="8">
        <v>1</v>
      </c>
      <c r="L30" s="11">
        <f>6*104079</f>
        <v>624474</v>
      </c>
      <c r="M30" s="9">
        <v>0</v>
      </c>
      <c r="N30" s="9">
        <v>0</v>
      </c>
      <c r="O30" s="8">
        <v>1</v>
      </c>
      <c r="P30" s="12">
        <f>L30</f>
        <v>624474</v>
      </c>
      <c r="Q30" s="9">
        <v>0</v>
      </c>
      <c r="R30" s="11">
        <v>5000</v>
      </c>
      <c r="S30" s="8"/>
      <c r="T30" s="8"/>
      <c r="U30" s="8"/>
      <c r="V30" s="8"/>
      <c r="W30" s="8"/>
      <c r="X30" s="8"/>
      <c r="Y30" s="8">
        <f>Q30+S30+U30+W30</f>
        <v>0</v>
      </c>
      <c r="Z30" s="11">
        <f>R30+T30+V30+X30</f>
        <v>5000</v>
      </c>
      <c r="AA30" s="8">
        <f>M30+Y30</f>
        <v>0</v>
      </c>
      <c r="AB30" s="11">
        <f>N30+Z30</f>
        <v>5000</v>
      </c>
      <c r="AC30" s="13">
        <f t="shared" si="0"/>
        <v>0</v>
      </c>
      <c r="AD30" s="14">
        <f t="shared" si="0"/>
        <v>0.80067384710972755</v>
      </c>
      <c r="AE30" s="8" t="s">
        <v>82</v>
      </c>
    </row>
    <row r="31" spans="1:31" s="7" customFormat="1" ht="75">
      <c r="A31" s="15"/>
      <c r="B31" s="39" t="s">
        <v>78</v>
      </c>
      <c r="C31" s="35">
        <v>3</v>
      </c>
      <c r="D31" s="35" t="s">
        <v>107</v>
      </c>
      <c r="E31" s="36" t="s">
        <v>65</v>
      </c>
      <c r="F31" s="35" t="s">
        <v>66</v>
      </c>
      <c r="G31" s="35" t="s">
        <v>67</v>
      </c>
      <c r="H31" s="35">
        <v>42</v>
      </c>
      <c r="I31" s="15" t="s">
        <v>83</v>
      </c>
      <c r="J31" s="15" t="s">
        <v>86</v>
      </c>
      <c r="K31" s="15">
        <v>24</v>
      </c>
      <c r="L31" s="16">
        <f>6*75000</f>
        <v>450000</v>
      </c>
      <c r="M31" s="15">
        <v>8</v>
      </c>
      <c r="N31" s="16">
        <f>64810+98000</f>
        <v>162810</v>
      </c>
      <c r="O31" s="15">
        <v>4</v>
      </c>
      <c r="P31" s="16">
        <v>64810</v>
      </c>
      <c r="Q31" s="15">
        <v>1</v>
      </c>
      <c r="R31" s="16">
        <v>25875</v>
      </c>
      <c r="S31" s="15"/>
      <c r="T31" s="15"/>
      <c r="U31" s="15"/>
      <c r="V31" s="15"/>
      <c r="W31" s="15"/>
      <c r="X31" s="15"/>
      <c r="Y31" s="16">
        <f>Q31+S31+U31+W31</f>
        <v>1</v>
      </c>
      <c r="Z31" s="16">
        <f>R31+T31+V31+X31</f>
        <v>25875</v>
      </c>
      <c r="AA31" s="16">
        <f>M31+Y31</f>
        <v>9</v>
      </c>
      <c r="AB31" s="16">
        <f>N31+Z31</f>
        <v>188685</v>
      </c>
      <c r="AC31" s="17">
        <f t="shared" si="0"/>
        <v>37.5</v>
      </c>
      <c r="AD31" s="17">
        <f t="shared" si="0"/>
        <v>41.93</v>
      </c>
      <c r="AE31" s="18" t="s">
        <v>82</v>
      </c>
    </row>
    <row r="32" spans="1:31" s="6" customFormat="1" ht="120">
      <c r="A32" s="18"/>
      <c r="B32" s="15" t="s">
        <v>79</v>
      </c>
      <c r="C32" s="35">
        <v>3</v>
      </c>
      <c r="D32" s="35" t="s">
        <v>107</v>
      </c>
      <c r="E32" s="36" t="s">
        <v>65</v>
      </c>
      <c r="F32" s="35" t="s">
        <v>66</v>
      </c>
      <c r="G32" s="35" t="s">
        <v>67</v>
      </c>
      <c r="H32" s="35">
        <v>13</v>
      </c>
      <c r="I32" s="15" t="s">
        <v>85</v>
      </c>
      <c r="J32" s="15" t="s">
        <v>87</v>
      </c>
      <c r="K32" s="15">
        <v>24</v>
      </c>
      <c r="L32" s="16">
        <f>6*85000</f>
        <v>510000</v>
      </c>
      <c r="M32" s="15">
        <v>8</v>
      </c>
      <c r="N32" s="16">
        <f>165000</f>
        <v>165000</v>
      </c>
      <c r="O32" s="15">
        <v>4</v>
      </c>
      <c r="P32" s="16">
        <v>70780</v>
      </c>
      <c r="Q32" s="15">
        <v>1</v>
      </c>
      <c r="R32" s="16">
        <v>15954</v>
      </c>
      <c r="S32" s="15"/>
      <c r="T32" s="15"/>
      <c r="U32" s="15"/>
      <c r="V32" s="15"/>
      <c r="W32" s="15"/>
      <c r="X32" s="15"/>
      <c r="Y32" s="15">
        <f>Q32+S32+U32+W32</f>
        <v>1</v>
      </c>
      <c r="Z32" s="16">
        <f>R32+T32+V32+X32</f>
        <v>15954</v>
      </c>
      <c r="AA32" s="15">
        <f>M32+Y32</f>
        <v>9</v>
      </c>
      <c r="AB32" s="16">
        <f>N32+Z32</f>
        <v>180954</v>
      </c>
      <c r="AC32" s="19">
        <f t="shared" si="0"/>
        <v>37.5</v>
      </c>
      <c r="AD32" s="19">
        <f t="shared" si="0"/>
        <v>35.481176470588231</v>
      </c>
      <c r="AE32" s="18" t="s">
        <v>82</v>
      </c>
    </row>
    <row r="33" spans="1:31" s="6" customFormat="1" ht="75">
      <c r="A33" s="18"/>
      <c r="B33" s="39" t="s">
        <v>78</v>
      </c>
      <c r="C33" s="35">
        <v>3</v>
      </c>
      <c r="D33" s="35" t="s">
        <v>107</v>
      </c>
      <c r="E33" s="36" t="s">
        <v>65</v>
      </c>
      <c r="F33" s="35" t="s">
        <v>66</v>
      </c>
      <c r="G33" s="35" t="s">
        <v>67</v>
      </c>
      <c r="H33" s="35" t="s">
        <v>93</v>
      </c>
      <c r="I33" s="15" t="s">
        <v>88</v>
      </c>
      <c r="J33" s="15" t="s">
        <v>97</v>
      </c>
      <c r="K33" s="15">
        <v>6</v>
      </c>
      <c r="L33" s="16">
        <f>6*80000</f>
        <v>480000</v>
      </c>
      <c r="M33" s="15">
        <v>2</v>
      </c>
      <c r="N33" s="16">
        <f>2*80000</f>
        <v>160000</v>
      </c>
      <c r="O33" s="15">
        <v>1</v>
      </c>
      <c r="P33" s="16">
        <v>64692</v>
      </c>
      <c r="Q33" s="15">
        <v>0</v>
      </c>
      <c r="R33" s="16">
        <v>18900</v>
      </c>
      <c r="S33" s="15"/>
      <c r="T33" s="15"/>
      <c r="U33" s="15"/>
      <c r="V33" s="15"/>
      <c r="W33" s="15"/>
      <c r="X33" s="15"/>
      <c r="Y33" s="15">
        <f>Q33+S33+U33+W33</f>
        <v>0</v>
      </c>
      <c r="Z33" s="16">
        <f>R33+T33+V33+X33</f>
        <v>18900</v>
      </c>
      <c r="AA33" s="15">
        <f>M33+Y33</f>
        <v>2</v>
      </c>
      <c r="AB33" s="16">
        <f>N33+Z33</f>
        <v>178900</v>
      </c>
      <c r="AC33" s="19">
        <f t="shared" si="0"/>
        <v>33.333333333333329</v>
      </c>
      <c r="AD33" s="19">
        <f t="shared" si="0"/>
        <v>37.270833333333329</v>
      </c>
      <c r="AE33" s="18" t="s">
        <v>82</v>
      </c>
    </row>
    <row r="34" spans="1:31" s="6" customFormat="1">
      <c r="A34" s="4280" t="s">
        <v>89</v>
      </c>
      <c r="B34" s="4280"/>
      <c r="C34" s="4265"/>
      <c r="D34" s="4265"/>
      <c r="E34" s="4265"/>
      <c r="F34" s="4265"/>
      <c r="G34" s="4265"/>
      <c r="H34" s="4265"/>
      <c r="I34" s="4265"/>
      <c r="J34" s="4265"/>
      <c r="K34" s="4265"/>
      <c r="L34" s="4265"/>
      <c r="M34" s="4265"/>
      <c r="N34" s="4265"/>
      <c r="O34" s="4265"/>
      <c r="P34" s="4265"/>
      <c r="Q34" s="4265"/>
      <c r="R34" s="4265"/>
      <c r="S34" s="4265"/>
      <c r="T34" s="4265"/>
      <c r="U34" s="4265"/>
      <c r="V34" s="4265"/>
      <c r="W34" s="4265"/>
      <c r="X34" s="4265"/>
      <c r="Y34" s="4265"/>
      <c r="Z34" s="4265"/>
      <c r="AA34" s="4265"/>
      <c r="AB34" s="4265"/>
      <c r="AC34" s="20">
        <f>AVERAGE(AC30:AC33)</f>
        <v>27.083333333333332</v>
      </c>
      <c r="AD34" s="20">
        <f>AD29</f>
        <v>26.812592456964822</v>
      </c>
      <c r="AE34" s="21"/>
    </row>
    <row r="35" spans="1:31" s="6" customFormat="1">
      <c r="A35" s="4280" t="s">
        <v>90</v>
      </c>
      <c r="B35" s="4280"/>
      <c r="C35" s="4265"/>
      <c r="D35" s="4265"/>
      <c r="E35" s="4265"/>
      <c r="F35" s="4265"/>
      <c r="G35" s="4265"/>
      <c r="H35" s="4265"/>
      <c r="I35" s="4265"/>
      <c r="J35" s="4265"/>
      <c r="K35" s="4265"/>
      <c r="L35" s="4265"/>
      <c r="M35" s="4265"/>
      <c r="N35" s="4265"/>
      <c r="O35" s="4265"/>
      <c r="P35" s="4265"/>
      <c r="Q35" s="4265"/>
      <c r="R35" s="4265"/>
      <c r="S35" s="4265"/>
      <c r="T35" s="4265"/>
      <c r="U35" s="4265"/>
      <c r="V35" s="4265"/>
      <c r="W35" s="4265"/>
      <c r="X35" s="4265"/>
      <c r="Y35" s="4265"/>
      <c r="Z35" s="4265"/>
      <c r="AA35" s="4265"/>
      <c r="AB35" s="4265"/>
      <c r="AC35" s="22" t="str">
        <f>IF(AC34&gt;=45,"ST",IF(AC34&gt;=38,"T",IF(AC34&gt;=32,"S",IF(AC34&gt;=25,"R","SR"))))</f>
        <v>R</v>
      </c>
      <c r="AD35" s="22" t="str">
        <f>IF(AD34&gt;=45,"ST",IF(AD34&gt;=38,"T",IF(AD34&gt;=32,"S",IF(AD34&gt;=25,"R","SR"))))</f>
        <v>R</v>
      </c>
      <c r="AE35" s="21"/>
    </row>
    <row r="36" spans="1:31" s="6" customFormat="1">
      <c r="A36" s="4596"/>
      <c r="B36" s="4597"/>
      <c r="C36" s="4597"/>
      <c r="D36" s="4597"/>
      <c r="E36" s="4597"/>
      <c r="F36" s="4597"/>
      <c r="G36" s="4597"/>
      <c r="H36" s="4597"/>
      <c r="I36" s="4597"/>
      <c r="J36" s="4597"/>
      <c r="K36" s="4597"/>
      <c r="L36" s="4597"/>
      <c r="M36" s="4597"/>
      <c r="N36" s="4597"/>
      <c r="O36" s="4597"/>
      <c r="P36" s="4597"/>
      <c r="Q36" s="4597"/>
      <c r="R36" s="4597"/>
      <c r="S36" s="4597"/>
      <c r="T36" s="4597"/>
      <c r="U36" s="4597"/>
      <c r="V36" s="4597"/>
      <c r="W36" s="4597"/>
      <c r="X36" s="4597"/>
      <c r="Y36" s="4597"/>
      <c r="Z36" s="4597"/>
      <c r="AA36" s="4597"/>
      <c r="AB36" s="4597"/>
      <c r="AC36" s="4597"/>
      <c r="AD36" s="4597"/>
      <c r="AE36" s="4598"/>
    </row>
    <row r="37" spans="1:31" s="6" customFormat="1" ht="90">
      <c r="A37" s="23">
        <v>2</v>
      </c>
      <c r="B37" s="23"/>
      <c r="C37" s="34">
        <v>3</v>
      </c>
      <c r="D37" s="34" t="s">
        <v>107</v>
      </c>
      <c r="E37" s="34" t="s">
        <v>65</v>
      </c>
      <c r="F37" s="34" t="s">
        <v>66</v>
      </c>
      <c r="G37" s="34">
        <v>26</v>
      </c>
      <c r="H37" s="23"/>
      <c r="I37" s="25" t="s">
        <v>94</v>
      </c>
      <c r="J37" s="26" t="s">
        <v>98</v>
      </c>
      <c r="K37" s="24">
        <v>50</v>
      </c>
      <c r="L37" s="27">
        <f>6*400000</f>
        <v>2400000</v>
      </c>
      <c r="M37" s="24">
        <v>35</v>
      </c>
      <c r="N37" s="27">
        <f>700000+350000</f>
        <v>1050000</v>
      </c>
      <c r="O37" s="24">
        <v>40</v>
      </c>
      <c r="P37" s="27">
        <v>198670</v>
      </c>
      <c r="Q37" s="24">
        <v>12</v>
      </c>
      <c r="R37" s="28">
        <v>49700</v>
      </c>
      <c r="S37" s="24"/>
      <c r="T37" s="24"/>
      <c r="U37" s="24"/>
      <c r="V37" s="24"/>
      <c r="W37" s="24"/>
      <c r="X37" s="24"/>
      <c r="Y37" s="24">
        <f>Q37+S37+U37+W37</f>
        <v>12</v>
      </c>
      <c r="Z37" s="28">
        <f>SUM(Z38:Z41)</f>
        <v>49700</v>
      </c>
      <c r="AA37" s="24">
        <f>M37+Y37</f>
        <v>47</v>
      </c>
      <c r="AB37" s="27">
        <f>SUM(AB38)</f>
        <v>49700</v>
      </c>
      <c r="AC37" s="29">
        <f>(AA37/K37)*100</f>
        <v>94</v>
      </c>
      <c r="AD37" s="29">
        <f>(AB37/L37)*100</f>
        <v>2.0708333333333333</v>
      </c>
      <c r="AE37" s="24" t="s">
        <v>82</v>
      </c>
    </row>
    <row r="38" spans="1:31" s="6" customFormat="1" ht="75">
      <c r="A38" s="8"/>
      <c r="B38" s="37" t="s">
        <v>77</v>
      </c>
      <c r="C38" s="35">
        <v>3</v>
      </c>
      <c r="D38" s="35" t="s">
        <v>107</v>
      </c>
      <c r="E38" s="36" t="s">
        <v>65</v>
      </c>
      <c r="F38" s="35" t="s">
        <v>66</v>
      </c>
      <c r="G38" s="35">
        <v>26</v>
      </c>
      <c r="H38" s="35" t="s">
        <v>95</v>
      </c>
      <c r="I38" s="10" t="s">
        <v>96</v>
      </c>
      <c r="J38" s="10" t="s">
        <v>99</v>
      </c>
      <c r="K38" s="8">
        <v>1</v>
      </c>
      <c r="L38" s="11">
        <f>6*104079</f>
        <v>624474</v>
      </c>
      <c r="M38" s="9">
        <v>0</v>
      </c>
      <c r="N38" s="9">
        <v>0</v>
      </c>
      <c r="O38" s="8">
        <v>1</v>
      </c>
      <c r="P38" s="12">
        <f>L38</f>
        <v>624474</v>
      </c>
      <c r="Q38" s="9">
        <v>0</v>
      </c>
      <c r="R38" s="11">
        <v>49700</v>
      </c>
      <c r="S38" s="8"/>
      <c r="T38" s="8"/>
      <c r="U38" s="8"/>
      <c r="V38" s="8"/>
      <c r="W38" s="8"/>
      <c r="X38" s="8"/>
      <c r="Y38" s="8">
        <f>Q38+S38+U38+W38</f>
        <v>0</v>
      </c>
      <c r="Z38" s="11">
        <f>R38+T38+V38+X38</f>
        <v>49700</v>
      </c>
      <c r="AA38" s="8">
        <f>M38+Y38</f>
        <v>0</v>
      </c>
      <c r="AB38" s="11">
        <f>N38+Z38</f>
        <v>49700</v>
      </c>
      <c r="AC38" s="13">
        <f>(AA38/K38)*100</f>
        <v>0</v>
      </c>
      <c r="AD38" s="14">
        <f>(AB38/L38)*100</f>
        <v>7.9586980402706926</v>
      </c>
      <c r="AE38" s="8" t="s">
        <v>82</v>
      </c>
    </row>
    <row r="39" spans="1:31">
      <c r="A39" s="4280" t="s">
        <v>89</v>
      </c>
      <c r="B39" s="4280"/>
      <c r="C39" s="4265"/>
      <c r="D39" s="4265"/>
      <c r="E39" s="4265"/>
      <c r="F39" s="4265"/>
      <c r="G39" s="4265"/>
      <c r="H39" s="4265"/>
      <c r="I39" s="4265"/>
      <c r="J39" s="4265"/>
      <c r="K39" s="4265"/>
      <c r="L39" s="4265"/>
      <c r="M39" s="4265"/>
      <c r="N39" s="4265"/>
      <c r="O39" s="4265"/>
      <c r="P39" s="4265"/>
      <c r="Q39" s="4265"/>
      <c r="R39" s="4265"/>
      <c r="S39" s="4265"/>
      <c r="T39" s="4265"/>
      <c r="U39" s="4265"/>
      <c r="V39" s="4265"/>
      <c r="W39" s="4265"/>
      <c r="X39" s="4265"/>
      <c r="Y39" s="4265"/>
      <c r="Z39" s="4265"/>
      <c r="AA39" s="4265"/>
      <c r="AB39" s="4265"/>
      <c r="AC39" s="20">
        <f>AVERAGE(AC38)</f>
        <v>0</v>
      </c>
      <c r="AD39" s="20">
        <f>AD37</f>
        <v>2.0708333333333333</v>
      </c>
      <c r="AE39" s="21"/>
    </row>
    <row r="40" spans="1:31">
      <c r="A40" s="4280" t="s">
        <v>90</v>
      </c>
      <c r="B40" s="4280"/>
      <c r="C40" s="4265"/>
      <c r="D40" s="4265"/>
      <c r="E40" s="4265"/>
      <c r="F40" s="4265"/>
      <c r="G40" s="4265"/>
      <c r="H40" s="4265"/>
      <c r="I40" s="4265"/>
      <c r="J40" s="4265"/>
      <c r="K40" s="4265"/>
      <c r="L40" s="4265"/>
      <c r="M40" s="4265"/>
      <c r="N40" s="4265"/>
      <c r="O40" s="4265"/>
      <c r="P40" s="4265"/>
      <c r="Q40" s="4265"/>
      <c r="R40" s="4265"/>
      <c r="S40" s="4265"/>
      <c r="T40" s="4265"/>
      <c r="U40" s="4265"/>
      <c r="V40" s="4265"/>
      <c r="W40" s="4265"/>
      <c r="X40" s="4265"/>
      <c r="Y40" s="4265"/>
      <c r="Z40" s="4265"/>
      <c r="AA40" s="4265"/>
      <c r="AB40" s="4265"/>
      <c r="AC40" s="22" t="str">
        <f>IF(AC39&gt;=45,"ST",IF(AC39&gt;=38,"T",IF(AC39&gt;=32,"S",IF(AC39&gt;=25,"R","SR"))))</f>
        <v>SR</v>
      </c>
      <c r="AD40" s="22" t="str">
        <f>IF(AD39&gt;=45,"ST",IF(AD39&gt;=38,"T",IF(AD39&gt;=32,"S",IF(AD39&gt;=25,"R","SR"))))</f>
        <v>SR</v>
      </c>
      <c r="AE40" s="21"/>
    </row>
    <row r="41" spans="1:31" ht="17.25">
      <c r="A41" s="4536" t="s">
        <v>100</v>
      </c>
      <c r="B41" s="4536"/>
      <c r="C41" s="4536"/>
      <c r="D41" s="4536"/>
      <c r="E41" s="4536"/>
      <c r="F41" s="4536"/>
      <c r="G41" s="4536"/>
      <c r="H41" s="4536"/>
      <c r="I41" s="4536"/>
      <c r="J41" s="4536"/>
      <c r="K41" s="4536"/>
      <c r="L41" s="4536"/>
      <c r="M41" s="4536"/>
      <c r="N41" s="4536"/>
      <c r="O41" s="4536"/>
      <c r="P41" s="30">
        <f>P29+P37</f>
        <v>1023426</v>
      </c>
      <c r="Q41" s="4599"/>
      <c r="R41" s="4599"/>
      <c r="S41" s="4599"/>
      <c r="T41" s="4599"/>
      <c r="U41" s="4599"/>
      <c r="V41" s="4599"/>
      <c r="W41" s="4599"/>
      <c r="X41" s="4599"/>
      <c r="Y41" s="4599"/>
      <c r="Z41" s="4599"/>
      <c r="AA41" s="4599"/>
      <c r="AB41" s="30">
        <f>AB29+AB37</f>
        <v>603239</v>
      </c>
      <c r="AC41" s="31"/>
      <c r="AD41" s="31"/>
      <c r="AE41" s="31"/>
    </row>
    <row r="42" spans="1:31">
      <c r="A42" s="4536" t="s">
        <v>101</v>
      </c>
      <c r="B42" s="4536"/>
      <c r="C42" s="4536"/>
      <c r="D42" s="4536"/>
      <c r="E42" s="4536"/>
      <c r="F42" s="4536"/>
      <c r="G42" s="4536"/>
      <c r="H42" s="4536"/>
      <c r="I42" s="4536"/>
      <c r="J42" s="4536"/>
      <c r="K42" s="4536"/>
      <c r="L42" s="4536"/>
      <c r="M42" s="4536"/>
      <c r="N42" s="4536"/>
      <c r="O42" s="4536"/>
      <c r="P42" s="4536"/>
      <c r="Q42" s="4536"/>
      <c r="R42" s="4536"/>
      <c r="S42" s="4536"/>
      <c r="T42" s="4536"/>
      <c r="U42" s="4536"/>
      <c r="V42" s="4536"/>
      <c r="W42" s="4536"/>
      <c r="X42" s="4536"/>
      <c r="Y42" s="4536"/>
      <c r="Z42" s="4536"/>
      <c r="AA42" s="4536"/>
      <c r="AB42" s="4536"/>
      <c r="AC42" s="32">
        <f>AVERAGE(AD30:AD33,AD38)</f>
        <v>24.688276338260394</v>
      </c>
      <c r="AD42" s="32">
        <f>(AB41/P41)*100</f>
        <v>58.94309896367691</v>
      </c>
      <c r="AE42" s="31"/>
    </row>
    <row r="43" spans="1:31">
      <c r="A43" s="4536" t="s">
        <v>102</v>
      </c>
      <c r="B43" s="4536"/>
      <c r="C43" s="4536"/>
      <c r="D43" s="4536"/>
      <c r="E43" s="4536"/>
      <c r="F43" s="4536"/>
      <c r="G43" s="4536"/>
      <c r="H43" s="4536"/>
      <c r="I43" s="4536"/>
      <c r="J43" s="4536"/>
      <c r="K43" s="4536"/>
      <c r="L43" s="4536"/>
      <c r="M43" s="4536"/>
      <c r="N43" s="4536"/>
      <c r="O43" s="4536"/>
      <c r="P43" s="4536"/>
      <c r="Q43" s="4536"/>
      <c r="R43" s="4536"/>
      <c r="S43" s="4536"/>
      <c r="T43" s="4536"/>
      <c r="U43" s="4536"/>
      <c r="V43" s="4536"/>
      <c r="W43" s="4536"/>
      <c r="X43" s="4536"/>
      <c r="Y43" s="4536"/>
      <c r="Z43" s="4536"/>
      <c r="AA43" s="4536"/>
      <c r="AB43" s="4536"/>
      <c r="AC43" s="33" t="str">
        <f>IF(AC42&gt;=45,"ST",IF(AC42&gt;=38,"T",IF(AC42&gt;=32,"S",IF(AC42&gt;=25,"R","SR"))))</f>
        <v>SR</v>
      </c>
      <c r="AD43" s="33" t="str">
        <f>IF(AD42&gt;=45,"ST",IF(AD42&gt;=38,"T",IF(AD42&gt;=32,"S",IF(AD42&gt;=25,"R","SR"))))</f>
        <v>ST</v>
      </c>
      <c r="AE43" s="31"/>
    </row>
    <row r="44" spans="1:31">
      <c r="A44" s="3"/>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5"/>
    </row>
    <row r="45" spans="1:31">
      <c r="A45" s="3" t="s">
        <v>53</v>
      </c>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5"/>
    </row>
    <row r="46" spans="1:31">
      <c r="A46" s="3" t="s">
        <v>52</v>
      </c>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5"/>
    </row>
    <row r="47" spans="1:31">
      <c r="A47" s="3" t="s">
        <v>54</v>
      </c>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5"/>
    </row>
    <row r="48" spans="1:31">
      <c r="A48" s="3" t="s">
        <v>55</v>
      </c>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5"/>
    </row>
    <row r="50" spans="20:31">
      <c r="T50" s="4600" t="s">
        <v>56</v>
      </c>
      <c r="U50" s="4600"/>
      <c r="V50" s="4600"/>
      <c r="W50" s="4600"/>
      <c r="AB50" s="4600" t="s">
        <v>38</v>
      </c>
      <c r="AC50" s="4600"/>
      <c r="AD50" s="4600"/>
      <c r="AE50" s="4600"/>
    </row>
    <row r="51" spans="20:31">
      <c r="T51" s="4600" t="s">
        <v>57</v>
      </c>
      <c r="U51" s="4600"/>
      <c r="V51" s="4600"/>
      <c r="W51" s="4600"/>
      <c r="AB51" s="4600" t="s">
        <v>57</v>
      </c>
      <c r="AC51" s="4600"/>
      <c r="AD51" s="4600"/>
      <c r="AE51" s="4600"/>
    </row>
    <row r="52" spans="20:31">
      <c r="T52" s="4600" t="s">
        <v>106</v>
      </c>
      <c r="U52" s="4600"/>
      <c r="V52" s="4600"/>
      <c r="W52" s="4600"/>
      <c r="AB52" s="4600" t="s">
        <v>103</v>
      </c>
      <c r="AC52" s="4600"/>
      <c r="AD52" s="4600"/>
      <c r="AE52" s="4600"/>
    </row>
    <row r="53" spans="20:31">
      <c r="T53" s="4600" t="s">
        <v>104</v>
      </c>
      <c r="U53" s="4600"/>
      <c r="V53" s="4600"/>
      <c r="W53" s="4600"/>
      <c r="AB53" s="4600" t="s">
        <v>104</v>
      </c>
      <c r="AC53" s="4600"/>
      <c r="AD53" s="4600"/>
      <c r="AE53" s="4600"/>
    </row>
    <row r="58" spans="20:31">
      <c r="T58" s="4600" t="s">
        <v>105</v>
      </c>
      <c r="U58" s="4600"/>
      <c r="V58" s="4600"/>
      <c r="W58" s="4600"/>
      <c r="AB58" s="4600" t="s">
        <v>105</v>
      </c>
      <c r="AC58" s="4600"/>
      <c r="AD58" s="4600"/>
      <c r="AE58" s="4600"/>
    </row>
  </sheetData>
  <mergeCells count="102">
    <mergeCell ref="AB58:AE58"/>
    <mergeCell ref="T50:W50"/>
    <mergeCell ref="T51:W51"/>
    <mergeCell ref="T52:W52"/>
    <mergeCell ref="T53:W53"/>
    <mergeCell ref="T58:W58"/>
    <mergeCell ref="Q10:X10"/>
    <mergeCell ref="Q11:X11"/>
    <mergeCell ref="A34:AB34"/>
    <mergeCell ref="A35:AB35"/>
    <mergeCell ref="B10:B21"/>
    <mergeCell ref="B22:B23"/>
    <mergeCell ref="A22:A23"/>
    <mergeCell ref="C10:H21"/>
    <mergeCell ref="J22:J23"/>
    <mergeCell ref="I22:I23"/>
    <mergeCell ref="C22:H23"/>
    <mergeCell ref="A10:A21"/>
    <mergeCell ref="I10:I21"/>
    <mergeCell ref="AB50:AE50"/>
    <mergeCell ref="AB51:AE51"/>
    <mergeCell ref="AB52:AE52"/>
    <mergeCell ref="AB53:AE53"/>
    <mergeCell ref="Y17:Z17"/>
    <mergeCell ref="A36:AE36"/>
    <mergeCell ref="A39:AB39"/>
    <mergeCell ref="A40:AB40"/>
    <mergeCell ref="A41:O41"/>
    <mergeCell ref="Q41:AA41"/>
    <mergeCell ref="A42:AB42"/>
    <mergeCell ref="A43:AB43"/>
    <mergeCell ref="Y10:Z11"/>
    <mergeCell ref="Y18:Z21"/>
    <mergeCell ref="Y22:Z22"/>
    <mergeCell ref="AA11:AB11"/>
    <mergeCell ref="U22:V22"/>
    <mergeCell ref="U12:V21"/>
    <mergeCell ref="W12:X21"/>
    <mergeCell ref="W22:X22"/>
    <mergeCell ref="Y12:Z12"/>
    <mergeCell ref="Y13:Z13"/>
    <mergeCell ref="Y14:Z14"/>
    <mergeCell ref="Y15:Z15"/>
    <mergeCell ref="Y16:Z16"/>
    <mergeCell ref="AA13:AB13"/>
    <mergeCell ref="AA12:AB12"/>
    <mergeCell ref="AA15:AB15"/>
    <mergeCell ref="O21:P21"/>
    <mergeCell ref="O22:P22"/>
    <mergeCell ref="Q22:R22"/>
    <mergeCell ref="S12:T21"/>
    <mergeCell ref="Q12:R21"/>
    <mergeCell ref="S22:T22"/>
    <mergeCell ref="M22:N22"/>
    <mergeCell ref="O12:P12"/>
    <mergeCell ref="O13:P13"/>
    <mergeCell ref="O14:P14"/>
    <mergeCell ref="O15:P15"/>
    <mergeCell ref="O16:P16"/>
    <mergeCell ref="O17:P17"/>
    <mergeCell ref="O18:P18"/>
    <mergeCell ref="O19:P19"/>
    <mergeCell ref="M15:N15"/>
    <mergeCell ref="M16:N16"/>
    <mergeCell ref="M17:N17"/>
    <mergeCell ref="M18:N18"/>
    <mergeCell ref="M19:N19"/>
    <mergeCell ref="M20:N20"/>
    <mergeCell ref="O20:P20"/>
    <mergeCell ref="K13:L13"/>
    <mergeCell ref="K14:L14"/>
    <mergeCell ref="K15:L15"/>
    <mergeCell ref="K16:L16"/>
    <mergeCell ref="K17:L17"/>
    <mergeCell ref="M14:N14"/>
    <mergeCell ref="K18:L18"/>
    <mergeCell ref="K19:L19"/>
    <mergeCell ref="K20:L21"/>
    <mergeCell ref="K10:L10"/>
    <mergeCell ref="M21:N21"/>
    <mergeCell ref="A1:AE1"/>
    <mergeCell ref="A2:AE2"/>
    <mergeCell ref="A3:AE3"/>
    <mergeCell ref="AA22:AB22"/>
    <mergeCell ref="AC22:AD22"/>
    <mergeCell ref="AE22:AE23"/>
    <mergeCell ref="AC13:AD13"/>
    <mergeCell ref="AC15:AD15"/>
    <mergeCell ref="AC16:AD16"/>
    <mergeCell ref="AC17:AD17"/>
    <mergeCell ref="M10:N10"/>
    <mergeCell ref="M11:N11"/>
    <mergeCell ref="M12:N12"/>
    <mergeCell ref="M13:N13"/>
    <mergeCell ref="AA16:AB16"/>
    <mergeCell ref="AA17:AB17"/>
    <mergeCell ref="AA18:AB18"/>
    <mergeCell ref="AA19:AB19"/>
    <mergeCell ref="AC14:AD14"/>
    <mergeCell ref="K22:L22"/>
    <mergeCell ref="K11:L11"/>
    <mergeCell ref="K12:L12"/>
  </mergeCells>
  <pageMargins left="0.16" right="0.15" top="0.511811023622047" bottom="0.35433070866141703" header="0.31496062992126" footer="0.196850393700787"/>
  <pageSetup paperSize="258" scale="63" orientation="landscape" horizontalDpi="300" verticalDpi="300" r:id="rId1"/>
</worksheet>
</file>

<file path=xl/worksheets/sheet4.xml><?xml version="1.0" encoding="utf-8"?>
<worksheet xmlns="http://schemas.openxmlformats.org/spreadsheetml/2006/main" xmlns:r="http://schemas.openxmlformats.org/officeDocument/2006/relationships">
  <dimension ref="A1:BX50"/>
  <sheetViews>
    <sheetView workbookViewId="0">
      <selection activeCell="F3" sqref="F3"/>
    </sheetView>
  </sheetViews>
  <sheetFormatPr defaultRowHeight="15"/>
  <sheetData>
    <row r="1" spans="1:76" s="55" customFormat="1" ht="25.5" customHeight="1">
      <c r="A1" s="2546" t="s">
        <v>3362</v>
      </c>
      <c r="B1" s="2918"/>
      <c r="C1" s="2546"/>
      <c r="D1" s="2546"/>
      <c r="E1" s="2546"/>
      <c r="F1" s="2546"/>
      <c r="G1" s="2546"/>
      <c r="H1" s="2546"/>
      <c r="I1" s="2515" t="s">
        <v>4324</v>
      </c>
      <c r="J1" s="2918"/>
      <c r="K1" s="2918"/>
      <c r="L1" s="3238" t="e">
        <f>#REF!+L112+#REF!+#REF!+#REF!+#REF!+#REF!+#REF!+#REF!+#REF!+#REF!+#REF!+#REF!+#REF!+#REF!+#REF!+#REF!+#REF!+#REF!+#REF!+#REF!+#REF!+#REF!+#REF!+#REF!+#REF!+#REF!+#REF!+#REF!+#REF!+#REF!</f>
        <v>#REF!</v>
      </c>
      <c r="M1" s="2918"/>
      <c r="N1" s="2916" t="e">
        <f>#REF!+N112+#REF!+#REF!+#REF!+#REF!+#REF!+#REF!+#REF!+#REF!+#REF!+#REF!+#REF!+#REF!+#REF!+#REF!+#REF!+#REF!+#REF!+#REF!+#REF!+#REF!+#REF!+#REF!+#REF!+#REF!+#REF!+#REF!+#REF!+#REF!+#REF!</f>
        <v>#REF!</v>
      </c>
      <c r="O1" s="2918"/>
      <c r="P1" s="2916" t="e">
        <f>#REF!+P112+#REF!+#REF!+#REF!+#REF!+#REF!+#REF!+#REF!+#REF!+#REF!+#REF!+#REF!+#REF!+#REF!+#REF!+#REF!+#REF!+#REF!+#REF!+#REF!+#REF!+#REF!+#REF!+#REF!+#REF!+#REF!+#REF!+#REF!+#REF!+#REF!</f>
        <v>#REF!</v>
      </c>
      <c r="Q1" s="2918"/>
      <c r="R1" s="2916" t="e">
        <f>#REF!+R112+#REF!+#REF!+#REF!+#REF!+#REF!+#REF!+#REF!+#REF!+#REF!+#REF!+#REF!+#REF!+#REF!+#REF!+#REF!+#REF!+#REF!+#REF!+#REF!+#REF!+#REF!+#REF!+#REF!+#REF!+#REF!+#REF!+#REF!+#REF!+#REF!</f>
        <v>#REF!</v>
      </c>
      <c r="S1" s="2918"/>
      <c r="T1" s="2916" t="e">
        <f>#REF!+T112+#REF!+#REF!+#REF!+#REF!+#REF!+#REF!+#REF!+#REF!+#REF!+#REF!+#REF!+#REF!+#REF!+#REF!+#REF!+#REF!+#REF!+#REF!+#REF!+#REF!+#REF!+#REF!+#REF!+#REF!+#REF!+#REF!+#REF!+#REF!+#REF!</f>
        <v>#REF!</v>
      </c>
      <c r="U1" s="2918"/>
      <c r="V1" s="2916" t="e">
        <f>#REF!+V112+#REF!+#REF!+#REF!+#REF!+#REF!+#REF!+#REF!+#REF!+#REF!+#REF!+#REF!+#REF!+#REF!+#REF!+#REF!+#REF!+#REF!+#REF!+#REF!+#REF!+#REF!+#REF!+#REF!+#REF!+#REF!+#REF!+#REF!+#REF!+#REF!</f>
        <v>#REF!</v>
      </c>
      <c r="W1" s="2918"/>
      <c r="X1" s="2918"/>
      <c r="Y1" s="2546">
        <f>Q1+S1+U1+W1</f>
        <v>0</v>
      </c>
      <c r="Z1" s="2916" t="e">
        <f>#REF!+Z112+#REF!+#REF!+#REF!+#REF!+#REF!+#REF!+#REF!+#REF!+#REF!+#REF!+#REF!+#REF!+#REF!+#REF!+#REF!+#REF!+#REF!+#REF!+#REF!+#REF!+#REF!+#REF!+#REF!+#REF!+#REF!+#REF!+#REF!+#REF!+#REF!</f>
        <v>#REF!</v>
      </c>
      <c r="AA1" s="2918"/>
      <c r="AB1" s="2916" t="e">
        <f>#REF!+AB112+#REF!+#REF!+#REF!+#REF!+#REF!+#REF!+#REF!+#REF!+#REF!+#REF!+#REF!+#REF!+#REF!+#REF!+#REF!+#REF!+#REF!+#REF!+#REF!+#REF!+#REF!+#REF!+#REF!+#REF!+#REF!+#REF!+#REF!+#REF!+#REF!</f>
        <v>#REF!</v>
      </c>
      <c r="AC1" s="2918"/>
      <c r="AD1" s="2918"/>
      <c r="AE1" s="3211"/>
      <c r="AF1" s="145"/>
      <c r="AG1" s="145"/>
      <c r="AH1" s="145"/>
      <c r="AI1" s="145"/>
      <c r="AJ1" s="145"/>
      <c r="AK1" s="145"/>
      <c r="AL1" s="145"/>
      <c r="AM1" s="145"/>
      <c r="AN1" s="145"/>
      <c r="AO1" s="145"/>
      <c r="AP1" s="145"/>
      <c r="AQ1" s="145"/>
      <c r="AR1" s="145"/>
      <c r="AS1" s="145"/>
      <c r="AT1" s="145"/>
      <c r="AU1" s="145"/>
      <c r="AV1" s="145"/>
      <c r="AW1" s="145"/>
      <c r="AX1" s="145"/>
      <c r="AY1" s="145"/>
      <c r="AZ1" s="145"/>
      <c r="BA1" s="145"/>
      <c r="BB1" s="145"/>
      <c r="BC1" s="145"/>
      <c r="BD1" s="145"/>
      <c r="BE1" s="145"/>
      <c r="BF1" s="145"/>
      <c r="BG1" s="145"/>
      <c r="BH1" s="145"/>
      <c r="BI1" s="145"/>
      <c r="BJ1" s="145"/>
      <c r="BK1" s="145"/>
      <c r="BL1" s="145"/>
      <c r="BM1" s="145"/>
      <c r="BN1" s="145"/>
      <c r="BO1" s="145"/>
      <c r="BP1" s="145"/>
      <c r="BQ1" s="145"/>
      <c r="BR1" s="145"/>
      <c r="BS1" s="145"/>
      <c r="BT1" s="145"/>
      <c r="BU1" s="145"/>
      <c r="BV1" s="145"/>
      <c r="BW1" s="145"/>
      <c r="BX1" s="145"/>
    </row>
    <row r="2" spans="1:76" s="3769" customFormat="1" ht="39.75" customHeight="1">
      <c r="A2" s="3892" t="s">
        <v>30</v>
      </c>
      <c r="B2" s="3892"/>
      <c r="C2" s="3893">
        <v>5</v>
      </c>
      <c r="D2" s="3894" t="s">
        <v>107</v>
      </c>
      <c r="E2" s="3894" t="s">
        <v>66</v>
      </c>
      <c r="F2" s="3894" t="s">
        <v>66</v>
      </c>
      <c r="G2" s="3894"/>
      <c r="H2" s="3893"/>
      <c r="I2" s="3835" t="s">
        <v>1662</v>
      </c>
      <c r="J2" s="3895"/>
      <c r="K2" s="3896">
        <v>72</v>
      </c>
      <c r="L2" s="3897">
        <v>206035600</v>
      </c>
      <c r="M2" s="3898">
        <v>24</v>
      </c>
      <c r="N2" s="3897">
        <v>241698500</v>
      </c>
      <c r="O2" s="3898">
        <v>12</v>
      </c>
      <c r="P2" s="3897">
        <v>184572989</v>
      </c>
      <c r="Q2" s="3898">
        <v>3</v>
      </c>
      <c r="R2" s="3897">
        <v>36276100</v>
      </c>
      <c r="S2" s="3898">
        <v>3</v>
      </c>
      <c r="T2" s="3899">
        <v>89266476</v>
      </c>
      <c r="U2" s="3898">
        <v>3</v>
      </c>
      <c r="V2" s="3900">
        <v>136743308</v>
      </c>
      <c r="W2" s="3898">
        <v>0</v>
      </c>
      <c r="X2" s="3900" t="s">
        <v>2034</v>
      </c>
      <c r="Y2" s="3898">
        <f>(Q2+S2+U2+W2)</f>
        <v>9</v>
      </c>
      <c r="Z2" s="3901">
        <v>262285884</v>
      </c>
      <c r="AA2" s="3898">
        <f>(M2+Y2)</f>
        <v>33</v>
      </c>
      <c r="AB2" s="3909">
        <f>(N2+Z2)</f>
        <v>503984384</v>
      </c>
      <c r="AC2" s="3904">
        <f>(AA2/K2*100%)</f>
        <v>0.45833333333333331</v>
      </c>
      <c r="AD2" s="3902">
        <f>(AB2/L2*100%)</f>
        <v>2.4461034112551423</v>
      </c>
      <c r="AE2" s="3903" t="s">
        <v>4560</v>
      </c>
    </row>
    <row r="3" spans="1:76" s="75" customFormat="1" ht="60" customHeight="1">
      <c r="A3" s="3157">
        <v>1</v>
      </c>
      <c r="B3" s="3866"/>
      <c r="C3" s="3851">
        <v>5</v>
      </c>
      <c r="D3" s="1218" t="s">
        <v>66</v>
      </c>
      <c r="E3" s="1218" t="s">
        <v>66</v>
      </c>
      <c r="F3" s="1218" t="s">
        <v>66</v>
      </c>
      <c r="G3" s="1218"/>
      <c r="H3" s="1218" t="s">
        <v>65</v>
      </c>
      <c r="I3" s="728" t="s">
        <v>195</v>
      </c>
      <c r="J3" s="3866" t="s">
        <v>4413</v>
      </c>
      <c r="K3" s="3734">
        <v>72</v>
      </c>
      <c r="L3" s="3735">
        <v>14595600</v>
      </c>
      <c r="M3" s="3736">
        <v>24</v>
      </c>
      <c r="N3" s="3735">
        <v>5700000</v>
      </c>
      <c r="O3" s="3736">
        <v>12</v>
      </c>
      <c r="P3" s="3735">
        <v>4800000</v>
      </c>
      <c r="Q3" s="3730">
        <v>3</v>
      </c>
      <c r="R3" s="3735">
        <v>1200000</v>
      </c>
      <c r="S3" s="3730">
        <v>3</v>
      </c>
      <c r="T3" s="3867">
        <v>2573276</v>
      </c>
      <c r="U3" s="3730">
        <v>3</v>
      </c>
      <c r="V3" s="3868">
        <v>3600000</v>
      </c>
      <c r="W3" s="3730">
        <v>0</v>
      </c>
      <c r="X3" s="3747">
        <v>0</v>
      </c>
      <c r="Y3" s="3730">
        <f>(Q3+S3+U3+W3)</f>
        <v>9</v>
      </c>
      <c r="Z3" s="3868">
        <f t="shared" ref="Z3:Z10" si="0">(R3+T3+V3+X3)</f>
        <v>7373276</v>
      </c>
      <c r="AA3" s="3730">
        <f>(M3+Y3)</f>
        <v>33</v>
      </c>
      <c r="AB3" s="3910">
        <f>(N3+Z3)</f>
        <v>13073276</v>
      </c>
      <c r="AC3" s="3905">
        <f>(AA3/K3*100%)</f>
        <v>0.45833333333333331</v>
      </c>
      <c r="AD3" s="3869">
        <f>(AB3/L3*100%)</f>
        <v>0.89569979993970783</v>
      </c>
      <c r="AE3" s="3157" t="s">
        <v>4560</v>
      </c>
      <c r="AF3" s="3760">
        <f>V3-T3</f>
        <v>1026724</v>
      </c>
    </row>
    <row r="4" spans="1:76" s="75" customFormat="1" ht="49.5" customHeight="1">
      <c r="A4" s="3157">
        <v>2</v>
      </c>
      <c r="B4" s="3866"/>
      <c r="C4" s="3851">
        <v>5</v>
      </c>
      <c r="D4" s="1218" t="s">
        <v>107</v>
      </c>
      <c r="E4" s="1218" t="s">
        <v>66</v>
      </c>
      <c r="F4" s="1218" t="s">
        <v>66</v>
      </c>
      <c r="G4" s="1218"/>
      <c r="H4" s="1218" t="s">
        <v>198</v>
      </c>
      <c r="I4" s="728" t="s">
        <v>199</v>
      </c>
      <c r="J4" s="3866" t="s">
        <v>4414</v>
      </c>
      <c r="K4" s="3734">
        <v>72</v>
      </c>
      <c r="L4" s="3735">
        <v>30600000</v>
      </c>
      <c r="M4" s="3734">
        <v>24</v>
      </c>
      <c r="N4" s="3735">
        <v>42110320</v>
      </c>
      <c r="O4" s="3734">
        <v>12</v>
      </c>
      <c r="P4" s="3735">
        <v>31500000</v>
      </c>
      <c r="Q4" s="3870" t="s">
        <v>2034</v>
      </c>
      <c r="R4" s="3871" t="s">
        <v>2034</v>
      </c>
      <c r="S4" s="3730">
        <v>3</v>
      </c>
      <c r="T4" s="3872">
        <v>36300000</v>
      </c>
      <c r="U4" s="3730">
        <v>3</v>
      </c>
      <c r="V4" s="3868">
        <v>18300000</v>
      </c>
      <c r="W4" s="3730">
        <v>0</v>
      </c>
      <c r="X4" s="3747">
        <v>0</v>
      </c>
      <c r="Y4" s="3730">
        <f>(Q4+S4+U4+W4)</f>
        <v>6</v>
      </c>
      <c r="Z4" s="3868">
        <f t="shared" si="0"/>
        <v>54600000</v>
      </c>
      <c r="AA4" s="3730">
        <f t="shared" ref="AA4:AB12" si="1">(M4+Y4)</f>
        <v>30</v>
      </c>
      <c r="AB4" s="3910">
        <f>(N4+Z4)</f>
        <v>96710320</v>
      </c>
      <c r="AC4" s="3905">
        <f t="shared" ref="AC4:AD18" si="2">(AA4/K4*100%)</f>
        <v>0.41666666666666669</v>
      </c>
      <c r="AD4" s="3869">
        <f>(AB4/L4*100%)</f>
        <v>3.1604679738562091</v>
      </c>
      <c r="AE4" s="3157" t="s">
        <v>4560</v>
      </c>
    </row>
    <row r="5" spans="1:76" s="75" customFormat="1" ht="46.5" customHeight="1">
      <c r="A5" s="3157">
        <v>3</v>
      </c>
      <c r="B5" s="3866"/>
      <c r="C5" s="3851">
        <v>5</v>
      </c>
      <c r="D5" s="1218" t="s">
        <v>107</v>
      </c>
      <c r="E5" s="1218" t="s">
        <v>66</v>
      </c>
      <c r="F5" s="1218" t="s">
        <v>66</v>
      </c>
      <c r="G5" s="1218"/>
      <c r="H5" s="1218" t="s">
        <v>93</v>
      </c>
      <c r="I5" s="728" t="s">
        <v>200</v>
      </c>
      <c r="J5" s="3866" t="s">
        <v>4415</v>
      </c>
      <c r="K5" s="3734">
        <v>72</v>
      </c>
      <c r="L5" s="3735">
        <v>13800000</v>
      </c>
      <c r="M5" s="3734">
        <v>24</v>
      </c>
      <c r="N5" s="3735">
        <v>18622000</v>
      </c>
      <c r="O5" s="3734">
        <v>12</v>
      </c>
      <c r="P5" s="3735">
        <v>50222000</v>
      </c>
      <c r="Q5" s="3730">
        <v>3</v>
      </c>
      <c r="R5" s="3735">
        <v>9047000</v>
      </c>
      <c r="S5" s="3730">
        <v>3</v>
      </c>
      <c r="T5" s="3872">
        <v>2400000</v>
      </c>
      <c r="U5" s="3730">
        <v>3</v>
      </c>
      <c r="V5" s="3868">
        <v>38222000</v>
      </c>
      <c r="W5" s="3730">
        <v>0</v>
      </c>
      <c r="X5" s="3747">
        <v>0</v>
      </c>
      <c r="Y5" s="3730">
        <f t="shared" ref="Y5:Z18" si="3">(Q5+S5+U5+W5)</f>
        <v>9</v>
      </c>
      <c r="Z5" s="3868">
        <f t="shared" si="0"/>
        <v>49669000</v>
      </c>
      <c r="AA5" s="3730">
        <f t="shared" si="1"/>
        <v>33</v>
      </c>
      <c r="AB5" s="3910">
        <f>(N5+Z5)</f>
        <v>68291000</v>
      </c>
      <c r="AC5" s="3905">
        <f t="shared" si="2"/>
        <v>0.45833333333333331</v>
      </c>
      <c r="AD5" s="3869">
        <f>(AB5/L5*100%)</f>
        <v>4.9486231884057972</v>
      </c>
      <c r="AE5" s="3157" t="s">
        <v>4560</v>
      </c>
    </row>
    <row r="6" spans="1:76" s="75" customFormat="1" ht="76.5" customHeight="1">
      <c r="A6" s="3157">
        <v>5</v>
      </c>
      <c r="B6" s="3866"/>
      <c r="C6" s="3851">
        <v>5</v>
      </c>
      <c r="D6" s="1218" t="s">
        <v>107</v>
      </c>
      <c r="E6" s="1218" t="s">
        <v>66</v>
      </c>
      <c r="F6" s="1218" t="s">
        <v>66</v>
      </c>
      <c r="G6" s="1218"/>
      <c r="H6" s="1218" t="s">
        <v>202</v>
      </c>
      <c r="I6" s="728" t="s">
        <v>203</v>
      </c>
      <c r="J6" s="3866" t="s">
        <v>4417</v>
      </c>
      <c r="K6" s="3734">
        <v>72</v>
      </c>
      <c r="L6" s="3735">
        <v>21000000</v>
      </c>
      <c r="M6" s="3736">
        <v>24</v>
      </c>
      <c r="N6" s="3735">
        <v>21541280</v>
      </c>
      <c r="O6" s="3736">
        <v>12</v>
      </c>
      <c r="P6" s="3735">
        <v>17180338</v>
      </c>
      <c r="Q6" s="3730">
        <v>3</v>
      </c>
      <c r="R6" s="3735">
        <v>1914200</v>
      </c>
      <c r="S6" s="3730">
        <v>3</v>
      </c>
      <c r="T6" s="3873">
        <v>9150000</v>
      </c>
      <c r="U6" s="3730">
        <v>3</v>
      </c>
      <c r="V6" s="3868">
        <v>14966520</v>
      </c>
      <c r="W6" s="3730">
        <v>0</v>
      </c>
      <c r="X6" s="3747">
        <v>0</v>
      </c>
      <c r="Y6" s="3730">
        <f t="shared" si="3"/>
        <v>9</v>
      </c>
      <c r="Z6" s="3868">
        <f t="shared" si="0"/>
        <v>26030720</v>
      </c>
      <c r="AA6" s="3730">
        <f t="shared" si="1"/>
        <v>33</v>
      </c>
      <c r="AB6" s="3910">
        <f t="shared" si="1"/>
        <v>47572000</v>
      </c>
      <c r="AC6" s="3905">
        <f t="shared" si="2"/>
        <v>0.45833333333333331</v>
      </c>
      <c r="AD6" s="3869">
        <f t="shared" si="2"/>
        <v>2.2653333333333334</v>
      </c>
      <c r="AE6" s="3157" t="s">
        <v>4560</v>
      </c>
    </row>
    <row r="7" spans="1:76" s="75" customFormat="1" ht="49.5" customHeight="1">
      <c r="A7" s="3157">
        <v>6</v>
      </c>
      <c r="B7" s="3866"/>
      <c r="C7" s="3851">
        <v>5</v>
      </c>
      <c r="D7" s="1218" t="s">
        <v>107</v>
      </c>
      <c r="E7" s="1218" t="s">
        <v>66</v>
      </c>
      <c r="F7" s="1218" t="s">
        <v>66</v>
      </c>
      <c r="G7" s="1218"/>
      <c r="H7" s="1218" t="s">
        <v>417</v>
      </c>
      <c r="I7" s="728" t="s">
        <v>204</v>
      </c>
      <c r="J7" s="3866" t="s">
        <v>4140</v>
      </c>
      <c r="K7" s="3734">
        <v>72</v>
      </c>
      <c r="L7" s="3735">
        <v>14800000</v>
      </c>
      <c r="M7" s="3734">
        <v>24</v>
      </c>
      <c r="N7" s="3735">
        <v>16152000</v>
      </c>
      <c r="O7" s="3734">
        <v>12</v>
      </c>
      <c r="P7" s="3735">
        <v>12417000</v>
      </c>
      <c r="Q7" s="3730">
        <v>3</v>
      </c>
      <c r="R7" s="3735">
        <v>778850</v>
      </c>
      <c r="S7" s="3730">
        <v>3</v>
      </c>
      <c r="T7" s="3873">
        <v>20655000</v>
      </c>
      <c r="U7" s="3730">
        <v>3</v>
      </c>
      <c r="V7" s="3868">
        <v>7609000</v>
      </c>
      <c r="W7" s="3730">
        <v>0</v>
      </c>
      <c r="X7" s="3747">
        <v>0</v>
      </c>
      <c r="Y7" s="3730">
        <f t="shared" si="3"/>
        <v>9</v>
      </c>
      <c r="Z7" s="3868">
        <f t="shared" si="0"/>
        <v>29042850</v>
      </c>
      <c r="AA7" s="3730">
        <f t="shared" si="1"/>
        <v>33</v>
      </c>
      <c r="AB7" s="3910">
        <f t="shared" si="1"/>
        <v>45194850</v>
      </c>
      <c r="AC7" s="3905">
        <f t="shared" si="2"/>
        <v>0.45833333333333331</v>
      </c>
      <c r="AD7" s="3869">
        <f t="shared" si="2"/>
        <v>3.053706081081081</v>
      </c>
      <c r="AE7" s="3157" t="s">
        <v>4560</v>
      </c>
    </row>
    <row r="8" spans="1:76" s="75" customFormat="1" ht="79.5" customHeight="1">
      <c r="A8" s="3157">
        <v>7</v>
      </c>
      <c r="B8" s="3866"/>
      <c r="C8" s="3851">
        <v>5</v>
      </c>
      <c r="D8" s="1218" t="s">
        <v>107</v>
      </c>
      <c r="E8" s="1218" t="s">
        <v>66</v>
      </c>
      <c r="F8" s="1218" t="s">
        <v>66</v>
      </c>
      <c r="G8" s="1218"/>
      <c r="H8" s="1218" t="s">
        <v>160</v>
      </c>
      <c r="I8" s="728" t="s">
        <v>205</v>
      </c>
      <c r="J8" s="3866" t="s">
        <v>4418</v>
      </c>
      <c r="K8" s="3734">
        <v>72</v>
      </c>
      <c r="L8" s="3735">
        <v>3000000</v>
      </c>
      <c r="M8" s="3734">
        <v>24</v>
      </c>
      <c r="N8" s="3735">
        <v>9873700</v>
      </c>
      <c r="O8" s="3734">
        <v>12</v>
      </c>
      <c r="P8" s="3735">
        <v>2733700</v>
      </c>
      <c r="Q8" s="3730">
        <v>3</v>
      </c>
      <c r="R8" s="3735">
        <v>480000</v>
      </c>
      <c r="S8" s="3730">
        <v>3</v>
      </c>
      <c r="T8" s="3873">
        <v>13966520</v>
      </c>
      <c r="U8" s="3730">
        <v>3</v>
      </c>
      <c r="V8" s="3874">
        <v>3410000</v>
      </c>
      <c r="W8" s="3730">
        <v>0</v>
      </c>
      <c r="X8" s="3747">
        <v>0</v>
      </c>
      <c r="Y8" s="3730">
        <f t="shared" si="3"/>
        <v>9</v>
      </c>
      <c r="Z8" s="3868">
        <f t="shared" si="0"/>
        <v>17856520</v>
      </c>
      <c r="AA8" s="3730">
        <f t="shared" si="1"/>
        <v>33</v>
      </c>
      <c r="AB8" s="3910">
        <f t="shared" si="1"/>
        <v>27730220</v>
      </c>
      <c r="AC8" s="3905">
        <f t="shared" si="2"/>
        <v>0.45833333333333331</v>
      </c>
      <c r="AD8" s="3869">
        <f t="shared" si="2"/>
        <v>9.243406666666667</v>
      </c>
      <c r="AE8" s="3157" t="s">
        <v>4560</v>
      </c>
    </row>
    <row r="9" spans="1:76" s="75" customFormat="1" ht="63" customHeight="1">
      <c r="A9" s="3157">
        <v>8</v>
      </c>
      <c r="B9" s="3866"/>
      <c r="C9" s="3851">
        <v>5</v>
      </c>
      <c r="D9" s="1218" t="s">
        <v>66</v>
      </c>
      <c r="E9" s="1218" t="s">
        <v>66</v>
      </c>
      <c r="F9" s="3851"/>
      <c r="G9" s="3851"/>
      <c r="H9" s="1218" t="s">
        <v>155</v>
      </c>
      <c r="I9" s="728" t="s">
        <v>533</v>
      </c>
      <c r="J9" s="3866" t="s">
        <v>4419</v>
      </c>
      <c r="K9" s="3734">
        <v>72</v>
      </c>
      <c r="L9" s="3735">
        <v>2520000</v>
      </c>
      <c r="M9" s="3736">
        <v>24</v>
      </c>
      <c r="N9" s="3735">
        <v>3900000</v>
      </c>
      <c r="O9" s="3736">
        <v>12</v>
      </c>
      <c r="P9" s="3735">
        <v>4380000</v>
      </c>
      <c r="Q9" s="3730">
        <v>3</v>
      </c>
      <c r="R9" s="3735">
        <v>2162500</v>
      </c>
      <c r="S9" s="3730">
        <v>3</v>
      </c>
      <c r="T9" s="3873">
        <v>5499800</v>
      </c>
      <c r="U9" s="3730">
        <v>3</v>
      </c>
      <c r="V9" s="3868">
        <v>12797500</v>
      </c>
      <c r="W9" s="3730">
        <v>0</v>
      </c>
      <c r="X9" s="3747">
        <v>0</v>
      </c>
      <c r="Y9" s="3730">
        <f t="shared" si="3"/>
        <v>9</v>
      </c>
      <c r="Z9" s="3868">
        <f t="shared" si="0"/>
        <v>20459800</v>
      </c>
      <c r="AA9" s="3730">
        <f t="shared" si="1"/>
        <v>33</v>
      </c>
      <c r="AB9" s="3910">
        <f t="shared" si="1"/>
        <v>24359800</v>
      </c>
      <c r="AC9" s="3905">
        <f t="shared" si="2"/>
        <v>0.45833333333333331</v>
      </c>
      <c r="AD9" s="3869">
        <f t="shared" si="2"/>
        <v>9.6665873015873007</v>
      </c>
      <c r="AE9" s="3157" t="s">
        <v>4560</v>
      </c>
    </row>
    <row r="10" spans="1:76" s="75" customFormat="1" ht="76.5" customHeight="1">
      <c r="A10" s="3157">
        <v>9</v>
      </c>
      <c r="B10" s="3866"/>
      <c r="C10" s="3851">
        <v>5</v>
      </c>
      <c r="D10" s="1218" t="s">
        <v>66</v>
      </c>
      <c r="E10" s="1218" t="s">
        <v>66</v>
      </c>
      <c r="F10" s="3851"/>
      <c r="G10" s="3851"/>
      <c r="H10" s="1218" t="s">
        <v>448</v>
      </c>
      <c r="I10" s="728" t="s">
        <v>206</v>
      </c>
      <c r="J10" s="3866" t="s">
        <v>4420</v>
      </c>
      <c r="K10" s="3734">
        <v>72</v>
      </c>
      <c r="L10" s="3735">
        <v>20000000</v>
      </c>
      <c r="M10" s="3734">
        <v>24</v>
      </c>
      <c r="N10" s="3735">
        <v>14795000</v>
      </c>
      <c r="O10" s="3734">
        <v>12</v>
      </c>
      <c r="P10" s="3735">
        <v>15450000</v>
      </c>
      <c r="Q10" s="3730">
        <v>3</v>
      </c>
      <c r="R10" s="3735">
        <v>2182500</v>
      </c>
      <c r="S10" s="3730">
        <v>3</v>
      </c>
      <c r="T10" s="3873">
        <v>11027500</v>
      </c>
      <c r="U10" s="3730">
        <v>3</v>
      </c>
      <c r="V10" s="3868">
        <v>12797000</v>
      </c>
      <c r="W10" s="3730">
        <v>0</v>
      </c>
      <c r="X10" s="3747">
        <v>0</v>
      </c>
      <c r="Y10" s="3730">
        <f t="shared" si="3"/>
        <v>9</v>
      </c>
      <c r="Z10" s="3868">
        <f t="shared" si="0"/>
        <v>26007000</v>
      </c>
      <c r="AA10" s="3730">
        <f t="shared" si="1"/>
        <v>33</v>
      </c>
      <c r="AB10" s="3910">
        <f t="shared" si="1"/>
        <v>40802000</v>
      </c>
      <c r="AC10" s="3905">
        <f t="shared" si="2"/>
        <v>0.45833333333333331</v>
      </c>
      <c r="AD10" s="3869">
        <f t="shared" si="2"/>
        <v>2.0400999999999998</v>
      </c>
      <c r="AE10" s="3157" t="s">
        <v>4560</v>
      </c>
    </row>
    <row r="11" spans="1:76" s="75" customFormat="1" ht="83.25" customHeight="1">
      <c r="A11" s="3157">
        <v>10</v>
      </c>
      <c r="B11" s="3866"/>
      <c r="C11" s="3851">
        <v>5</v>
      </c>
      <c r="D11" s="1218" t="s">
        <v>66</v>
      </c>
      <c r="E11" s="1218" t="s">
        <v>66</v>
      </c>
      <c r="F11" s="3851"/>
      <c r="G11" s="3851"/>
      <c r="H11" s="1218" t="s">
        <v>167</v>
      </c>
      <c r="I11" s="728" t="s">
        <v>207</v>
      </c>
      <c r="J11" s="3866" t="s">
        <v>4421</v>
      </c>
      <c r="K11" s="3734">
        <v>72</v>
      </c>
      <c r="L11" s="3735">
        <v>24070000</v>
      </c>
      <c r="M11" s="3736">
        <v>24</v>
      </c>
      <c r="N11" s="3735">
        <v>34150000</v>
      </c>
      <c r="O11" s="3734">
        <v>12</v>
      </c>
      <c r="P11" s="3871">
        <v>28900000</v>
      </c>
      <c r="Q11" s="3730">
        <v>3</v>
      </c>
      <c r="R11" s="3871">
        <v>850000</v>
      </c>
      <c r="S11" s="3730">
        <v>3</v>
      </c>
      <c r="T11" s="3875">
        <v>3400000</v>
      </c>
      <c r="U11" s="3730">
        <v>3</v>
      </c>
      <c r="V11" s="3868">
        <v>19944000</v>
      </c>
      <c r="W11" s="3730">
        <v>0</v>
      </c>
      <c r="X11" s="3747">
        <v>0</v>
      </c>
      <c r="Y11" s="3730">
        <f t="shared" si="3"/>
        <v>9</v>
      </c>
      <c r="Z11" s="3874" t="s">
        <v>4483</v>
      </c>
      <c r="AA11" s="3730">
        <f t="shared" si="1"/>
        <v>33</v>
      </c>
      <c r="AB11" s="3910">
        <f t="shared" si="1"/>
        <v>36525000</v>
      </c>
      <c r="AC11" s="3905">
        <f t="shared" si="2"/>
        <v>0.45833333333333331</v>
      </c>
      <c r="AD11" s="3869">
        <f t="shared" si="2"/>
        <v>1.5174491067719154</v>
      </c>
      <c r="AE11" s="3157" t="s">
        <v>4560</v>
      </c>
    </row>
    <row r="12" spans="1:76" s="75" customFormat="1" ht="87.75" customHeight="1">
      <c r="A12" s="3157">
        <v>11</v>
      </c>
      <c r="B12" s="3866"/>
      <c r="C12" s="3851">
        <v>5</v>
      </c>
      <c r="D12" s="1218" t="s">
        <v>66</v>
      </c>
      <c r="E12" s="1218" t="s">
        <v>66</v>
      </c>
      <c r="F12" s="3851"/>
      <c r="G12" s="3851"/>
      <c r="H12" s="1218" t="s">
        <v>376</v>
      </c>
      <c r="I12" s="728" t="s">
        <v>208</v>
      </c>
      <c r="J12" s="3866" t="s">
        <v>4422</v>
      </c>
      <c r="K12" s="3734">
        <v>72</v>
      </c>
      <c r="L12" s="3735">
        <v>46250000</v>
      </c>
      <c r="M12" s="3736">
        <v>24</v>
      </c>
      <c r="N12" s="3735">
        <v>33300000</v>
      </c>
      <c r="O12" s="3734">
        <v>12</v>
      </c>
      <c r="P12" s="3735">
        <v>42520000</v>
      </c>
      <c r="Q12" s="3730">
        <v>3</v>
      </c>
      <c r="R12" s="3735">
        <v>15100000</v>
      </c>
      <c r="S12" s="3730">
        <v>3</v>
      </c>
      <c r="T12" s="3868">
        <v>29370000</v>
      </c>
      <c r="U12" s="3730">
        <v>3</v>
      </c>
      <c r="V12" s="3868">
        <v>19944000</v>
      </c>
      <c r="W12" s="3730">
        <v>0</v>
      </c>
      <c r="X12" s="3747">
        <v>0</v>
      </c>
      <c r="Y12" s="3730">
        <f t="shared" si="3"/>
        <v>9</v>
      </c>
      <c r="Z12" s="3868">
        <f t="shared" si="3"/>
        <v>64414000</v>
      </c>
      <c r="AA12" s="3730">
        <f t="shared" si="1"/>
        <v>33</v>
      </c>
      <c r="AB12" s="3910">
        <f>(N12+Z12)</f>
        <v>97714000</v>
      </c>
      <c r="AC12" s="3905">
        <f t="shared" si="2"/>
        <v>0.45833333333333331</v>
      </c>
      <c r="AD12" s="3869">
        <f t="shared" si="2"/>
        <v>2.1127351351351353</v>
      </c>
      <c r="AE12" s="3157" t="s">
        <v>4560</v>
      </c>
    </row>
    <row r="13" spans="1:76" s="75" customFormat="1" ht="61.5" customHeight="1">
      <c r="A13" s="3157">
        <v>12</v>
      </c>
      <c r="B13" s="3866"/>
      <c r="C13" s="3851">
        <v>5</v>
      </c>
      <c r="D13" s="1218" t="s">
        <v>66</v>
      </c>
      <c r="E13" s="1218" t="s">
        <v>66</v>
      </c>
      <c r="F13" s="3851"/>
      <c r="G13" s="3851"/>
      <c r="H13" s="1218">
        <v>30</v>
      </c>
      <c r="I13" s="728" t="s">
        <v>4423</v>
      </c>
      <c r="J13" s="3866" t="s">
        <v>4561</v>
      </c>
      <c r="K13" s="3734">
        <v>6</v>
      </c>
      <c r="L13" s="3735">
        <v>42600120</v>
      </c>
      <c r="M13" s="3734">
        <v>2</v>
      </c>
      <c r="N13" s="3735">
        <v>14200040</v>
      </c>
      <c r="O13" s="3734">
        <v>1</v>
      </c>
      <c r="P13" s="3735">
        <v>7100020</v>
      </c>
      <c r="Q13" s="3730"/>
      <c r="R13" s="3044">
        <v>1202400</v>
      </c>
      <c r="S13" s="3870">
        <v>1</v>
      </c>
      <c r="T13" s="3044">
        <v>4524000</v>
      </c>
      <c r="U13" s="3730"/>
      <c r="V13" s="3044">
        <v>5160000</v>
      </c>
      <c r="W13" s="3730">
        <v>0</v>
      </c>
      <c r="X13" s="3747">
        <v>0</v>
      </c>
      <c r="Y13" s="3730">
        <f t="shared" si="3"/>
        <v>1</v>
      </c>
      <c r="Z13" s="3874">
        <v>10890000</v>
      </c>
      <c r="AA13" s="3730">
        <v>33</v>
      </c>
      <c r="AB13" s="3910">
        <v>10890000</v>
      </c>
      <c r="AC13" s="3734">
        <f t="shared" si="2"/>
        <v>5.5</v>
      </c>
      <c r="AD13" s="3869">
        <f t="shared" si="2"/>
        <v>0.25563308272371066</v>
      </c>
      <c r="AE13" s="3157" t="s">
        <v>4560</v>
      </c>
    </row>
    <row r="14" spans="1:76" s="3769" customFormat="1" ht="47.25" customHeight="1">
      <c r="A14" s="2595" t="s">
        <v>31</v>
      </c>
      <c r="B14" s="2363"/>
      <c r="C14" s="2374" t="s">
        <v>4322</v>
      </c>
      <c r="D14" s="2374" t="s">
        <v>107</v>
      </c>
      <c r="E14" s="2374" t="s">
        <v>66</v>
      </c>
      <c r="F14" s="2374" t="s">
        <v>65</v>
      </c>
      <c r="G14" s="2374"/>
      <c r="H14" s="3857"/>
      <c r="I14" s="2363" t="s">
        <v>162</v>
      </c>
      <c r="J14" s="2363"/>
      <c r="K14" s="3764">
        <v>72</v>
      </c>
      <c r="L14" s="3061">
        <v>375000060</v>
      </c>
      <c r="M14" s="3764">
        <v>24</v>
      </c>
      <c r="N14" s="3061">
        <v>95290650</v>
      </c>
      <c r="O14" s="3764">
        <v>12</v>
      </c>
      <c r="P14" s="3061">
        <v>432630000</v>
      </c>
      <c r="Q14" s="3766">
        <v>3</v>
      </c>
      <c r="R14" s="3061">
        <v>14375000</v>
      </c>
      <c r="S14" s="3766"/>
      <c r="T14" s="3767" t="s">
        <v>4484</v>
      </c>
      <c r="U14" s="3766">
        <v>3</v>
      </c>
      <c r="V14" s="3876">
        <v>410493368</v>
      </c>
      <c r="W14" s="3766">
        <v>0</v>
      </c>
      <c r="X14" s="3767">
        <v>0</v>
      </c>
      <c r="Y14" s="3766">
        <f t="shared" si="3"/>
        <v>6</v>
      </c>
      <c r="Z14" s="3876">
        <v>823522686</v>
      </c>
      <c r="AA14" s="3766">
        <f t="shared" ref="AA14:AB28" si="4">(M14+Y14)</f>
        <v>30</v>
      </c>
      <c r="AB14" s="3911">
        <f t="shared" si="4"/>
        <v>918813336</v>
      </c>
      <c r="AC14" s="3906">
        <f>(AA14/K14*100%)</f>
        <v>0.41666666666666669</v>
      </c>
      <c r="AD14" s="3768">
        <f t="shared" si="2"/>
        <v>2.4501685039730394</v>
      </c>
      <c r="AE14" s="2595" t="s">
        <v>4560</v>
      </c>
    </row>
    <row r="15" spans="1:76" s="75" customFormat="1" ht="48" customHeight="1">
      <c r="A15" s="3157">
        <v>1</v>
      </c>
      <c r="B15" s="728"/>
      <c r="C15" s="1218" t="s">
        <v>4322</v>
      </c>
      <c r="D15" s="1218" t="s">
        <v>107</v>
      </c>
      <c r="E15" s="1218" t="s">
        <v>66</v>
      </c>
      <c r="F15" s="1218" t="s">
        <v>65</v>
      </c>
      <c r="G15" s="1218"/>
      <c r="H15" s="1218" t="s">
        <v>201</v>
      </c>
      <c r="I15" s="728" t="s">
        <v>4427</v>
      </c>
      <c r="J15" s="728" t="s">
        <v>4428</v>
      </c>
      <c r="K15" s="3734">
        <v>72</v>
      </c>
      <c r="L15" s="3735">
        <v>35000000</v>
      </c>
      <c r="M15" s="3736">
        <v>24</v>
      </c>
      <c r="N15" s="3735">
        <v>66200000</v>
      </c>
      <c r="O15" s="3734">
        <v>12</v>
      </c>
      <c r="P15" s="3735">
        <v>4700000</v>
      </c>
      <c r="Q15" s="3730">
        <v>3</v>
      </c>
      <c r="R15" s="3735">
        <v>1335000</v>
      </c>
      <c r="S15" s="3730">
        <v>3</v>
      </c>
      <c r="T15" s="3747" t="s">
        <v>4485</v>
      </c>
      <c r="U15" s="3730">
        <v>3</v>
      </c>
      <c r="V15" s="3868">
        <v>4700000</v>
      </c>
      <c r="W15" s="3730">
        <v>0</v>
      </c>
      <c r="X15" s="3747">
        <v>0</v>
      </c>
      <c r="Y15" s="3730">
        <f t="shared" si="3"/>
        <v>9</v>
      </c>
      <c r="Z15" s="3868">
        <v>9332000</v>
      </c>
      <c r="AA15" s="3730">
        <f t="shared" si="4"/>
        <v>33</v>
      </c>
      <c r="AB15" s="3910">
        <f t="shared" si="4"/>
        <v>75532000</v>
      </c>
      <c r="AC15" s="3905">
        <f t="shared" ref="AC15:AD28" si="5">(AA15/K15*100%)</f>
        <v>0.45833333333333331</v>
      </c>
      <c r="AD15" s="3869">
        <f t="shared" si="2"/>
        <v>2.1580571428571429</v>
      </c>
      <c r="AE15" s="3157" t="s">
        <v>4560</v>
      </c>
    </row>
    <row r="16" spans="1:76" s="75" customFormat="1" ht="39.75" customHeight="1">
      <c r="A16" s="2849">
        <v>2</v>
      </c>
      <c r="B16" s="728"/>
      <c r="C16" s="1218" t="s">
        <v>4322</v>
      </c>
      <c r="D16" s="1218" t="s">
        <v>107</v>
      </c>
      <c r="E16" s="1218" t="s">
        <v>66</v>
      </c>
      <c r="F16" s="1218" t="s">
        <v>65</v>
      </c>
      <c r="G16" s="1218"/>
      <c r="H16" s="1218" t="s">
        <v>163</v>
      </c>
      <c r="I16" s="728" t="s">
        <v>4486</v>
      </c>
      <c r="J16" s="728" t="s">
        <v>4430</v>
      </c>
      <c r="K16" s="3734">
        <v>72</v>
      </c>
      <c r="L16" s="3735">
        <v>20000000</v>
      </c>
      <c r="M16" s="3734">
        <v>24</v>
      </c>
      <c r="N16" s="3735">
        <v>9725000</v>
      </c>
      <c r="O16" s="3736">
        <v>12</v>
      </c>
      <c r="P16" s="3877" t="s">
        <v>2034</v>
      </c>
      <c r="Q16" s="3730">
        <v>0</v>
      </c>
      <c r="R16" s="3871" t="s">
        <v>2034</v>
      </c>
      <c r="S16" s="3870" t="s">
        <v>2034</v>
      </c>
      <c r="T16" s="3878" t="s">
        <v>2034</v>
      </c>
      <c r="U16" s="3870" t="s">
        <v>2034</v>
      </c>
      <c r="V16" s="3868">
        <v>0</v>
      </c>
      <c r="W16" s="3730">
        <v>0</v>
      </c>
      <c r="X16" s="3747">
        <v>0</v>
      </c>
      <c r="Y16" s="3730">
        <f t="shared" si="3"/>
        <v>0</v>
      </c>
      <c r="Z16" s="3868">
        <f t="shared" si="3"/>
        <v>0</v>
      </c>
      <c r="AA16" s="3730">
        <f t="shared" si="4"/>
        <v>24</v>
      </c>
      <c r="AB16" s="3910">
        <f t="shared" si="4"/>
        <v>9725000</v>
      </c>
      <c r="AC16" s="3905">
        <f t="shared" si="5"/>
        <v>0.33333333333333331</v>
      </c>
      <c r="AD16" s="3869">
        <f t="shared" si="2"/>
        <v>0.48625000000000002</v>
      </c>
      <c r="AE16" s="3157" t="s">
        <v>4560</v>
      </c>
    </row>
    <row r="17" spans="1:31" s="75" customFormat="1" ht="40.5" customHeight="1">
      <c r="A17" s="3157">
        <v>4</v>
      </c>
      <c r="B17" s="728"/>
      <c r="C17" s="1218">
        <v>5</v>
      </c>
      <c r="D17" s="1218" t="s">
        <v>107</v>
      </c>
      <c r="E17" s="1218" t="s">
        <v>66</v>
      </c>
      <c r="F17" s="1218" t="s">
        <v>65</v>
      </c>
      <c r="G17" s="1218"/>
      <c r="H17" s="1218">
        <v>22</v>
      </c>
      <c r="I17" s="728" t="s">
        <v>4433</v>
      </c>
      <c r="J17" s="728" t="s">
        <v>4434</v>
      </c>
      <c r="K17" s="3734">
        <v>72</v>
      </c>
      <c r="L17" s="3735">
        <v>15000000</v>
      </c>
      <c r="M17" s="3736">
        <v>24</v>
      </c>
      <c r="N17" s="3735">
        <v>24346500</v>
      </c>
      <c r="O17" s="3734">
        <v>12</v>
      </c>
      <c r="P17" s="3735">
        <v>3925000</v>
      </c>
      <c r="Q17" s="3730">
        <v>3</v>
      </c>
      <c r="R17" s="3735">
        <v>500000</v>
      </c>
      <c r="S17" s="3730">
        <v>3</v>
      </c>
      <c r="T17" s="3747" t="s">
        <v>4487</v>
      </c>
      <c r="U17" s="3730">
        <v>3</v>
      </c>
      <c r="V17" s="3874">
        <v>3365500</v>
      </c>
      <c r="W17" s="3730">
        <v>0</v>
      </c>
      <c r="X17" s="3878">
        <v>0</v>
      </c>
      <c r="Y17" s="3730">
        <f t="shared" si="3"/>
        <v>9</v>
      </c>
      <c r="Z17" s="3868">
        <v>5703500</v>
      </c>
      <c r="AA17" s="3730">
        <f t="shared" si="4"/>
        <v>33</v>
      </c>
      <c r="AB17" s="3910">
        <f>(N17+Z17)</f>
        <v>30050000</v>
      </c>
      <c r="AC17" s="3905">
        <f t="shared" si="5"/>
        <v>0.45833333333333331</v>
      </c>
      <c r="AD17" s="3869">
        <f t="shared" si="2"/>
        <v>2.0033333333333334</v>
      </c>
      <c r="AE17" s="3157" t="s">
        <v>4560</v>
      </c>
    </row>
    <row r="18" spans="1:31" s="75" customFormat="1" ht="52.5" customHeight="1">
      <c r="A18" s="3157">
        <v>5</v>
      </c>
      <c r="B18" s="728"/>
      <c r="C18" s="1218" t="s">
        <v>4322</v>
      </c>
      <c r="D18" s="1218" t="s">
        <v>107</v>
      </c>
      <c r="E18" s="1218" t="s">
        <v>66</v>
      </c>
      <c r="F18" s="1218" t="s">
        <v>65</v>
      </c>
      <c r="G18" s="1218"/>
      <c r="H18" s="1218" t="s">
        <v>165</v>
      </c>
      <c r="I18" s="728" t="s">
        <v>4435</v>
      </c>
      <c r="J18" s="728" t="s">
        <v>4436</v>
      </c>
      <c r="K18" s="3734">
        <v>72</v>
      </c>
      <c r="L18" s="3735">
        <v>26104000</v>
      </c>
      <c r="M18" s="3736">
        <v>24</v>
      </c>
      <c r="N18" s="3735">
        <v>50087560</v>
      </c>
      <c r="O18" s="3734">
        <v>12</v>
      </c>
      <c r="P18" s="3735">
        <v>44005000</v>
      </c>
      <c r="Q18" s="3730">
        <v>3</v>
      </c>
      <c r="R18" s="3735">
        <v>12540000</v>
      </c>
      <c r="S18" s="3730">
        <v>3</v>
      </c>
      <c r="T18" s="3747" t="s">
        <v>4488</v>
      </c>
      <c r="U18" s="3730">
        <v>3</v>
      </c>
      <c r="V18" s="3868">
        <v>35177868</v>
      </c>
      <c r="W18" s="3730">
        <v>0</v>
      </c>
      <c r="X18" s="3747">
        <v>0</v>
      </c>
      <c r="Y18" s="3730">
        <f t="shared" si="3"/>
        <v>9</v>
      </c>
      <c r="Z18" s="3868">
        <v>72237186</v>
      </c>
      <c r="AA18" s="3730">
        <f t="shared" si="4"/>
        <v>33</v>
      </c>
      <c r="AB18" s="3910">
        <f t="shared" si="4"/>
        <v>122324746</v>
      </c>
      <c r="AC18" s="3905">
        <f t="shared" si="5"/>
        <v>0.45833333333333331</v>
      </c>
      <c r="AD18" s="3869">
        <f t="shared" si="2"/>
        <v>4.6860537082439473</v>
      </c>
      <c r="AE18" s="3157" t="s">
        <v>4560</v>
      </c>
    </row>
    <row r="19" spans="1:31" s="75" customFormat="1" ht="52.5" customHeight="1">
      <c r="A19" s="2849">
        <v>6</v>
      </c>
      <c r="B19" s="728"/>
      <c r="C19" s="1218" t="s">
        <v>4322</v>
      </c>
      <c r="D19" s="1218" t="s">
        <v>107</v>
      </c>
      <c r="E19" s="1218" t="s">
        <v>66</v>
      </c>
      <c r="F19" s="1218" t="s">
        <v>65</v>
      </c>
      <c r="G19" s="1218"/>
      <c r="H19" s="1218" t="s">
        <v>165</v>
      </c>
      <c r="I19" s="728" t="s">
        <v>4489</v>
      </c>
      <c r="J19" s="728" t="s">
        <v>4490</v>
      </c>
      <c r="K19" s="3734">
        <v>72</v>
      </c>
      <c r="L19" s="3871" t="s">
        <v>154</v>
      </c>
      <c r="M19" s="3736">
        <v>24</v>
      </c>
      <c r="N19" s="3735">
        <v>3840000</v>
      </c>
      <c r="O19" s="3871" t="s">
        <v>160</v>
      </c>
      <c r="P19" s="3871">
        <v>380000000</v>
      </c>
      <c r="Q19" s="3730">
        <v>0</v>
      </c>
      <c r="R19" s="3877" t="s">
        <v>154</v>
      </c>
      <c r="S19" s="3730">
        <v>3</v>
      </c>
      <c r="T19" s="3747">
        <v>369000000</v>
      </c>
      <c r="U19" s="3730">
        <v>3</v>
      </c>
      <c r="V19" s="3868">
        <v>367250000</v>
      </c>
      <c r="W19" s="3730">
        <v>0</v>
      </c>
      <c r="X19" s="3747">
        <v>0</v>
      </c>
      <c r="Y19" s="3730">
        <v>6</v>
      </c>
      <c r="Z19" s="3868">
        <v>736250000</v>
      </c>
      <c r="AA19" s="3730">
        <f t="shared" si="4"/>
        <v>30</v>
      </c>
      <c r="AB19" s="3910">
        <v>377680000</v>
      </c>
      <c r="AC19" s="3905">
        <f t="shared" si="5"/>
        <v>0.41666666666666669</v>
      </c>
      <c r="AD19" s="3869">
        <v>0.78</v>
      </c>
      <c r="AE19" s="3157" t="s">
        <v>4560</v>
      </c>
    </row>
    <row r="20" spans="1:31" s="3769" customFormat="1" ht="73.5" customHeight="1">
      <c r="A20" s="2595" t="s">
        <v>123</v>
      </c>
      <c r="B20" s="3859"/>
      <c r="C20" s="3857">
        <v>5</v>
      </c>
      <c r="D20" s="2374">
        <v>0</v>
      </c>
      <c r="E20" s="2374">
        <v>1</v>
      </c>
      <c r="F20" s="2374">
        <v>21</v>
      </c>
      <c r="G20" s="2374"/>
      <c r="H20" s="2374"/>
      <c r="I20" s="2363" t="s">
        <v>2620</v>
      </c>
      <c r="J20" s="3859"/>
      <c r="K20" s="3764">
        <v>72</v>
      </c>
      <c r="L20" s="3061">
        <v>125000000</v>
      </c>
      <c r="M20" s="3765">
        <v>24</v>
      </c>
      <c r="N20" s="3061">
        <v>45450000</v>
      </c>
      <c r="O20" s="3764">
        <v>12</v>
      </c>
      <c r="P20" s="3061">
        <v>3575000</v>
      </c>
      <c r="Q20" s="3766">
        <v>3</v>
      </c>
      <c r="R20" s="3061">
        <v>1007500</v>
      </c>
      <c r="S20" s="3879" t="s">
        <v>2034</v>
      </c>
      <c r="T20" s="3880" t="s">
        <v>2034</v>
      </c>
      <c r="U20" s="3766">
        <v>3</v>
      </c>
      <c r="V20" s="3881">
        <v>1375000</v>
      </c>
      <c r="W20" s="3766">
        <v>0</v>
      </c>
      <c r="X20" s="3880" t="s">
        <v>2034</v>
      </c>
      <c r="Y20" s="3766">
        <v>6</v>
      </c>
      <c r="Z20" s="3876">
        <f t="shared" ref="Z20:Z21" si="6">(R20+T20+V20+X20)</f>
        <v>2382500</v>
      </c>
      <c r="AA20" s="3766">
        <f t="shared" si="4"/>
        <v>30</v>
      </c>
      <c r="AB20" s="3911">
        <f t="shared" si="4"/>
        <v>47832500</v>
      </c>
      <c r="AC20" s="3906">
        <f t="shared" si="5"/>
        <v>0.41666666666666669</v>
      </c>
      <c r="AD20" s="3768">
        <f t="shared" si="5"/>
        <v>0.38266</v>
      </c>
      <c r="AE20" s="2595" t="s">
        <v>4560</v>
      </c>
    </row>
    <row r="21" spans="1:31" s="75" customFormat="1" ht="38.25" customHeight="1">
      <c r="A21" s="3157">
        <v>1</v>
      </c>
      <c r="B21" s="3854"/>
      <c r="C21" s="3851">
        <v>5</v>
      </c>
      <c r="D21" s="1218">
        <v>0</v>
      </c>
      <c r="E21" s="1218">
        <v>1</v>
      </c>
      <c r="F21" s="1218">
        <v>21</v>
      </c>
      <c r="G21" s="1218"/>
      <c r="H21" s="1218">
        <v>1</v>
      </c>
      <c r="I21" s="728" t="s">
        <v>4491</v>
      </c>
      <c r="J21" s="728" t="s">
        <v>4441</v>
      </c>
      <c r="K21" s="3734">
        <v>72</v>
      </c>
      <c r="L21" s="3735">
        <v>125000000</v>
      </c>
      <c r="M21" s="3736">
        <v>24</v>
      </c>
      <c r="N21" s="3735">
        <v>45450000</v>
      </c>
      <c r="O21" s="3734">
        <v>12</v>
      </c>
      <c r="P21" s="3735">
        <v>3575000</v>
      </c>
      <c r="Q21" s="3730">
        <v>3</v>
      </c>
      <c r="R21" s="3735">
        <v>1007500</v>
      </c>
      <c r="S21" s="3730">
        <v>0</v>
      </c>
      <c r="T21" s="3878" t="s">
        <v>2034</v>
      </c>
      <c r="U21" s="3704">
        <v>3</v>
      </c>
      <c r="V21" s="3874">
        <v>1375000</v>
      </c>
      <c r="W21" s="3730">
        <v>0</v>
      </c>
      <c r="X21" s="3157">
        <v>0</v>
      </c>
      <c r="Y21" s="3730">
        <v>6</v>
      </c>
      <c r="Z21" s="3868">
        <f t="shared" si="6"/>
        <v>2382500</v>
      </c>
      <c r="AA21" s="3730">
        <f t="shared" si="4"/>
        <v>30</v>
      </c>
      <c r="AB21" s="3910">
        <f t="shared" si="4"/>
        <v>47832500</v>
      </c>
      <c r="AC21" s="3907">
        <f t="shared" si="5"/>
        <v>0.41666666666666669</v>
      </c>
      <c r="AD21" s="3706">
        <f t="shared" si="5"/>
        <v>0.38266</v>
      </c>
      <c r="AE21" s="3157" t="s">
        <v>4560</v>
      </c>
    </row>
    <row r="22" spans="1:31" s="75" customFormat="1" ht="52.5" customHeight="1">
      <c r="A22" s="2849" t="s">
        <v>3252</v>
      </c>
      <c r="B22" s="618"/>
      <c r="C22" s="753">
        <v>5</v>
      </c>
      <c r="D22" s="2071" t="s">
        <v>107</v>
      </c>
      <c r="E22" s="2374" t="s">
        <v>66</v>
      </c>
      <c r="F22" s="3857">
        <v>17</v>
      </c>
      <c r="G22" s="3857"/>
      <c r="H22" s="2374"/>
      <c r="I22" s="2363" t="s">
        <v>4443</v>
      </c>
      <c r="J22" s="3859"/>
      <c r="K22" s="3764">
        <v>72</v>
      </c>
      <c r="L22" s="3061">
        <v>35000000</v>
      </c>
      <c r="M22" s="3765">
        <v>24</v>
      </c>
      <c r="N22" s="3061">
        <v>26525000</v>
      </c>
      <c r="O22" s="3764">
        <v>12</v>
      </c>
      <c r="P22" s="3061">
        <v>88480000</v>
      </c>
      <c r="Q22" s="3766">
        <v>0</v>
      </c>
      <c r="R22" s="3880" t="s">
        <v>2034</v>
      </c>
      <c r="S22" s="3766">
        <v>0</v>
      </c>
      <c r="T22" s="3767" t="s">
        <v>4492</v>
      </c>
      <c r="U22" s="3766">
        <v>3</v>
      </c>
      <c r="V22" s="3881">
        <v>88479750</v>
      </c>
      <c r="W22" s="3766">
        <v>0</v>
      </c>
      <c r="X22" s="3880" t="s">
        <v>2034</v>
      </c>
      <c r="Y22" s="3766">
        <v>6</v>
      </c>
      <c r="Z22" s="3876">
        <v>1925000</v>
      </c>
      <c r="AA22" s="3766">
        <f t="shared" si="4"/>
        <v>30</v>
      </c>
      <c r="AB22" s="3911">
        <f t="shared" si="4"/>
        <v>28450000</v>
      </c>
      <c r="AC22" s="3906">
        <f t="shared" si="5"/>
        <v>0.41666666666666669</v>
      </c>
      <c r="AD22" s="3768">
        <f t="shared" si="5"/>
        <v>0.81285714285714283</v>
      </c>
      <c r="AE22" s="2595" t="s">
        <v>4560</v>
      </c>
    </row>
    <row r="23" spans="1:31" s="75" customFormat="1" ht="37.5" customHeight="1">
      <c r="A23" s="3157">
        <v>1</v>
      </c>
      <c r="B23" s="728"/>
      <c r="C23" s="3851">
        <v>5</v>
      </c>
      <c r="D23" s="1218" t="s">
        <v>107</v>
      </c>
      <c r="E23" s="1218" t="s">
        <v>66</v>
      </c>
      <c r="F23" s="3851">
        <v>17</v>
      </c>
      <c r="G23" s="3851"/>
      <c r="H23" s="1218" t="s">
        <v>197</v>
      </c>
      <c r="I23" s="728" t="s">
        <v>4445</v>
      </c>
      <c r="J23" s="3854" t="s">
        <v>4446</v>
      </c>
      <c r="K23" s="3734">
        <v>6</v>
      </c>
      <c r="L23" s="3735">
        <v>35000000</v>
      </c>
      <c r="M23" s="3736">
        <v>2</v>
      </c>
      <c r="N23" s="3735">
        <v>26525000</v>
      </c>
      <c r="O23" s="3734">
        <v>1</v>
      </c>
      <c r="P23" s="3735">
        <v>88480000</v>
      </c>
      <c r="Q23" s="3730">
        <v>0</v>
      </c>
      <c r="R23" s="3871" t="s">
        <v>2034</v>
      </c>
      <c r="S23" s="3704">
        <v>0</v>
      </c>
      <c r="T23" s="3747" t="s">
        <v>4492</v>
      </c>
      <c r="U23" s="3730">
        <v>3</v>
      </c>
      <c r="V23" s="3868">
        <v>88479750</v>
      </c>
      <c r="W23" s="3730">
        <v>0</v>
      </c>
      <c r="X23" s="3747">
        <v>0</v>
      </c>
      <c r="Y23" s="3730">
        <v>6</v>
      </c>
      <c r="Z23" s="3868">
        <v>1925000</v>
      </c>
      <c r="AA23" s="3730">
        <f t="shared" si="4"/>
        <v>8</v>
      </c>
      <c r="AB23" s="3910">
        <f t="shared" si="4"/>
        <v>28450000</v>
      </c>
      <c r="AC23" s="3905">
        <f t="shared" si="5"/>
        <v>1.3333333333333333</v>
      </c>
      <c r="AD23" s="3869">
        <f t="shared" si="5"/>
        <v>0.81285714285714283</v>
      </c>
      <c r="AE23" s="3157" t="s">
        <v>4560</v>
      </c>
    </row>
    <row r="24" spans="1:31" s="3769" customFormat="1" ht="54" customHeight="1">
      <c r="A24" s="2595" t="s">
        <v>3253</v>
      </c>
      <c r="B24" s="3859"/>
      <c r="C24" s="3857">
        <v>5</v>
      </c>
      <c r="D24" s="2374" t="s">
        <v>107</v>
      </c>
      <c r="E24" s="2374" t="s">
        <v>66</v>
      </c>
      <c r="F24" s="3857">
        <v>16</v>
      </c>
      <c r="G24" s="3857"/>
      <c r="H24" s="2374"/>
      <c r="I24" s="2363" t="s">
        <v>4449</v>
      </c>
      <c r="J24" s="3859"/>
      <c r="K24" s="3764">
        <v>72</v>
      </c>
      <c r="L24" s="3061">
        <v>7000000</v>
      </c>
      <c r="M24" s="3765">
        <v>24</v>
      </c>
      <c r="N24" s="3061">
        <v>17305000</v>
      </c>
      <c r="O24" s="3764">
        <v>0</v>
      </c>
      <c r="P24" s="3880" t="s">
        <v>2034</v>
      </c>
      <c r="Q24" s="3766">
        <v>0</v>
      </c>
      <c r="R24" s="3880" t="s">
        <v>154</v>
      </c>
      <c r="S24" s="3766">
        <v>0</v>
      </c>
      <c r="T24" s="3880" t="s">
        <v>2034</v>
      </c>
      <c r="U24" s="3879" t="s">
        <v>2034</v>
      </c>
      <c r="V24" s="3881" t="s">
        <v>2034</v>
      </c>
      <c r="W24" s="3766">
        <v>0</v>
      </c>
      <c r="X24" s="3880" t="s">
        <v>2034</v>
      </c>
      <c r="Y24" s="3766">
        <f t="shared" ref="Y24:Z28" si="7">(Q24+S24+U24+W24)</f>
        <v>0</v>
      </c>
      <c r="Z24" s="3884" t="s">
        <v>2034</v>
      </c>
      <c r="AA24" s="3766">
        <f t="shared" si="4"/>
        <v>24</v>
      </c>
      <c r="AB24" s="3911">
        <f t="shared" si="4"/>
        <v>17305000</v>
      </c>
      <c r="AC24" s="3906">
        <f t="shared" si="5"/>
        <v>0.33333333333333331</v>
      </c>
      <c r="AD24" s="3768">
        <f t="shared" si="5"/>
        <v>2.472142857142857</v>
      </c>
      <c r="AE24" s="2595" t="s">
        <v>4560</v>
      </c>
    </row>
    <row r="25" spans="1:31" s="75" customFormat="1" ht="38.25" customHeight="1">
      <c r="A25" s="3157">
        <v>1</v>
      </c>
      <c r="B25" s="3854"/>
      <c r="C25" s="3851">
        <v>5</v>
      </c>
      <c r="D25" s="1218">
        <v>0</v>
      </c>
      <c r="E25" s="1218" t="s">
        <v>66</v>
      </c>
      <c r="F25" s="3851">
        <v>16</v>
      </c>
      <c r="G25" s="3851"/>
      <c r="H25" s="1218">
        <v>20</v>
      </c>
      <c r="I25" s="3854" t="s">
        <v>4451</v>
      </c>
      <c r="J25" s="3854" t="s">
        <v>4452</v>
      </c>
      <c r="K25" s="3734">
        <v>60</v>
      </c>
      <c r="L25" s="3735">
        <v>7000000</v>
      </c>
      <c r="M25" s="3736">
        <v>24</v>
      </c>
      <c r="N25" s="3735">
        <v>17305000</v>
      </c>
      <c r="O25" s="3734">
        <v>0</v>
      </c>
      <c r="P25" s="3735">
        <v>0</v>
      </c>
      <c r="Q25" s="3704">
        <v>0</v>
      </c>
      <c r="R25" s="3735">
        <v>0</v>
      </c>
      <c r="S25" s="3704">
        <v>0</v>
      </c>
      <c r="T25" s="3726">
        <v>0</v>
      </c>
      <c r="U25" s="3885" t="s">
        <v>2034</v>
      </c>
      <c r="V25" s="3883">
        <v>0</v>
      </c>
      <c r="W25" s="3704">
        <v>0</v>
      </c>
      <c r="X25" s="3745">
        <v>0</v>
      </c>
      <c r="Y25" s="3704">
        <f t="shared" si="7"/>
        <v>0</v>
      </c>
      <c r="Z25" s="3883">
        <f t="shared" si="7"/>
        <v>0</v>
      </c>
      <c r="AA25" s="3704">
        <f t="shared" si="4"/>
        <v>24</v>
      </c>
      <c r="AB25" s="3912">
        <f t="shared" si="4"/>
        <v>17305000</v>
      </c>
      <c r="AC25" s="3907">
        <f t="shared" si="5"/>
        <v>0.4</v>
      </c>
      <c r="AD25" s="3706">
        <f t="shared" si="5"/>
        <v>2.472142857142857</v>
      </c>
      <c r="AE25" s="3157" t="s">
        <v>4560</v>
      </c>
    </row>
    <row r="26" spans="1:31" s="75" customFormat="1" ht="46.5" customHeight="1">
      <c r="A26" s="2849" t="s">
        <v>3294</v>
      </c>
      <c r="B26" s="618"/>
      <c r="C26" s="753">
        <v>5</v>
      </c>
      <c r="D26" s="2071" t="s">
        <v>107</v>
      </c>
      <c r="E26" s="2071" t="s">
        <v>66</v>
      </c>
      <c r="F26" s="753">
        <v>18</v>
      </c>
      <c r="G26" s="753"/>
      <c r="H26" s="2071"/>
      <c r="I26" s="383" t="s">
        <v>2466</v>
      </c>
      <c r="J26" s="618"/>
      <c r="K26" s="3703">
        <v>72</v>
      </c>
      <c r="L26" s="3725">
        <v>26000000</v>
      </c>
      <c r="M26" s="3732">
        <v>24</v>
      </c>
      <c r="N26" s="3725">
        <v>27480000</v>
      </c>
      <c r="O26" s="3703">
        <v>12</v>
      </c>
      <c r="P26" s="3725">
        <v>13800000</v>
      </c>
      <c r="Q26" s="3704">
        <v>0</v>
      </c>
      <c r="R26" s="3725">
        <v>0</v>
      </c>
      <c r="S26" s="3704">
        <v>3</v>
      </c>
      <c r="T26" s="3726">
        <f>(T27)</f>
        <v>10340000</v>
      </c>
      <c r="U26" s="3704">
        <v>3</v>
      </c>
      <c r="V26" s="3883">
        <v>13720000</v>
      </c>
      <c r="W26" s="3704">
        <v>0</v>
      </c>
      <c r="X26" s="3745">
        <v>0</v>
      </c>
      <c r="Y26" s="3704">
        <f t="shared" si="7"/>
        <v>6</v>
      </c>
      <c r="Z26" s="3883">
        <f t="shared" si="7"/>
        <v>24060000</v>
      </c>
      <c r="AA26" s="3704">
        <v>5</v>
      </c>
      <c r="AB26" s="3912">
        <f t="shared" si="4"/>
        <v>51540000</v>
      </c>
      <c r="AC26" s="3907">
        <f t="shared" si="5"/>
        <v>6.9444444444444448E-2</v>
      </c>
      <c r="AD26" s="3706">
        <f t="shared" si="5"/>
        <v>1.9823076923076923</v>
      </c>
      <c r="AE26" s="2849" t="s">
        <v>4560</v>
      </c>
    </row>
    <row r="27" spans="1:31" s="75" customFormat="1" ht="63.75" customHeight="1">
      <c r="A27" s="3157">
        <v>1</v>
      </c>
      <c r="B27" s="3854"/>
      <c r="C27" s="753">
        <v>5</v>
      </c>
      <c r="D27" s="2071" t="s">
        <v>107</v>
      </c>
      <c r="E27" s="2071" t="s">
        <v>66</v>
      </c>
      <c r="F27" s="753">
        <v>18</v>
      </c>
      <c r="G27" s="753"/>
      <c r="H27" s="2071" t="s">
        <v>198</v>
      </c>
      <c r="I27" s="3854" t="s">
        <v>4454</v>
      </c>
      <c r="J27" s="3854" t="s">
        <v>4455</v>
      </c>
      <c r="K27" s="3734">
        <v>6</v>
      </c>
      <c r="L27" s="3735">
        <v>26000000</v>
      </c>
      <c r="M27" s="3736">
        <v>2</v>
      </c>
      <c r="N27" s="3735">
        <v>27480000</v>
      </c>
      <c r="O27" s="3734">
        <v>1</v>
      </c>
      <c r="P27" s="3735">
        <v>13800000</v>
      </c>
      <c r="Q27" s="3704">
        <v>0</v>
      </c>
      <c r="R27" s="3735">
        <v>0</v>
      </c>
      <c r="S27" s="3704">
        <v>3</v>
      </c>
      <c r="T27" s="3726">
        <v>10340000</v>
      </c>
      <c r="U27" s="3704">
        <v>3</v>
      </c>
      <c r="V27" s="3886">
        <v>13720000</v>
      </c>
      <c r="W27" s="3704">
        <v>0</v>
      </c>
      <c r="X27" s="3745">
        <v>0</v>
      </c>
      <c r="Y27" s="3704">
        <f t="shared" si="7"/>
        <v>6</v>
      </c>
      <c r="Z27" s="3883">
        <f t="shared" si="7"/>
        <v>24060000</v>
      </c>
      <c r="AA27" s="3704">
        <f t="shared" ref="AA27:AA28" si="8">(M27+Y27)</f>
        <v>8</v>
      </c>
      <c r="AB27" s="3912">
        <f t="shared" si="4"/>
        <v>51540000</v>
      </c>
      <c r="AC27" s="3907">
        <f t="shared" si="5"/>
        <v>1.3333333333333333</v>
      </c>
      <c r="AD27" s="3706">
        <f t="shared" si="5"/>
        <v>1.9823076923076923</v>
      </c>
      <c r="AE27" s="3157" t="s">
        <v>4560</v>
      </c>
    </row>
    <row r="28" spans="1:31" s="3769" customFormat="1" ht="87" customHeight="1">
      <c r="A28" s="2595" t="s">
        <v>3347</v>
      </c>
      <c r="B28" s="3859"/>
      <c r="C28" s="3857">
        <v>5</v>
      </c>
      <c r="D28" s="2374" t="s">
        <v>107</v>
      </c>
      <c r="E28" s="2374" t="s">
        <v>66</v>
      </c>
      <c r="F28" s="3857">
        <v>19</v>
      </c>
      <c r="G28" s="3857"/>
      <c r="H28" s="2374"/>
      <c r="I28" s="3859" t="s">
        <v>4456</v>
      </c>
      <c r="J28" s="3859"/>
      <c r="K28" s="3764">
        <v>72</v>
      </c>
      <c r="L28" s="3061">
        <v>6000000</v>
      </c>
      <c r="M28" s="3765">
        <v>24</v>
      </c>
      <c r="N28" s="3061">
        <v>35855500</v>
      </c>
      <c r="O28" s="3764">
        <v>12</v>
      </c>
      <c r="P28" s="3061">
        <v>30035000</v>
      </c>
      <c r="Q28" s="3766">
        <v>3</v>
      </c>
      <c r="R28" s="3061">
        <v>2840000</v>
      </c>
      <c r="S28" s="3766">
        <v>3</v>
      </c>
      <c r="T28" s="3061" t="s">
        <v>4493</v>
      </c>
      <c r="U28" s="3766">
        <v>3</v>
      </c>
      <c r="V28" s="3881">
        <v>19232500</v>
      </c>
      <c r="W28" s="3766">
        <v>0</v>
      </c>
      <c r="X28" s="3887">
        <v>0</v>
      </c>
      <c r="Y28" s="3766">
        <f t="shared" si="7"/>
        <v>9</v>
      </c>
      <c r="Z28" s="3876">
        <v>15090000</v>
      </c>
      <c r="AA28" s="3766">
        <f t="shared" si="8"/>
        <v>33</v>
      </c>
      <c r="AB28" s="3911">
        <f t="shared" si="4"/>
        <v>50945500</v>
      </c>
      <c r="AC28" s="3906">
        <f t="shared" si="5"/>
        <v>0.45833333333333331</v>
      </c>
      <c r="AD28" s="3768">
        <f t="shared" si="5"/>
        <v>8.4909166666666671</v>
      </c>
      <c r="AE28" s="2595" t="s">
        <v>4560</v>
      </c>
    </row>
    <row r="29" spans="1:31" s="75" customFormat="1" ht="75" customHeight="1">
      <c r="A29" s="2849"/>
      <c r="B29" s="728"/>
      <c r="C29" s="753">
        <v>5</v>
      </c>
      <c r="D29" s="2071">
        <v>2</v>
      </c>
      <c r="E29" s="2071">
        <v>2</v>
      </c>
      <c r="F29" s="2071" t="s">
        <v>161</v>
      </c>
      <c r="G29" s="2071"/>
      <c r="H29" s="2071" t="s">
        <v>4494</v>
      </c>
      <c r="I29" s="3854" t="s">
        <v>4495</v>
      </c>
      <c r="J29" s="3854" t="s">
        <v>4496</v>
      </c>
      <c r="K29" s="3732" t="s">
        <v>2034</v>
      </c>
      <c r="L29" s="3882" t="s">
        <v>2034</v>
      </c>
      <c r="M29" s="3732" t="s">
        <v>2034</v>
      </c>
      <c r="N29" s="3882" t="s">
        <v>2034</v>
      </c>
      <c r="O29" s="3734">
        <v>12</v>
      </c>
      <c r="P29" s="3735">
        <v>18505000</v>
      </c>
      <c r="Q29" s="3730">
        <v>3</v>
      </c>
      <c r="R29" s="3735">
        <v>2240000</v>
      </c>
      <c r="S29" s="3704">
        <v>3</v>
      </c>
      <c r="T29" s="3735" t="s">
        <v>4497</v>
      </c>
      <c r="U29" s="3885">
        <v>3</v>
      </c>
      <c r="V29" s="3877">
        <v>11967500</v>
      </c>
      <c r="W29" s="3885" t="s">
        <v>2034</v>
      </c>
      <c r="X29" s="3888" t="s">
        <v>2034</v>
      </c>
      <c r="Y29" s="3885">
        <v>9</v>
      </c>
      <c r="Z29" s="3868">
        <v>9630000</v>
      </c>
      <c r="AA29" s="3730">
        <v>33</v>
      </c>
      <c r="AB29" s="3910">
        <v>9630000</v>
      </c>
      <c r="AC29" s="3907">
        <v>9630000</v>
      </c>
      <c r="AD29" s="3706">
        <v>9.6300000000000008</v>
      </c>
      <c r="AE29" s="2849" t="s">
        <v>4560</v>
      </c>
    </row>
    <row r="30" spans="1:31" s="75" customFormat="1" ht="63" customHeight="1">
      <c r="A30" s="3157">
        <v>1</v>
      </c>
      <c r="B30" s="728"/>
      <c r="C30" s="753">
        <v>5</v>
      </c>
      <c r="D30" s="2071">
        <v>2</v>
      </c>
      <c r="E30" s="2071">
        <v>2</v>
      </c>
      <c r="F30" s="2071" t="s">
        <v>161</v>
      </c>
      <c r="G30" s="2071"/>
      <c r="H30" s="2071" t="s">
        <v>4494</v>
      </c>
      <c r="I30" s="728" t="s">
        <v>4498</v>
      </c>
      <c r="J30" s="3854" t="s">
        <v>4499</v>
      </c>
      <c r="K30" s="3734">
        <v>72</v>
      </c>
      <c r="L30" s="3735">
        <v>6000000</v>
      </c>
      <c r="M30" s="3736">
        <v>24</v>
      </c>
      <c r="N30" s="3735">
        <v>35855500</v>
      </c>
      <c r="O30" s="3734">
        <v>12</v>
      </c>
      <c r="P30" s="3735">
        <v>11530000</v>
      </c>
      <c r="Q30" s="3730">
        <v>3</v>
      </c>
      <c r="R30" s="3735">
        <v>600000</v>
      </c>
      <c r="S30" s="3730">
        <v>3</v>
      </c>
      <c r="T30" s="3747" t="s">
        <v>4500</v>
      </c>
      <c r="U30" s="3730">
        <v>3</v>
      </c>
      <c r="V30" s="3868">
        <v>7265000</v>
      </c>
      <c r="W30" s="3730">
        <v>0</v>
      </c>
      <c r="X30" s="3889">
        <v>0</v>
      </c>
      <c r="Y30" s="3730">
        <f t="shared" ref="Y30:Y32" si="9">(Q30+S30+U30+W30)</f>
        <v>9</v>
      </c>
      <c r="Z30" s="3868">
        <v>5460000</v>
      </c>
      <c r="AA30" s="3730">
        <f t="shared" ref="AA30:AB35" si="10">(M30+Y30)</f>
        <v>33</v>
      </c>
      <c r="AB30" s="3910">
        <f t="shared" si="10"/>
        <v>41315500</v>
      </c>
      <c r="AC30" s="3905">
        <f t="shared" ref="AC30:AD38" si="11">(AA30/K30*100%)</f>
        <v>0.45833333333333331</v>
      </c>
      <c r="AD30" s="3869">
        <f t="shared" si="11"/>
        <v>6.8859166666666667</v>
      </c>
      <c r="AE30" s="3157" t="s">
        <v>4560</v>
      </c>
    </row>
    <row r="31" spans="1:31" s="3769" customFormat="1" ht="52.5" customHeight="1">
      <c r="A31" s="2595" t="s">
        <v>3353</v>
      </c>
      <c r="B31" s="3859"/>
      <c r="C31" s="3857">
        <v>5</v>
      </c>
      <c r="D31" s="2374" t="s">
        <v>107</v>
      </c>
      <c r="E31" s="2374" t="s">
        <v>66</v>
      </c>
      <c r="F31" s="3857">
        <v>56</v>
      </c>
      <c r="G31" s="3857"/>
      <c r="H31" s="2374"/>
      <c r="I31" s="3858" t="s">
        <v>4459</v>
      </c>
      <c r="J31" s="3858"/>
      <c r="K31" s="3764">
        <v>72</v>
      </c>
      <c r="L31" s="3061">
        <v>605678400</v>
      </c>
      <c r="M31" s="3765">
        <v>24</v>
      </c>
      <c r="N31" s="3061">
        <v>189678400</v>
      </c>
      <c r="O31" s="3764">
        <v>12</v>
      </c>
      <c r="P31" s="3061">
        <v>99892900</v>
      </c>
      <c r="Q31" s="3766">
        <v>3</v>
      </c>
      <c r="R31" s="3061">
        <v>34223460</v>
      </c>
      <c r="S31" s="3766">
        <v>3</v>
      </c>
      <c r="T31" s="3061" t="s">
        <v>4501</v>
      </c>
      <c r="U31" s="3766">
        <v>3</v>
      </c>
      <c r="V31" s="2510">
        <v>124326892</v>
      </c>
      <c r="W31" s="3766">
        <v>0</v>
      </c>
      <c r="X31" s="3061">
        <v>0</v>
      </c>
      <c r="Y31" s="3766">
        <f t="shared" si="9"/>
        <v>9</v>
      </c>
      <c r="Z31" s="2510">
        <v>35051908</v>
      </c>
      <c r="AA31" s="3766">
        <f t="shared" si="10"/>
        <v>33</v>
      </c>
      <c r="AB31" s="3911">
        <f t="shared" si="10"/>
        <v>224730308</v>
      </c>
      <c r="AC31" s="3906">
        <f t="shared" si="11"/>
        <v>0.45833333333333331</v>
      </c>
      <c r="AD31" s="3768">
        <f t="shared" si="11"/>
        <v>0.37103900023510827</v>
      </c>
      <c r="AE31" s="2595" t="s">
        <v>4560</v>
      </c>
    </row>
    <row r="32" spans="1:31" s="75" customFormat="1" ht="58.5" customHeight="1">
      <c r="A32" s="3157">
        <v>1</v>
      </c>
      <c r="B32" s="3854"/>
      <c r="C32" s="753">
        <v>5</v>
      </c>
      <c r="D32" s="2071" t="s">
        <v>107</v>
      </c>
      <c r="E32" s="2071" t="s">
        <v>66</v>
      </c>
      <c r="F32" s="753">
        <v>56</v>
      </c>
      <c r="G32" s="753"/>
      <c r="H32" s="2071" t="s">
        <v>66</v>
      </c>
      <c r="I32" s="1936" t="s">
        <v>4285</v>
      </c>
      <c r="J32" s="3854" t="s">
        <v>4461</v>
      </c>
      <c r="K32" s="3734">
        <v>72</v>
      </c>
      <c r="L32" s="3735">
        <v>47000000</v>
      </c>
      <c r="M32" s="3736">
        <v>24</v>
      </c>
      <c r="N32" s="3735">
        <v>10649150</v>
      </c>
      <c r="O32" s="3734">
        <v>12</v>
      </c>
      <c r="P32" s="3735">
        <v>68040750</v>
      </c>
      <c r="Q32" s="3704">
        <v>3</v>
      </c>
      <c r="R32" s="3735">
        <v>10702500</v>
      </c>
      <c r="S32" s="3704">
        <v>3</v>
      </c>
      <c r="T32" s="3747" t="s">
        <v>4502</v>
      </c>
      <c r="U32" s="3730">
        <v>3</v>
      </c>
      <c r="V32" s="3868">
        <v>57608932</v>
      </c>
      <c r="W32" s="3704">
        <v>0</v>
      </c>
      <c r="X32" s="3726">
        <v>0</v>
      </c>
      <c r="Y32" s="3704">
        <f t="shared" si="9"/>
        <v>9</v>
      </c>
      <c r="Z32" s="3868">
        <v>55886432</v>
      </c>
      <c r="AA32" s="3730">
        <f t="shared" si="10"/>
        <v>33</v>
      </c>
      <c r="AB32" s="3910">
        <f t="shared" si="10"/>
        <v>66535582</v>
      </c>
      <c r="AC32" s="3905">
        <f t="shared" si="11"/>
        <v>0.45833333333333331</v>
      </c>
      <c r="AD32" s="3869">
        <f t="shared" si="11"/>
        <v>1.4156506808510638</v>
      </c>
      <c r="AE32" s="3157" t="s">
        <v>4560</v>
      </c>
    </row>
    <row r="33" spans="1:31" s="75" customFormat="1" ht="64.5" customHeight="1">
      <c r="A33" s="3157">
        <v>2</v>
      </c>
      <c r="B33" s="618"/>
      <c r="C33" s="753">
        <v>5</v>
      </c>
      <c r="D33" s="2071" t="s">
        <v>107</v>
      </c>
      <c r="E33" s="2071" t="s">
        <v>66</v>
      </c>
      <c r="F33" s="753">
        <v>56</v>
      </c>
      <c r="G33" s="753"/>
      <c r="H33" s="2071" t="s">
        <v>65</v>
      </c>
      <c r="I33" s="3854" t="s">
        <v>4503</v>
      </c>
      <c r="J33" s="3854" t="s">
        <v>4463</v>
      </c>
      <c r="K33" s="3734">
        <v>72</v>
      </c>
      <c r="L33" s="3735">
        <v>10000000</v>
      </c>
      <c r="M33" s="3736">
        <v>2</v>
      </c>
      <c r="N33" s="3735">
        <v>24447900</v>
      </c>
      <c r="O33" s="3734">
        <v>1</v>
      </c>
      <c r="P33" s="3735">
        <v>9326602</v>
      </c>
      <c r="Q33" s="3730">
        <v>0</v>
      </c>
      <c r="R33" s="3871" t="s">
        <v>2034</v>
      </c>
      <c r="S33" s="3730">
        <v>3</v>
      </c>
      <c r="T33" s="3747" t="s">
        <v>4504</v>
      </c>
      <c r="U33" s="3730">
        <v>3</v>
      </c>
      <c r="V33" s="3868">
        <v>9326500</v>
      </c>
      <c r="W33" s="3704">
        <v>0</v>
      </c>
      <c r="X33" s="3726">
        <v>0</v>
      </c>
      <c r="Y33" s="3704">
        <v>6</v>
      </c>
      <c r="Z33" s="3868">
        <v>1000000</v>
      </c>
      <c r="AA33" s="3704">
        <f t="shared" si="10"/>
        <v>8</v>
      </c>
      <c r="AB33" s="3910">
        <f t="shared" si="10"/>
        <v>25447900</v>
      </c>
      <c r="AC33" s="3905">
        <f t="shared" si="11"/>
        <v>0.1111111111111111</v>
      </c>
      <c r="AD33" s="3869">
        <f t="shared" si="11"/>
        <v>2.5447899999999999</v>
      </c>
      <c r="AE33" s="3157" t="s">
        <v>4560</v>
      </c>
    </row>
    <row r="34" spans="1:31" s="75" customFormat="1" ht="54.75" customHeight="1">
      <c r="A34" s="3157">
        <v>3</v>
      </c>
      <c r="B34" s="3854"/>
      <c r="C34" s="753">
        <v>5</v>
      </c>
      <c r="D34" s="2071" t="s">
        <v>107</v>
      </c>
      <c r="E34" s="2071" t="s">
        <v>66</v>
      </c>
      <c r="F34" s="753">
        <v>56</v>
      </c>
      <c r="G34" s="753"/>
      <c r="H34" s="2071" t="s">
        <v>196</v>
      </c>
      <c r="I34" s="728" t="s">
        <v>4464</v>
      </c>
      <c r="J34" s="3854" t="s">
        <v>4465</v>
      </c>
      <c r="K34" s="3734">
        <v>72</v>
      </c>
      <c r="L34" s="3735">
        <v>12000000</v>
      </c>
      <c r="M34" s="3736">
        <v>2</v>
      </c>
      <c r="N34" s="3735">
        <v>22961460</v>
      </c>
      <c r="O34" s="3736" t="s">
        <v>2034</v>
      </c>
      <c r="P34" s="3871" t="s">
        <v>2034</v>
      </c>
      <c r="Q34" s="3870" t="s">
        <v>2034</v>
      </c>
      <c r="R34" s="3871" t="s">
        <v>2034</v>
      </c>
      <c r="S34" s="3870" t="s">
        <v>2034</v>
      </c>
      <c r="T34" s="3878" t="s">
        <v>2034</v>
      </c>
      <c r="U34" s="3730">
        <v>3</v>
      </c>
      <c r="V34" s="3868">
        <v>20156460</v>
      </c>
      <c r="W34" s="3704">
        <v>0</v>
      </c>
      <c r="X34" s="3726">
        <v>0</v>
      </c>
      <c r="Y34" s="3730">
        <v>6</v>
      </c>
      <c r="Z34" s="3868">
        <v>33601920</v>
      </c>
      <c r="AA34" s="3730">
        <f t="shared" si="10"/>
        <v>8</v>
      </c>
      <c r="AB34" s="3910">
        <f t="shared" si="10"/>
        <v>56563380</v>
      </c>
      <c r="AC34" s="3905">
        <f t="shared" si="11"/>
        <v>0.1111111111111111</v>
      </c>
      <c r="AD34" s="3869">
        <f t="shared" si="11"/>
        <v>4.7136149999999999</v>
      </c>
      <c r="AE34" s="3157" t="s">
        <v>4560</v>
      </c>
    </row>
    <row r="35" spans="1:31" s="75" customFormat="1" ht="61.5" customHeight="1">
      <c r="A35" s="3157">
        <v>5</v>
      </c>
      <c r="B35" s="3854"/>
      <c r="C35" s="753">
        <v>5</v>
      </c>
      <c r="D35" s="2071" t="s">
        <v>107</v>
      </c>
      <c r="E35" s="2071" t="s">
        <v>66</v>
      </c>
      <c r="F35" s="753">
        <v>56</v>
      </c>
      <c r="G35" s="753"/>
      <c r="H35" s="2071" t="s">
        <v>161</v>
      </c>
      <c r="I35" s="728" t="s">
        <v>4468</v>
      </c>
      <c r="J35" s="3854" t="s">
        <v>4469</v>
      </c>
      <c r="K35" s="3734">
        <v>72</v>
      </c>
      <c r="L35" s="3735">
        <v>5760000</v>
      </c>
      <c r="M35" s="3736">
        <v>24</v>
      </c>
      <c r="N35" s="3735">
        <v>12000000</v>
      </c>
      <c r="O35" s="3734">
        <v>12</v>
      </c>
      <c r="P35" s="3735">
        <v>4247199</v>
      </c>
      <c r="Q35" s="3704">
        <v>3</v>
      </c>
      <c r="R35" s="3735">
        <v>2000000</v>
      </c>
      <c r="S35" s="3730">
        <v>0</v>
      </c>
      <c r="T35" s="1232">
        <v>2000000</v>
      </c>
      <c r="U35" s="3730">
        <v>3</v>
      </c>
      <c r="V35" s="3868">
        <v>2600000</v>
      </c>
      <c r="W35" s="3704">
        <v>0</v>
      </c>
      <c r="X35" s="3745">
        <v>0</v>
      </c>
      <c r="Y35" s="3704">
        <f t="shared" ref="Y35:Z35" si="12">(Q35+S35+U35+W35)</f>
        <v>6</v>
      </c>
      <c r="Z35" s="3868">
        <f t="shared" si="12"/>
        <v>6600000</v>
      </c>
      <c r="AA35" s="3730">
        <f t="shared" si="10"/>
        <v>30</v>
      </c>
      <c r="AB35" s="3910">
        <f t="shared" si="10"/>
        <v>18600000</v>
      </c>
      <c r="AC35" s="3908">
        <f t="shared" si="11"/>
        <v>0.41666666666666669</v>
      </c>
      <c r="AD35" s="3869">
        <f t="shared" si="11"/>
        <v>3.2291666666666665</v>
      </c>
      <c r="AE35" s="3157" t="s">
        <v>4560</v>
      </c>
    </row>
    <row r="36" spans="1:31" s="75" customFormat="1" ht="61.5" customHeight="1">
      <c r="A36" s="3157"/>
      <c r="B36" s="3854"/>
      <c r="C36" s="753"/>
      <c r="D36" s="2071"/>
      <c r="E36" s="2071"/>
      <c r="F36" s="753"/>
      <c r="G36" s="753"/>
      <c r="H36" s="2071"/>
      <c r="I36" s="728" t="s">
        <v>4323</v>
      </c>
      <c r="J36" s="3854" t="s">
        <v>4505</v>
      </c>
      <c r="K36" s="3736">
        <v>72</v>
      </c>
      <c r="L36" s="3871" t="s">
        <v>2034</v>
      </c>
      <c r="M36" s="3736">
        <v>24</v>
      </c>
      <c r="N36" s="3871" t="s">
        <v>2034</v>
      </c>
      <c r="O36" s="3734">
        <v>12</v>
      </c>
      <c r="P36" s="3735">
        <v>22860000</v>
      </c>
      <c r="Q36" s="3704">
        <v>3</v>
      </c>
      <c r="R36" s="1232">
        <v>3070000</v>
      </c>
      <c r="S36" s="3730">
        <v>3</v>
      </c>
      <c r="T36" s="1232" t="s">
        <v>4506</v>
      </c>
      <c r="U36" s="3730">
        <v>3</v>
      </c>
      <c r="V36" s="3868">
        <v>14510000</v>
      </c>
      <c r="W36" s="3704">
        <v>0</v>
      </c>
      <c r="X36" s="3745">
        <v>0</v>
      </c>
      <c r="Y36" s="3704">
        <v>9</v>
      </c>
      <c r="Z36" s="3868">
        <v>29370000</v>
      </c>
      <c r="AA36" s="3730">
        <v>33</v>
      </c>
      <c r="AB36" s="3910">
        <v>29370000</v>
      </c>
      <c r="AC36" s="3908">
        <f t="shared" si="11"/>
        <v>0.45833333333333331</v>
      </c>
      <c r="AD36" s="3869">
        <v>2.93</v>
      </c>
      <c r="AE36" s="3157" t="s">
        <v>4560</v>
      </c>
    </row>
    <row r="37" spans="1:31" s="75" customFormat="1" ht="57.75" customHeight="1">
      <c r="A37" s="3157">
        <v>6</v>
      </c>
      <c r="B37" s="3854"/>
      <c r="C37" s="753"/>
      <c r="D37" s="2071"/>
      <c r="E37" s="2071"/>
      <c r="F37" s="753"/>
      <c r="G37" s="753"/>
      <c r="H37" s="2071"/>
      <c r="I37" s="728" t="s">
        <v>4470</v>
      </c>
      <c r="J37" s="3854" t="s">
        <v>4471</v>
      </c>
      <c r="K37" s="3734">
        <v>72</v>
      </c>
      <c r="L37" s="3871" t="s">
        <v>154</v>
      </c>
      <c r="M37" s="3736">
        <v>24</v>
      </c>
      <c r="N37" s="3890">
        <v>0</v>
      </c>
      <c r="O37" s="3734">
        <v>12</v>
      </c>
      <c r="P37" s="3735">
        <v>11500000</v>
      </c>
      <c r="Q37" s="3704">
        <v>3</v>
      </c>
      <c r="R37" s="3735">
        <v>1700000</v>
      </c>
      <c r="S37" s="3730">
        <v>3</v>
      </c>
      <c r="T37" s="3747" t="s">
        <v>4507</v>
      </c>
      <c r="U37" s="3730">
        <v>3</v>
      </c>
      <c r="V37" s="3868">
        <v>8225000</v>
      </c>
      <c r="W37" s="3730">
        <v>0</v>
      </c>
      <c r="X37" s="3889">
        <v>0</v>
      </c>
      <c r="Y37" s="3730">
        <f t="shared" ref="Y37:Y38" si="13">(Q37+S37+U37+W37)</f>
        <v>9</v>
      </c>
      <c r="Z37" s="3868">
        <v>3350000</v>
      </c>
      <c r="AA37" s="3730">
        <f t="shared" ref="AA37:AB38" si="14">(M37+Y37)</f>
        <v>33</v>
      </c>
      <c r="AB37" s="3910">
        <v>3350000</v>
      </c>
      <c r="AC37" s="3908">
        <f t="shared" si="11"/>
        <v>0.45833333333333331</v>
      </c>
      <c r="AD37" s="3869">
        <v>3.35</v>
      </c>
      <c r="AE37" s="3157" t="s">
        <v>4560</v>
      </c>
    </row>
    <row r="38" spans="1:31" s="75" customFormat="1" ht="65.25" customHeight="1">
      <c r="A38" s="3157">
        <v>8</v>
      </c>
      <c r="B38" s="3854"/>
      <c r="C38" s="753">
        <v>5</v>
      </c>
      <c r="D38" s="2071" t="s">
        <v>107</v>
      </c>
      <c r="E38" s="2071" t="s">
        <v>66</v>
      </c>
      <c r="F38" s="753">
        <v>56</v>
      </c>
      <c r="G38" s="753"/>
      <c r="H38" s="2071" t="s">
        <v>197</v>
      </c>
      <c r="I38" s="728" t="s">
        <v>4474</v>
      </c>
      <c r="J38" s="3854"/>
      <c r="K38" s="3734">
        <v>72</v>
      </c>
      <c r="L38" s="3735">
        <v>20000000</v>
      </c>
      <c r="M38" s="3736">
        <v>24</v>
      </c>
      <c r="N38" s="3735">
        <v>26600000</v>
      </c>
      <c r="O38" s="3734">
        <v>12</v>
      </c>
      <c r="P38" s="3735">
        <v>17846000</v>
      </c>
      <c r="Q38" s="3704">
        <v>3</v>
      </c>
      <c r="R38" s="3735">
        <v>2400000</v>
      </c>
      <c r="S38" s="3704">
        <v>3</v>
      </c>
      <c r="T38" s="3747" t="s">
        <v>4508</v>
      </c>
      <c r="U38" s="3704">
        <v>3</v>
      </c>
      <c r="V38" s="3868">
        <v>11900000</v>
      </c>
      <c r="W38" s="3704">
        <v>0</v>
      </c>
      <c r="X38" s="3726">
        <v>0</v>
      </c>
      <c r="Y38" s="3704">
        <f t="shared" si="13"/>
        <v>9</v>
      </c>
      <c r="Z38" s="3868">
        <v>9439910</v>
      </c>
      <c r="AA38" s="3730">
        <f t="shared" si="14"/>
        <v>33</v>
      </c>
      <c r="AB38" s="3910">
        <f t="shared" si="14"/>
        <v>36039910</v>
      </c>
      <c r="AC38" s="3908">
        <f t="shared" si="11"/>
        <v>0.45833333333333331</v>
      </c>
      <c r="AD38" s="3869">
        <f t="shared" si="11"/>
        <v>1.8019955000000001</v>
      </c>
      <c r="AE38" s="3157" t="s">
        <v>4560</v>
      </c>
    </row>
    <row r="39" spans="1:31" s="3769" customFormat="1" ht="65.25" customHeight="1">
      <c r="A39" s="2595">
        <v>12</v>
      </c>
      <c r="B39" s="3859"/>
      <c r="C39" s="3857">
        <v>5</v>
      </c>
      <c r="D39" s="2374" t="s">
        <v>107</v>
      </c>
      <c r="E39" s="2374" t="s">
        <v>66</v>
      </c>
      <c r="F39" s="2374" t="s">
        <v>93</v>
      </c>
      <c r="G39" s="2374"/>
      <c r="H39" s="2374">
        <v>59</v>
      </c>
      <c r="I39" s="2363" t="s">
        <v>4509</v>
      </c>
      <c r="J39" s="3859" t="s">
        <v>4510</v>
      </c>
      <c r="K39" s="3765" t="s">
        <v>2034</v>
      </c>
      <c r="L39" s="3880" t="s">
        <v>2034</v>
      </c>
      <c r="M39" s="3765" t="s">
        <v>2034</v>
      </c>
      <c r="N39" s="3880" t="s">
        <v>2034</v>
      </c>
      <c r="O39" s="3764">
        <v>12</v>
      </c>
      <c r="P39" s="3880">
        <v>9075000</v>
      </c>
      <c r="Q39" s="3879" t="s">
        <v>2034</v>
      </c>
      <c r="R39" s="3880" t="s">
        <v>2034</v>
      </c>
      <c r="S39" s="3879" t="s">
        <v>2034</v>
      </c>
      <c r="T39" s="3891" t="s">
        <v>2034</v>
      </c>
      <c r="U39" s="3879" t="s">
        <v>2034</v>
      </c>
      <c r="V39" s="3884" t="s">
        <v>2034</v>
      </c>
      <c r="W39" s="3879" t="s">
        <v>2034</v>
      </c>
      <c r="X39" s="3891" t="s">
        <v>2034</v>
      </c>
      <c r="Y39" s="3879" t="s">
        <v>2034</v>
      </c>
      <c r="Z39" s="3884" t="s">
        <v>2034</v>
      </c>
      <c r="AA39" s="3879" t="s">
        <v>2034</v>
      </c>
      <c r="AB39" s="3913" t="s">
        <v>2034</v>
      </c>
      <c r="AC39" s="3906"/>
      <c r="AD39" s="3768"/>
      <c r="AE39" s="2595" t="s">
        <v>4560</v>
      </c>
    </row>
    <row r="40" spans="1:31" s="75" customFormat="1" ht="65.25" customHeight="1">
      <c r="A40" s="2849"/>
      <c r="B40" s="3854"/>
      <c r="C40" s="753">
        <v>5</v>
      </c>
      <c r="D40" s="2071">
        <v>2</v>
      </c>
      <c r="E40" s="2071">
        <v>2</v>
      </c>
      <c r="F40" s="2071" t="s">
        <v>161</v>
      </c>
      <c r="G40" s="2071"/>
      <c r="H40" s="2071" t="s">
        <v>4494</v>
      </c>
      <c r="I40" s="728" t="s">
        <v>4511</v>
      </c>
      <c r="J40" s="3854" t="s">
        <v>4512</v>
      </c>
      <c r="K40" s="3736" t="s">
        <v>2034</v>
      </c>
      <c r="L40" s="3871" t="s">
        <v>2034</v>
      </c>
      <c r="M40" s="3736" t="s">
        <v>2034</v>
      </c>
      <c r="N40" s="3871" t="s">
        <v>2034</v>
      </c>
      <c r="O40" s="3734">
        <v>12</v>
      </c>
      <c r="P40" s="3871">
        <v>9075000</v>
      </c>
      <c r="Q40" s="3870" t="s">
        <v>2034</v>
      </c>
      <c r="R40" s="3871" t="s">
        <v>2034</v>
      </c>
      <c r="S40" s="3870" t="s">
        <v>2034</v>
      </c>
      <c r="T40" s="3878" t="s">
        <v>2034</v>
      </c>
      <c r="U40" s="3870" t="s">
        <v>2034</v>
      </c>
      <c r="V40" s="3868">
        <v>0</v>
      </c>
      <c r="W40" s="3730">
        <v>0</v>
      </c>
      <c r="X40" s="3747">
        <v>0</v>
      </c>
      <c r="Y40" s="3730">
        <v>0</v>
      </c>
      <c r="Z40" s="3874" t="s">
        <v>2034</v>
      </c>
      <c r="AA40" s="3870" t="s">
        <v>2034</v>
      </c>
      <c r="AB40" s="3914" t="s">
        <v>2034</v>
      </c>
      <c r="AC40" s="3907"/>
      <c r="AD40" s="3706"/>
      <c r="AE40" s="2849" t="s">
        <v>4560</v>
      </c>
    </row>
    <row r="41" spans="1:31" s="3769" customFormat="1" ht="77.25" customHeight="1">
      <c r="A41" s="2595">
        <v>13</v>
      </c>
      <c r="B41" s="3859"/>
      <c r="C41" s="3857">
        <v>5</v>
      </c>
      <c r="D41" s="2374">
        <v>1</v>
      </c>
      <c r="E41" s="2374" t="s">
        <v>93</v>
      </c>
      <c r="F41" s="3857">
        <v>57</v>
      </c>
      <c r="G41" s="3857"/>
      <c r="H41" s="2374" t="s">
        <v>66</v>
      </c>
      <c r="I41" s="2363" t="s">
        <v>4197</v>
      </c>
      <c r="J41" s="3859" t="s">
        <v>4513</v>
      </c>
      <c r="K41" s="3764">
        <v>72</v>
      </c>
      <c r="L41" s="3061">
        <v>23500000</v>
      </c>
      <c r="M41" s="3765">
        <v>0</v>
      </c>
      <c r="N41" s="3061">
        <v>20918500</v>
      </c>
      <c r="O41" s="3764">
        <v>5</v>
      </c>
      <c r="P41" s="3880" t="s">
        <v>2034</v>
      </c>
      <c r="Q41" s="3766">
        <v>0</v>
      </c>
      <c r="R41" s="3880" t="s">
        <v>2034</v>
      </c>
      <c r="S41" s="3766">
        <v>0</v>
      </c>
      <c r="T41" s="3767">
        <f>(T42)</f>
        <v>0</v>
      </c>
      <c r="U41" s="3879" t="s">
        <v>2034</v>
      </c>
      <c r="V41" s="3876">
        <v>0</v>
      </c>
      <c r="W41" s="3766">
        <v>0</v>
      </c>
      <c r="X41" s="3767">
        <v>0</v>
      </c>
      <c r="Y41" s="3879" t="s">
        <v>2034</v>
      </c>
      <c r="Z41" s="3876">
        <f t="shared" ref="Z41:Z42" si="15">(R41+T41+V41+X41)</f>
        <v>0</v>
      </c>
      <c r="AA41" s="3766">
        <f t="shared" ref="AA41:AB42" si="16">(M41+Y41)</f>
        <v>0</v>
      </c>
      <c r="AB41" s="3911">
        <f t="shared" si="16"/>
        <v>20918500</v>
      </c>
      <c r="AC41" s="3906">
        <f t="shared" ref="AC41:AD42" si="17">(AA41/K41*100%)</f>
        <v>0</v>
      </c>
      <c r="AD41" s="3768">
        <f t="shared" si="17"/>
        <v>0.89014893617021273</v>
      </c>
      <c r="AE41" s="2513" t="s">
        <v>4560</v>
      </c>
    </row>
    <row r="42" spans="1:31" s="75" customFormat="1" ht="62.25" customHeight="1">
      <c r="A42" s="2849"/>
      <c r="B42" s="3854"/>
      <c r="C42" s="753">
        <v>5</v>
      </c>
      <c r="D42" s="2071">
        <v>2</v>
      </c>
      <c r="E42" s="2071">
        <v>2</v>
      </c>
      <c r="F42" s="2071" t="s">
        <v>66</v>
      </c>
      <c r="G42" s="2071"/>
      <c r="H42" s="2071" t="s">
        <v>4514</v>
      </c>
      <c r="I42" s="728" t="s">
        <v>4515</v>
      </c>
      <c r="J42" s="3854" t="s">
        <v>4516</v>
      </c>
      <c r="K42" s="3734">
        <v>20</v>
      </c>
      <c r="L42" s="3735">
        <v>23500000</v>
      </c>
      <c r="M42" s="3736">
        <v>24</v>
      </c>
      <c r="N42" s="3735">
        <v>20918500</v>
      </c>
      <c r="O42" s="3736" t="s">
        <v>2034</v>
      </c>
      <c r="P42" s="3877" t="s">
        <v>2034</v>
      </c>
      <c r="Q42" s="3730">
        <v>0</v>
      </c>
      <c r="R42" s="3871" t="s">
        <v>2034</v>
      </c>
      <c r="S42" s="3730">
        <v>0</v>
      </c>
      <c r="T42" s="3747">
        <v>0</v>
      </c>
      <c r="U42" s="3870" t="s">
        <v>2034</v>
      </c>
      <c r="V42" s="3868">
        <v>0</v>
      </c>
      <c r="W42" s="3730">
        <v>0</v>
      </c>
      <c r="X42" s="3747">
        <v>0</v>
      </c>
      <c r="Y42" s="3730">
        <f t="shared" ref="Y42" si="18">(Q42+S42+U42+W42)</f>
        <v>0</v>
      </c>
      <c r="Z42" s="3868">
        <f t="shared" si="15"/>
        <v>0</v>
      </c>
      <c r="AA42" s="3730">
        <f t="shared" si="16"/>
        <v>24</v>
      </c>
      <c r="AB42" s="3910">
        <f t="shared" si="16"/>
        <v>20918500</v>
      </c>
      <c r="AC42" s="3905">
        <f t="shared" si="17"/>
        <v>1.2</v>
      </c>
      <c r="AD42" s="3869">
        <f t="shared" si="17"/>
        <v>0.89014893617021273</v>
      </c>
      <c r="AE42" s="2627" t="s">
        <v>4560</v>
      </c>
    </row>
    <row r="43" spans="1:31" s="3779" customFormat="1" ht="142.5" customHeight="1">
      <c r="A43" s="3771">
        <v>5</v>
      </c>
      <c r="B43" s="3772"/>
      <c r="C43" s="3773">
        <v>5</v>
      </c>
      <c r="D43" s="3773" t="s">
        <v>107</v>
      </c>
      <c r="E43" s="3773" t="s">
        <v>66</v>
      </c>
      <c r="F43" s="3773" t="s">
        <v>166</v>
      </c>
      <c r="G43" s="3773" t="s">
        <v>3026</v>
      </c>
      <c r="H43" s="3773"/>
      <c r="I43" s="3774" t="s">
        <v>2612</v>
      </c>
      <c r="J43" s="3772" t="s">
        <v>4405</v>
      </c>
      <c r="K43" s="3775">
        <v>100</v>
      </c>
      <c r="L43" s="3776">
        <f>SUM(L44:L44)</f>
        <v>62838995</v>
      </c>
      <c r="M43" s="3775">
        <v>90</v>
      </c>
      <c r="N43" s="3776">
        <f>SUM(N44:N44)</f>
        <v>10868000</v>
      </c>
      <c r="O43" s="3775">
        <v>0</v>
      </c>
      <c r="P43" s="3776">
        <f>SUM(P44:P44)</f>
        <v>0</v>
      </c>
      <c r="Q43" s="3775">
        <v>0</v>
      </c>
      <c r="R43" s="3776">
        <f>SUM(R44:R44)</f>
        <v>0</v>
      </c>
      <c r="S43" s="3775"/>
      <c r="T43" s="3775">
        <f>SUM(T44)</f>
        <v>0</v>
      </c>
      <c r="U43" s="3775"/>
      <c r="V43" s="3777">
        <f>SUM(V44)</f>
        <v>0</v>
      </c>
      <c r="W43" s="3775"/>
      <c r="X43" s="3775"/>
      <c r="Y43" s="3775">
        <f t="shared" ref="Y43:Y48" si="19">Q43+S43+U43+W43</f>
        <v>0</v>
      </c>
      <c r="Z43" s="3776">
        <f>SUM(Z44:Z44)</f>
        <v>0</v>
      </c>
      <c r="AA43" s="3775">
        <f t="shared" ref="AA43:AB48" si="20">M43+Y43</f>
        <v>90</v>
      </c>
      <c r="AB43" s="3915">
        <f>SUM(AB44:AB44)</f>
        <v>10868000</v>
      </c>
      <c r="AC43" s="3778">
        <f t="shared" ref="AC43:AD48" si="21">(AA43/K43)*100</f>
        <v>90</v>
      </c>
      <c r="AD43" s="3778">
        <f t="shared" si="21"/>
        <v>17.294993339724801</v>
      </c>
      <c r="AE43" s="3774" t="s">
        <v>4560</v>
      </c>
    </row>
    <row r="44" spans="1:31" s="2117" customFormat="1" ht="97.5" customHeight="1">
      <c r="A44" s="18"/>
      <c r="B44" s="15"/>
      <c r="C44" s="36">
        <v>5</v>
      </c>
      <c r="D44" s="36" t="s">
        <v>107</v>
      </c>
      <c r="E44" s="36" t="s">
        <v>66</v>
      </c>
      <c r="F44" s="36" t="s">
        <v>166</v>
      </c>
      <c r="G44" s="36" t="s">
        <v>376</v>
      </c>
      <c r="H44" s="36"/>
      <c r="I44" s="15" t="s">
        <v>4406</v>
      </c>
      <c r="J44" s="3686" t="s">
        <v>4407</v>
      </c>
      <c r="K44" s="15">
        <v>500</v>
      </c>
      <c r="L44" s="3694">
        <v>62838995</v>
      </c>
      <c r="M44" s="3693">
        <v>90</v>
      </c>
      <c r="N44" s="3694">
        <v>10868000</v>
      </c>
      <c r="O44" s="3693">
        <v>0</v>
      </c>
      <c r="P44" s="3695">
        <v>0</v>
      </c>
      <c r="Q44" s="3693">
        <v>0</v>
      </c>
      <c r="R44" s="3692">
        <v>0</v>
      </c>
      <c r="S44" s="3693"/>
      <c r="T44" s="3693">
        <v>0</v>
      </c>
      <c r="U44" s="3693"/>
      <c r="V44" s="3696">
        <v>0</v>
      </c>
      <c r="W44" s="15"/>
      <c r="X44" s="15"/>
      <c r="Y44" s="15">
        <f t="shared" si="19"/>
        <v>0</v>
      </c>
      <c r="Z44" s="3691">
        <f>R44+T44+V44+X44</f>
        <v>0</v>
      </c>
      <c r="AA44" s="15">
        <f t="shared" si="20"/>
        <v>90</v>
      </c>
      <c r="AB44" s="3916">
        <f t="shared" si="20"/>
        <v>10868000</v>
      </c>
      <c r="AC44" s="19">
        <f t="shared" si="21"/>
        <v>18</v>
      </c>
      <c r="AD44" s="19">
        <f>(AB44/L44)*100</f>
        <v>17.294993339724801</v>
      </c>
      <c r="AE44" s="3690" t="s">
        <v>4560</v>
      </c>
    </row>
    <row r="45" spans="1:31" s="3780" customFormat="1" ht="112.5" customHeight="1">
      <c r="A45" s="3771">
        <v>6</v>
      </c>
      <c r="B45" s="3772"/>
      <c r="C45" s="3773">
        <v>5</v>
      </c>
      <c r="D45" s="3773" t="s">
        <v>107</v>
      </c>
      <c r="E45" s="3773" t="s">
        <v>66</v>
      </c>
      <c r="F45" s="3773" t="s">
        <v>155</v>
      </c>
      <c r="G45" s="3773"/>
      <c r="H45" s="3773"/>
      <c r="I45" s="3774" t="s">
        <v>4369</v>
      </c>
      <c r="J45" s="3774" t="s">
        <v>4370</v>
      </c>
      <c r="K45" s="3775">
        <v>100</v>
      </c>
      <c r="L45" s="3776">
        <f>SUM(L46:L46)</f>
        <v>102493404</v>
      </c>
      <c r="M45" s="3775">
        <v>70</v>
      </c>
      <c r="N45" s="3776">
        <f>SUM(N46:N46)</f>
        <v>17484000</v>
      </c>
      <c r="O45" s="3775">
        <v>10</v>
      </c>
      <c r="P45" s="3776">
        <f>SUM(P46:P46)</f>
        <v>18900000</v>
      </c>
      <c r="Q45" s="3775">
        <v>0</v>
      </c>
      <c r="R45" s="3776">
        <f>SUM(R46:R46)</f>
        <v>0</v>
      </c>
      <c r="S45" s="3775">
        <v>10</v>
      </c>
      <c r="T45" s="3777">
        <f>SUM(T46)</f>
        <v>18631000</v>
      </c>
      <c r="U45" s="3775"/>
      <c r="V45" s="3775">
        <f>SUM(V46)</f>
        <v>0</v>
      </c>
      <c r="W45" s="3775"/>
      <c r="X45" s="3775"/>
      <c r="Y45" s="3775">
        <f t="shared" si="19"/>
        <v>10</v>
      </c>
      <c r="Z45" s="3776">
        <f>SUM(Z46:Z46)</f>
        <v>18631000</v>
      </c>
      <c r="AA45" s="3775">
        <f t="shared" si="20"/>
        <v>80</v>
      </c>
      <c r="AB45" s="3915">
        <f>SUM(AB46:AB46)</f>
        <v>36115000</v>
      </c>
      <c r="AC45" s="3778">
        <f t="shared" si="21"/>
        <v>80</v>
      </c>
      <c r="AD45" s="3778">
        <f t="shared" si="21"/>
        <v>35.236413847665752</v>
      </c>
      <c r="AE45" s="3774" t="s">
        <v>4560</v>
      </c>
    </row>
    <row r="46" spans="1:31" s="2117" customFormat="1" ht="113.25" customHeight="1">
      <c r="A46" s="2116"/>
      <c r="B46" s="3680"/>
      <c r="C46" s="36">
        <v>5</v>
      </c>
      <c r="D46" s="36" t="s">
        <v>107</v>
      </c>
      <c r="E46" s="36" t="s">
        <v>66</v>
      </c>
      <c r="F46" s="36" t="s">
        <v>155</v>
      </c>
      <c r="G46" s="36" t="s">
        <v>202</v>
      </c>
      <c r="H46" s="36"/>
      <c r="I46" s="3680" t="s">
        <v>4371</v>
      </c>
      <c r="J46" s="3680" t="s">
        <v>4408</v>
      </c>
      <c r="K46" s="3680">
        <v>6</v>
      </c>
      <c r="L46" s="3781">
        <v>102493404</v>
      </c>
      <c r="M46" s="3680">
        <v>2</v>
      </c>
      <c r="N46" s="3781">
        <v>17484000</v>
      </c>
      <c r="O46" s="3680">
        <v>1</v>
      </c>
      <c r="P46" s="3781">
        <v>18900000</v>
      </c>
      <c r="Q46" s="3680">
        <v>0</v>
      </c>
      <c r="R46" s="3782">
        <v>0</v>
      </c>
      <c r="S46" s="3680"/>
      <c r="T46" s="3783">
        <v>18631000</v>
      </c>
      <c r="U46" s="3680"/>
      <c r="V46" s="3680"/>
      <c r="W46" s="3680"/>
      <c r="X46" s="3680"/>
      <c r="Y46" s="2116">
        <f t="shared" si="19"/>
        <v>0</v>
      </c>
      <c r="Z46" s="3691">
        <f>R46+T46+V46+X46</f>
        <v>18631000</v>
      </c>
      <c r="AA46" s="2116">
        <f t="shared" si="20"/>
        <v>2</v>
      </c>
      <c r="AB46" s="3916">
        <f t="shared" si="20"/>
        <v>36115000</v>
      </c>
      <c r="AC46" s="3684">
        <f t="shared" si="21"/>
        <v>33.333333333333329</v>
      </c>
      <c r="AD46" s="3684">
        <f t="shared" si="21"/>
        <v>35.236413847665752</v>
      </c>
      <c r="AE46" s="3690" t="s">
        <v>4560</v>
      </c>
    </row>
    <row r="47" spans="1:31" s="3780" customFormat="1" ht="66.75" customHeight="1">
      <c r="A47" s="3771">
        <v>7</v>
      </c>
      <c r="B47" s="3772"/>
      <c r="C47" s="3773">
        <v>5</v>
      </c>
      <c r="D47" s="3773" t="s">
        <v>107</v>
      </c>
      <c r="E47" s="3773" t="s">
        <v>66</v>
      </c>
      <c r="F47" s="3773" t="s">
        <v>448</v>
      </c>
      <c r="G47" s="3773" t="s">
        <v>3026</v>
      </c>
      <c r="H47" s="3773"/>
      <c r="I47" s="3774" t="s">
        <v>4373</v>
      </c>
      <c r="J47" s="3774" t="s">
        <v>4374</v>
      </c>
      <c r="K47" s="3775">
        <v>100</v>
      </c>
      <c r="L47" s="3776">
        <f>SUM(L48:L48)</f>
        <v>42010000</v>
      </c>
      <c r="M47" s="3775">
        <v>32</v>
      </c>
      <c r="N47" s="3776">
        <f>SUM(N48:N48)</f>
        <v>0</v>
      </c>
      <c r="O47" s="3775">
        <v>20</v>
      </c>
      <c r="P47" s="3776">
        <f>SUM(P48:P48)</f>
        <v>5910000</v>
      </c>
      <c r="Q47" s="3775">
        <v>0</v>
      </c>
      <c r="R47" s="3776">
        <f>SUM(R48:R48)</f>
        <v>0</v>
      </c>
      <c r="S47" s="3775"/>
      <c r="T47" s="3777">
        <f>SUM(T48)</f>
        <v>666000</v>
      </c>
      <c r="U47" s="3775"/>
      <c r="V47" s="3777">
        <f>SUM(V48)</f>
        <v>1539000</v>
      </c>
      <c r="W47" s="3775"/>
      <c r="X47" s="3775"/>
      <c r="Y47" s="3775">
        <f t="shared" si="19"/>
        <v>0</v>
      </c>
      <c r="Z47" s="3776">
        <f>SUM(Z48:Z48)</f>
        <v>2205000</v>
      </c>
      <c r="AA47" s="3775">
        <f t="shared" si="20"/>
        <v>32</v>
      </c>
      <c r="AB47" s="3915">
        <f>SUM(AB48:AB48)</f>
        <v>2205000</v>
      </c>
      <c r="AC47" s="3778">
        <f t="shared" si="21"/>
        <v>32</v>
      </c>
      <c r="AD47" s="3778">
        <f t="shared" si="21"/>
        <v>5.2487502975482023</v>
      </c>
      <c r="AE47" s="3774" t="s">
        <v>4560</v>
      </c>
    </row>
    <row r="48" spans="1:31" s="2117" customFormat="1" ht="105">
      <c r="A48" s="3685"/>
      <c r="B48" s="3686"/>
      <c r="C48" s="36" t="s">
        <v>4322</v>
      </c>
      <c r="D48" s="36" t="s">
        <v>107</v>
      </c>
      <c r="E48" s="36" t="s">
        <v>66</v>
      </c>
      <c r="F48" s="36" t="s">
        <v>448</v>
      </c>
      <c r="G48" s="3687" t="s">
        <v>2910</v>
      </c>
      <c r="H48" s="3687"/>
      <c r="I48" s="3686" t="s">
        <v>4375</v>
      </c>
      <c r="J48" s="3686" t="s">
        <v>4376</v>
      </c>
      <c r="K48" s="3850">
        <v>100</v>
      </c>
      <c r="L48" s="3697">
        <v>42010000</v>
      </c>
      <c r="M48" s="3698">
        <v>32</v>
      </c>
      <c r="N48" s="3699">
        <v>0</v>
      </c>
      <c r="O48" s="3698">
        <v>20</v>
      </c>
      <c r="P48" s="3700">
        <v>5910000</v>
      </c>
      <c r="Q48" s="3698">
        <v>0</v>
      </c>
      <c r="R48" s="3698">
        <v>0</v>
      </c>
      <c r="S48" s="3701"/>
      <c r="T48" s="3700">
        <v>666000</v>
      </c>
      <c r="U48" s="3701"/>
      <c r="V48" s="3700">
        <v>1539000</v>
      </c>
      <c r="W48" s="3685"/>
      <c r="X48" s="3685"/>
      <c r="Y48" s="2116">
        <f t="shared" si="19"/>
        <v>0</v>
      </c>
      <c r="Z48" s="3691">
        <f>R48+T48+V48+X48</f>
        <v>2205000</v>
      </c>
      <c r="AA48" s="2116">
        <f t="shared" si="20"/>
        <v>32</v>
      </c>
      <c r="AB48" s="3916">
        <f t="shared" si="20"/>
        <v>2205000</v>
      </c>
      <c r="AC48" s="3684">
        <f t="shared" si="21"/>
        <v>32</v>
      </c>
      <c r="AD48" s="3685"/>
      <c r="AE48" s="3690" t="s">
        <v>4560</v>
      </c>
    </row>
    <row r="49" spans="1:31" s="2117" customFormat="1">
      <c r="A49" s="4280" t="s">
        <v>89</v>
      </c>
      <c r="B49" s="4280"/>
      <c r="C49" s="4265"/>
      <c r="D49" s="4265"/>
      <c r="E49" s="4265"/>
      <c r="F49" s="4265"/>
      <c r="G49" s="4265"/>
      <c r="H49" s="4265"/>
      <c r="I49" s="4265"/>
      <c r="J49" s="4265"/>
      <c r="K49" s="4265"/>
      <c r="L49" s="4265"/>
      <c r="M49" s="4265"/>
      <c r="N49" s="4265"/>
      <c r="O49" s="4265"/>
      <c r="P49" s="4265"/>
      <c r="Q49" s="4265"/>
      <c r="R49" s="4265"/>
      <c r="S49" s="4265"/>
      <c r="T49" s="4265"/>
      <c r="U49" s="4265"/>
      <c r="V49" s="4265"/>
      <c r="W49" s="4265"/>
      <c r="X49" s="4265"/>
      <c r="Y49" s="4265"/>
      <c r="Z49" s="4265"/>
      <c r="AA49" s="4265"/>
      <c r="AB49" s="4265"/>
      <c r="AC49" s="3702" t="e">
        <f>(AC2+AC14+#REF!+AC20+AC24+AC28+AC31+AC39+AC41+AC43+AC45+AC47)/12</f>
        <v>#REF!</v>
      </c>
      <c r="AD49" s="3702" t="e">
        <f>(AD2+AD14+#REF!+AD20+AD24+AD28+AD31+AD39+AD41+AD43+AD45+AD47)/12</f>
        <v>#REF!</v>
      </c>
      <c r="AE49" s="21"/>
    </row>
    <row r="50" spans="1:31" s="2117" customFormat="1">
      <c r="A50" s="4280" t="s">
        <v>90</v>
      </c>
      <c r="B50" s="4280"/>
      <c r="C50" s="4265"/>
      <c r="D50" s="4265"/>
      <c r="E50" s="4265"/>
      <c r="F50" s="4265"/>
      <c r="G50" s="4265"/>
      <c r="H50" s="4265"/>
      <c r="I50" s="4265"/>
      <c r="J50" s="4265"/>
      <c r="K50" s="4265"/>
      <c r="L50" s="4265"/>
      <c r="M50" s="4265"/>
      <c r="N50" s="4265"/>
      <c r="O50" s="4265"/>
      <c r="P50" s="4265"/>
      <c r="Q50" s="4265"/>
      <c r="R50" s="4265"/>
      <c r="S50" s="4265"/>
      <c r="T50" s="4265"/>
      <c r="U50" s="4265"/>
      <c r="V50" s="4265"/>
      <c r="W50" s="4265"/>
      <c r="X50" s="4265"/>
      <c r="Y50" s="4265"/>
      <c r="Z50" s="4265"/>
      <c r="AA50" s="4265"/>
      <c r="AB50" s="4265"/>
      <c r="AC50" s="22" t="s">
        <v>2534</v>
      </c>
      <c r="AD50" s="22" t="e">
        <f>IF(AD49&gt;=45,"ST",IF(AD49&gt;=38,"T",IF(AD49&gt;=32,"S",IF(AD49&gt;=25,"R","SR"))))</f>
        <v>#REF!</v>
      </c>
      <c r="AE50" s="21"/>
    </row>
  </sheetData>
  <mergeCells count="2">
    <mergeCell ref="A49:AB49"/>
    <mergeCell ref="A50:AB50"/>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xl/worksheets/sheet6.xml><?xml version="1.0" encoding="utf-8"?>
<worksheet xmlns="http://schemas.openxmlformats.org/spreadsheetml/2006/main" xmlns:r="http://schemas.openxmlformats.org/officeDocument/2006/relationships">
  <dimension ref="H10:H18"/>
  <sheetViews>
    <sheetView workbookViewId="0">
      <selection activeCell="C14" sqref="C14"/>
    </sheetView>
  </sheetViews>
  <sheetFormatPr defaultRowHeight="15"/>
  <cols>
    <col min="8" max="8" width="16" bestFit="1" customWidth="1"/>
  </cols>
  <sheetData>
    <row r="10" spans="8:8">
      <c r="H10" s="2870"/>
    </row>
    <row r="11" spans="8:8">
      <c r="H11" s="2871"/>
    </row>
    <row r="12" spans="8:8">
      <c r="H12" s="2869"/>
    </row>
    <row r="17" spans="8:8">
      <c r="H17" s="2869"/>
    </row>
    <row r="18" spans="8:8">
      <c r="H18" s="287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Evaluasi RKPD TRI 3</vt:lpstr>
      <vt:lpstr>ev rkpd (2)</vt:lpstr>
      <vt:lpstr>Sheet1</vt:lpstr>
      <vt:lpstr>Sheet2</vt:lpstr>
      <vt:lpstr>Sheet3</vt:lpstr>
      <vt:lpstr>Sheet4</vt:lpstr>
      <vt:lpstr>'ev rkpd (2)'!Print_Titles</vt:lpstr>
      <vt:lpstr>'Evaluasi RKPD TRI 3'!Print_Titles</vt:lpstr>
      <vt:lpstr>Sheet1!Print_Titles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WILA PUTRI</dc:creator>
  <cp:lastModifiedBy>WILA PUTRI</cp:lastModifiedBy>
  <cp:lastPrinted>2018-11-11T20:18:40Z</cp:lastPrinted>
  <dcterms:created xsi:type="dcterms:W3CDTF">2018-02-19T04:13:24Z</dcterms:created>
  <dcterms:modified xsi:type="dcterms:W3CDTF">2018-12-18T03:50:59Z</dcterms:modified>
</cp:coreProperties>
</file>